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5" yWindow="-15" windowWidth="16605" windowHeight="9120" tabRatio="879" activeTab="1"/>
  </bookViews>
  <sheets>
    <sheet name="Instructions" sheetId="33" r:id="rId1"/>
    <sheet name="Introduction" sheetId="34" r:id="rId2"/>
    <sheet name="Weightings" sheetId="1" state="hidden" r:id="rId3"/>
    <sheet name="5a_General" sheetId="40" r:id="rId4"/>
    <sheet name="5b_Prescribing&amp;Dispensing" sheetId="41" r:id="rId5"/>
    <sheet name="5c_Delivery" sheetId="42" r:id="rId6"/>
    <sheet name="5d_Training" sheetId="35" r:id="rId7"/>
    <sheet name="5e_Equipment" sheetId="8" r:id="rId8"/>
    <sheet name="5f_HomeAccess" sheetId="36" r:id="rId9"/>
    <sheet name="5g_Governance" sheetId="38" r:id="rId10"/>
    <sheet name="5h_Finance" sheetId="39" r:id="rId11"/>
  </sheets>
  <externalReferences>
    <externalReference r:id="rId12"/>
    <externalReference r:id="rId13"/>
    <externalReference r:id="rId14"/>
    <externalReference r:id="rId15"/>
    <externalReference r:id="rId16"/>
  </externalReferences>
  <definedNames>
    <definedName name="_xlnm._FilterDatabase" localSheetId="3" hidden="1">'5a_General'!$A$5:$P$178</definedName>
    <definedName name="_xlnm._FilterDatabase" localSheetId="4" hidden="1">'5b_Prescribing&amp;Dispensing'!$A$5:$P$49</definedName>
    <definedName name="_xlnm._FilterDatabase" localSheetId="5" hidden="1">'5c_Delivery'!$A$5:$P$39</definedName>
    <definedName name="_xlnm._FilterDatabase" localSheetId="6" hidden="1">'5d_Training'!$A$5:$P$22</definedName>
    <definedName name="_xlnm._FilterDatabase" localSheetId="7" hidden="1">'5e_Equipment'!$A$5:$P$20</definedName>
    <definedName name="_xlnm._FilterDatabase" localSheetId="8" hidden="1">'5f_HomeAccess'!$A$5:$N$19</definedName>
    <definedName name="_xlnm._FilterDatabase" localSheetId="9" hidden="1">'5g_Governance'!$A$5:$N$81</definedName>
    <definedName name="_xlnm._FilterDatabase" localSheetId="10" hidden="1">'5h_Finance'!$A$5:$P$31</definedName>
    <definedName name="Adj_Evidence" localSheetId="3">Weightings!$D$23:$D$31</definedName>
    <definedName name="Adj_Evidence" localSheetId="4">Weightings!$D$23:$D$31</definedName>
    <definedName name="Adj_Evidence" localSheetId="5">Weightings!$D$23:$D$31</definedName>
    <definedName name="Adj_Evidence" localSheetId="6">Weightings!$D$23:$D$31</definedName>
    <definedName name="Adj_Evidence" localSheetId="7">Weightings!$D$23:$D$31</definedName>
    <definedName name="Adj_Evidence" localSheetId="8">Weightings!$D$23:$D$31</definedName>
    <definedName name="Adj_Evidence" localSheetId="9">Weightings!$D$23:$D$31</definedName>
    <definedName name="Adj_Evidence" localSheetId="10">Weightings!$D$23:$D$31</definedName>
    <definedName name="Adj_Evidence">Weightings!$D$23:$D$31</definedName>
    <definedName name="Adj_Service" localSheetId="3">Weightings!$D$36:$D$41</definedName>
    <definedName name="Adj_Service" localSheetId="4">Weightings!$D$36:$D$41</definedName>
    <definedName name="Adj_Service" localSheetId="5">Weightings!$D$36:$D$41</definedName>
    <definedName name="Adj_Service" localSheetId="6">Weightings!$D$36:$D$41</definedName>
    <definedName name="Adj_service" localSheetId="7">Weightings!$D$36:$D$41</definedName>
    <definedName name="Adj_Service" localSheetId="8">Weightings!$D$36:$D$41</definedName>
    <definedName name="Adj_Service" localSheetId="9">Weightings!$D$36:$D$41</definedName>
    <definedName name="Adj_Service" localSheetId="10">Weightings!$D$36:$D$41</definedName>
    <definedName name="Adj_Service">Weightings!$D$36:$D$41</definedName>
    <definedName name="Adj_Weight" localSheetId="3">Weightings!$D$46:$D$51</definedName>
    <definedName name="Adj_Weight" localSheetId="4">Weightings!$D$46:$D$51</definedName>
    <definedName name="Adj_Weight" localSheetId="5">Weightings!$D$46:$D$51</definedName>
    <definedName name="Adj_Weight" localSheetId="6">Weightings!$D$46:$D$51</definedName>
    <definedName name="Adj_Weight" localSheetId="7">Weightings!$D$46:$D$51</definedName>
    <definedName name="Adj_Weight" localSheetId="8">Weightings!$D$46:$D$51</definedName>
    <definedName name="Adj_Weight" localSheetId="9">Weightings!$D$46:$D$51</definedName>
    <definedName name="Adj_Weight" localSheetId="10">Weightings!$D$36:$D$41</definedName>
    <definedName name="Adj_Weight">Weightings!$D$46:$D$51</definedName>
    <definedName name="Equipment" localSheetId="3">'[1]5e_Equipment'!#REF!</definedName>
    <definedName name="Equipment" localSheetId="4">'[1]5e_Equipment'!#REF!</definedName>
    <definedName name="Equipment" localSheetId="5">'[1]5e_Equipment'!#REF!</definedName>
    <definedName name="Equipment" localSheetId="6">'[1]5e_Equipment'!#REF!</definedName>
    <definedName name="Equipment" localSheetId="8">'[1]5e_Equipment'!#REF!</definedName>
    <definedName name="Equipment" localSheetId="9">'[1]5e_Equipment'!#REF!</definedName>
    <definedName name="Equipment" localSheetId="10">'[1]5e_Equipment'!#REF!</definedName>
    <definedName name="Equipment">'[1]5e_Equipment'!#REF!</definedName>
    <definedName name="Experience" localSheetId="3">#REF!</definedName>
    <definedName name="Experience" localSheetId="4">#REF!</definedName>
    <definedName name="Experience" localSheetId="5">#REF!</definedName>
    <definedName name="Experience" localSheetId="6">#REF!</definedName>
    <definedName name="Experience" localSheetId="8">#REF!</definedName>
    <definedName name="Experience" localSheetId="9">#REF!</definedName>
    <definedName name="Experience" localSheetId="10">#REF!</definedName>
    <definedName name="Experience">#REF!</definedName>
    <definedName name="Prescribing" localSheetId="3">'[1]5c_Prescribing'!#REF!</definedName>
    <definedName name="Prescribing" localSheetId="4">'[1]5c_Prescribing'!#REF!</definedName>
    <definedName name="Prescribing" localSheetId="5">'[1]5c_Prescribing'!#REF!</definedName>
    <definedName name="Prescribing" localSheetId="6">'[1]5c_Prescribing'!#REF!</definedName>
    <definedName name="Prescribing" localSheetId="8">'[1]5c_Prescribing'!#REF!</definedName>
    <definedName name="Prescribing" localSheetId="9">'[1]5c_Prescribing'!#REF!</definedName>
    <definedName name="Prescribing" localSheetId="10">'[1]5c_Prescribing'!#REF!</definedName>
    <definedName name="Prescribing">'[1]5c_Prescribing'!#REF!</definedName>
    <definedName name="_xlnm.Print_Area" localSheetId="3">'5a_General'!$A$5:$E$174</definedName>
    <definedName name="_xlnm.Print_Area" localSheetId="4">'5b_Prescribing&amp;Dispensing'!$A$5:$E$49</definedName>
    <definedName name="_xlnm.Print_Area" localSheetId="5">'5c_Delivery'!$A$5:$E$37</definedName>
    <definedName name="_xlnm.Print_Area" localSheetId="6">'5d_Training'!$A$5:$E$22</definedName>
    <definedName name="_xlnm.Print_Area" localSheetId="7">'5e_Equipment'!$A$5:$B$20</definedName>
    <definedName name="_xlnm.Print_Area" localSheetId="8">'5f_HomeAccess'!$A$5:$C$19</definedName>
    <definedName name="_xlnm.Print_Area" localSheetId="9">'5g_Governance'!$A$5:$C$81</definedName>
    <definedName name="_xlnm.Print_Area" localSheetId="10">'5h_Finance'!$A$5:$B$31</definedName>
    <definedName name="_xlnm.Print_Area" localSheetId="0">Instructions!$A$3:$F$34</definedName>
    <definedName name="_xlnm.Print_Area" localSheetId="1">Introduction!$A$2:$E$59</definedName>
    <definedName name="_xlnm.Print_Area" localSheetId="2">Weightings!$A$10:$I$53</definedName>
    <definedName name="_xlnm.Print_Titles" localSheetId="1">Introduction!$2:$2</definedName>
    <definedName name="Product" localSheetId="3">#REF!</definedName>
    <definedName name="Product" localSheetId="4">#REF!</definedName>
    <definedName name="Product" localSheetId="5">#REF!</definedName>
    <definedName name="Product" localSheetId="6">#REF!</definedName>
    <definedName name="Product" localSheetId="8">#REF!</definedName>
    <definedName name="Product">#REF!</definedName>
    <definedName name="Service" localSheetId="3">#REF!</definedName>
    <definedName name="Service" localSheetId="4">#REF!</definedName>
    <definedName name="Service" localSheetId="5">#REF!</definedName>
    <definedName name="Service" localSheetId="6">#REF!</definedName>
    <definedName name="Service" localSheetId="8">#REF!</definedName>
    <definedName name="Service">#REF!</definedName>
    <definedName name="Spec_Compl_Adj" localSheetId="3">[2]Lists!$A$12:$A$13</definedName>
    <definedName name="Spec_Compl_Adj" localSheetId="4">[2]Lists!$A$12:$A$13</definedName>
    <definedName name="Spec_Compl_Adj" localSheetId="5">[2]Lists!$A$12:$A$13</definedName>
    <definedName name="Spec_Compl_Adj" localSheetId="8">[2]Lists!$A$12:$A$13</definedName>
    <definedName name="Spec_Compl_Adj" localSheetId="9">[2]Lists!$A$12:$A$13</definedName>
    <definedName name="Spec_Compl_Adj" localSheetId="10">[2]Lists!$A$12:$A$13</definedName>
    <definedName name="Spec_Compl_Adj">Weightings!$A$13:$A$14</definedName>
  </definedNames>
  <calcPr calcId="145621"/>
</workbook>
</file>

<file path=xl/calcChain.xml><?xml version="1.0" encoding="utf-8"?>
<calcChain xmlns="http://schemas.openxmlformats.org/spreadsheetml/2006/main">
  <c r="P31" i="39" l="1"/>
  <c r="P30" i="39"/>
  <c r="P29" i="39"/>
  <c r="P27" i="39"/>
  <c r="P26" i="39"/>
  <c r="P25" i="39"/>
  <c r="P24" i="39"/>
  <c r="P23" i="39"/>
  <c r="P22" i="39"/>
  <c r="P21" i="39"/>
  <c r="P20" i="39"/>
  <c r="P19" i="39"/>
  <c r="P18" i="39"/>
  <c r="P17" i="39"/>
  <c r="P16" i="39"/>
  <c r="P15" i="39"/>
  <c r="P14" i="39"/>
  <c r="P13" i="39"/>
  <c r="P12" i="39"/>
  <c r="P11" i="39"/>
  <c r="P10" i="39"/>
  <c r="P9" i="39"/>
  <c r="P8" i="39"/>
  <c r="P7" i="39"/>
  <c r="P81" i="38"/>
  <c r="P80" i="38"/>
  <c r="P79" i="38"/>
  <c r="P78" i="38"/>
  <c r="P77" i="38"/>
  <c r="P76" i="38"/>
  <c r="P75" i="38"/>
  <c r="P74" i="38"/>
  <c r="P73" i="38"/>
  <c r="P72" i="38"/>
  <c r="P71" i="38"/>
  <c r="P70" i="38"/>
  <c r="P69" i="38"/>
  <c r="P68" i="38"/>
  <c r="P67" i="38"/>
  <c r="P66" i="38"/>
  <c r="P65" i="38"/>
  <c r="P64" i="38"/>
  <c r="P63" i="38"/>
  <c r="P62" i="38"/>
  <c r="P61" i="38"/>
  <c r="P60" i="38"/>
  <c r="P59" i="38"/>
  <c r="P58" i="38"/>
  <c r="P57" i="38"/>
  <c r="P56" i="38"/>
  <c r="P55" i="38"/>
  <c r="P54" i="38"/>
  <c r="P53" i="38"/>
  <c r="P52" i="38"/>
  <c r="P51" i="38"/>
  <c r="P50" i="38"/>
  <c r="P49" i="38"/>
  <c r="P48" i="38"/>
  <c r="P47" i="38"/>
  <c r="P46" i="38"/>
  <c r="P45" i="38"/>
  <c r="P44" i="38"/>
  <c r="P43" i="38"/>
  <c r="P42" i="38"/>
  <c r="P41" i="38"/>
  <c r="P40" i="38"/>
  <c r="P39" i="38"/>
  <c r="P38" i="38"/>
  <c r="P37" i="38"/>
  <c r="P36" i="38"/>
  <c r="P35" i="38"/>
  <c r="P34" i="38"/>
  <c r="P33" i="38"/>
  <c r="P32" i="38"/>
  <c r="P31" i="38"/>
  <c r="P30" i="38"/>
  <c r="P29" i="38"/>
  <c r="P28" i="38"/>
  <c r="P27" i="38"/>
  <c r="P26" i="38"/>
  <c r="P25" i="38"/>
  <c r="P24" i="38"/>
  <c r="P23" i="38"/>
  <c r="P22" i="38"/>
  <c r="P21" i="38"/>
  <c r="P20" i="38"/>
  <c r="P19" i="38"/>
  <c r="P18" i="38"/>
  <c r="P17" i="38"/>
  <c r="P16" i="38"/>
  <c r="P15" i="38"/>
  <c r="P14" i="38"/>
  <c r="P13" i="38"/>
  <c r="P12" i="38"/>
  <c r="P11" i="38"/>
  <c r="P10" i="38"/>
  <c r="P9" i="38"/>
  <c r="P8" i="38"/>
  <c r="P7" i="38"/>
  <c r="P19" i="36"/>
  <c r="P18" i="36"/>
  <c r="P17" i="36"/>
  <c r="P16" i="36"/>
  <c r="P15" i="36"/>
  <c r="P14" i="36"/>
  <c r="P13" i="36"/>
  <c r="P12" i="36"/>
  <c r="P11" i="36"/>
  <c r="P10" i="36"/>
  <c r="P9" i="36"/>
  <c r="P8" i="36"/>
  <c r="P7" i="36"/>
  <c r="P20" i="8"/>
  <c r="P19" i="8"/>
  <c r="P18" i="8"/>
  <c r="P17" i="8"/>
  <c r="P16" i="8"/>
  <c r="P15" i="8"/>
  <c r="P14" i="8"/>
  <c r="P13" i="8"/>
  <c r="P12" i="8"/>
  <c r="P11" i="8"/>
  <c r="P10" i="8"/>
  <c r="P9" i="8"/>
  <c r="P8" i="8"/>
  <c r="P7" i="8"/>
  <c r="P22" i="35"/>
  <c r="P21" i="35"/>
  <c r="P20" i="35"/>
  <c r="P19" i="35"/>
  <c r="P18" i="35"/>
  <c r="P17" i="35"/>
  <c r="P16" i="35"/>
  <c r="P15" i="35"/>
  <c r="P14" i="35"/>
  <c r="P13" i="35"/>
  <c r="P12" i="35"/>
  <c r="P11" i="35"/>
  <c r="P10" i="35"/>
  <c r="P9" i="35"/>
  <c r="P8" i="35"/>
  <c r="P7" i="35"/>
  <c r="P39" i="42"/>
  <c r="P38" i="42"/>
  <c r="P37" i="42"/>
  <c r="P36" i="42"/>
  <c r="P35" i="42"/>
  <c r="P34" i="42"/>
  <c r="P33" i="42"/>
  <c r="P32" i="42"/>
  <c r="P31" i="42"/>
  <c r="P30" i="42"/>
  <c r="P29" i="42"/>
  <c r="P28" i="42"/>
  <c r="P27" i="42"/>
  <c r="P26" i="42"/>
  <c r="P25" i="42"/>
  <c r="P24" i="42"/>
  <c r="P23" i="42"/>
  <c r="P22" i="42"/>
  <c r="P21" i="42"/>
  <c r="P20" i="42"/>
  <c r="P19" i="42"/>
  <c r="P18" i="42"/>
  <c r="P17" i="42"/>
  <c r="P16" i="42"/>
  <c r="P15" i="42"/>
  <c r="P14" i="42"/>
  <c r="P13" i="42"/>
  <c r="P12" i="42"/>
  <c r="P11" i="42"/>
  <c r="P10" i="42"/>
  <c r="P9" i="42"/>
  <c r="P8" i="42"/>
  <c r="P7" i="42"/>
  <c r="P49" i="41"/>
  <c r="P48" i="41"/>
  <c r="P47" i="41"/>
  <c r="P46" i="41"/>
  <c r="P45" i="41"/>
  <c r="P44" i="41"/>
  <c r="P43" i="41"/>
  <c r="P42" i="41"/>
  <c r="P41" i="41"/>
  <c r="P40" i="41"/>
  <c r="P39" i="41"/>
  <c r="P3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P9" i="41"/>
  <c r="P8" i="41"/>
  <c r="P7" i="41"/>
  <c r="P178" i="40"/>
  <c r="P177" i="40"/>
  <c r="P176" i="40"/>
  <c r="P175" i="40"/>
  <c r="P174" i="40"/>
  <c r="P173" i="40"/>
  <c r="P172" i="40"/>
  <c r="P171" i="40"/>
  <c r="P170" i="40"/>
  <c r="P169" i="40"/>
  <c r="P168" i="40"/>
  <c r="P167" i="40"/>
  <c r="P166" i="40"/>
  <c r="P165" i="40"/>
  <c r="P164" i="40"/>
  <c r="P163" i="40"/>
  <c r="P162" i="40"/>
  <c r="P161" i="40"/>
  <c r="P160" i="40"/>
  <c r="P159" i="40"/>
  <c r="P158" i="40"/>
  <c r="P157" i="40"/>
  <c r="P156" i="40"/>
  <c r="P155" i="40"/>
  <c r="P154" i="40"/>
  <c r="P153" i="40"/>
  <c r="P152" i="40"/>
  <c r="P151" i="40"/>
  <c r="P150" i="40"/>
  <c r="P149" i="40"/>
  <c r="P148" i="40"/>
  <c r="P147" i="40"/>
  <c r="P146" i="40"/>
  <c r="P145" i="40"/>
  <c r="P144" i="40"/>
  <c r="P143" i="40"/>
  <c r="P142" i="40"/>
  <c r="P141" i="40"/>
  <c r="P140" i="40"/>
  <c r="P139" i="40"/>
  <c r="P138" i="40"/>
  <c r="P137" i="40"/>
  <c r="P136" i="40"/>
  <c r="P135" i="40"/>
  <c r="P134" i="40"/>
  <c r="P133" i="40"/>
  <c r="P132" i="40"/>
  <c r="P131" i="40"/>
  <c r="P130" i="40"/>
  <c r="P129" i="40"/>
  <c r="P128" i="40"/>
  <c r="P127" i="40"/>
  <c r="P126" i="40"/>
  <c r="P125" i="40"/>
  <c r="P124" i="40"/>
  <c r="P123" i="40"/>
  <c r="P122" i="40"/>
  <c r="P121" i="40"/>
  <c r="P120" i="40"/>
  <c r="P119" i="40"/>
  <c r="P118" i="40"/>
  <c r="P117" i="40"/>
  <c r="P116" i="40"/>
  <c r="P115" i="40"/>
  <c r="P114" i="40"/>
  <c r="P113" i="40"/>
  <c r="P112" i="40"/>
  <c r="P111" i="40"/>
  <c r="P110" i="40"/>
  <c r="P109" i="40"/>
  <c r="P108" i="40"/>
  <c r="P107" i="40"/>
  <c r="P106" i="40"/>
  <c r="P105" i="40"/>
  <c r="P104" i="40"/>
  <c r="P103" i="40"/>
  <c r="P102" i="40"/>
  <c r="P101" i="40"/>
  <c r="P100" i="40"/>
  <c r="P99" i="40"/>
  <c r="P98" i="40"/>
  <c r="P97" i="40"/>
  <c r="P96" i="40"/>
  <c r="P95" i="40"/>
  <c r="P94" i="40"/>
  <c r="P93" i="40"/>
  <c r="P92" i="40"/>
  <c r="P91" i="40"/>
  <c r="P90" i="40"/>
  <c r="P89" i="40"/>
  <c r="P88" i="40"/>
  <c r="P87" i="40"/>
  <c r="P86" i="40"/>
  <c r="P85" i="40"/>
  <c r="P84" i="40"/>
  <c r="P83" i="40"/>
  <c r="P82" i="40"/>
  <c r="P81" i="40"/>
  <c r="P80" i="40"/>
  <c r="P79" i="40"/>
  <c r="P78" i="40"/>
  <c r="P77" i="40"/>
  <c r="P76" i="40"/>
  <c r="P75" i="40"/>
  <c r="P74" i="40"/>
  <c r="P73" i="40"/>
  <c r="P72" i="40"/>
  <c r="P71" i="40"/>
  <c r="P70" i="40"/>
  <c r="P69" i="40"/>
  <c r="P68" i="40"/>
  <c r="P67" i="40"/>
  <c r="P66" i="40"/>
  <c r="P65" i="40"/>
  <c r="P64" i="40"/>
  <c r="P63" i="40"/>
  <c r="P62" i="40"/>
  <c r="P61" i="40"/>
  <c r="P60" i="40"/>
  <c r="P59" i="40"/>
  <c r="P58" i="40"/>
  <c r="P57" i="40"/>
  <c r="P56" i="40"/>
  <c r="P55" i="40"/>
  <c r="P54" i="40"/>
  <c r="P53" i="40"/>
  <c r="P52" i="40"/>
  <c r="P51" i="40"/>
  <c r="P50" i="40"/>
  <c r="P49" i="40"/>
  <c r="P48" i="40"/>
  <c r="P47" i="40"/>
  <c r="P46" i="40"/>
  <c r="P45" i="40"/>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3" i="40"/>
  <c r="P12" i="40"/>
  <c r="P11" i="40"/>
  <c r="P10" i="40"/>
  <c r="P9" i="40"/>
  <c r="P8" i="40"/>
  <c r="P7" i="40"/>
  <c r="O178" i="40"/>
  <c r="O176" i="40"/>
  <c r="O24" i="40"/>
  <c r="O25" i="40"/>
  <c r="O26" i="40"/>
  <c r="O27" i="40"/>
  <c r="O28" i="40"/>
  <c r="O29" i="40"/>
  <c r="O30" i="40"/>
  <c r="O31" i="40"/>
  <c r="O32" i="40"/>
  <c r="O33" i="40"/>
  <c r="O34" i="40"/>
  <c r="O35" i="40"/>
  <c r="O36" i="40"/>
  <c r="O37" i="40"/>
  <c r="O38" i="40"/>
  <c r="O39" i="40"/>
  <c r="O40" i="40"/>
  <c r="O41" i="40"/>
  <c r="O42" i="40"/>
  <c r="O43" i="40"/>
  <c r="O44" i="40"/>
  <c r="O45" i="40"/>
  <c r="O46" i="40"/>
  <c r="O47" i="40"/>
  <c r="O48" i="40"/>
  <c r="O49" i="40"/>
  <c r="O50" i="40"/>
  <c r="O51" i="40"/>
  <c r="O52" i="40"/>
  <c r="O53" i="40"/>
  <c r="O54" i="40"/>
  <c r="O55" i="40"/>
  <c r="O56" i="40"/>
  <c r="O57" i="40"/>
  <c r="O58" i="40"/>
  <c r="O59" i="40"/>
  <c r="O60" i="40"/>
  <c r="O61" i="40"/>
  <c r="O62" i="40"/>
  <c r="O63" i="40"/>
  <c r="O64" i="40"/>
  <c r="O65" i="40"/>
  <c r="O66" i="40"/>
  <c r="O67" i="40"/>
  <c r="O68" i="40"/>
  <c r="O69" i="40"/>
  <c r="O70" i="40"/>
  <c r="O71" i="40"/>
  <c r="O72" i="40"/>
  <c r="O73" i="40"/>
  <c r="O74" i="40"/>
  <c r="O75" i="40"/>
  <c r="O76" i="40"/>
  <c r="O77" i="40"/>
  <c r="O78" i="40"/>
  <c r="O79" i="40"/>
  <c r="O80" i="40"/>
  <c r="O81" i="40"/>
  <c r="O82" i="40"/>
  <c r="O83" i="40"/>
  <c r="O84" i="40"/>
  <c r="O85" i="40"/>
  <c r="O86" i="40"/>
  <c r="O87" i="40"/>
  <c r="O88" i="40"/>
  <c r="O89" i="40"/>
  <c r="O90" i="40"/>
  <c r="O91" i="40"/>
  <c r="O92" i="40"/>
  <c r="O93" i="40"/>
  <c r="O94" i="40"/>
  <c r="O95" i="40"/>
  <c r="O96" i="40"/>
  <c r="E4" i="39" l="1"/>
  <c r="M178" i="40" l="1"/>
  <c r="M176" i="40"/>
  <c r="M174" i="40"/>
  <c r="M172" i="40"/>
  <c r="M171" i="40"/>
  <c r="M170" i="40"/>
  <c r="M169" i="40"/>
  <c r="M167" i="40"/>
  <c r="M166" i="40"/>
  <c r="M165" i="40"/>
  <c r="M164" i="40"/>
  <c r="M163" i="40"/>
  <c r="M162" i="40"/>
  <c r="M161" i="40"/>
  <c r="M160" i="40"/>
  <c r="M158" i="40"/>
  <c r="M157" i="40"/>
  <c r="M156" i="40"/>
  <c r="M155" i="40"/>
  <c r="M154" i="40"/>
  <c r="M153" i="40"/>
  <c r="M152" i="40"/>
  <c r="M151" i="40"/>
  <c r="M149" i="40"/>
  <c r="M148" i="40"/>
  <c r="M147" i="40"/>
  <c r="M146" i="40"/>
  <c r="M144" i="40"/>
  <c r="M143" i="40"/>
  <c r="M142" i="40"/>
  <c r="M141" i="40"/>
  <c r="M139" i="40"/>
  <c r="M138" i="40"/>
  <c r="M137" i="40"/>
  <c r="M136" i="40"/>
  <c r="M135" i="40"/>
  <c r="M134" i="40"/>
  <c r="M132" i="40"/>
  <c r="M131" i="40"/>
  <c r="M129" i="40"/>
  <c r="M128" i="40"/>
  <c r="M127" i="40"/>
  <c r="M126" i="40"/>
  <c r="M124" i="40"/>
  <c r="M123" i="40"/>
  <c r="M121" i="40"/>
  <c r="M120" i="40"/>
  <c r="M119" i="40"/>
  <c r="M118" i="40"/>
  <c r="M117" i="40"/>
  <c r="M116" i="40"/>
  <c r="M115" i="40"/>
  <c r="M114" i="40"/>
  <c r="M113" i="40"/>
  <c r="M111" i="40"/>
  <c r="M110" i="40"/>
  <c r="M109" i="40"/>
  <c r="M108" i="40"/>
  <c r="M107" i="40"/>
  <c r="M106" i="40"/>
  <c r="M105" i="40"/>
  <c r="M104" i="40"/>
  <c r="M103" i="40"/>
  <c r="M102" i="40"/>
  <c r="M101" i="40"/>
  <c r="M99" i="40"/>
  <c r="M98" i="40"/>
  <c r="M96" i="40"/>
  <c r="M95" i="40"/>
  <c r="M94" i="40"/>
  <c r="M93" i="40"/>
  <c r="M92" i="40"/>
  <c r="M91" i="40"/>
  <c r="M90" i="40"/>
  <c r="M89" i="40"/>
  <c r="M88" i="40"/>
  <c r="M87" i="40"/>
  <c r="M86" i="40"/>
  <c r="M85" i="40"/>
  <c r="M84" i="40"/>
  <c r="M83" i="40"/>
  <c r="M82" i="40"/>
  <c r="M81" i="40"/>
  <c r="M80" i="40"/>
  <c r="M79" i="40"/>
  <c r="M78" i="40"/>
  <c r="M77" i="40"/>
  <c r="M76" i="40"/>
  <c r="M75" i="40"/>
  <c r="M74" i="40"/>
  <c r="M73" i="40"/>
  <c r="M72" i="40"/>
  <c r="M71" i="40"/>
  <c r="M70" i="40"/>
  <c r="M69" i="40"/>
  <c r="M68" i="40"/>
  <c r="M67" i="40"/>
  <c r="M66" i="40"/>
  <c r="M65" i="40"/>
  <c r="M64" i="40"/>
  <c r="M63" i="40"/>
  <c r="M62" i="40"/>
  <c r="M61" i="40"/>
  <c r="M60" i="40"/>
  <c r="M59" i="40"/>
  <c r="M58" i="40"/>
  <c r="M57" i="40"/>
  <c r="M56" i="40"/>
  <c r="M55" i="40"/>
  <c r="M54" i="40"/>
  <c r="M53" i="40"/>
  <c r="M52" i="40"/>
  <c r="M51" i="40"/>
  <c r="M50" i="40"/>
  <c r="M49" i="40"/>
  <c r="M48" i="40"/>
  <c r="M47" i="40"/>
  <c r="M46" i="40"/>
  <c r="M45" i="40"/>
  <c r="M44" i="40"/>
  <c r="M43" i="40"/>
  <c r="M42" i="40"/>
  <c r="M41" i="40"/>
  <c r="M40" i="40"/>
  <c r="M39" i="40"/>
  <c r="M38" i="40"/>
  <c r="M37" i="40"/>
  <c r="M36" i="40"/>
  <c r="M35" i="40"/>
  <c r="M34" i="40"/>
  <c r="M33" i="40"/>
  <c r="M32" i="40"/>
  <c r="M31" i="40"/>
  <c r="M30" i="40"/>
  <c r="M29" i="40"/>
  <c r="M28" i="40"/>
  <c r="M27" i="40"/>
  <c r="M26" i="40"/>
  <c r="M25" i="40"/>
  <c r="M24" i="40"/>
  <c r="M23" i="40"/>
  <c r="M22" i="40"/>
  <c r="M21" i="40"/>
  <c r="M20" i="40"/>
  <c r="M19" i="40"/>
  <c r="M18" i="40"/>
  <c r="M17" i="40"/>
  <c r="M16" i="40"/>
  <c r="M15" i="40"/>
  <c r="M14" i="40"/>
  <c r="M13" i="40"/>
  <c r="M12" i="40"/>
  <c r="M11" i="40"/>
  <c r="M10" i="40"/>
  <c r="M9" i="40"/>
  <c r="M7" i="40"/>
  <c r="M49" i="41"/>
  <c r="M48" i="41"/>
  <c r="M47" i="41"/>
  <c r="M46" i="41"/>
  <c r="M44" i="41"/>
  <c r="M43" i="41"/>
  <c r="M42" i="41"/>
  <c r="M41" i="41"/>
  <c r="M40" i="41"/>
  <c r="M39" i="41"/>
  <c r="M38" i="41"/>
  <c r="M37" i="41"/>
  <c r="M36" i="41"/>
  <c r="M35" i="41"/>
  <c r="M34" i="41"/>
  <c r="M33" i="41"/>
  <c r="M31" i="41"/>
  <c r="M30" i="41"/>
  <c r="M29" i="41"/>
  <c r="M28" i="41"/>
  <c r="M27" i="41"/>
  <c r="M26" i="41"/>
  <c r="M25" i="41"/>
  <c r="M24" i="41"/>
  <c r="M23" i="41"/>
  <c r="M22" i="41"/>
  <c r="M21" i="41"/>
  <c r="M20" i="41"/>
  <c r="M19" i="41"/>
  <c r="M18" i="41"/>
  <c r="M17" i="41"/>
  <c r="M16" i="41"/>
  <c r="M15" i="41"/>
  <c r="M14" i="41"/>
  <c r="M13" i="41"/>
  <c r="M12" i="41"/>
  <c r="M11" i="41"/>
  <c r="M10" i="41"/>
  <c r="M9" i="41"/>
  <c r="M7" i="41"/>
  <c r="M39" i="42"/>
  <c r="M37" i="42"/>
  <c r="M36" i="42"/>
  <c r="M34" i="42"/>
  <c r="M33" i="42"/>
  <c r="M32" i="42"/>
  <c r="M31" i="42"/>
  <c r="M30" i="42"/>
  <c r="M29" i="42"/>
  <c r="M28" i="42"/>
  <c r="M26" i="42"/>
  <c r="M25" i="42"/>
  <c r="M24" i="42"/>
  <c r="M23" i="42"/>
  <c r="M22" i="42"/>
  <c r="M21" i="42"/>
  <c r="M20" i="42"/>
  <c r="M19" i="42"/>
  <c r="M17" i="42"/>
  <c r="M16" i="42"/>
  <c r="M15" i="42"/>
  <c r="M14" i="42"/>
  <c r="M13" i="42"/>
  <c r="M12" i="42"/>
  <c r="M11" i="42"/>
  <c r="M9" i="42"/>
  <c r="M7" i="42"/>
  <c r="M22" i="35"/>
  <c r="M21" i="35"/>
  <c r="M20" i="35"/>
  <c r="M19" i="35"/>
  <c r="M18" i="35"/>
  <c r="M17" i="35"/>
  <c r="M16" i="35"/>
  <c r="M15" i="35"/>
  <c r="M13" i="35"/>
  <c r="M12" i="35"/>
  <c r="M11" i="35"/>
  <c r="M10" i="35"/>
  <c r="M9" i="35"/>
  <c r="M20" i="8"/>
  <c r="M19" i="8"/>
  <c r="M18" i="8"/>
  <c r="M17" i="8"/>
  <c r="M16" i="8"/>
  <c r="M15" i="8"/>
  <c r="M13" i="8"/>
  <c r="M12" i="8"/>
  <c r="M11" i="8"/>
  <c r="M10" i="8"/>
  <c r="M9" i="8"/>
  <c r="M19" i="36"/>
  <c r="M18" i="36"/>
  <c r="M16" i="36"/>
  <c r="M15" i="36"/>
  <c r="M14" i="36"/>
  <c r="M13" i="36"/>
  <c r="M12" i="36"/>
  <c r="M11" i="36"/>
  <c r="M10" i="36"/>
  <c r="M9" i="36"/>
  <c r="M6" i="40"/>
  <c r="M97" i="40"/>
  <c r="N97" i="40" s="1"/>
  <c r="M100" i="40"/>
  <c r="M112" i="40"/>
  <c r="M122" i="40"/>
  <c r="M125" i="40"/>
  <c r="M130" i="40"/>
  <c r="M133" i="40"/>
  <c r="M140" i="40"/>
  <c r="M145" i="40"/>
  <c r="M150" i="40"/>
  <c r="M159" i="40"/>
  <c r="M168" i="40"/>
  <c r="M173" i="40"/>
  <c r="M175" i="40"/>
  <c r="M177" i="40"/>
  <c r="J97" i="40"/>
  <c r="K97" i="40" s="1"/>
  <c r="G81" i="38"/>
  <c r="G80" i="38"/>
  <c r="G79" i="38"/>
  <c r="G78" i="38"/>
  <c r="G77" i="38"/>
  <c r="G76" i="38"/>
  <c r="G75" i="38"/>
  <c r="G74" i="38"/>
  <c r="G72" i="38"/>
  <c r="G71" i="38"/>
  <c r="G70" i="38"/>
  <c r="G69" i="38"/>
  <c r="G68" i="38"/>
  <c r="G66" i="38"/>
  <c r="G65" i="38"/>
  <c r="G63" i="38"/>
  <c r="G62" i="38"/>
  <c r="G61" i="38"/>
  <c r="G59" i="38"/>
  <c r="G58" i="38"/>
  <c r="G57" i="38"/>
  <c r="G55" i="38"/>
  <c r="G54" i="38"/>
  <c r="G53" i="38"/>
  <c r="G52" i="38"/>
  <c r="G51" i="38"/>
  <c r="G50" i="38"/>
  <c r="G49" i="38"/>
  <c r="G48" i="38"/>
  <c r="G47" i="38"/>
  <c r="G45" i="38"/>
  <c r="G44" i="38"/>
  <c r="G43" i="38"/>
  <c r="G42" i="38"/>
  <c r="G41" i="38"/>
  <c r="G40" i="38"/>
  <c r="G38" i="38"/>
  <c r="G37" i="38"/>
  <c r="G36" i="38"/>
  <c r="G35" i="38"/>
  <c r="G34" i="38"/>
  <c r="G32" i="38"/>
  <c r="G31" i="38"/>
  <c r="G30" i="38"/>
  <c r="G29" i="38"/>
  <c r="G28" i="38"/>
  <c r="G27" i="38"/>
  <c r="G26" i="38"/>
  <c r="G25" i="38"/>
  <c r="G24" i="38"/>
  <c r="G22" i="38"/>
  <c r="G21" i="38"/>
  <c r="G20" i="38"/>
  <c r="G19" i="38"/>
  <c r="G18" i="38"/>
  <c r="G17" i="38"/>
  <c r="G15" i="38"/>
  <c r="G14" i="38"/>
  <c r="G13" i="38"/>
  <c r="G12" i="38"/>
  <c r="G11" i="38"/>
  <c r="G10" i="38"/>
  <c r="G9" i="38"/>
  <c r="G19" i="36"/>
  <c r="G18" i="36"/>
  <c r="G16" i="36"/>
  <c r="G15" i="36"/>
  <c r="G14" i="36"/>
  <c r="G13" i="36"/>
  <c r="G12" i="36"/>
  <c r="G11" i="36"/>
  <c r="G10" i="36"/>
  <c r="G9" i="36"/>
  <c r="G20" i="8"/>
  <c r="G19" i="8"/>
  <c r="G18" i="8"/>
  <c r="G17" i="8"/>
  <c r="G16" i="8"/>
  <c r="G15" i="8"/>
  <c r="G13" i="8"/>
  <c r="G12" i="8"/>
  <c r="G11" i="8"/>
  <c r="G10" i="8"/>
  <c r="G9" i="8"/>
  <c r="G22" i="35"/>
  <c r="G21" i="35"/>
  <c r="G20" i="35"/>
  <c r="G19" i="35"/>
  <c r="G18" i="35"/>
  <c r="G17" i="35"/>
  <c r="G16" i="35"/>
  <c r="G15" i="35"/>
  <c r="G13" i="35"/>
  <c r="G12" i="35"/>
  <c r="G11" i="35"/>
  <c r="G10" i="35"/>
  <c r="G9" i="35"/>
  <c r="G39" i="42"/>
  <c r="G37" i="42"/>
  <c r="G36" i="42"/>
  <c r="G34" i="42"/>
  <c r="G33" i="42"/>
  <c r="G32" i="42"/>
  <c r="G31" i="42"/>
  <c r="G30" i="42"/>
  <c r="G29" i="42"/>
  <c r="G28" i="42"/>
  <c r="G26" i="42"/>
  <c r="G25" i="42"/>
  <c r="G24" i="42"/>
  <c r="G23" i="42"/>
  <c r="G22" i="42"/>
  <c r="G21" i="42"/>
  <c r="G20" i="42"/>
  <c r="G19" i="42"/>
  <c r="G17" i="42"/>
  <c r="G16" i="42"/>
  <c r="G15" i="42"/>
  <c r="G14" i="42"/>
  <c r="G13" i="42"/>
  <c r="G12" i="42"/>
  <c r="G11" i="42"/>
  <c r="G9" i="42"/>
  <c r="G49" i="41"/>
  <c r="G48" i="41"/>
  <c r="G47" i="41"/>
  <c r="G46" i="41"/>
  <c r="G44" i="41"/>
  <c r="G43" i="41"/>
  <c r="G42" i="41"/>
  <c r="G41" i="41"/>
  <c r="G40" i="41"/>
  <c r="G39" i="41"/>
  <c r="G38" i="41"/>
  <c r="G37" i="41"/>
  <c r="G36" i="41"/>
  <c r="G35" i="41"/>
  <c r="G34" i="41"/>
  <c r="G33" i="41"/>
  <c r="G31" i="41"/>
  <c r="G30" i="41"/>
  <c r="G29" i="41"/>
  <c r="G28" i="41"/>
  <c r="G27" i="41"/>
  <c r="G26" i="41"/>
  <c r="G25" i="41"/>
  <c r="G24" i="41"/>
  <c r="G23" i="41"/>
  <c r="G22" i="41"/>
  <c r="G21" i="41"/>
  <c r="G20" i="41"/>
  <c r="G19" i="41"/>
  <c r="G18" i="41"/>
  <c r="G17" i="41"/>
  <c r="G16" i="41"/>
  <c r="G15" i="41"/>
  <c r="G14" i="41"/>
  <c r="G13" i="41"/>
  <c r="G12" i="41"/>
  <c r="G11" i="41"/>
  <c r="G10" i="41"/>
  <c r="G9" i="41"/>
  <c r="G178" i="40"/>
  <c r="G176" i="40"/>
  <c r="G174" i="40"/>
  <c r="G172" i="40"/>
  <c r="G171" i="40"/>
  <c r="G170" i="40"/>
  <c r="G169" i="40"/>
  <c r="G167" i="40"/>
  <c r="G166" i="40"/>
  <c r="G165" i="40"/>
  <c r="G164" i="40"/>
  <c r="G163" i="40"/>
  <c r="G162" i="40"/>
  <c r="G161" i="40"/>
  <c r="G160" i="40"/>
  <c r="G158" i="40"/>
  <c r="G157" i="40"/>
  <c r="G156" i="40"/>
  <c r="G155" i="40"/>
  <c r="G154" i="40"/>
  <c r="G153" i="40"/>
  <c r="G152" i="40"/>
  <c r="G151" i="40"/>
  <c r="G149" i="40"/>
  <c r="G148" i="40"/>
  <c r="G147" i="40"/>
  <c r="G146" i="40"/>
  <c r="G144" i="40"/>
  <c r="G143" i="40"/>
  <c r="G142" i="40"/>
  <c r="G141" i="40"/>
  <c r="G139" i="40"/>
  <c r="G138" i="40"/>
  <c r="G137" i="40"/>
  <c r="G136" i="40"/>
  <c r="G135" i="40"/>
  <c r="G134" i="40"/>
  <c r="G132" i="40"/>
  <c r="G131" i="40"/>
  <c r="G129" i="40"/>
  <c r="G128" i="40"/>
  <c r="G127" i="40"/>
  <c r="G126" i="40"/>
  <c r="G124" i="40"/>
  <c r="G123" i="40"/>
  <c r="G121" i="40"/>
  <c r="G120" i="40"/>
  <c r="G119" i="40"/>
  <c r="G118" i="40"/>
  <c r="G117" i="40"/>
  <c r="G116" i="40"/>
  <c r="G115" i="40"/>
  <c r="G114" i="40"/>
  <c r="G113" i="40"/>
  <c r="G111" i="40"/>
  <c r="G110" i="40"/>
  <c r="G109" i="40"/>
  <c r="G108" i="40"/>
  <c r="G107" i="40"/>
  <c r="G106" i="40"/>
  <c r="G105" i="40"/>
  <c r="G104" i="40"/>
  <c r="G103" i="40"/>
  <c r="G102" i="40"/>
  <c r="G101" i="40"/>
  <c r="G99" i="40"/>
  <c r="G98" i="40"/>
  <c r="G96" i="40"/>
  <c r="G95"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13" i="40"/>
  <c r="G12" i="40"/>
  <c r="G11" i="40"/>
  <c r="G10" i="40"/>
  <c r="G9" i="40"/>
  <c r="G11" i="39"/>
  <c r="G9" i="39"/>
  <c r="G7" i="39"/>
  <c r="G7" i="38"/>
  <c r="G7" i="8"/>
  <c r="G7" i="42"/>
  <c r="G7" i="41"/>
  <c r="G7" i="40"/>
  <c r="B2" i="40"/>
  <c r="D7" i="40" s="1"/>
  <c r="D1" i="40" s="1"/>
  <c r="L97" i="40" l="1"/>
  <c r="D2" i="40"/>
  <c r="E4" i="38"/>
  <c r="E4" i="36"/>
  <c r="E4" i="8"/>
  <c r="E4" i="35"/>
  <c r="E4" i="42"/>
  <c r="E4" i="40"/>
  <c r="E4" i="41"/>
  <c r="K83" i="40"/>
  <c r="N83" i="40"/>
  <c r="K84" i="40"/>
  <c r="N84" i="40"/>
  <c r="K85" i="40"/>
  <c r="N85" i="40"/>
  <c r="K86" i="40"/>
  <c r="N86" i="40"/>
  <c r="K87" i="40"/>
  <c r="N87" i="40"/>
  <c r="K88" i="40"/>
  <c r="N88" i="40"/>
  <c r="K89" i="40"/>
  <c r="N89" i="40"/>
  <c r="K90" i="40"/>
  <c r="N90" i="40"/>
  <c r="K91" i="40"/>
  <c r="N91" i="40"/>
  <c r="K92" i="40"/>
  <c r="N92" i="40"/>
  <c r="K93" i="40"/>
  <c r="N93" i="40"/>
  <c r="K94" i="40"/>
  <c r="N94" i="40"/>
  <c r="K95" i="40"/>
  <c r="N95" i="40"/>
  <c r="K96" i="40"/>
  <c r="N96" i="40"/>
  <c r="J105" i="40"/>
  <c r="J104" i="40"/>
  <c r="J103" i="40"/>
  <c r="J102" i="40"/>
  <c r="J101" i="40"/>
  <c r="J100" i="40"/>
  <c r="J99" i="40"/>
  <c r="J98" i="40"/>
  <c r="L93" i="40" l="1"/>
  <c r="L91" i="40"/>
  <c r="L89" i="40"/>
  <c r="L87" i="40"/>
  <c r="L85" i="40"/>
  <c r="L83" i="40"/>
  <c r="L86" i="40"/>
  <c r="N98" i="40"/>
  <c r="N102" i="40"/>
  <c r="K103" i="40"/>
  <c r="N101" i="40"/>
  <c r="N105" i="40"/>
  <c r="L94" i="40"/>
  <c r="K99" i="40"/>
  <c r="L95" i="40"/>
  <c r="L90" i="40"/>
  <c r="L96" i="40"/>
  <c r="L92" i="40"/>
  <c r="L88" i="40"/>
  <c r="L84" i="40"/>
  <c r="K98" i="40"/>
  <c r="K102" i="40"/>
  <c r="N100" i="40"/>
  <c r="K101" i="40"/>
  <c r="N104" i="40"/>
  <c r="K105" i="40"/>
  <c r="N99" i="40"/>
  <c r="K100" i="40"/>
  <c r="N103" i="40"/>
  <c r="K104" i="40"/>
  <c r="J31" i="41"/>
  <c r="J30" i="41"/>
  <c r="J29" i="41"/>
  <c r="J28" i="41"/>
  <c r="N28" i="41"/>
  <c r="J27" i="41"/>
  <c r="J26" i="41"/>
  <c r="J25" i="41"/>
  <c r="J24" i="41"/>
  <c r="N24" i="41"/>
  <c r="J23" i="41"/>
  <c r="J22" i="41"/>
  <c r="J21" i="41"/>
  <c r="J20" i="41"/>
  <c r="N20" i="41"/>
  <c r="J19" i="41"/>
  <c r="J18" i="41"/>
  <c r="N13" i="42"/>
  <c r="J13" i="42"/>
  <c r="K13" i="42" s="1"/>
  <c r="N178" i="40"/>
  <c r="K178" i="40"/>
  <c r="J177" i="40"/>
  <c r="N176" i="40"/>
  <c r="K176" i="40"/>
  <c r="J175" i="40"/>
  <c r="N82" i="40"/>
  <c r="K82" i="40"/>
  <c r="N81" i="40"/>
  <c r="K81" i="40"/>
  <c r="N80" i="40"/>
  <c r="K80" i="40"/>
  <c r="N79" i="40"/>
  <c r="K79" i="40"/>
  <c r="N78" i="40"/>
  <c r="K78" i="40"/>
  <c r="N77" i="40"/>
  <c r="K77" i="40"/>
  <c r="N76" i="40"/>
  <c r="K76" i="40"/>
  <c r="N75" i="40"/>
  <c r="K75" i="40"/>
  <c r="N74" i="40"/>
  <c r="K74" i="40"/>
  <c r="N73" i="40"/>
  <c r="K73" i="40"/>
  <c r="N72" i="40"/>
  <c r="K72" i="40"/>
  <c r="N71" i="40"/>
  <c r="K71" i="40"/>
  <c r="N70" i="40"/>
  <c r="K70" i="40"/>
  <c r="N69" i="40"/>
  <c r="K69" i="40"/>
  <c r="N68" i="40"/>
  <c r="K68" i="40"/>
  <c r="N67" i="40"/>
  <c r="K67" i="40"/>
  <c r="N66" i="40"/>
  <c r="K66" i="40"/>
  <c r="N65" i="40"/>
  <c r="K65" i="40"/>
  <c r="N64" i="40"/>
  <c r="K64" i="40"/>
  <c r="N63" i="40"/>
  <c r="K63" i="40"/>
  <c r="N62" i="40"/>
  <c r="K62" i="40"/>
  <c r="N61" i="40"/>
  <c r="K61" i="40"/>
  <c r="N60" i="40"/>
  <c r="K60" i="40"/>
  <c r="N59" i="40"/>
  <c r="K59" i="40"/>
  <c r="N58" i="40"/>
  <c r="K58" i="40"/>
  <c r="N57" i="40"/>
  <c r="K57" i="40"/>
  <c r="N56" i="40"/>
  <c r="K56" i="40"/>
  <c r="N55" i="40"/>
  <c r="K55" i="40"/>
  <c r="N54" i="40"/>
  <c r="K54" i="40"/>
  <c r="N53" i="40"/>
  <c r="K53" i="40"/>
  <c r="N52" i="40"/>
  <c r="K52" i="40"/>
  <c r="N51" i="40"/>
  <c r="K51" i="40"/>
  <c r="N50" i="40"/>
  <c r="K50" i="40"/>
  <c r="N49" i="40"/>
  <c r="K49" i="40"/>
  <c r="N48" i="40"/>
  <c r="K48" i="40"/>
  <c r="N47" i="40"/>
  <c r="K47" i="40"/>
  <c r="N46" i="40"/>
  <c r="K46" i="40"/>
  <c r="N45" i="40"/>
  <c r="K45" i="40"/>
  <c r="N44" i="40"/>
  <c r="K44" i="40"/>
  <c r="N43" i="40"/>
  <c r="K43" i="40"/>
  <c r="N42" i="40"/>
  <c r="K42" i="40"/>
  <c r="N41" i="40"/>
  <c r="K41" i="40"/>
  <c r="N40" i="40"/>
  <c r="K40" i="40"/>
  <c r="N39" i="40"/>
  <c r="K39" i="40"/>
  <c r="N38" i="40"/>
  <c r="K38" i="40"/>
  <c r="N37" i="40"/>
  <c r="K37" i="40"/>
  <c r="N36" i="40"/>
  <c r="K36" i="40"/>
  <c r="N35" i="40"/>
  <c r="K35" i="40"/>
  <c r="N34" i="40"/>
  <c r="K34" i="40"/>
  <c r="N33" i="40"/>
  <c r="K33" i="40"/>
  <c r="N32" i="40"/>
  <c r="K32" i="40"/>
  <c r="N31" i="40"/>
  <c r="K31" i="40"/>
  <c r="N30" i="40"/>
  <c r="K30" i="40"/>
  <c r="N29" i="40"/>
  <c r="K29" i="40"/>
  <c r="N28" i="40"/>
  <c r="K28" i="40"/>
  <c r="N27" i="40"/>
  <c r="K27" i="40"/>
  <c r="N26" i="40"/>
  <c r="K26" i="40"/>
  <c r="N25" i="40"/>
  <c r="K25" i="40"/>
  <c r="N24" i="40"/>
  <c r="K24" i="40"/>
  <c r="L105" i="40" l="1"/>
  <c r="L98" i="40"/>
  <c r="L103" i="40"/>
  <c r="L102" i="40"/>
  <c r="L99" i="40"/>
  <c r="L101" i="40"/>
  <c r="L27" i="40"/>
  <c r="L29" i="40"/>
  <c r="L31" i="40"/>
  <c r="L33" i="40"/>
  <c r="L35" i="40"/>
  <c r="L37" i="40"/>
  <c r="L39" i="40"/>
  <c r="L43" i="40"/>
  <c r="L45" i="40"/>
  <c r="L47" i="40"/>
  <c r="L49" i="40"/>
  <c r="L51" i="40"/>
  <c r="L53" i="40"/>
  <c r="L55" i="40"/>
  <c r="L59" i="40"/>
  <c r="L75" i="40"/>
  <c r="L24" i="40"/>
  <c r="L44" i="40"/>
  <c r="L52" i="40"/>
  <c r="L56" i="40"/>
  <c r="L58" i="40"/>
  <c r="L60" i="40"/>
  <c r="L62" i="40"/>
  <c r="L68" i="40"/>
  <c r="L70" i="40"/>
  <c r="L72" i="40"/>
  <c r="L74" i="40"/>
  <c r="L76" i="40"/>
  <c r="L78" i="40"/>
  <c r="L77" i="40"/>
  <c r="L79" i="40"/>
  <c r="L81" i="40"/>
  <c r="N175" i="40"/>
  <c r="N177" i="40"/>
  <c r="L100" i="40"/>
  <c r="L104" i="40"/>
  <c r="L50" i="40"/>
  <c r="L28" i="40"/>
  <c r="L30" i="40"/>
  <c r="L36" i="40"/>
  <c r="L38" i="40"/>
  <c r="L40" i="40"/>
  <c r="L61" i="40"/>
  <c r="L63" i="40"/>
  <c r="L65" i="40"/>
  <c r="L67" i="40"/>
  <c r="L69" i="40"/>
  <c r="L71" i="40"/>
  <c r="L176" i="40"/>
  <c r="K177" i="40"/>
  <c r="L177" i="40" s="1"/>
  <c r="L25" i="40"/>
  <c r="L32" i="40"/>
  <c r="L41" i="40"/>
  <c r="L48" i="40"/>
  <c r="L57" i="40"/>
  <c r="L64" i="40"/>
  <c r="L66" i="40"/>
  <c r="L73" i="40"/>
  <c r="L80" i="40"/>
  <c r="L82" i="40"/>
  <c r="L178" i="40"/>
  <c r="L54" i="40"/>
  <c r="K20" i="41"/>
  <c r="K24" i="41"/>
  <c r="K28" i="41"/>
  <c r="N21" i="41"/>
  <c r="K22" i="41"/>
  <c r="N25" i="41"/>
  <c r="K26" i="41"/>
  <c r="N29" i="41"/>
  <c r="K30" i="41"/>
  <c r="L13" i="42"/>
  <c r="K21" i="41"/>
  <c r="K25" i="41"/>
  <c r="K29" i="41"/>
  <c r="N19" i="41"/>
  <c r="N23" i="41"/>
  <c r="N27" i="41"/>
  <c r="N31" i="41"/>
  <c r="N22" i="41"/>
  <c r="K23" i="41"/>
  <c r="N26" i="41"/>
  <c r="L26" i="41" s="1"/>
  <c r="K27" i="41"/>
  <c r="N30" i="41"/>
  <c r="K31" i="41"/>
  <c r="K175" i="40"/>
  <c r="L20" i="41"/>
  <c r="L24" i="41"/>
  <c r="L28" i="41"/>
  <c r="L23" i="41"/>
  <c r="K19" i="41"/>
  <c r="N18" i="41"/>
  <c r="K18" i="41"/>
  <c r="L34" i="40"/>
  <c r="L42" i="40"/>
  <c r="L46" i="40"/>
  <c r="L26" i="40"/>
  <c r="L25" i="41" l="1"/>
  <c r="L27" i="41"/>
  <c r="L19" i="41"/>
  <c r="L31" i="41"/>
  <c r="L175" i="40"/>
  <c r="L29" i="41"/>
  <c r="L21" i="41"/>
  <c r="L18" i="41"/>
  <c r="L30" i="41"/>
  <c r="L22" i="41"/>
  <c r="J39" i="42"/>
  <c r="N38" i="42"/>
  <c r="J37" i="42"/>
  <c r="J36" i="42"/>
  <c r="N36" i="42"/>
  <c r="J34" i="42"/>
  <c r="N34" i="42"/>
  <c r="J33" i="42"/>
  <c r="N33" i="42"/>
  <c r="J32" i="42"/>
  <c r="N32" i="42"/>
  <c r="J31" i="42"/>
  <c r="N31" i="42"/>
  <c r="J30" i="42"/>
  <c r="J29" i="42"/>
  <c r="N29" i="42"/>
  <c r="J28" i="42"/>
  <c r="K28" i="42" s="1"/>
  <c r="N28" i="42"/>
  <c r="M27" i="42"/>
  <c r="J27" i="42"/>
  <c r="G27" i="42"/>
  <c r="J26" i="42"/>
  <c r="N26" i="42"/>
  <c r="J25" i="42"/>
  <c r="K25" i="42" s="1"/>
  <c r="J24" i="42"/>
  <c r="J23" i="42"/>
  <c r="J22" i="42"/>
  <c r="J21" i="42"/>
  <c r="N21" i="42"/>
  <c r="J20" i="42"/>
  <c r="N20" i="42"/>
  <c r="J19" i="42"/>
  <c r="N19" i="42"/>
  <c r="M18" i="42"/>
  <c r="J18" i="42"/>
  <c r="G18" i="42"/>
  <c r="J17" i="42"/>
  <c r="J16" i="42"/>
  <c r="J15" i="42"/>
  <c r="J14" i="42"/>
  <c r="J12" i="42"/>
  <c r="J11" i="42"/>
  <c r="M10" i="42"/>
  <c r="J10" i="42"/>
  <c r="G10" i="42"/>
  <c r="J9" i="42"/>
  <c r="M8" i="42"/>
  <c r="J8" i="42"/>
  <c r="G8" i="42"/>
  <c r="N7" i="42"/>
  <c r="M6" i="42"/>
  <c r="J6" i="42"/>
  <c r="G6" i="42"/>
  <c r="B2" i="42"/>
  <c r="D7" i="42" s="1"/>
  <c r="D2" i="42" s="1"/>
  <c r="J49" i="41"/>
  <c r="J48" i="41"/>
  <c r="J47" i="41"/>
  <c r="J46" i="41"/>
  <c r="M45" i="41"/>
  <c r="J45" i="41"/>
  <c r="J44" i="41"/>
  <c r="J43" i="41"/>
  <c r="J42" i="41"/>
  <c r="J41" i="41"/>
  <c r="J40" i="41"/>
  <c r="J39" i="41"/>
  <c r="J38" i="41"/>
  <c r="J37" i="41"/>
  <c r="J36" i="41"/>
  <c r="J35" i="41"/>
  <c r="J34" i="41"/>
  <c r="J33" i="41"/>
  <c r="M32" i="41"/>
  <c r="J32" i="41"/>
  <c r="N17" i="41"/>
  <c r="K17" i="41"/>
  <c r="J16" i="41"/>
  <c r="J15" i="41"/>
  <c r="J14" i="41"/>
  <c r="J13" i="41"/>
  <c r="J12" i="41"/>
  <c r="J11" i="41"/>
  <c r="J10" i="41"/>
  <c r="J9" i="41"/>
  <c r="M8" i="41"/>
  <c r="J8" i="41"/>
  <c r="M6" i="41"/>
  <c r="J6" i="41"/>
  <c r="G6" i="41"/>
  <c r="B2" i="41"/>
  <c r="D7" i="41" s="1"/>
  <c r="J174" i="40"/>
  <c r="J173" i="40"/>
  <c r="J172" i="40"/>
  <c r="J171" i="40"/>
  <c r="J170" i="40"/>
  <c r="J169" i="40"/>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23" i="40"/>
  <c r="J22" i="40"/>
  <c r="J21" i="40"/>
  <c r="J20" i="40"/>
  <c r="J19" i="40"/>
  <c r="J18" i="40"/>
  <c r="J17" i="40"/>
  <c r="J16" i="40"/>
  <c r="J15" i="40"/>
  <c r="J14" i="40"/>
  <c r="J13" i="40"/>
  <c r="J12" i="40"/>
  <c r="J11" i="40"/>
  <c r="J10" i="40"/>
  <c r="N9" i="40"/>
  <c r="K9" i="40"/>
  <c r="J6" i="40"/>
  <c r="G6" i="40"/>
  <c r="L9" i="40" l="1"/>
  <c r="L28" i="42"/>
  <c r="N158" i="40"/>
  <c r="N133" i="40"/>
  <c r="N165" i="40"/>
  <c r="K10" i="42"/>
  <c r="K15" i="42"/>
  <c r="K27" i="42"/>
  <c r="K34" i="42"/>
  <c r="L34" i="42" s="1"/>
  <c r="K39" i="42"/>
  <c r="N8" i="42"/>
  <c r="N12" i="42"/>
  <c r="K18" i="42"/>
  <c r="K23" i="42"/>
  <c r="K19" i="42"/>
  <c r="L19" i="42" s="1"/>
  <c r="K6" i="42"/>
  <c r="K9" i="42"/>
  <c r="K14" i="42"/>
  <c r="N17" i="42"/>
  <c r="N22" i="42"/>
  <c r="N24" i="42"/>
  <c r="N6" i="42"/>
  <c r="K8" i="42"/>
  <c r="L8" i="42" s="1"/>
  <c r="N16" i="42"/>
  <c r="K10" i="41"/>
  <c r="N13" i="41"/>
  <c r="K14" i="41"/>
  <c r="N34" i="41"/>
  <c r="K35" i="41"/>
  <c r="N38" i="41"/>
  <c r="K39" i="41"/>
  <c r="N42" i="41"/>
  <c r="K43" i="41"/>
  <c r="K47" i="41"/>
  <c r="K146" i="40"/>
  <c r="K150" i="40"/>
  <c r="K13" i="40"/>
  <c r="K17" i="40"/>
  <c r="N135" i="40"/>
  <c r="N139" i="40"/>
  <c r="N147" i="40"/>
  <c r="K12" i="42"/>
  <c r="K29" i="42"/>
  <c r="L29" i="42" s="1"/>
  <c r="K11" i="42"/>
  <c r="N15" i="42"/>
  <c r="K16" i="42"/>
  <c r="N25" i="42"/>
  <c r="K33" i="42"/>
  <c r="L33" i="42" s="1"/>
  <c r="K17" i="42"/>
  <c r="N14" i="42"/>
  <c r="N23" i="42"/>
  <c r="L25" i="42"/>
  <c r="N27" i="42"/>
  <c r="N144" i="40"/>
  <c r="K149" i="40"/>
  <c r="N152" i="40"/>
  <c r="K151" i="40"/>
  <c r="N171" i="40"/>
  <c r="N149" i="40"/>
  <c r="N155" i="40"/>
  <c r="N157" i="40"/>
  <c r="N48" i="41"/>
  <c r="K49" i="41"/>
  <c r="N47" i="41"/>
  <c r="N9" i="41"/>
  <c r="N46" i="41"/>
  <c r="N8" i="41"/>
  <c r="N12" i="41"/>
  <c r="N16" i="41"/>
  <c r="N33" i="41"/>
  <c r="N37" i="41"/>
  <c r="N41" i="41"/>
  <c r="N45" i="41"/>
  <c r="N49" i="41"/>
  <c r="N18" i="42"/>
  <c r="K22" i="42"/>
  <c r="K24" i="42"/>
  <c r="N9" i="42"/>
  <c r="N10" i="42"/>
  <c r="N11" i="42"/>
  <c r="K26" i="42"/>
  <c r="L26" i="42" s="1"/>
  <c r="K32" i="42"/>
  <c r="L32" i="42" s="1"/>
  <c r="N37" i="42"/>
  <c r="N39" i="42"/>
  <c r="K21" i="40"/>
  <c r="K135" i="40"/>
  <c r="K140" i="40"/>
  <c r="K144" i="40"/>
  <c r="K162" i="40"/>
  <c r="K167" i="40"/>
  <c r="K172" i="40"/>
  <c r="K11" i="40"/>
  <c r="K15" i="40"/>
  <c r="N19" i="40"/>
  <c r="K20" i="40"/>
  <c r="K133" i="40"/>
  <c r="K134" i="40"/>
  <c r="N137" i="40"/>
  <c r="N142" i="40"/>
  <c r="N151" i="40"/>
  <c r="K165" i="40"/>
  <c r="K166" i="40"/>
  <c r="N169" i="40"/>
  <c r="N174" i="40"/>
  <c r="N18" i="40"/>
  <c r="N141" i="40"/>
  <c r="N145" i="40"/>
  <c r="K156" i="40"/>
  <c r="N159" i="40"/>
  <c r="K160" i="40"/>
  <c r="N163" i="40"/>
  <c r="N173" i="40"/>
  <c r="N23" i="40"/>
  <c r="N136" i="40"/>
  <c r="N143" i="40"/>
  <c r="N161" i="40"/>
  <c r="N168" i="40"/>
  <c r="K6" i="40"/>
  <c r="K12" i="40"/>
  <c r="K16" i="40"/>
  <c r="N20" i="40"/>
  <c r="N21" i="40"/>
  <c r="N22" i="40"/>
  <c r="N134" i="40"/>
  <c r="K136" i="40"/>
  <c r="K141" i="40"/>
  <c r="L141" i="40" s="1"/>
  <c r="K142" i="40"/>
  <c r="K143" i="40"/>
  <c r="K148" i="40"/>
  <c r="N153" i="40"/>
  <c r="K154" i="40"/>
  <c r="N160" i="40"/>
  <c r="N166" i="40"/>
  <c r="N167" i="40"/>
  <c r="K168" i="40"/>
  <c r="K173" i="40"/>
  <c r="L173" i="40" s="1"/>
  <c r="K174" i="40"/>
  <c r="K10" i="40"/>
  <c r="K14" i="40"/>
  <c r="K138" i="40"/>
  <c r="N150" i="40"/>
  <c r="K152" i="40"/>
  <c r="K157" i="40"/>
  <c r="K158" i="40"/>
  <c r="K159" i="40"/>
  <c r="K164" i="40"/>
  <c r="K170" i="40"/>
  <c r="K20" i="42"/>
  <c r="L20" i="42" s="1"/>
  <c r="K21" i="42"/>
  <c r="L21" i="42" s="1"/>
  <c r="K37" i="42"/>
  <c r="J7" i="42"/>
  <c r="K7" i="42" s="1"/>
  <c r="D1" i="42"/>
  <c r="N30" i="42"/>
  <c r="K31" i="42"/>
  <c r="L31" i="42" s="1"/>
  <c r="K36" i="42"/>
  <c r="L36" i="42" s="1"/>
  <c r="K30" i="42"/>
  <c r="D1" i="41"/>
  <c r="J7" i="41"/>
  <c r="K7" i="41" s="1"/>
  <c r="D2" i="41"/>
  <c r="K9" i="41"/>
  <c r="K13" i="41"/>
  <c r="K34" i="41"/>
  <c r="K38" i="41"/>
  <c r="K42" i="41"/>
  <c r="K46" i="41"/>
  <c r="K8" i="41"/>
  <c r="L8" i="41" s="1"/>
  <c r="N11" i="41"/>
  <c r="K12" i="41"/>
  <c r="N15" i="41"/>
  <c r="K16" i="41"/>
  <c r="N32" i="41"/>
  <c r="K33" i="41"/>
  <c r="N36" i="41"/>
  <c r="K37" i="41"/>
  <c r="N40" i="41"/>
  <c r="K41" i="41"/>
  <c r="N44" i="41"/>
  <c r="K45" i="41"/>
  <c r="N7" i="41"/>
  <c r="N10" i="41"/>
  <c r="K11" i="41"/>
  <c r="N14" i="41"/>
  <c r="K15" i="41"/>
  <c r="K32" i="41"/>
  <c r="N35" i="41"/>
  <c r="K36" i="41"/>
  <c r="N39" i="41"/>
  <c r="L39" i="41" s="1"/>
  <c r="K40" i="41"/>
  <c r="N43" i="41"/>
  <c r="K44" i="41"/>
  <c r="K48" i="41"/>
  <c r="J7" i="40"/>
  <c r="K7" i="40" s="1"/>
  <c r="K110" i="40"/>
  <c r="N110" i="40"/>
  <c r="K118" i="40"/>
  <c r="N118" i="40"/>
  <c r="K122" i="40"/>
  <c r="N122" i="40"/>
  <c r="K126" i="40"/>
  <c r="N126" i="40"/>
  <c r="K130" i="40"/>
  <c r="N130" i="40"/>
  <c r="K106" i="40"/>
  <c r="N106" i="40"/>
  <c r="K114" i="40"/>
  <c r="N114" i="40"/>
  <c r="N6" i="40"/>
  <c r="N10" i="40"/>
  <c r="N11" i="40"/>
  <c r="N12" i="40"/>
  <c r="N13" i="40"/>
  <c r="N14" i="40"/>
  <c r="N15" i="40"/>
  <c r="N16" i="40"/>
  <c r="N17" i="40"/>
  <c r="K19" i="40"/>
  <c r="K23" i="40"/>
  <c r="K108" i="40"/>
  <c r="N108" i="40"/>
  <c r="K112" i="40"/>
  <c r="N112" i="40"/>
  <c r="K116" i="40"/>
  <c r="N116" i="40"/>
  <c r="K120" i="40"/>
  <c r="N120" i="40"/>
  <c r="K124" i="40"/>
  <c r="N124" i="40"/>
  <c r="K128" i="40"/>
  <c r="N128" i="40"/>
  <c r="K132" i="40"/>
  <c r="N132" i="40"/>
  <c r="K139" i="40"/>
  <c r="N140" i="40"/>
  <c r="K147" i="40"/>
  <c r="N148" i="40"/>
  <c r="K155" i="40"/>
  <c r="N156" i="40"/>
  <c r="K163" i="40"/>
  <c r="N164" i="40"/>
  <c r="K171" i="40"/>
  <c r="N172" i="40"/>
  <c r="K107" i="40"/>
  <c r="N107" i="40"/>
  <c r="K111" i="40"/>
  <c r="N111" i="40"/>
  <c r="K115" i="40"/>
  <c r="N115" i="40"/>
  <c r="K119" i="40"/>
  <c r="N119" i="40"/>
  <c r="K123" i="40"/>
  <c r="N123" i="40"/>
  <c r="K127" i="40"/>
  <c r="N127" i="40"/>
  <c r="K131" i="40"/>
  <c r="N131" i="40"/>
  <c r="K137" i="40"/>
  <c r="N138" i="40"/>
  <c r="K145" i="40"/>
  <c r="N146" i="40"/>
  <c r="K153" i="40"/>
  <c r="N154" i="40"/>
  <c r="K161" i="40"/>
  <c r="N162" i="40"/>
  <c r="K169" i="40"/>
  <c r="N170" i="40"/>
  <c r="K18" i="40"/>
  <c r="K22" i="40"/>
  <c r="K109" i="40"/>
  <c r="N109" i="40"/>
  <c r="K113" i="40"/>
  <c r="N113" i="40"/>
  <c r="K117" i="40"/>
  <c r="N117" i="40"/>
  <c r="K121" i="40"/>
  <c r="N121" i="40"/>
  <c r="K125" i="40"/>
  <c r="N125" i="40"/>
  <c r="K129" i="40"/>
  <c r="N129" i="40"/>
  <c r="L23" i="42" l="1"/>
  <c r="L15" i="42"/>
  <c r="L6" i="42"/>
  <c r="L10" i="42"/>
  <c r="L38" i="41"/>
  <c r="L135" i="40"/>
  <c r="L11" i="40"/>
  <c r="L30" i="42"/>
  <c r="L39" i="42"/>
  <c r="L27" i="42"/>
  <c r="L42" i="41"/>
  <c r="L22" i="42"/>
  <c r="L17" i="42"/>
  <c r="L37" i="42"/>
  <c r="L14" i="42"/>
  <c r="L16" i="42"/>
  <c r="L12" i="42"/>
  <c r="L47" i="41"/>
  <c r="L37" i="41"/>
  <c r="L6" i="40"/>
  <c r="L18" i="40"/>
  <c r="L159" i="40"/>
  <c r="L150" i="40"/>
  <c r="L167" i="40"/>
  <c r="L161" i="40"/>
  <c r="L158" i="40"/>
  <c r="L171" i="40"/>
  <c r="L144" i="40"/>
  <c r="L157" i="40"/>
  <c r="L166" i="40"/>
  <c r="L165" i="40"/>
  <c r="L149" i="40"/>
  <c r="L169" i="40"/>
  <c r="L153" i="40"/>
  <c r="L137" i="40"/>
  <c r="L160" i="40"/>
  <c r="L134" i="40"/>
  <c r="L151" i="40"/>
  <c r="L133" i="40"/>
  <c r="L18" i="42"/>
  <c r="L9" i="42"/>
  <c r="L11" i="42"/>
  <c r="L24" i="42"/>
  <c r="L45" i="41"/>
  <c r="L16" i="41"/>
  <c r="L34" i="41"/>
  <c r="L13" i="41"/>
  <c r="L49" i="41"/>
  <c r="L143" i="40"/>
  <c r="L139" i="40"/>
  <c r="L21" i="40"/>
  <c r="L147" i="40"/>
  <c r="L48" i="41"/>
  <c r="L22" i="40"/>
  <c r="L155" i="40"/>
  <c r="L163" i="40"/>
  <c r="L152" i="40"/>
  <c r="L20" i="40"/>
  <c r="L168" i="40"/>
  <c r="L44" i="41"/>
  <c r="L36" i="41"/>
  <c r="L46" i="41"/>
  <c r="L15" i="41"/>
  <c r="L41" i="41"/>
  <c r="L33" i="41"/>
  <c r="L12" i="41"/>
  <c r="L9" i="41"/>
  <c r="L11" i="41"/>
  <c r="L136" i="40"/>
  <c r="L145" i="40"/>
  <c r="L123" i="40"/>
  <c r="L115" i="40"/>
  <c r="L107" i="40"/>
  <c r="L14" i="40"/>
  <c r="L174" i="40"/>
  <c r="L131" i="40"/>
  <c r="L19" i="40"/>
  <c r="L142" i="40"/>
  <c r="L128" i="40"/>
  <c r="L120" i="40"/>
  <c r="L112" i="40"/>
  <c r="L106" i="40"/>
  <c r="L126" i="40"/>
  <c r="L118" i="40"/>
  <c r="L129" i="40"/>
  <c r="L121" i="40"/>
  <c r="L113" i="40"/>
  <c r="L23" i="40"/>
  <c r="N2" i="42"/>
  <c r="O13" i="42" s="1"/>
  <c r="L7" i="42"/>
  <c r="K2" i="42"/>
  <c r="L14" i="41"/>
  <c r="L40" i="41"/>
  <c r="L32" i="41"/>
  <c r="L43" i="41"/>
  <c r="L35" i="41"/>
  <c r="L10" i="41"/>
  <c r="N2" i="41"/>
  <c r="L7" i="41"/>
  <c r="K2" i="41"/>
  <c r="L146" i="40"/>
  <c r="L156" i="40"/>
  <c r="L13" i="40"/>
  <c r="L154" i="40"/>
  <c r="L127" i="40"/>
  <c r="L119" i="40"/>
  <c r="L111" i="40"/>
  <c r="L164" i="40"/>
  <c r="L130" i="40"/>
  <c r="L122" i="40"/>
  <c r="L110" i="40"/>
  <c r="L10" i="40"/>
  <c r="K2" i="40"/>
  <c r="L16" i="40"/>
  <c r="L125" i="40"/>
  <c r="L117" i="40"/>
  <c r="L109" i="40"/>
  <c r="L162" i="40"/>
  <c r="L172" i="40"/>
  <c r="L140" i="40"/>
  <c r="L132" i="40"/>
  <c r="L124" i="40"/>
  <c r="L116" i="40"/>
  <c r="L108" i="40"/>
  <c r="L114" i="40"/>
  <c r="L15" i="40"/>
  <c r="L12" i="40"/>
  <c r="L170" i="40"/>
  <c r="L138" i="40"/>
  <c r="L148" i="40"/>
  <c r="L17" i="40"/>
  <c r="O20" i="41" l="1"/>
  <c r="O23" i="41"/>
  <c r="O31" i="41"/>
  <c r="O29" i="41"/>
  <c r="O24" i="41"/>
  <c r="O22" i="41"/>
  <c r="O30" i="41"/>
  <c r="O25" i="41"/>
  <c r="O28" i="41"/>
  <c r="O27" i="41"/>
  <c r="O26" i="41"/>
  <c r="O21" i="41"/>
  <c r="O18" i="41"/>
  <c r="O19" i="41"/>
  <c r="L2" i="42"/>
  <c r="O26" i="42"/>
  <c r="O15" i="42"/>
  <c r="O10" i="42"/>
  <c r="O21" i="42"/>
  <c r="O12" i="42"/>
  <c r="O16" i="42"/>
  <c r="O24" i="42"/>
  <c r="O37" i="42"/>
  <c r="O36" i="42"/>
  <c r="O25" i="42"/>
  <c r="O19" i="42"/>
  <c r="O33" i="42"/>
  <c r="O32" i="42"/>
  <c r="O22" i="42"/>
  <c r="O17" i="42"/>
  <c r="O27" i="42"/>
  <c r="O28" i="42"/>
  <c r="O34" i="42"/>
  <c r="O9" i="42"/>
  <c r="O39" i="42"/>
  <c r="O20" i="42"/>
  <c r="O31" i="42"/>
  <c r="O29" i="42"/>
  <c r="O8" i="42"/>
  <c r="O11" i="42"/>
  <c r="O14" i="42"/>
  <c r="O23" i="42"/>
  <c r="O18" i="42"/>
  <c r="O7" i="42"/>
  <c r="O30" i="42"/>
  <c r="O9" i="41"/>
  <c r="O34" i="41"/>
  <c r="O42" i="41"/>
  <c r="O12" i="41"/>
  <c r="O33" i="41"/>
  <c r="O41" i="41"/>
  <c r="O49" i="41"/>
  <c r="O47" i="41"/>
  <c r="O13" i="41"/>
  <c r="O38" i="41"/>
  <c r="O46" i="41"/>
  <c r="O8" i="41"/>
  <c r="O16" i="41"/>
  <c r="O37" i="41"/>
  <c r="O45" i="41"/>
  <c r="O48" i="41"/>
  <c r="O17" i="41"/>
  <c r="O35" i="41"/>
  <c r="O15" i="41"/>
  <c r="O7" i="41"/>
  <c r="O11" i="41"/>
  <c r="O43" i="41"/>
  <c r="O36" i="41"/>
  <c r="O39" i="41"/>
  <c r="O10" i="41"/>
  <c r="O32" i="41"/>
  <c r="L2" i="41"/>
  <c r="O44" i="41"/>
  <c r="O40" i="41"/>
  <c r="O14" i="41"/>
  <c r="O2" i="42" l="1"/>
  <c r="P2" i="42"/>
  <c r="P2" i="41"/>
  <c r="O2" i="41"/>
  <c r="J20" i="38" l="1"/>
  <c r="M20" i="38"/>
  <c r="J21" i="38"/>
  <c r="K21" i="38" s="1"/>
  <c r="M21" i="38"/>
  <c r="N21" i="38" s="1"/>
  <c r="J18" i="38"/>
  <c r="M18" i="38"/>
  <c r="J19" i="38"/>
  <c r="K19" i="38" s="1"/>
  <c r="M19" i="38"/>
  <c r="L21" i="38" l="1"/>
  <c r="K18" i="38"/>
  <c r="N20" i="38"/>
  <c r="N18" i="38"/>
  <c r="K20" i="38"/>
  <c r="N19" i="38"/>
  <c r="L19" i="38" s="1"/>
  <c r="M22" i="39"/>
  <c r="J22" i="39"/>
  <c r="G22" i="39"/>
  <c r="M17" i="39"/>
  <c r="J17" i="39"/>
  <c r="G17" i="39"/>
  <c r="M81" i="38"/>
  <c r="J81" i="38"/>
  <c r="M79" i="38"/>
  <c r="J79" i="38"/>
  <c r="M77" i="38"/>
  <c r="J77" i="38"/>
  <c r="M75" i="38"/>
  <c r="J75" i="38"/>
  <c r="M72" i="38"/>
  <c r="J72" i="38"/>
  <c r="M70" i="38"/>
  <c r="J70" i="38"/>
  <c r="M59" i="38"/>
  <c r="J59" i="38"/>
  <c r="M63" i="38"/>
  <c r="J63" i="38"/>
  <c r="M53" i="38"/>
  <c r="J53" i="38"/>
  <c r="M43" i="38"/>
  <c r="J43" i="38"/>
  <c r="M38" i="38"/>
  <c r="J38" i="38"/>
  <c r="M32" i="38"/>
  <c r="J32" i="38"/>
  <c r="M30" i="38"/>
  <c r="J30" i="38"/>
  <c r="J31" i="38"/>
  <c r="K31" i="38" s="1"/>
  <c r="M31" i="38"/>
  <c r="J19" i="36"/>
  <c r="N19" i="36"/>
  <c r="J16" i="36"/>
  <c r="K16" i="36" s="1"/>
  <c r="N16" i="36"/>
  <c r="J22" i="35"/>
  <c r="J20" i="35"/>
  <c r="J18" i="35"/>
  <c r="J16" i="35"/>
  <c r="N18" i="36"/>
  <c r="K18" i="36"/>
  <c r="N15" i="36"/>
  <c r="K15" i="36"/>
  <c r="N14" i="36"/>
  <c r="K14" i="36"/>
  <c r="N13" i="36"/>
  <c r="K13" i="36"/>
  <c r="N12" i="36"/>
  <c r="K12" i="36"/>
  <c r="N11" i="36"/>
  <c r="K11" i="36"/>
  <c r="N9" i="36"/>
  <c r="K9" i="36"/>
  <c r="J10" i="36"/>
  <c r="K10" i="36" s="1"/>
  <c r="N13" i="8"/>
  <c r="K13" i="8"/>
  <c r="N12" i="8"/>
  <c r="K12" i="8"/>
  <c r="N11" i="8"/>
  <c r="K11" i="8"/>
  <c r="N10" i="8"/>
  <c r="K10" i="8"/>
  <c r="N9" i="8"/>
  <c r="K9" i="8"/>
  <c r="N20" i="8"/>
  <c r="K20" i="8"/>
  <c r="N19" i="8"/>
  <c r="K19" i="8"/>
  <c r="N18" i="8"/>
  <c r="K18" i="8"/>
  <c r="N17" i="8"/>
  <c r="K17" i="8"/>
  <c r="N16" i="8"/>
  <c r="K16" i="8"/>
  <c r="N15" i="8"/>
  <c r="K15" i="8"/>
  <c r="B2" i="35"/>
  <c r="N21" i="35"/>
  <c r="K21" i="35"/>
  <c r="N19" i="35"/>
  <c r="K19" i="35"/>
  <c r="N17" i="35"/>
  <c r="K17" i="35"/>
  <c r="N15" i="35"/>
  <c r="K15" i="35"/>
  <c r="N13" i="35"/>
  <c r="K13" i="35"/>
  <c r="N11" i="35"/>
  <c r="K11" i="35"/>
  <c r="N10" i="35"/>
  <c r="K10" i="35"/>
  <c r="N9" i="35"/>
  <c r="K9" i="35"/>
  <c r="M22" i="38"/>
  <c r="J22" i="38"/>
  <c r="J12" i="35"/>
  <c r="N12" i="35"/>
  <c r="N17" i="39" l="1"/>
  <c r="K22" i="39"/>
  <c r="L20" i="38"/>
  <c r="L11" i="36"/>
  <c r="L13" i="36"/>
  <c r="L15" i="36"/>
  <c r="L15" i="35"/>
  <c r="L19" i="35"/>
  <c r="L9" i="35"/>
  <c r="L11" i="35"/>
  <c r="L18" i="38"/>
  <c r="L18" i="36"/>
  <c r="L9" i="36"/>
  <c r="L12" i="36"/>
  <c r="L14" i="36"/>
  <c r="L9" i="8"/>
  <c r="L13" i="8"/>
  <c r="L21" i="35"/>
  <c r="L10" i="35"/>
  <c r="L13" i="35"/>
  <c r="N22" i="39"/>
  <c r="K19" i="36"/>
  <c r="N10" i="36"/>
  <c r="L10" i="36" s="1"/>
  <c r="L16" i="8"/>
  <c r="L20" i="8"/>
  <c r="L10" i="8"/>
  <c r="L12" i="8"/>
  <c r="L15" i="8"/>
  <c r="L17" i="8"/>
  <c r="L19" i="8"/>
  <c r="L18" i="8"/>
  <c r="L11" i="8"/>
  <c r="N20" i="35"/>
  <c r="K22" i="35"/>
  <c r="L17" i="35"/>
  <c r="N18" i="35"/>
  <c r="K17" i="39"/>
  <c r="L17" i="39" s="1"/>
  <c r="L16" i="36"/>
  <c r="N16" i="35"/>
  <c r="K20" i="35"/>
  <c r="K12" i="35"/>
  <c r="L12" i="35" s="1"/>
  <c r="K16" i="35"/>
  <c r="N22" i="35"/>
  <c r="N22" i="38"/>
  <c r="N43" i="38"/>
  <c r="N70" i="38"/>
  <c r="N79" i="38"/>
  <c r="N30" i="38"/>
  <c r="K32" i="38"/>
  <c r="N53" i="38"/>
  <c r="K63" i="38"/>
  <c r="N72" i="38"/>
  <c r="K75" i="38"/>
  <c r="N81" i="38"/>
  <c r="N38" i="38"/>
  <c r="K43" i="38"/>
  <c r="N59" i="38"/>
  <c r="K70" i="38"/>
  <c r="L70" i="38" s="1"/>
  <c r="N77" i="38"/>
  <c r="K79" i="38"/>
  <c r="N31" i="38"/>
  <c r="L31" i="38" s="1"/>
  <c r="N32" i="38"/>
  <c r="K38" i="38"/>
  <c r="L38" i="38" s="1"/>
  <c r="N63" i="38"/>
  <c r="K59" i="38"/>
  <c r="L59" i="38" s="1"/>
  <c r="N75" i="38"/>
  <c r="K77" i="38"/>
  <c r="L77" i="38" s="1"/>
  <c r="K22" i="38"/>
  <c r="L22" i="38" s="1"/>
  <c r="K30" i="38"/>
  <c r="K53" i="38"/>
  <c r="L53" i="38" s="1"/>
  <c r="K72" i="38"/>
  <c r="K81" i="38"/>
  <c r="K18" i="35"/>
  <c r="L19" i="36"/>
  <c r="M14" i="8"/>
  <c r="J14" i="8"/>
  <c r="G14" i="8"/>
  <c r="M8" i="8"/>
  <c r="J8" i="8"/>
  <c r="G8" i="8"/>
  <c r="M7" i="8"/>
  <c r="L22" i="35" l="1"/>
  <c r="L22" i="39"/>
  <c r="L20" i="35"/>
  <c r="L30" i="38"/>
  <c r="K14" i="8"/>
  <c r="N7" i="8"/>
  <c r="K8" i="8"/>
  <c r="L16" i="35"/>
  <c r="L18" i="35"/>
  <c r="L75" i="38"/>
  <c r="N14" i="8"/>
  <c r="N8" i="8"/>
  <c r="L32" i="38"/>
  <c r="L81" i="38"/>
  <c r="L72" i="38"/>
  <c r="L63" i="38"/>
  <c r="L79" i="38"/>
  <c r="L43" i="38"/>
  <c r="B2" i="8"/>
  <c r="D7" i="8" s="1"/>
  <c r="J7" i="8" s="1"/>
  <c r="K7" i="8" s="1"/>
  <c r="G17" i="36"/>
  <c r="G8" i="36"/>
  <c r="J17" i="36"/>
  <c r="M17" i="36"/>
  <c r="M8" i="36"/>
  <c r="B2" i="36"/>
  <c r="D7" i="36" s="1"/>
  <c r="D2" i="36" s="1"/>
  <c r="J9" i="39"/>
  <c r="K9" i="39" s="1"/>
  <c r="G31" i="39"/>
  <c r="G29" i="39"/>
  <c r="G27" i="39"/>
  <c r="G25" i="39"/>
  <c r="G24" i="39"/>
  <c r="G23" i="39"/>
  <c r="G21" i="39"/>
  <c r="G19" i="39"/>
  <c r="G18" i="39"/>
  <c r="G16" i="39"/>
  <c r="G15" i="39"/>
  <c r="G14" i="39"/>
  <c r="G12" i="39"/>
  <c r="J31" i="39"/>
  <c r="J29" i="39"/>
  <c r="J27" i="39"/>
  <c r="J25" i="39"/>
  <c r="J24" i="39"/>
  <c r="J23" i="39"/>
  <c r="J21" i="39"/>
  <c r="J19" i="39"/>
  <c r="J18" i="39"/>
  <c r="J16" i="39"/>
  <c r="J15" i="39"/>
  <c r="J14" i="39"/>
  <c r="J12" i="39"/>
  <c r="J11" i="39"/>
  <c r="M31" i="39"/>
  <c r="M29" i="39"/>
  <c r="M27" i="39"/>
  <c r="M25" i="39"/>
  <c r="M24" i="39"/>
  <c r="M23" i="39"/>
  <c r="M21" i="39"/>
  <c r="M19" i="39"/>
  <c r="M18" i="39"/>
  <c r="M16" i="39"/>
  <c r="M15" i="39"/>
  <c r="M14" i="39"/>
  <c r="M12" i="39"/>
  <c r="M11" i="39"/>
  <c r="M9" i="39"/>
  <c r="J80" i="38"/>
  <c r="J78" i="38"/>
  <c r="J76" i="38"/>
  <c r="K76" i="38" s="1"/>
  <c r="J74" i="38"/>
  <c r="J71" i="38"/>
  <c r="J69" i="38"/>
  <c r="J68" i="38"/>
  <c r="J66" i="38"/>
  <c r="J65" i="38"/>
  <c r="K65" i="38" s="1"/>
  <c r="J62" i="38"/>
  <c r="J61" i="38"/>
  <c r="K61" i="38" s="1"/>
  <c r="J58" i="38"/>
  <c r="J57" i="38"/>
  <c r="J55" i="38"/>
  <c r="J54" i="38"/>
  <c r="J52" i="38"/>
  <c r="J51" i="38"/>
  <c r="J50" i="38"/>
  <c r="J49" i="38"/>
  <c r="J48" i="38"/>
  <c r="J47" i="38"/>
  <c r="J45" i="38"/>
  <c r="K45" i="38" s="1"/>
  <c r="J44" i="38"/>
  <c r="K44" i="38" s="1"/>
  <c r="J42" i="38"/>
  <c r="J41" i="38"/>
  <c r="K41" i="38" s="1"/>
  <c r="J40" i="38"/>
  <c r="K40" i="38" s="1"/>
  <c r="J37" i="38"/>
  <c r="K37" i="38" s="1"/>
  <c r="J36" i="38"/>
  <c r="J35" i="38"/>
  <c r="J34" i="38"/>
  <c r="J29" i="38"/>
  <c r="K29" i="38" s="1"/>
  <c r="J28" i="38"/>
  <c r="J27" i="38"/>
  <c r="J26" i="38"/>
  <c r="J25" i="38"/>
  <c r="J24" i="38"/>
  <c r="J17" i="38"/>
  <c r="J15" i="38"/>
  <c r="K15" i="38" s="1"/>
  <c r="J14" i="38"/>
  <c r="J13" i="38"/>
  <c r="J12" i="38"/>
  <c r="J11" i="38"/>
  <c r="K11" i="38" s="1"/>
  <c r="J10" i="38"/>
  <c r="J9" i="38"/>
  <c r="K17" i="38"/>
  <c r="M80" i="38"/>
  <c r="M78" i="38"/>
  <c r="M76" i="38"/>
  <c r="M74" i="38"/>
  <c r="M71" i="38"/>
  <c r="M69" i="38"/>
  <c r="M68" i="38"/>
  <c r="M66" i="38"/>
  <c r="M65" i="38"/>
  <c r="M62" i="38"/>
  <c r="M61" i="38"/>
  <c r="M58" i="38"/>
  <c r="M57" i="38"/>
  <c r="M55" i="38"/>
  <c r="M54" i="38"/>
  <c r="M52" i="38"/>
  <c r="M51" i="38"/>
  <c r="M50" i="38"/>
  <c r="M49" i="38"/>
  <c r="M48" i="38"/>
  <c r="M47" i="38"/>
  <c r="M45" i="38"/>
  <c r="M44" i="38"/>
  <c r="M42" i="38"/>
  <c r="M41" i="38"/>
  <c r="M40" i="38"/>
  <c r="M37" i="38"/>
  <c r="M36" i="38"/>
  <c r="M35" i="38"/>
  <c r="M34" i="38"/>
  <c r="M29" i="38"/>
  <c r="M28" i="38"/>
  <c r="M27" i="38"/>
  <c r="M26" i="38"/>
  <c r="M25" i="38"/>
  <c r="M24" i="38"/>
  <c r="M17" i="38"/>
  <c r="M15" i="38"/>
  <c r="M14" i="38"/>
  <c r="M13" i="38"/>
  <c r="M12" i="38"/>
  <c r="M11" i="38"/>
  <c r="N11" i="38" s="1"/>
  <c r="M10" i="38"/>
  <c r="M9" i="38"/>
  <c r="M8" i="38"/>
  <c r="K8" i="38" s="1"/>
  <c r="B2" i="39"/>
  <c r="D7" i="39" s="1"/>
  <c r="M7" i="39"/>
  <c r="B2" i="38"/>
  <c r="D7" i="38" s="1"/>
  <c r="M7" i="38"/>
  <c r="M7" i="36"/>
  <c r="G7" i="36"/>
  <c r="M7" i="35"/>
  <c r="G7" i="35"/>
  <c r="N7" i="35" s="1"/>
  <c r="D7" i="35"/>
  <c r="K18" i="39" l="1"/>
  <c r="K31" i="39"/>
  <c r="K14" i="39"/>
  <c r="K19" i="39"/>
  <c r="K25" i="39"/>
  <c r="K29" i="39"/>
  <c r="K21" i="39"/>
  <c r="N15" i="39"/>
  <c r="L14" i="8"/>
  <c r="K27" i="39"/>
  <c r="N23" i="39"/>
  <c r="K11" i="39"/>
  <c r="K23" i="39"/>
  <c r="N18" i="39"/>
  <c r="N29" i="39"/>
  <c r="K17" i="36"/>
  <c r="L7" i="8"/>
  <c r="L8" i="8"/>
  <c r="K16" i="39"/>
  <c r="K12" i="39"/>
  <c r="K24" i="39"/>
  <c r="N7" i="39"/>
  <c r="K15" i="39"/>
  <c r="N36" i="38"/>
  <c r="N17" i="36"/>
  <c r="N24" i="38"/>
  <c r="N25" i="38"/>
  <c r="N29" i="38"/>
  <c r="L29" i="38" s="1"/>
  <c r="N37" i="38"/>
  <c r="L37" i="38" s="1"/>
  <c r="N44" i="38"/>
  <c r="L44" i="38" s="1"/>
  <c r="N49" i="38"/>
  <c r="N76" i="38"/>
  <c r="L76" i="38" s="1"/>
  <c r="N9" i="38"/>
  <c r="N15" i="38"/>
  <c r="L15" i="38" s="1"/>
  <c r="N45" i="38"/>
  <c r="L45" i="38" s="1"/>
  <c r="N55" i="38"/>
  <c r="N69" i="38"/>
  <c r="N17" i="38"/>
  <c r="L17" i="38" s="1"/>
  <c r="N41" i="38"/>
  <c r="L41" i="38" s="1"/>
  <c r="N65" i="38"/>
  <c r="L65" i="38" s="1"/>
  <c r="N40" i="38"/>
  <c r="L40" i="38" s="1"/>
  <c r="N12" i="38"/>
  <c r="N47" i="38"/>
  <c r="K36" i="38"/>
  <c r="L36" i="38" s="1"/>
  <c r="N48" i="38"/>
  <c r="N52" i="38"/>
  <c r="N8" i="38"/>
  <c r="L8" i="38" s="1"/>
  <c r="K9" i="38"/>
  <c r="K24" i="38"/>
  <c r="K28" i="38"/>
  <c r="K48" i="38"/>
  <c r="K52" i="38"/>
  <c r="N27" i="38"/>
  <c r="N51" i="38"/>
  <c r="K57" i="38"/>
  <c r="N71" i="38"/>
  <c r="N80" i="38"/>
  <c r="K25" i="38"/>
  <c r="K49" i="38"/>
  <c r="L49" i="38" s="1"/>
  <c r="N68" i="38"/>
  <c r="K80" i="38"/>
  <c r="L80" i="38" s="1"/>
  <c r="K13" i="38"/>
  <c r="K50" i="38"/>
  <c r="K69" i="38"/>
  <c r="N35" i="38"/>
  <c r="N7" i="36"/>
  <c r="J7" i="35"/>
  <c r="K7" i="35" s="1"/>
  <c r="L7" i="35" s="1"/>
  <c r="D1" i="35"/>
  <c r="D2" i="35"/>
  <c r="D1" i="36"/>
  <c r="D2" i="8"/>
  <c r="D1" i="8"/>
  <c r="N8" i="36"/>
  <c r="J7" i="36"/>
  <c r="K7" i="36" s="1"/>
  <c r="L7" i="36" s="1"/>
  <c r="N24" i="39"/>
  <c r="N11" i="39"/>
  <c r="N14" i="39"/>
  <c r="N19" i="39"/>
  <c r="N31" i="39"/>
  <c r="L31" i="39" s="1"/>
  <c r="N27" i="39"/>
  <c r="N9" i="39"/>
  <c r="L9" i="39" s="1"/>
  <c r="N16" i="39"/>
  <c r="N25" i="39"/>
  <c r="N12" i="39"/>
  <c r="N21" i="39"/>
  <c r="K68" i="38"/>
  <c r="N61" i="38"/>
  <c r="L61" i="38" s="1"/>
  <c r="N57" i="38"/>
  <c r="K27" i="38"/>
  <c r="N13" i="38"/>
  <c r="L11" i="38"/>
  <c r="N28" i="38"/>
  <c r="K35" i="38"/>
  <c r="K47" i="38"/>
  <c r="K51" i="38"/>
  <c r="K71" i="38"/>
  <c r="K12" i="38"/>
  <c r="K55" i="38"/>
  <c r="N10" i="38"/>
  <c r="N14" i="38"/>
  <c r="N26" i="38"/>
  <c r="N34" i="38"/>
  <c r="N42" i="38"/>
  <c r="N50" i="38"/>
  <c r="N54" i="38"/>
  <c r="N58" i="38"/>
  <c r="N62" i="38"/>
  <c r="N66" i="38"/>
  <c r="N74" i="38"/>
  <c r="N78" i="38"/>
  <c r="K10" i="38"/>
  <c r="K14" i="38"/>
  <c r="K26" i="38"/>
  <c r="K34" i="38"/>
  <c r="K42" i="38"/>
  <c r="K54" i="38"/>
  <c r="K58" i="38"/>
  <c r="K62" i="38"/>
  <c r="K66" i="38"/>
  <c r="K74" i="38"/>
  <c r="K78" i="38"/>
  <c r="N7" i="38"/>
  <c r="L29" i="39" l="1"/>
  <c r="L17" i="36"/>
  <c r="L27" i="38"/>
  <c r="L51" i="38"/>
  <c r="L25" i="39"/>
  <c r="L21" i="39"/>
  <c r="L14" i="39"/>
  <c r="L18" i="39"/>
  <c r="L27" i="39"/>
  <c r="L19" i="39"/>
  <c r="L15" i="39"/>
  <c r="L23" i="39"/>
  <c r="L16" i="39"/>
  <c r="L48" i="38"/>
  <c r="L24" i="39"/>
  <c r="L12" i="39"/>
  <c r="L11" i="39"/>
  <c r="L57" i="38"/>
  <c r="L69" i="38"/>
  <c r="L9" i="38"/>
  <c r="L55" i="38"/>
  <c r="L24" i="38"/>
  <c r="L13" i="38"/>
  <c r="L25" i="38"/>
  <c r="L47" i="38"/>
  <c r="L28" i="38"/>
  <c r="L78" i="38"/>
  <c r="L50" i="38"/>
  <c r="L12" i="38"/>
  <c r="L35" i="38"/>
  <c r="L68" i="38"/>
  <c r="L52" i="38"/>
  <c r="L54" i="38"/>
  <c r="L71" i="38"/>
  <c r="L42" i="38"/>
  <c r="L74" i="38"/>
  <c r="L66" i="38"/>
  <c r="L62" i="38"/>
  <c r="L58" i="38"/>
  <c r="L26" i="38"/>
  <c r="L10" i="38"/>
  <c r="L34" i="38"/>
  <c r="L14" i="38"/>
  <c r="D2" i="38" l="1"/>
  <c r="D1" i="38"/>
  <c r="J7" i="38"/>
  <c r="K7" i="38" s="1"/>
  <c r="L7" i="38" s="1"/>
  <c r="K2" i="38" l="1"/>
  <c r="G6" i="36" l="1"/>
  <c r="J6" i="36"/>
  <c r="M6" i="36"/>
  <c r="J8" i="36"/>
  <c r="K8" i="36" s="1"/>
  <c r="L8" i="36" s="1"/>
  <c r="N6" i="36" l="1"/>
  <c r="K6" i="36"/>
  <c r="L6" i="36" l="1"/>
  <c r="N2" i="36"/>
  <c r="O19" i="36" s="1"/>
  <c r="K2" i="36"/>
  <c r="O16" i="36" l="1"/>
  <c r="O18" i="36"/>
  <c r="O9" i="36"/>
  <c r="O13" i="36"/>
  <c r="O12" i="36"/>
  <c r="O14" i="36"/>
  <c r="O11" i="36"/>
  <c r="O15" i="36"/>
  <c r="O10" i="36"/>
  <c r="O7" i="36"/>
  <c r="O17" i="36"/>
  <c r="O8" i="36"/>
  <c r="L2" i="36"/>
  <c r="M6" i="35"/>
  <c r="J6" i="35"/>
  <c r="G6" i="35"/>
  <c r="O2" i="36" l="1"/>
  <c r="P2" i="36"/>
  <c r="N6" i="35"/>
  <c r="K6" i="35"/>
  <c r="A7" i="33"/>
  <c r="A6" i="33"/>
  <c r="A5" i="33"/>
  <c r="A4" i="33"/>
  <c r="L6" i="35" l="1"/>
  <c r="N2" i="35"/>
  <c r="O22" i="35" s="1"/>
  <c r="K2" i="35"/>
  <c r="O18" i="35" l="1"/>
  <c r="O20" i="35"/>
  <c r="O21" i="35"/>
  <c r="O16" i="35"/>
  <c r="O17" i="35"/>
  <c r="O19" i="35"/>
  <c r="O13" i="35"/>
  <c r="O15" i="35"/>
  <c r="O11" i="35"/>
  <c r="O10" i="35"/>
  <c r="O9" i="35"/>
  <c r="O12" i="35"/>
  <c r="O7" i="35"/>
  <c r="L2" i="35"/>
  <c r="O2" i="35" l="1"/>
  <c r="P2" i="35"/>
  <c r="M6" i="8" l="1"/>
  <c r="J6" i="8"/>
  <c r="G6" i="8"/>
  <c r="N6" i="8" l="1"/>
  <c r="K6" i="8"/>
  <c r="L6" i="8" l="1"/>
  <c r="K2" i="8" l="1"/>
  <c r="N2" i="8"/>
  <c r="O11" i="8" l="1"/>
  <c r="O10" i="8"/>
  <c r="O13" i="8"/>
  <c r="O9" i="8"/>
  <c r="O12" i="8"/>
  <c r="O18" i="8"/>
  <c r="O20" i="8"/>
  <c r="O17" i="8"/>
  <c r="O19" i="8"/>
  <c r="O15" i="8"/>
  <c r="O16" i="8"/>
  <c r="O14" i="8"/>
  <c r="O8" i="8"/>
  <c r="O7" i="8"/>
  <c r="L2" i="8"/>
  <c r="O2" i="8" l="1"/>
  <c r="P2" i="8"/>
  <c r="N2" i="38" l="1"/>
  <c r="O20" i="38" l="1"/>
  <c r="O21" i="38"/>
  <c r="O81" i="38"/>
  <c r="O18" i="38"/>
  <c r="O19" i="38"/>
  <c r="O77" i="38"/>
  <c r="O79" i="38"/>
  <c r="O72" i="38"/>
  <c r="O75" i="38"/>
  <c r="O59" i="38"/>
  <c r="O70" i="38"/>
  <c r="O53" i="38"/>
  <c r="O63" i="38"/>
  <c r="O38" i="38"/>
  <c r="O43" i="38"/>
  <c r="O30" i="38"/>
  <c r="O32" i="38"/>
  <c r="O31" i="38"/>
  <c r="O22" i="38"/>
  <c r="O49" i="38"/>
  <c r="O24" i="38"/>
  <c r="O8" i="38"/>
  <c r="O35" i="38"/>
  <c r="O52" i="38"/>
  <c r="O51" i="38"/>
  <c r="O34" i="38"/>
  <c r="O45" i="38"/>
  <c r="O17" i="38"/>
  <c r="O62" i="38"/>
  <c r="O48" i="38"/>
  <c r="O74" i="38"/>
  <c r="O11" i="38"/>
  <c r="O71" i="38"/>
  <c r="O26" i="38"/>
  <c r="O14" i="38"/>
  <c r="O78" i="38"/>
  <c r="O69" i="38"/>
  <c r="O40" i="38"/>
  <c r="O12" i="38"/>
  <c r="O44" i="38"/>
  <c r="O7" i="38"/>
  <c r="O9" i="38"/>
  <c r="O42" i="38"/>
  <c r="O57" i="38"/>
  <c r="O36" i="38"/>
  <c r="O80" i="38"/>
  <c r="O29" i="38"/>
  <c r="O55" i="38"/>
  <c r="O54" i="38"/>
  <c r="O58" i="38"/>
  <c r="O68" i="38"/>
  <c r="O37" i="38"/>
  <c r="O10" i="38"/>
  <c r="O76" i="38"/>
  <c r="O25" i="38"/>
  <c r="O61" i="38"/>
  <c r="O28" i="38"/>
  <c r="O65" i="38"/>
  <c r="O27" i="38"/>
  <c r="O15" i="38"/>
  <c r="O47" i="38"/>
  <c r="O50" i="38"/>
  <c r="O41" i="38"/>
  <c r="O66" i="38"/>
  <c r="O13" i="38"/>
  <c r="L2" i="38"/>
  <c r="O2" i="38" l="1"/>
  <c r="P2" i="38"/>
  <c r="D1" i="39"/>
  <c r="D2" i="39"/>
  <c r="J7" i="39"/>
  <c r="K7" i="39" s="1"/>
  <c r="N2" i="39"/>
  <c r="O22" i="39" l="1"/>
  <c r="L7" i="39"/>
  <c r="K2" i="39"/>
  <c r="L2" i="39" s="1"/>
  <c r="O7" i="39"/>
  <c r="O17" i="39"/>
  <c r="O18" i="39"/>
  <c r="O15" i="39"/>
  <c r="O25" i="39"/>
  <c r="O27" i="39"/>
  <c r="O29" i="39"/>
  <c r="O12" i="39"/>
  <c r="O23" i="39"/>
  <c r="O21" i="39"/>
  <c r="O31" i="39"/>
  <c r="O14" i="39"/>
  <c r="O24" i="39"/>
  <c r="O9" i="39"/>
  <c r="O11" i="39"/>
  <c r="O16" i="39"/>
  <c r="O19" i="39"/>
  <c r="P2" i="39" l="1"/>
  <c r="O2" i="39"/>
  <c r="N7" i="40"/>
  <c r="N2" i="40" s="1"/>
  <c r="O143" i="40" l="1"/>
  <c r="O12" i="40"/>
  <c r="O9" i="40"/>
  <c r="O122" i="40"/>
  <c r="O108" i="40"/>
  <c r="O123" i="40"/>
  <c r="O155" i="40"/>
  <c r="O10" i="40"/>
  <c r="O164" i="40"/>
  <c r="O153" i="40"/>
  <c r="O156" i="40"/>
  <c r="O127" i="40"/>
  <c r="O132" i="40"/>
  <c r="O21" i="40"/>
  <c r="O161" i="40"/>
  <c r="O102" i="40"/>
  <c r="O137" i="40"/>
  <c r="O117" i="40"/>
  <c r="O114" i="40"/>
  <c r="L7" i="40"/>
  <c r="L2" i="40"/>
  <c r="O152" i="40"/>
  <c r="O177" i="40"/>
  <c r="O148" i="40"/>
  <c r="O146" i="40"/>
  <c r="O19" i="40"/>
  <c r="O14" i="40"/>
  <c r="O120" i="40"/>
  <c r="O121" i="40"/>
  <c r="O173" i="40"/>
  <c r="O165" i="40"/>
  <c r="O145" i="40"/>
  <c r="O97" i="40"/>
  <c r="O128" i="40"/>
  <c r="O101" i="40"/>
  <c r="O15" i="40"/>
  <c r="O119" i="40"/>
  <c r="O98" i="40"/>
  <c r="O136" i="40"/>
  <c r="O22" i="40"/>
  <c r="O20" i="40"/>
  <c r="O17" i="40"/>
  <c r="O167" i="40"/>
  <c r="O170" i="40"/>
  <c r="O109" i="40"/>
  <c r="O160" i="40"/>
  <c r="O13" i="40"/>
  <c r="O158" i="40"/>
  <c r="O103" i="40"/>
  <c r="O100" i="40"/>
  <c r="O107" i="40"/>
  <c r="O168" i="40"/>
  <c r="O111" i="40"/>
  <c r="O130" i="40"/>
  <c r="O149" i="40"/>
  <c r="O172" i="40"/>
  <c r="O113" i="40"/>
  <c r="O141" i="40"/>
  <c r="O150" i="40"/>
  <c r="O133" i="40"/>
  <c r="O142" i="40"/>
  <c r="O105" i="40"/>
  <c r="O144" i="40"/>
  <c r="O174" i="40"/>
  <c r="O112" i="40"/>
  <c r="O116" i="40"/>
  <c r="O151" i="40"/>
  <c r="O124" i="40"/>
  <c r="O139" i="40"/>
  <c r="O135" i="40"/>
  <c r="O147" i="40"/>
  <c r="O118" i="40"/>
  <c r="O169" i="40"/>
  <c r="O129" i="40"/>
  <c r="O115" i="40"/>
  <c r="O99" i="40"/>
  <c r="O163" i="40"/>
  <c r="O171" i="40"/>
  <c r="O11" i="40"/>
  <c r="O157" i="40"/>
  <c r="O23" i="40"/>
  <c r="O166" i="40"/>
  <c r="O104" i="40"/>
  <c r="O7" i="40"/>
  <c r="O126" i="40"/>
  <c r="O110" i="40"/>
  <c r="O138" i="40"/>
  <c r="O16" i="40"/>
  <c r="O159" i="40"/>
  <c r="O175" i="40"/>
  <c r="O154" i="40"/>
  <c r="O106" i="40"/>
  <c r="O162" i="40"/>
  <c r="O134" i="40"/>
  <c r="O131" i="40"/>
  <c r="O125" i="40"/>
  <c r="O140" i="40"/>
  <c r="O18" i="40"/>
  <c r="O2" i="40" l="1"/>
  <c r="P2" i="40"/>
</calcChain>
</file>

<file path=xl/sharedStrings.xml><?xml version="1.0" encoding="utf-8"?>
<sst xmlns="http://schemas.openxmlformats.org/spreadsheetml/2006/main" count="2871" uniqueCount="934">
  <si>
    <t>It is recommended this tab is locked and hidden before issuing to Contractors.</t>
  </si>
  <si>
    <t xml:space="preserve">Please note that this function for applying weightings and scoring the answers, has not as yet been thoroughly tested and is in this document for example purposes only, e.g. scoring levels, weighting levels, plus the type of answer required (e.g. evidence level column)   It is recommended that each Contracting Authority satisfies itself that the scoring and weighting system they apply calculates appropriately.   </t>
  </si>
  <si>
    <t>Please refer to the Notes for Contracting Authorities for  an explanation as to how Columns F to O are designed to be used.</t>
  </si>
  <si>
    <t xml:space="preserve">Examples have been inserted into the specific Specification Tabs (i.e., General, Delivery etc.) as a pre-selected guide, but must be checked for their suitability with each tendering exercise.   Please ensure that the individual Tab is changed, and not this "Lists" Tab. </t>
  </si>
  <si>
    <t>Please note changes made here could interfere with the workings of the document.  
The Evidence Level scores have been left unlocked in case you wish to adjust, but we recommend it is locked before issuing, if the scoring element of the framework is being used.</t>
  </si>
  <si>
    <t>Specification, Compliance or Adjudication</t>
  </si>
  <si>
    <t>Specification</t>
  </si>
  <si>
    <t>Compliance Yes/No</t>
  </si>
  <si>
    <t>Adjudication Question</t>
  </si>
  <si>
    <t>This table must be sorted by column A for vlookup formulas</t>
  </si>
  <si>
    <t>This table must be sorted by Column E for drop down lists</t>
  </si>
  <si>
    <t>Evidence Level</t>
  </si>
  <si>
    <t>Evidence Level Score</t>
  </si>
  <si>
    <t>Description and/or Examples</t>
  </si>
  <si>
    <t>Agreement / Policy Statement</t>
  </si>
  <si>
    <t>n/a</t>
  </si>
  <si>
    <t>not applicable</t>
  </si>
  <si>
    <t>Authorisation / certificate / licence</t>
  </si>
  <si>
    <t>none</t>
  </si>
  <si>
    <t>no evidence is requested just a answer "Yes" will suffice</t>
  </si>
  <si>
    <t>Evidence of Compliance</t>
  </si>
  <si>
    <t>Shows the intention to purchase equipment, extend facilities, apply for a pharmacy licence if the contract is won</t>
  </si>
  <si>
    <t>Evidence of excellent performance and continuous improvement</t>
  </si>
  <si>
    <t>Process Documents in place</t>
  </si>
  <si>
    <t>Evidence of Good performance</t>
  </si>
  <si>
    <t>Processes implemented</t>
  </si>
  <si>
    <t>KPI results or external audit showing services provided to acceptable standard, external audit shows compliance with documented processes and/or contract.  Good references from existing customers</t>
  </si>
  <si>
    <t>KPI results or external audit showing services provided to good standard supported by patient survey results. Recommendations from existing customers.</t>
  </si>
  <si>
    <t>Case study showing quality improvement or service innovation. Benchmark results showing "best in class" or  high level performance.</t>
  </si>
  <si>
    <t>Adjudication Level</t>
  </si>
  <si>
    <t>Adjudication Level Score</t>
  </si>
  <si>
    <t>average</t>
  </si>
  <si>
    <t>below minimum</t>
  </si>
  <si>
    <t xml:space="preserve">If a contactor is below minimum on several specification points, consider if they are suitable </t>
  </si>
  <si>
    <t>enhanced</t>
  </si>
  <si>
    <t>minimum</t>
  </si>
  <si>
    <t xml:space="preserve">Evidence below the level requested but still able to deliver the service e.g. requested evidence of compliance, received evidence of process implementation. </t>
  </si>
  <si>
    <t>good</t>
  </si>
  <si>
    <t>Evidence provided as requested</t>
  </si>
  <si>
    <t>Evidence provided one level higher than requested e.g. requested evidence of compliance, received evidence of good performance</t>
  </si>
  <si>
    <t>Evidence provided two levels higher than requested e.g. requested evidence of compliance, received evidence of excellent performance</t>
  </si>
  <si>
    <t>Adjudication Weighting</t>
  </si>
  <si>
    <t>Adjudication Weighting Score</t>
  </si>
  <si>
    <t>Average</t>
  </si>
  <si>
    <t>Critical</t>
  </si>
  <si>
    <t>Not important</t>
  </si>
  <si>
    <t>Does not impact patient satisfaction, risk or cost of service</t>
  </si>
  <si>
    <t xml:space="preserve">Important </t>
  </si>
  <si>
    <t>Less important</t>
  </si>
  <si>
    <t>Has a minimal impact patient satisfaction for most patients, may impact a small number of patients without increasing patient safety risks.</t>
  </si>
  <si>
    <t>Moderate Impact on patient satisfaction for  more than half the patients or has potential to increase patient safety risk requiring mitigation measures.</t>
  </si>
  <si>
    <t>Impacts patient satisfaction for most patients</t>
  </si>
  <si>
    <t>Significant Impact on patient safety or patient satisfaction and/or clinical outcomes for the majority of patients.</t>
  </si>
  <si>
    <t>Paragraph</t>
  </si>
  <si>
    <t>Specification. Compliance or Adjudication</t>
  </si>
  <si>
    <t>Contractor's Answer (or file reference to separate document with answer / requested documentation)</t>
  </si>
  <si>
    <t>Adjudication of Contractors Response</t>
  </si>
  <si>
    <t>Adjudication Score</t>
  </si>
  <si>
    <t>Weighted Adjudication Result</t>
  </si>
  <si>
    <t>% Weighted Adjudication Result</t>
  </si>
  <si>
    <t>Maximum Adjudication Score</t>
  </si>
  <si>
    <t>Maximum possible Score for this item</t>
  </si>
  <si>
    <t>5a_2</t>
  </si>
  <si>
    <t>N/A</t>
  </si>
  <si>
    <t>5a_3</t>
  </si>
  <si>
    <t>5a_4</t>
  </si>
  <si>
    <t>5a_5</t>
  </si>
  <si>
    <t>5a_6</t>
  </si>
  <si>
    <t>5a_7</t>
  </si>
  <si>
    <t>5a_8</t>
  </si>
  <si>
    <t>5a_9</t>
  </si>
  <si>
    <t>5a_10</t>
  </si>
  <si>
    <t>5a_11</t>
  </si>
  <si>
    <t>5a_12</t>
  </si>
  <si>
    <t xml:space="preserve">Overall Score </t>
  </si>
  <si>
    <t>5b_2</t>
  </si>
  <si>
    <t>5b_3</t>
  </si>
  <si>
    <t>5c_2</t>
  </si>
  <si>
    <t>5c_3</t>
  </si>
  <si>
    <t>5c_4</t>
  </si>
  <si>
    <t>5c_5</t>
  </si>
  <si>
    <t>The delivery transport must not bear any markings which would indicate the nature of the delivery.</t>
  </si>
  <si>
    <t>Overall Score</t>
  </si>
  <si>
    <t>5e_2</t>
  </si>
  <si>
    <r>
      <t xml:space="preserve">Contractor and Purchasing Authority will </t>
    </r>
    <r>
      <rPr>
        <sz val="10"/>
        <color indexed="8"/>
        <rFont val="Arial"/>
        <family val="2"/>
      </rPr>
      <t>provide and maintain a named individual, and deputy, and contact telephone number and email address for the following categories and ensure this information is kept up-to-date. 
• Account Manager / Sales Contact
• Address for Purchase Orders
• Queries on referrals
• Finance/invoice queries
• Emergency/out of hours
• Performance monitoring
• Contractual queries
• Management information
• Complaints and adverse incidents
• Customer Service - Primary Contact</t>
    </r>
  </si>
  <si>
    <t>5a_1</t>
  </si>
  <si>
    <t>5a_c</t>
  </si>
  <si>
    <t>5a_1.1</t>
  </si>
  <si>
    <t>5a_1.2</t>
  </si>
  <si>
    <t>5a_1.3</t>
  </si>
  <si>
    <t>5a_1.4</t>
  </si>
  <si>
    <t>5a_1.5</t>
  </si>
  <si>
    <t>5a_1.6</t>
  </si>
  <si>
    <t>5b_c</t>
  </si>
  <si>
    <t>5b_1</t>
  </si>
  <si>
    <t>5b_1.1</t>
  </si>
  <si>
    <t>5b_1.2</t>
  </si>
  <si>
    <t>5b_1.3</t>
  </si>
  <si>
    <t>5b_1.4</t>
  </si>
  <si>
    <t>5b_1.5</t>
  </si>
  <si>
    <t>5b_1.6</t>
  </si>
  <si>
    <t>5b_1.7</t>
  </si>
  <si>
    <t>5b_1.8</t>
  </si>
  <si>
    <t>5b_2.1</t>
  </si>
  <si>
    <t>5b_2.2</t>
  </si>
  <si>
    <t>5c_c</t>
  </si>
  <si>
    <t>5c_1</t>
  </si>
  <si>
    <t>5c_1.1</t>
  </si>
  <si>
    <t>5c_2.1</t>
  </si>
  <si>
    <t>5c_2.2</t>
  </si>
  <si>
    <t>5a_1.7</t>
  </si>
  <si>
    <t>5a_1.8</t>
  </si>
  <si>
    <t>5a_1.9</t>
  </si>
  <si>
    <t>5a_1.10</t>
  </si>
  <si>
    <t>5a_1.9a</t>
  </si>
  <si>
    <t>5a_1.10a</t>
  </si>
  <si>
    <t>5a_1.11</t>
  </si>
  <si>
    <t>5a_1.12</t>
  </si>
  <si>
    <t>5a_3.1</t>
  </si>
  <si>
    <t>5a_3.2</t>
  </si>
  <si>
    <t>5a_3.3</t>
  </si>
  <si>
    <t>5a_3.4</t>
  </si>
  <si>
    <t>5a_3.5</t>
  </si>
  <si>
    <t>5a_4.1</t>
  </si>
  <si>
    <t>5a_4.2</t>
  </si>
  <si>
    <t>5a_4.3</t>
  </si>
  <si>
    <t>5a_4.4</t>
  </si>
  <si>
    <t>5a_5.1</t>
  </si>
  <si>
    <t>5a_5.2</t>
  </si>
  <si>
    <t>5a_6.1</t>
  </si>
  <si>
    <t>5a_6.2</t>
  </si>
  <si>
    <t>5a_7.2</t>
  </si>
  <si>
    <t>5a_8.1</t>
  </si>
  <si>
    <t>5a_8.2</t>
  </si>
  <si>
    <t>5a_9.1</t>
  </si>
  <si>
    <t>5a_10.1</t>
  </si>
  <si>
    <t>5a_11.1</t>
  </si>
  <si>
    <t>5a_12.1</t>
  </si>
  <si>
    <t>SUPPLIER NAME:</t>
  </si>
  <si>
    <t>(*) Please ensure Supplier Name is entered correctly; this will then appear at the top of each worksheet</t>
  </si>
  <si>
    <t>Contact name:</t>
  </si>
  <si>
    <t>Job Title:</t>
  </si>
  <si>
    <t>Telephone:</t>
  </si>
  <si>
    <t>Mobile:</t>
  </si>
  <si>
    <t>Email:</t>
  </si>
  <si>
    <t>Please provide details relating to the person completing this Specification:</t>
  </si>
  <si>
    <t>Specification Compliance Summary</t>
  </si>
  <si>
    <t>5b_2.1a</t>
  </si>
  <si>
    <t>5b_3.1</t>
  </si>
  <si>
    <t>5b_3.2</t>
  </si>
  <si>
    <t>5b_3.3</t>
  </si>
  <si>
    <t>5b_3.4</t>
  </si>
  <si>
    <t>5c_2.3</t>
  </si>
  <si>
    <t>5c_2.4</t>
  </si>
  <si>
    <t>5c_3.5</t>
  </si>
  <si>
    <t>5c_3.6</t>
  </si>
  <si>
    <t>5c_3.5a</t>
  </si>
  <si>
    <t>5c_4.1</t>
  </si>
  <si>
    <t>5c_4.2</t>
  </si>
  <si>
    <t>5c_4.3</t>
  </si>
  <si>
    <t>5c_4.4</t>
  </si>
  <si>
    <t>5c_4.5</t>
  </si>
  <si>
    <t>5c_4.6</t>
  </si>
  <si>
    <t>5c_5.1</t>
  </si>
  <si>
    <t>5c_5.2</t>
  </si>
  <si>
    <t>Document 5e - Equipment and Ancillary</t>
  </si>
  <si>
    <t>5e_c</t>
  </si>
  <si>
    <t>5e_2.1</t>
  </si>
  <si>
    <t>5e_2.2</t>
  </si>
  <si>
    <t>5f_c</t>
  </si>
  <si>
    <t>Specification, Compliance or Adjudication Point</t>
  </si>
  <si>
    <t>Max % score for individual section</t>
  </si>
  <si>
    <t>Max % score for entire offer</t>
  </si>
  <si>
    <t>Instructions for completing this Specification</t>
  </si>
  <si>
    <t>5b_1.9</t>
  </si>
  <si>
    <t xml:space="preserve"> </t>
  </si>
  <si>
    <t>Yes</t>
  </si>
  <si>
    <t>No</t>
  </si>
  <si>
    <t>compliance</t>
  </si>
  <si>
    <t>5c_6.1</t>
  </si>
  <si>
    <t>5e_2.3</t>
  </si>
  <si>
    <t>Below 70%</t>
  </si>
  <si>
    <t>70 - 79%</t>
  </si>
  <si>
    <t>80 - 89%</t>
  </si>
  <si>
    <t>90 - 96%</t>
  </si>
  <si>
    <t>97 - 100%</t>
  </si>
  <si>
    <t xml:space="preserve">Calculation of  percentage of   positive compliance responses  </t>
  </si>
  <si>
    <t>This line automatically calculates your level of compliance with the specification and compliance points, from the responses in the drop down 'Yes/No' boxes in column D.  There is no need to add a response to this line.</t>
  </si>
  <si>
    <t>5a_1.13</t>
  </si>
  <si>
    <t>Contractors may be required to attend meetings to discuss and review proposals for innovative delivery of products covered by this framework. Parties present at such meetings may include representatives from CMU, the UKHCDO, Haemophilia CRG and NHS England. The purpose of such meetings will be to provide an opportunity for discussion about such things as new prescribing regimes and improving patient care and lifestyle in a cost effective way. Frequency and dates for meetings will be agreed with the contractors when the framework is awarded.</t>
  </si>
  <si>
    <t>The frequency of deliveries depends on each patient and stability of product. Deliveries are usually every 4 weeks but could also be - weekly, fortnightly, 1-, 2-, 3-, 4-, 5-, or 6-monthly. Should deliveries be required more or less frequently the contractor will be notified by the Purchasing Authority.</t>
  </si>
  <si>
    <t>5b_1.10</t>
  </si>
  <si>
    <r>
      <t xml:space="preserve">Please indicate your acceptance and understanding of EACH of the requirements by selecting the appropriate response from the drop down boxes provided. In addition, where questions provide space for you to provide further details you should ensure all boxes are completed. Please be aware that </t>
    </r>
    <r>
      <rPr>
        <u/>
        <sz val="12"/>
        <rFont val="Arial"/>
        <family val="2"/>
      </rPr>
      <t>ALL</t>
    </r>
    <r>
      <rPr>
        <sz val="12"/>
        <rFont val="Arial"/>
        <family val="2"/>
      </rPr>
      <t xml:space="preserve"> question responses in this Specification will be referenced during evaluation against the Award Criteria detailed in Document 2a (with the exception of the additional comments/feedback box below).</t>
    </r>
  </si>
  <si>
    <t>Commercial aspects i.e. pricing must only be entered in Document 6 and will not be accepted if entered within any other documents, or elsewhere in your tender response.</t>
  </si>
  <si>
    <t>Loading PDF Attachments onto Bravo</t>
  </si>
  <si>
    <t>Only the first 500 characters entered into text boxes will be taken into consideration during evaluation; for anything longer please submit a PDF file onto Bravo, however to help with the evaluation process please avoid answering questions by repeatedly referencing PDF attachments.</t>
  </si>
  <si>
    <r>
      <t xml:space="preserve">PDF documents submitted must </t>
    </r>
    <r>
      <rPr>
        <u/>
        <sz val="12"/>
        <rFont val="Arial"/>
        <family val="2"/>
      </rPr>
      <t>not</t>
    </r>
    <r>
      <rPr>
        <sz val="12"/>
        <rFont val="Arial"/>
        <family val="2"/>
      </rPr>
      <t xml:space="preserve"> be locked i.e. so they can be searchable. These documents will be held internally by a database such that the master copy cannot be changed in the database.</t>
    </r>
  </si>
  <si>
    <r>
      <t>The following references to submitting PDF documents are included in the Specification; it is an Offeror's responsibility to ensure that all REQUIRED</t>
    </r>
    <r>
      <rPr>
        <sz val="12"/>
        <rFont val="Arial"/>
        <family val="2"/>
      </rPr>
      <t xml:space="preserve"> attachments (listed below) have been uploaded onto Bravo before the deadline:</t>
    </r>
  </si>
  <si>
    <r>
      <t xml:space="preserve">Offeror's should name each attachment commencing with their Supplier name and the Specification Reference, replacing the full stop with an underscore e.g. </t>
    </r>
    <r>
      <rPr>
        <b/>
        <sz val="12"/>
        <rFont val="Arial"/>
        <family val="2"/>
      </rPr>
      <t>SupplierName_5c_1_4.pdf</t>
    </r>
  </si>
  <si>
    <t>Additional comments/feedback:</t>
  </si>
  <si>
    <r>
      <t xml:space="preserve">Please enter any additional comments or feedback in the box below; please note however this information will </t>
    </r>
    <r>
      <rPr>
        <u/>
        <sz val="12"/>
        <rFont val="Arial"/>
        <family val="2"/>
      </rPr>
      <t>NOT</t>
    </r>
    <r>
      <rPr>
        <sz val="12"/>
        <rFont val="Arial"/>
        <family val="2"/>
      </rPr>
      <t xml:space="preserve"> be taken into consideration as part of the formal evaluation of your tender response:</t>
    </r>
  </si>
  <si>
    <t>Home Delivery Specification – Introduction (Core)</t>
  </si>
  <si>
    <t>(*)</t>
  </si>
  <si>
    <t>Factor IX</t>
  </si>
  <si>
    <t>Factor VIII</t>
  </si>
  <si>
    <t>Factor X</t>
  </si>
  <si>
    <t>Factor XIII</t>
  </si>
  <si>
    <t>Protein C Concentrate</t>
  </si>
  <si>
    <t>Prothrombin Complex Concentrate</t>
  </si>
  <si>
    <t>All products required will need to be supplied complete with appropriate diluents and devices for administration, and appropriate ancillary items.</t>
  </si>
  <si>
    <t>Deliveries will be made to patient’s homes, places of work or other locations chosen by the patient.</t>
  </si>
  <si>
    <t xml:space="preserve">Home delivery and home treatment is essential in order to minimise disruption of day to day living for those with bleeding disorders enabling them to treat themselves, or to be treated by others in a home setting. All patients who are considered to be suitable to receive home delivery should be offered the option, which may result in growth of the market over the period of the contract in areas where maximum uptake has yet to be realised. </t>
  </si>
  <si>
    <t xml:space="preserve">Contractors providing home delivery should understand the importance of the service to those living with bleeding disorders and the potential impact of poor and inflexible service provision. </t>
  </si>
  <si>
    <t>Further detail of the product and service requirements are provided throughout this specification</t>
  </si>
  <si>
    <t>In these specifications the words and expressions below will be interpreted to have the meanings adjacent to them:</t>
  </si>
  <si>
    <t>Purchasing Authority(s) means any NHS Trust, Haemophilia Centres, Comprehensive Care Centres, NHS England and any other organisations providing care on behalf of the NHS.</t>
  </si>
  <si>
    <t xml:space="preserve">Contracting Authority(s) means the Commercial Medicines Unit </t>
  </si>
  <si>
    <t>Contractor means the Offeror responding to this Specification providing home delivery services</t>
  </si>
  <si>
    <t>Supplier means the Pharmaceutical Supplier(s) Manufacturer(s) of products for the treatment of bleeding disorders.</t>
  </si>
  <si>
    <t>Legal</t>
  </si>
  <si>
    <t>Haemtrack</t>
  </si>
  <si>
    <t xml:space="preserve">Improving Patient Care and Lifestyle </t>
  </si>
  <si>
    <t>The dispensing process</t>
  </si>
  <si>
    <t>Bayer PLC</t>
  </si>
  <si>
    <t>Bio Products Laboratory</t>
  </si>
  <si>
    <t>Biotest UK Ltd</t>
  </si>
  <si>
    <t>CSL Behring UK Ltd</t>
  </si>
  <si>
    <t>Grifols UK Ltd</t>
  </si>
  <si>
    <t>LFB Biomedicaments</t>
  </si>
  <si>
    <t>Novo Nordisk Ltd</t>
  </si>
  <si>
    <t>Octapharma Ltd</t>
  </si>
  <si>
    <t>Pfizer Ltd</t>
  </si>
  <si>
    <t>Swedish Orphan Biovitrum (SOBI)</t>
  </si>
  <si>
    <t>Training</t>
  </si>
  <si>
    <t xml:space="preserve">Contractors should supply information on the level of knowledge and expertise on the medicines and equipment used in the clinical specialities of their staff involved in homecare services provision, including the methods and frequency of training and accreditation used. </t>
  </si>
  <si>
    <t>If the framework awarded is in favour of a new company the Purchasing Authority will provide the retraining and familiarisation to patients that are transferring to a new systems.</t>
  </si>
  <si>
    <t>Training of patients and/or carers will be agreed by the Purchasing Authority and Contractor and will be designed according to individual need. In certain circumstances training may be initiated by the Purchasing Authority and continuing education and training devolved to the Contractor.</t>
  </si>
  <si>
    <t xml:space="preserve">Contractors must agree with the Purchasing Authority a training and education plan detailing the implementation of the new framework. This will include timescales, number of company resource available and a detailed training programme. This should be completed in line with the framework start date. 
</t>
  </si>
  <si>
    <t>5d_1.1</t>
  </si>
  <si>
    <t>5d_1.2</t>
  </si>
  <si>
    <t>5d_1.3</t>
  </si>
  <si>
    <t>5d_1.4</t>
  </si>
  <si>
    <t>5d_1.3a</t>
  </si>
  <si>
    <t>Patient and carer education and information</t>
  </si>
  <si>
    <t>5d_2</t>
  </si>
  <si>
    <t xml:space="preserve">Contractors should provide and demonstrate how they are able to provide communication tools such as leaflets, brochures, and other media to patients, carers, and staff. Please detail what mechanisms you have in place or can provide as part of the service.
</t>
  </si>
  <si>
    <t>5d_2.1</t>
  </si>
  <si>
    <t>5d_2.1a</t>
  </si>
  <si>
    <t xml:space="preserve">Contractors should include how they will ensure patient confidentiality and data protection is respected in all aspects of the homecare services provided when training is received by their staff. 
</t>
  </si>
  <si>
    <t>With reference to the above specification point, please detail how you can comply with this.</t>
  </si>
  <si>
    <t>Should a patient and/or carer not be fluent in English, information should be provided in their own language.</t>
  </si>
  <si>
    <r>
      <t xml:space="preserve">The Contractor will provide each patient with a ‘welcome pack’ detailing useful and helpful information, as a minimum this should include details on:
• Welcome – role of the driver and provider
• Therapy information – description of service and items they will receive
• Training and support – help cards
• Ordering and delivery information – stock management, customer care teams, what to do if…driver details
• Contacts – out of hours
• Holiday and Travel service
• Glossary of terms.
</t>
    </r>
    <r>
      <rPr>
        <b/>
        <sz val="10"/>
        <color indexed="60"/>
        <rFont val="Arial"/>
        <family val="2"/>
      </rPr>
      <t>Please submit a PDF copy of welcome pack example via Bravo.</t>
    </r>
    <r>
      <rPr>
        <sz val="10"/>
        <rFont val="Arial"/>
        <family val="2"/>
      </rPr>
      <t xml:space="preserve">
</t>
    </r>
  </si>
  <si>
    <t>With reference to the above specification point, please provide brief details of any further additions/ideas you have for this welcome pack.</t>
  </si>
  <si>
    <t>5c_2.3a</t>
  </si>
  <si>
    <t>Refrigeration and Storage</t>
  </si>
  <si>
    <t>A permanent record of the refrigerator temperature, if supplied by the contractor, must be made available to the Purchasing Authority and will be noted each time a delivery is made together with any details or action taken or instructions given to maintain the temperature within acceptable limits of any fridge that has been provided.  If the temperature of the refrigerator falls outside the range of +2 degrees C to +8 degrees C, the Contractor will be responsible for advising the Purchasing Authority and seeking authorisation on the continued use of the refrigerator.</t>
  </si>
  <si>
    <t>Where the integrity of the product is compromised due to the failure of the Contractor to service and maintain the provided refrigerator, the Contractor will be responsible for stock replenishment at no additional charge to the Purchasing Authority within a timescale that ensures the patient has the required product to continue treatment.</t>
  </si>
  <si>
    <t>5e_2.4</t>
  </si>
  <si>
    <t>5e_2.5</t>
  </si>
  <si>
    <t xml:space="preserve">Contractors will provide written information to the patient regarding appropriate stock rotation, special storage conditions, temperature monitoring, safe handling and equipment failure.  </t>
  </si>
  <si>
    <t>Contractors will take reasonable steps to ensure the patient understands their responsibilities regarding stock rotation, special storage conditions, temperature monitoring, safe handling and equipment failure</t>
  </si>
  <si>
    <t>Third Party Ancillary Items</t>
  </si>
  <si>
    <t>Ancillary items will be determined by the clinical needs of the patient and will reflect the local clinical practice of the Purchasing Authority.</t>
  </si>
  <si>
    <t>The Contractor will be responsible for the ordering, receipt, control and payment for all ancillary products from agreed suppliers by the Purchasing Authority, and will be responsible for the maintenance of adequate stock levels to satisfactorily meet the requirements of this framework. The Contractor will ensure that adequate shelf-life remains on products delivered to patient’s homes.</t>
  </si>
  <si>
    <t>The Contractor shall only supply ancillaries requested by the patient/parent/carer with agreement of the Purchasing Authority and those supplied must be at a price agreed locally with the Purchasing Authority (i.e. one-off small value items must NOT be subject to a home delivery charge).</t>
  </si>
  <si>
    <t>Trusts may agree alternative ancillary lists, at a local level, with the homecare provider.</t>
  </si>
  <si>
    <t>Document 5c - Training &amp; Education for Staff and Patients</t>
  </si>
  <si>
    <t>Offer reference number: CM/MSR/15/5480</t>
  </si>
  <si>
    <t>Period of contract: 1st July 2018 to 30th June 2020 with an option to extend for up to a further 24 months</t>
  </si>
  <si>
    <t>OFFICIAL - SENSITIVE: COMMERCIAL</t>
  </si>
  <si>
    <r>
      <t xml:space="preserve">With reference to the Specification Point above, </t>
    </r>
    <r>
      <rPr>
        <b/>
        <sz val="10"/>
        <color theme="1"/>
        <rFont val="Arial"/>
        <family val="2"/>
      </rPr>
      <t xml:space="preserve">please provide an outline of your implementation plan. </t>
    </r>
  </si>
  <si>
    <t xml:space="preserve">With reference to the Specification Point above, please provide an outline of your implementation plan. </t>
  </si>
  <si>
    <r>
      <rPr>
        <b/>
        <sz val="10"/>
        <rFont val="Arial"/>
        <family val="2"/>
      </rPr>
      <t>With reference to the above specification point, p</t>
    </r>
    <r>
      <rPr>
        <b/>
        <sz val="10"/>
        <color indexed="8"/>
        <rFont val="Arial"/>
        <family val="2"/>
      </rPr>
      <t>lease provide a copy of policies and staff hand book relating to the above points.</t>
    </r>
  </si>
  <si>
    <r>
      <t>Additional Training and Competence provisions for Contractor's Staff who are providing</t>
    </r>
    <r>
      <rPr>
        <b/>
        <sz val="10"/>
        <color indexed="36"/>
        <rFont val="Arial"/>
        <family val="2"/>
      </rPr>
      <t xml:space="preserve"> </t>
    </r>
    <r>
      <rPr>
        <b/>
        <sz val="10"/>
        <rFont val="Arial"/>
        <family val="2"/>
      </rPr>
      <t>Non-Clinical</t>
    </r>
    <r>
      <rPr>
        <b/>
        <sz val="10"/>
        <color indexed="36"/>
        <rFont val="Arial"/>
        <family val="2"/>
      </rPr>
      <t xml:space="preserve"> </t>
    </r>
    <r>
      <rPr>
        <b/>
        <sz val="10"/>
        <color indexed="8"/>
        <rFont val="Arial"/>
        <family val="2"/>
      </rPr>
      <t>Home Visits</t>
    </r>
  </si>
  <si>
    <t>With reference to the above specification point, please detail how these reports will be recorded and communicated to the Purchasing Authority.</t>
  </si>
  <si>
    <t xml:space="preserve">The Contractor will use its best endeavours to ensure that any non-clinical home visits are performed at the times and venues agreed between the parties and shall give as much notice as reasonably practicable if for any reason they are unable to meet the agreed date and time.  </t>
  </si>
  <si>
    <t xml:space="preserve">Contactor's staff must check the patient continues to consent to the visit and actions to be taken by the staff on each occasion they enter the patient's home.  Staff must respect any patient's wishes if they withdraw consent they have previously given.         </t>
  </si>
  <si>
    <t>All staff visiting the patient at home will be courteous, helpful and maintain patient confidentiality. Visiting staff are to be flexible and respect patients' and carers' needs and will comply with any reasonable conditions of entry laid down by the patient.  Visiting staff will be dressed appropriately, i.e. in a professional manner.</t>
  </si>
  <si>
    <r>
      <t>All staff visiting a patient's home</t>
    </r>
    <r>
      <rPr>
        <sz val="10"/>
        <color indexed="10"/>
        <rFont val="Arial"/>
        <family val="2"/>
      </rPr>
      <t xml:space="preserve"> </t>
    </r>
    <r>
      <rPr>
        <sz val="10"/>
        <rFont val="Arial"/>
        <family val="2"/>
      </rPr>
      <t>will carry photographic identification which will be shown on arrival.</t>
    </r>
  </si>
  <si>
    <t>The Contractor is asked to provide home visit protocols for each of the non-clinical home visit services listed above and detail how they will support the implementation of these Home Visit Protocols.</t>
  </si>
  <si>
    <t>Home Visits</t>
  </si>
  <si>
    <t>Document 5f - Clinical Services &amp; Home Visits</t>
  </si>
  <si>
    <t>Document 5g - Governance</t>
  </si>
  <si>
    <t>5g_c</t>
  </si>
  <si>
    <t>5g_1</t>
  </si>
  <si>
    <t>Clinical Governance</t>
  </si>
  <si>
    <t>5g_1.1</t>
  </si>
  <si>
    <t xml:space="preserve">The Purchasing Authority retains clinical responsibility for the patient's care and their treatment.  </t>
  </si>
  <si>
    <t>5g_1.2</t>
  </si>
  <si>
    <t xml:space="preserve">The Purchasing Authority is responsible for performing all diagnostic tests and other interventions specified in the Medicine Pathway and monitoring of patient outcomes with respect to efficacy and toxicity. </t>
  </si>
  <si>
    <t>5g_1.3</t>
  </si>
  <si>
    <t>The Contractor will communicate with the Purchasing Authority in the event of any clinically relevant issues that could be reasonably expected to impact on patient safety or continuity of patient treatment, and will work in partnership to minimise additional costs to the Purchasing Authority whilst maintaining patient safety.</t>
  </si>
  <si>
    <t>5g_1.4</t>
  </si>
  <si>
    <t>The Purchasing Authority must ensure all their staff have knowledge of clinical governance and be committed to clinical supervision, customer care and complaints handling.</t>
  </si>
  <si>
    <t>5g_1.5</t>
  </si>
  <si>
    <t xml:space="preserve">The Purchasing Authority will provide appropriate clinical escalation contacts and ensure that an appropriate and suitably medically qualified Practitioner to be available for the Contractors staff to contact between Monday and Friday 09.00 and 17.00 whilst they are involved in delivery of a clinical intervention.  </t>
  </si>
  <si>
    <t>5g_1.6</t>
  </si>
  <si>
    <t xml:space="preserve">The Contractor must ensure that their staff know how to escalate clinical concerns and how to contact the on call medical practitioner for each Purchasing Authority at all times. </t>
  </si>
  <si>
    <t>5g_1.7</t>
  </si>
  <si>
    <t>Transition from paediatric to adult care will take place at a mutually agreed time between the ages of 16-18 and be initiated by the Purchasing Authority, following consultation with the patient and family. Contractors will adhere to the relevant Transition Policy employed by the Purchasing Authority. The point of transfer will be decided by the Purchasing Authority.</t>
  </si>
  <si>
    <t>5g_2</t>
  </si>
  <si>
    <t>Complaints</t>
  </si>
  <si>
    <t>5g_2.1</t>
  </si>
  <si>
    <t xml:space="preserve">The Contractor must have a complaints and incidents reporting procedure that differentiates patient safety incidents from other types of complaints and incidents in accordance with nationally agreed reporting procedures  </t>
  </si>
  <si>
    <t>5g_2.2</t>
  </si>
  <si>
    <t xml:space="preserve">The Contractor shall initially respond within 1 working day in writing to complaints raised by the Purchasing Authority.  </t>
  </si>
  <si>
    <t>5g_2.3</t>
  </si>
  <si>
    <t xml:space="preserve">The details of any complaints regarding the delivery or service, received from patients or their carers by the Purchasing Authority will be forwarded in writing to the Contractor within 2 working days.  The Contractor should make reasonable endeavours to resolve any issues and provide a written response to the Purchasing Authority within 14 days, unless an alternative timescale is agreed with the Purchasing Authority.  </t>
  </si>
  <si>
    <t>5g_2.4</t>
  </si>
  <si>
    <t>Patient complaints received directly by the Contractor shall be forwarded to the Purchasing Authority within 2 working days.
The Contractor will keep a log of all complaints which will be available for inspection with reasonable notice. The  information should include as a minimum;
• Initial complaint details and date
• Corrective Action taken
• Preventative Action taken to minimise risk of recurrence</t>
  </si>
  <si>
    <t>5g_2.5</t>
  </si>
  <si>
    <t xml:space="preserve">Contractors must have in place robust procedures for receiving, recording, handling and reporting of complaints. </t>
  </si>
  <si>
    <t>5g_2.5a</t>
  </si>
  <si>
    <t xml:space="preserve"> With reference to the above specification point , please provide details.</t>
  </si>
  <si>
    <t>5g_3</t>
  </si>
  <si>
    <t>Patient Safety Incidents</t>
  </si>
  <si>
    <t>5g_3.1c</t>
  </si>
  <si>
    <t>5g_3.2</t>
  </si>
  <si>
    <t>Any patient safety incidents received from patients or carers or advocates by the Contractor will be resolved at the earliest opportunity.  The Contractor will notify the Purchasing Authority at the earliest opportunity and provide a written notice of the immediate corrective actions undertaken within 1 working day, and a final written response including preventative actions taken within 14 days unless otherwise agreed with the Purchasing Authority.</t>
  </si>
  <si>
    <t>5g_3.3</t>
  </si>
  <si>
    <t>The Contractor should operate a similar system for reporting and investigating Patient Safety Incidents as operated in the NHS and as specified in the two Patient Safety Alerts on Improving reporting and learning of medication errors and medical devices incidents issued in March 2014. The Contractor is responsible for reporting incidents and investigations to the Purchasing Authority and the national reporting and learning service as well as produce a written response to the patient/carer.</t>
  </si>
  <si>
    <t>5g_3.4</t>
  </si>
  <si>
    <t>Any written response to a patient will be shared with the Contractor before sending on to the affected patient.</t>
  </si>
  <si>
    <t>5g_3.5</t>
  </si>
  <si>
    <t xml:space="preserve">The Contractor will produce a summary report of Patient Safety Incidents for the Purchasing Authority at the contract review meetings.  </t>
  </si>
  <si>
    <t>5g_3.6</t>
  </si>
  <si>
    <t>The Contractor must ensure that clear guidelines and procedures are developed and communicated to all staff to follow if any patient safety incident is suspected.</t>
  </si>
  <si>
    <t>5g_3.6a</t>
  </si>
  <si>
    <t>With reference to the above specification point, please demonstrate how you would propose to implement this.</t>
  </si>
  <si>
    <t>5g_3.7</t>
  </si>
  <si>
    <t>Any Patient Safety Incident reports relating to Near Misses received from patients or carers or advocates by the Contractor will be reported to the Purchasing Authority, and the marketing authorisation holder if appropriate, at the earliest opportunity and in any case within 14 days of the report.</t>
  </si>
  <si>
    <t>5g_3.7a</t>
  </si>
  <si>
    <t>5g_4</t>
  </si>
  <si>
    <t>Adverse Drug Reactions</t>
  </si>
  <si>
    <t>5g_4.1</t>
  </si>
  <si>
    <t>Any adverse drug reactions reports received from patients or carers or advocates by the Contractor will be reported to the Purchasing Authority and the marketing authorisation holder, at the earliest opportunity and in any case within 1 working day of the report.</t>
  </si>
  <si>
    <t>5g_4.2</t>
  </si>
  <si>
    <t>5g_4.3</t>
  </si>
  <si>
    <t xml:space="preserve">The Contractor will produce a summary report of Adverse Drug Reaction reports at the contract review meetings.  </t>
  </si>
  <si>
    <t>5g_4.4</t>
  </si>
  <si>
    <t>The Contractor must ensure clear guidelines and procedures are developed and communicated to all staff to follow if any patient safety incident is suspected.</t>
  </si>
  <si>
    <t>5g_4.4a</t>
  </si>
  <si>
    <t>5g_5</t>
  </si>
  <si>
    <t>Medicine and Medical Device Defects and Recalls</t>
  </si>
  <si>
    <t>5g_5.1</t>
  </si>
  <si>
    <t>Any defective medicines detected by, or notified to, the Contractor must be reported to the manufacturer of the product or the MHRA in line with current MHRA guidance. In addition, a Major or Hazardous defect identified in any product that has been delivered but not administered to a patient must be reported to the Purchasing Authority within 2 working days.</t>
  </si>
  <si>
    <t>5g_5.2</t>
  </si>
  <si>
    <t>The Contractor must operate a system of product and batch traceability to facilitate recall of medicines, sterile ancillaries and critical equipment to patient level.</t>
  </si>
  <si>
    <t>5g_5.3</t>
  </si>
  <si>
    <t>A process in line with current MHRA guidance must be in place for responding and acting upon recalls initiated by the MHRA or manufacturer of the product. This must cover liaison with the patient and Purchasing Authority, and timely replacement of stock to facilitate continuity of patient treatment wherever possible.</t>
  </si>
  <si>
    <t>5g_5.3a</t>
  </si>
  <si>
    <t>With reference to the above specification point, please provide details of how this is achieved, and supply a copy of your recall procedure.</t>
  </si>
  <si>
    <t>5g_5.4</t>
  </si>
  <si>
    <t>It is the responsibility of the Contractor to recover expenses associated with MHRA led product recalls from the manufacturer or marketing authorisation holder.</t>
  </si>
  <si>
    <t>5g_5.5</t>
  </si>
  <si>
    <t xml:space="preserve">Any product and/or medicine spoiled, will be collected with both the Purchasing Authority and patient consent, from their home, by the Contractor prior to the next dose and at patient convenience. </t>
  </si>
  <si>
    <t>5g_6</t>
  </si>
  <si>
    <t>Information Governance</t>
  </si>
  <si>
    <t>5g_6.1</t>
  </si>
  <si>
    <t>In all clinical settings for patient safety, the Contractor will adopt and use the Purchasing Authority’s NHS patient number to identify each patient once the registration forms have been accepted. If local patient identifier numbers are used, these will be in addition to the NHS patient number.  In all other settings, Caldicott principles must apply.</t>
  </si>
  <si>
    <t>5g_6.2</t>
  </si>
  <si>
    <t xml:space="preserve">All requirements of the Data Protection Act 1998 and updates must be met in full.  </t>
  </si>
  <si>
    <t>5g_6.3c</t>
  </si>
  <si>
    <t>5g_6.4</t>
  </si>
  <si>
    <r>
      <t xml:space="preserve">The Purchasing Authority will ensure all patients are informed that their personal information may be shared with the Contractor and other healthcare professionals and may be used to support clinical audit for the purpose of assuring and monitoring the quality of their treatment. </t>
    </r>
    <r>
      <rPr>
        <sz val="10"/>
        <color rgb="FFFF0000"/>
        <rFont val="Arial"/>
        <family val="2"/>
      </rPr>
      <t xml:space="preserve"> </t>
    </r>
  </si>
  <si>
    <t>5g_6.5</t>
  </si>
  <si>
    <t>Where identifiable patient personal information must be transmitted via electronic means this will be by high level encryption.</t>
  </si>
  <si>
    <t>5g_6.6</t>
  </si>
  <si>
    <r>
      <t xml:space="preserve">Where patient data is transferred between the Contractor and any sub-contractor, Data processing or </t>
    </r>
    <r>
      <rPr>
        <sz val="10"/>
        <rFont val="Arial"/>
        <family val="2"/>
      </rPr>
      <t>data sharing agreements</t>
    </r>
    <r>
      <rPr>
        <sz val="10"/>
        <color indexed="36"/>
        <rFont val="Arial"/>
        <family val="2"/>
      </rPr>
      <t xml:space="preserve"> </t>
    </r>
    <r>
      <rPr>
        <sz val="10"/>
        <color indexed="8"/>
        <rFont val="Arial"/>
        <family val="2"/>
      </rPr>
      <t>must be in place between the parties unless that sub-contractor also can provide evidence of accreditation to Information Governance Toolkit (IGT) Level 2.  Evidence of agreements with relevant sub-contractors must be provided by the Contractor.</t>
    </r>
  </si>
  <si>
    <t>5g_6.6a</t>
  </si>
  <si>
    <t>5g_6.7</t>
  </si>
  <si>
    <t xml:space="preserve">Patient and family confidentiality must be respected at all times.  No patient or carer contact will be made, other than that required by the Contractor in the performance of their duties, or unless specifically requested to do so by the Purchasing Authority.
</t>
  </si>
  <si>
    <t>5g_6.8</t>
  </si>
  <si>
    <t>In addition to the section on confidentiality in the NHS Conditions of Contract for the Supply of Service and NHS Conditions of contract for the purchase of goods (supplementary) where the Contractor is given access to NHS contract price information from the Purchasing Authority in order to procure medicines on behalf of the NHS, this information is commercially confidential.  Contractors will not pass prices on to any third party including other companies within their group without the express permission of the Purchasing Authority</t>
  </si>
  <si>
    <t>5g_7</t>
  </si>
  <si>
    <t>Risk Management</t>
  </si>
  <si>
    <t>5g_7.1</t>
  </si>
  <si>
    <t xml:space="preserve">The Purchasing Authority and the Contractor must have a local risk management policy.  Risks are assessed by the Purchasing Authority and must be deemed to be of an acceptable risk score.  If the Contractor disagrees with the risk assessment of the Purchasing Authority, both parties with work together to reach a consensus view.  </t>
  </si>
  <si>
    <t>5g_7.2</t>
  </si>
  <si>
    <t xml:space="preserve">The Contractor may refuse to provide services which it deems to be unsafe or which represent unacceptable risk to patient safety under its local Risk Management Policy.  In such a case the Contractor will work with the Purchasing Authority to find an acceptable alternative to facilitate the patient's care.  </t>
  </si>
  <si>
    <t>5g_7.2a</t>
  </si>
  <si>
    <t>5g_8</t>
  </si>
  <si>
    <t>Business Continuity and Contingency Planning</t>
  </si>
  <si>
    <t>5g_8.1</t>
  </si>
  <si>
    <t>5g_8.2</t>
  </si>
  <si>
    <t xml:space="preserve">The Contractor will have business continuity and/or contingency plans in place to adjust supplies for any patients in the event of a shortfall in the supply of medicines or ancillaries or equipment, vehicle breakdown, emergency planning, adverse weather, pandemic flu, major incident etc. </t>
  </si>
  <si>
    <t>5g_8.2a</t>
  </si>
  <si>
    <t>With reference to the above specification point, please describe how you would propose to monitor these events and what contingency plans are in place with the types of situations they cover.</t>
  </si>
  <si>
    <t>5g_9</t>
  </si>
  <si>
    <t>Safeguarding</t>
  </si>
  <si>
    <t>5g_9.1</t>
  </si>
  <si>
    <t>5g_9.2</t>
  </si>
  <si>
    <t xml:space="preserve">Where relevant, the Purchasing Authority requires that all Contractor Staff  who have direct contact with vulnerable patients have undertaken mandatory safeguarding training, relevant to their role and undertake regular refresher training.  For those working with paediatric patients this will be child protection level 3.  The Contractor should provide the Purchasing Authority with details including the name of the organisation that delivers the training and a description of the training programme and the frequency of refresher training.  The Purchasing Authority may audit training records to ensure compliance with this provision. </t>
  </si>
  <si>
    <t>5g_10</t>
  </si>
  <si>
    <t>Training and Competence of all Contractor's staff including non-clinical staff</t>
  </si>
  <si>
    <t>5g_10.1</t>
  </si>
  <si>
    <t>The Contractor must ensure all staff are trained  to perform the activities requested of them by the Contractor and are competent to provide the services. 
All staff must have  
• job specifications
• orientation and induction
• evidence of training to perform the activities in their job specification
• training in their individual responsibility towards health &amp; safety, safeguarding and information governance.</t>
  </si>
  <si>
    <t>5g_10.2</t>
  </si>
  <si>
    <t>Contractors must have policies on the following and must ensure that all staff comply with them. Where national guidelines are in place it is mandatory that these are adopted. Where National guidelines are not in place or if the Contractor is unsure, then the Contractor must liaise with the Purchasing Authority to confirm mutually acceptable guidelines.
• Health and safety
• Confidentiality 
• Data protection
• Acceptance of gifts
• Patient safety incident reporting policy
• Safeguarding vulnerable people policy
• Equality Policy</t>
  </si>
  <si>
    <t>5g_10.2a</t>
  </si>
  <si>
    <t>5g_10.3</t>
  </si>
  <si>
    <t xml:space="preserve">The training plans and training programmes should be reviewed and updated on a regular basis to ensure they are based on current good practice. </t>
  </si>
  <si>
    <t>5g_10.3a</t>
  </si>
  <si>
    <t>With reference to the above specification point, please describe how you will do this.</t>
  </si>
  <si>
    <t>5g_11</t>
  </si>
  <si>
    <t>Additional Training and Competence provisions for Contractor's Staff</t>
  </si>
  <si>
    <t>5g_11.1</t>
  </si>
  <si>
    <t>Contractors must ensure all their staff have knowledge of clinical governance and be committed to clinical supervision, customer care and complaints handling.</t>
  </si>
  <si>
    <t>5g_11.1a</t>
  </si>
  <si>
    <t>5g_11.2</t>
  </si>
  <si>
    <r>
      <t xml:space="preserve">Contractors should supply information on the level of knowledge and expertise on the medicines and equipment used in the clinical specialities relevant to this tender for homecare services, including the methods and frequency of training and accreditation used.  
For example
• Relevant equipment management
</t>
    </r>
    <r>
      <rPr>
        <sz val="10"/>
        <rFont val="Arial"/>
        <family val="2"/>
      </rPr>
      <t>• Evidence based clinical decision making</t>
    </r>
    <r>
      <rPr>
        <sz val="10"/>
        <color indexed="8"/>
        <rFont val="Arial"/>
        <family val="2"/>
      </rPr>
      <t xml:space="preserve">
• Disease awareness
</t>
    </r>
    <r>
      <rPr>
        <sz val="10"/>
        <rFont val="Arial"/>
        <family val="2"/>
      </rPr>
      <t>• Specific therapies, as prescribed.</t>
    </r>
    <r>
      <rPr>
        <sz val="10"/>
        <color indexed="8"/>
        <rFont val="Arial"/>
        <family val="2"/>
      </rPr>
      <t xml:space="preserve">
• Drug cost awareness
• Management of the unwell patient 
• ICH/cGCP</t>
    </r>
  </si>
  <si>
    <t>5g_11.2a</t>
  </si>
  <si>
    <t>With reference to the above specification point, please provide details.</t>
  </si>
  <si>
    <t>5g_11.3</t>
  </si>
  <si>
    <t xml:space="preserve">Contractors should also ensure any new staff or staff moving between roles are trained accordingly prior to taking responsibility for delivery of the homecare services.  Where staff  are in training, it is anticipated that they will be supervised until they have been formally assessed and deemed competent.   </t>
  </si>
  <si>
    <t>5g_11.3a</t>
  </si>
  <si>
    <t>5g_11.4</t>
  </si>
  <si>
    <t>5g_11.4a</t>
  </si>
  <si>
    <t>Document 5h - Finance</t>
  </si>
  <si>
    <t>5h_c</t>
  </si>
  <si>
    <t>5h_1</t>
  </si>
  <si>
    <t>Generation of Purchase Orders by the Purchasing Authority</t>
  </si>
  <si>
    <t>5h_1.1</t>
  </si>
  <si>
    <t>The Purchasing Authority will generate Purchase Orders as detailed below and transmit them to the Contractor.  Where patient identifiable information is included in the purchase order, the transmission will be via approved methods that are IGT Level 2 compliant or otherwise specified in the Data Sharing or Data Processing agreement.</t>
  </si>
  <si>
    <t>5h_2</t>
  </si>
  <si>
    <t>Receipt of Purchase Orders from Purchasing Authority by Contractor</t>
  </si>
  <si>
    <t>5h_2.1</t>
  </si>
  <si>
    <t>Contractors should be able to receive orders transmitted by secure electronic means.</t>
  </si>
  <si>
    <t>5h_2.1a</t>
  </si>
  <si>
    <r>
      <rPr>
        <b/>
        <sz val="10"/>
        <rFont val="Arial"/>
        <family val="2"/>
      </rPr>
      <t>With reference to the above specification point, please indicate how you would achieve this?</t>
    </r>
    <r>
      <rPr>
        <sz val="10"/>
        <color indexed="8"/>
        <rFont val="Arial"/>
        <family val="2"/>
      </rPr>
      <t xml:space="preserve">
</t>
    </r>
  </si>
  <si>
    <t>5h_3</t>
  </si>
  <si>
    <t xml:space="preserve">Purchasing of medicines by the Contractor </t>
  </si>
  <si>
    <t>5h_3.1</t>
  </si>
  <si>
    <t xml:space="preserve">The Purchasing Authority authorises the Contractor to purchase specified medicines, ancillaries and equipment for use in the homecare services at Purchasing Authority framework prices where they exist, or at the manufacturers NHS Hospital purchase price, subject to the agreement of the relevant manufacturers and/or wholesaler.  The Purchasing Authority is responsible for notifying the Contractor of such contract or framework or NHS hospital prices.  The Contractor will make reasonable efforts to secure agreement for the framework, contract or NHS hospital prices and the Purchasing Authority will provide every assistance possible to ensure the Contractor is successful in gaining that agreement. </t>
  </si>
  <si>
    <t>5h_3.2</t>
  </si>
  <si>
    <r>
      <t>The Purchasing Authority will aim to give</t>
    </r>
    <r>
      <rPr>
        <i/>
        <sz val="10"/>
        <rFont val="Arial"/>
        <family val="2"/>
      </rPr>
      <t xml:space="preserve"> </t>
    </r>
    <r>
      <rPr>
        <sz val="10"/>
        <rFont val="Arial"/>
        <family val="2"/>
      </rPr>
      <t>28 days notice to the Contractor of any new or changed contract or framework pricing that they may have been granted access to use on behalf of the NHS to deliver the service.</t>
    </r>
  </si>
  <si>
    <t>5h_3.3</t>
  </si>
  <si>
    <t>The Contractor will use all reasonable endeavours to source all unspecified medicines, ancillaries and equipment at cost effective prices and any mark-up applied by the Contractor must be proportional to the additional costs incurred by the Contractor in sourcing those products.</t>
  </si>
  <si>
    <t>5h_3.3a</t>
  </si>
  <si>
    <t>With reference to the above specification point, Contractors should explain their purchasing processes and mark-up policy</t>
  </si>
  <si>
    <t>5h_3.4</t>
  </si>
  <si>
    <t>Product and/or medicine provided by manufacturers or wholesalers to the Contractor for the use of patients of the Purchasing Authority under this framework are not for resale by the Contractor to any third party.</t>
  </si>
  <si>
    <t>5h_3.5</t>
  </si>
  <si>
    <t>5h_4</t>
  </si>
  <si>
    <t>Invoicing</t>
  </si>
  <si>
    <t>5h_4.1</t>
  </si>
  <si>
    <t xml:space="preserve">The Contractor should be able to submit Invoices electronically by secure means.  Where patient identifiable data is included transmission must be via approved methods that are IGT Level 2 compliant or otherwise specified in the Data Sharing or Data Processing agreement between the Contractor and the Purchasing Authority. </t>
  </si>
  <si>
    <t>5h_4.1a</t>
  </si>
  <si>
    <t>With reference to the above specification point, please indicate how you would achieve this.</t>
  </si>
  <si>
    <t>5h_4.2</t>
  </si>
  <si>
    <r>
      <t xml:space="preserve">Invoices should contain </t>
    </r>
    <r>
      <rPr>
        <sz val="10"/>
        <rFont val="Arial"/>
        <family val="2"/>
      </rPr>
      <t>a unique identifier, e</t>
    </r>
    <r>
      <rPr>
        <sz val="10"/>
        <color indexed="8"/>
        <rFont val="Arial"/>
        <family val="2"/>
      </rPr>
      <t xml:space="preserve">.g. order number and should match the pricing schedule unless otherwise agreed by the Purchasing Authority in accordance with this specification.  </t>
    </r>
  </si>
  <si>
    <t>5h_4.3</t>
  </si>
  <si>
    <t>5h_4.4</t>
  </si>
  <si>
    <t>In exceptional cases where the original proof of delivery is lost, damaged or unavailable for some other substantive reason the Contractor may provide a declaration of delivery providing the following information:-
- Dispensing &amp; Despatch date 
- Delivery Date and Route or Carrier information and evidence
- How the delivery was confirmed, by who, when
The Contractor's declaration must be made by an authorised person and such declarations found to be false will be considered as a breach of this agreement.</t>
  </si>
  <si>
    <t>Statement of Accounts &amp; Payments</t>
  </si>
  <si>
    <t>5h_5.1</t>
  </si>
  <si>
    <t>The Purchasing Authority will pay undisputed invoices 30 days from the date of receipt in line with public sector prompt payment Policies.  Disputes involving invoices should be resolved within 30 days of a query being raised.</t>
  </si>
  <si>
    <t>Risk, Liability &amp; Insurance</t>
  </si>
  <si>
    <t>5h_6.1</t>
  </si>
  <si>
    <t>Where medicines or ancillaries or equipment are unusable due to action or inaction of the Contractor,  the unusable items will be collected and replaced at no expense to the Purchasing Authority or, if resupply is not clinically appropriate a credit note will be raised against the invoice for those unusable items.  Unusable items may only be resupplied at the cost of the Purchasing Authority when approved by the Purchasing Authority.
Where a fault, breakdown or damage to equipment is established as being due to the patient’s/carers negligence, misuse or failure to observe any instructions or training concerning the use of the equipment, the Contractor shall have the right to recover the cost of repair or replacement from the Purchasing Authority, provided that such negligence, misuse or failure was not caused or contributed to by any action of or failure to take action by the Contractor.  Equipment may only be resupplied or repaired at the cost of the Purchasing Authority when prior approval has been given by the Purchasing Authority.</t>
  </si>
  <si>
    <t>Capital Equipment</t>
  </si>
  <si>
    <t>5h_7.1</t>
  </si>
  <si>
    <r>
      <t>All equipment must be traceable.  T</t>
    </r>
    <r>
      <rPr>
        <sz val="10"/>
        <rFont val="Arial"/>
        <family val="2"/>
      </rPr>
      <t>he records relating to equipment owned by the Purchasing Authority must be made available on request by the Contractor.</t>
    </r>
  </si>
  <si>
    <t>Outer packaging of homecare deliveries will comply with the General Pharmaceutical Council (GPhC) Standards for home delivery of medicines and medical devices including special storage and health and safety requirements for special handling.  Outer packaging should not have any unnecessary markings likely to indicate the nature of the delivery in order to maintain patient confidentiality.</t>
  </si>
  <si>
    <t xml:space="preserve">Outer packaging will ensure the integrity of the products are maintained throughout the delivery process.  This will include, but is not limited to maintaining appropriate temperatures, protection from light and contamination; reasonable protection from mechanical damage.  </t>
  </si>
  <si>
    <t xml:space="preserve">Under sections 3 and 6 of the Health and Safety at Work Act 1974 there is a duty to protect people not in a company's employment who may be affected by handling loads they have supplied.
Therefore it is good practice for manufacturers and suppliers to mark weights (and, if relevant, information about the heaviest side) on loads if this can be done easily. 
Please see:
</t>
  </si>
  <si>
    <t>Where any products are supplied under this framework the period of time between the date of supply of these goods to the Participating Authority and the expiry date shown on the goods ("the shelf life") shall be not less than 12 months. 
Supply of any product with a shelf life less than 12 months must be agreed with the Participating Authority prior to delivery. 
In the event that the Contractor supplies product with a shelf life of less than 12 months (or such other period as the Participating Authority must have agreed), the Contractor shall, upon request by the Participating Authority and at no cost to the Participating Authority, replace any product the Participating Authority is unable to use within the product’s remaining shelf life period, any replacement product must have a shelf life greater than 12 months. Alternatively, CMU shall be entitled to terminate this framework agreement with immediate effect on giving written notice to the Contractor.</t>
  </si>
  <si>
    <t>The contractor must specify which Pharmaceutical Supplier(s) Manufacturer(s) of treatments for bleeding disorders they are able to undertake home deliveries for, from the list below.  It is the responsibility of the Homecare Provider prior to the commencement of this framework to ensure they have a working relationship in place with the listed Pharmaceutical Supplier(s) Manufacturer(s).
Contractors MUST be prepared to sign a Confidentiality Agreement between each of The Pharmaceutical Supplier(s) Manufacturer(s) and themselves in respect of commercial aspects relating to supply of the medicines used to treat bleeding disorders if The Pharmaceutical supplier(s) (manufacturers) request this of contractors. Please respond 'Yes' to indicate your acceptance of this:</t>
  </si>
  <si>
    <t>5a_1.13.1</t>
  </si>
  <si>
    <t>5a_1.13.2</t>
  </si>
  <si>
    <t>5a_1.13.3</t>
  </si>
  <si>
    <t>5a_1.13.4</t>
  </si>
  <si>
    <t>5a_1.13.5</t>
  </si>
  <si>
    <t>5a_1.13.6</t>
  </si>
  <si>
    <t>5a_1.13.7</t>
  </si>
  <si>
    <t>5a_1.13.8</t>
  </si>
  <si>
    <t>5a_1.13.9</t>
  </si>
  <si>
    <t>5a_1.13.10</t>
  </si>
  <si>
    <t>5a_1.13.11</t>
  </si>
  <si>
    <t>5a_1.13.12</t>
  </si>
  <si>
    <t>5a_1.13.13</t>
  </si>
  <si>
    <t>5a_1.13.14</t>
  </si>
  <si>
    <t>5a_1.13.15</t>
  </si>
  <si>
    <t>5a_1.13.16</t>
  </si>
  <si>
    <t>5a_1.13.17</t>
  </si>
  <si>
    <t>5a_1.13.18</t>
  </si>
  <si>
    <t>5a_1.13.19</t>
  </si>
  <si>
    <t>5a_1.13.20</t>
  </si>
  <si>
    <t>5a_1.13.21</t>
  </si>
  <si>
    <t>5a_1.13.22</t>
  </si>
  <si>
    <t>5a_1.13.23</t>
  </si>
  <si>
    <t>5a_1.13.24</t>
  </si>
  <si>
    <t>5a_1.13.25</t>
  </si>
  <si>
    <t>5a_1.13.26</t>
  </si>
  <si>
    <t>5a_1.13.27</t>
  </si>
  <si>
    <t>5a_1.13.28</t>
  </si>
  <si>
    <t>5a_1.13.29</t>
  </si>
  <si>
    <t>5a_1.13.30</t>
  </si>
  <si>
    <t>5a_1.13.31</t>
  </si>
  <si>
    <t>5a_1.13.32</t>
  </si>
  <si>
    <t>5a_1.13.33</t>
  </si>
  <si>
    <t>5a_1.13.34</t>
  </si>
  <si>
    <t>5a_1.13.35</t>
  </si>
  <si>
    <t>5a_1.13.36</t>
  </si>
  <si>
    <t>5a_1.13.37</t>
  </si>
  <si>
    <t>5a_1.13.38</t>
  </si>
  <si>
    <t>5a_1.13.39</t>
  </si>
  <si>
    <t>5a_1.13.40</t>
  </si>
  <si>
    <t>5a_1.13.41</t>
  </si>
  <si>
    <t>5a_1.13.42</t>
  </si>
  <si>
    <t>5a_1.13.43</t>
  </si>
  <si>
    <t>5a_1.13.44</t>
  </si>
  <si>
    <t>5a_1.13.45</t>
  </si>
  <si>
    <t>5a_1.13.46</t>
  </si>
  <si>
    <t>5a_1.13.47</t>
  </si>
  <si>
    <t>5a_1.13.48</t>
  </si>
  <si>
    <t>5a_1.13.49</t>
  </si>
  <si>
    <t>5a_1.13.50</t>
  </si>
  <si>
    <t>5a_1.13.51</t>
  </si>
  <si>
    <t>5a_1.13.52</t>
  </si>
  <si>
    <t>5a_1.13.53</t>
  </si>
  <si>
    <t>5a_1.13.54</t>
  </si>
  <si>
    <t>5a_1.13.55</t>
  </si>
  <si>
    <t>5a_1.13.56</t>
  </si>
  <si>
    <t>5a_1.13.57</t>
  </si>
  <si>
    <t>5a_1.13.58</t>
  </si>
  <si>
    <t>5a_1.13.59</t>
  </si>
  <si>
    <t>5a_1.13.60</t>
  </si>
  <si>
    <t>5a_1.13.61</t>
  </si>
  <si>
    <r>
      <t xml:space="preserve">The supplier should be registered with Connecting for Health and provide evidence of accreditation to Information Governance Toolkit (IGT) Level 2 by advising your organisation code on the IGT database.  
Further details on the IGT can be found at the following website (Health and Social Care Information Centre) 
</t>
    </r>
    <r>
      <rPr>
        <b/>
        <sz val="10"/>
        <rFont val="Arial"/>
        <family val="2"/>
      </rPr>
      <t>Please indicate Yes / No as to if you comply.  Please note that the inability to comply may result in a bid being unsuccessful.</t>
    </r>
  </si>
  <si>
    <t xml:space="preserve">With reference to the above specification point, please indicate which languages you are able to provide this service for at no extra cost.
</t>
  </si>
  <si>
    <t xml:space="preserve">Contractors must have policies on the following and must ensure that all staff entering the patient's home are trained and monitored for compliance.
• Records Management Policy 
• Zero tolerance and policy for the withdrawal of care </t>
  </si>
  <si>
    <t xml:space="preserve">The Contractor will be responsible for the ordering, receipt, control and payment for all medicinal products and ancillaries and will be responsible for the maintenance of adequate stock levels to satisfactorily meet the requirements of this framework. </t>
  </si>
  <si>
    <t>5h_5</t>
  </si>
  <si>
    <t>5h_6</t>
  </si>
  <si>
    <t>5h_7</t>
  </si>
  <si>
    <t>Subject to the provision of the Terms and Conditions, this framework shall remain in force for the period of 24 months commencing 1 July 2018 until 30 June 2020. In addition there will be an option to extend for up to a further 24 months</t>
  </si>
  <si>
    <t>OFFICIAL SENSITIVE - COMMERCIAL</t>
  </si>
  <si>
    <t>Document 5a - General</t>
  </si>
  <si>
    <t>Overall Service</t>
  </si>
  <si>
    <t xml:space="preserve">Contractors will work in partnership with the Purchasing Authority to ensure patient safety and prescribed treatments are delivered in accordance with their Medicines Pathway, Individual Patient Care Plan and written instructions from the clinician responsible for the patient's treatment. </t>
  </si>
  <si>
    <t xml:space="preserve">The Contractor and Purchasing Authority will work together in partnership to ensure patient safety, patient satisfaction and best possible clinical outcomes and to minimise any additional costs to the purchasing authority. </t>
  </si>
  <si>
    <t>The Contractor will provide adequate facilities and resources to provide the services to the level described within this specification.  Contingency planning is covered within the Governance Section.</t>
  </si>
  <si>
    <r>
      <t>Normal working hours for the homecare service administration staff in the Purchasing Authority are</t>
    </r>
    <r>
      <rPr>
        <sz val="10"/>
        <rFont val="Arial"/>
        <family val="2"/>
      </rPr>
      <t xml:space="preserve"> Monday to Friday 09:00hrs - 17.00hrs excluding bank holidays</t>
    </r>
  </si>
  <si>
    <t xml:space="preserve">The Contractor's normal working hours must match the normal working hours of the Purchasing Authority homecare service administration staff as a minimum.  Extended hours are considered advantageous.  </t>
  </si>
  <si>
    <t>5a_1.6a</t>
  </si>
  <si>
    <t>With reference to the Specification Point above, Contractors should state their normal working hours for responding to queries from the Purchasing Authority.</t>
  </si>
  <si>
    <t xml:space="preserve">The frequency of deliveries will be 4 or 12 weekly for patients receiving treatment via infusions, or oral or inhaled treatments.  </t>
  </si>
  <si>
    <t xml:space="preserve">Where sub-contractors are used either routinely or for contingency for the provision of products and service, all requirements within this specification will be extended to the sub-contractor's organisation and staff.  </t>
  </si>
  <si>
    <t>It is the responsibility of the Contractor to provide evidence that all sub-contractors meet these requirements and to inform the Purchasing Authority of any and all intended subcontracted parts of the service. Contractors must provide a list of sub-contractors and detail any aspects of the tender intended to be sub-contracted for the Purchasing Authority to approve.  The list of sub-contractors is subject to change control provisions of this specification including gaining approval from the Purchasing Authority for any changes.</t>
  </si>
  <si>
    <t>With reference to the Specification Point above, please provide the relevant information and details requested.</t>
  </si>
  <si>
    <t>The Contractor has understanding and experience of providing similar homecare services.</t>
  </si>
  <si>
    <t>With reference to the Specification Point above, please provide details of your understanding / experience.</t>
  </si>
  <si>
    <t>The contractor will represent accurately and honestly their capability to deliver a homecare service at all times during the tendering process and throughout the life of the contract.</t>
  </si>
  <si>
    <t>The Contractor will communicate with the Purchasing Authority if it is unable to fulfil any contracted or otherwise agreed duties.</t>
  </si>
  <si>
    <t>Quality Guidelines and Regulatory Compliance</t>
  </si>
  <si>
    <t>5a_2.1c</t>
  </si>
  <si>
    <t>5a_2.2c</t>
  </si>
  <si>
    <t>Selection, Registration of Patients and Service Activation</t>
  </si>
  <si>
    <t xml:space="preserve">The Purchasing Authority will gain informed patient consent to sharing of their contact information with the Contractor; the Contractor is responsible for obtaining informed patient consent for the service </t>
  </si>
  <si>
    <t xml:space="preserve">On receipt of the registration form, the Contractor will log the patient into their systems identifying the service elements.  Any special needs identified in the individual patient care plan will be considered by the Contractor and any safety concerns or additional costs for product or service items not included in this specification raised with the Purchasing Authority before the patient is designated as ready for service activation. The Contractor has the right to decline to accept patients with additional special needs onto the homecare service.
The patient's details should be recorded in the Contractor's systems and be ready for service activation within 5 working days subject to the timely receipt of the initial prescription and purchase order as detailed in the specification. </t>
  </si>
  <si>
    <t xml:space="preserve">The Purchasing Authority will complete and securely transmit to the Contractor, an initial prescription for medicines and ancillaries and equipment lists as required for the first treatment period plus a specified quantity of safety stock and its associated purchase order.  Where an expected service activation date is provided on the registration form, the initial prescription will provide the confirmed service activation date.  The hard copy (original) prescription and purchase order will be provided at the same time as the registration form or at least 5 working days before the confirmed service activation date.  </t>
  </si>
  <si>
    <t>5a_3.6</t>
  </si>
  <si>
    <t>5a_3.6a</t>
  </si>
  <si>
    <t>With reference to the Specification Point above, please demonstrate your processes used to achieve this.</t>
  </si>
  <si>
    <t>5a_3.7</t>
  </si>
  <si>
    <t xml:space="preserve">The Contractor should have processes in place to undertake regular reviews to confirm any alteration in the patient's status, and have processes in place to identify and respond to any change in the patients circumstances that impact on the patient suitability and needs assessment.  </t>
  </si>
  <si>
    <t>5a_3.7a</t>
  </si>
  <si>
    <t>With reference to the Specification Point above please demonstrate your processes.</t>
  </si>
  <si>
    <t>5a_3.8</t>
  </si>
  <si>
    <t>The Contractor should have processes in place to ensure the Purchasing Authority is notified of any issue preventing the service activation for a patient on the confirmed activation date, or any patient for whom an expected service activation date has not been confirmed.</t>
  </si>
  <si>
    <t>5a_3.8a</t>
  </si>
  <si>
    <t xml:space="preserve">With reference to the Specification Point above, please demonstrate your processes. </t>
  </si>
  <si>
    <t>Communication with the Patient</t>
  </si>
  <si>
    <t>Communication with the patient should be initiated by the Contractor only as needed to deliver the homecare service.</t>
  </si>
  <si>
    <r>
      <t>The Contractor is responsible for providing each patient with a homecare service "welcome pack"  within 5</t>
    </r>
    <r>
      <rPr>
        <sz val="10"/>
        <color rgb="FFFF0000"/>
        <rFont val="Arial"/>
        <family val="2"/>
      </rPr>
      <t xml:space="preserve"> </t>
    </r>
    <r>
      <rPr>
        <sz val="10"/>
        <rFont val="Arial"/>
        <family val="2"/>
      </rPr>
      <t xml:space="preserve">working days of the date the patient is recorded in the Contractor's systems as ready for service activation.  </t>
    </r>
  </si>
  <si>
    <t xml:space="preserve">The homecare service "welcome pack’  will detail useful and helpful information for patients and carers, this should include:
• Welcome to the service
• The roles of any of the Contractor's staff they will encounter during the service
• Therapy information – description of service, deliveries, equipment, visits and their responsibilities as appropriate to their Medicines Pathway
• How to arrange deliveries
• How to handle and store medicines, e.g. use equipment provided, appropriate stock rotation, special storage conditions, safe handling and equipment failure.
• How to access patient support services provided
• Patient Services opening hours, out of hours and emergency contacts
• Who to contact if... e.g. running short of medicines or ancillaries (must include 'out of hours' contact number.)
• Who to contact and what to do if... e.g. clinical adverse event occurs, equipment fails  (must include 'out of hours' contact number.)
• How their confidentiality will be maintained and personal data used
• How to complain about the homecare service
• Provide opportunity for a patient to request an alternative and/or additional delivery address in the local vicinity e.g. work place.
</t>
  </si>
  <si>
    <t>5a_4.3a</t>
  </si>
  <si>
    <t>With reference to the Specification Point above, please provide an example of your welcome pack.</t>
  </si>
  <si>
    <t>The Contractor will provide general details of the travel advice that may be available within patient "welcome packs". This will include:  
•Instructions on how patients request alternative delivery to any address in the UK mainland including islands accessible by road plus the Isle of Wight and the Isles of Scilly. 
• Instructions regarding how patients are responsible for working jointly with Contractors and Purchasing Authorities to make arrangements for travel, including a pre-travel patient action check-list
• Advice on packaging certain medicines for transportation</t>
  </si>
  <si>
    <t>5a_4.4a</t>
  </si>
  <si>
    <t>With reference to the Specification Point above, please provide an example of your travel service.</t>
  </si>
  <si>
    <t>5a_4.5</t>
  </si>
  <si>
    <t>5a_4.5a</t>
  </si>
  <si>
    <t xml:space="preserve">With reference to the Specification Point above, please detail the Patient Services telephone helpline to be provided.  </t>
  </si>
  <si>
    <t>5a_4.6</t>
  </si>
  <si>
    <t>All contact between the Contractor and the patient must be logged and records made available to the Purchasing Authority on request.</t>
  </si>
  <si>
    <t>Training and Education of Patients and Carers</t>
  </si>
  <si>
    <r>
      <t>Patients/carers who are self-administering medicines at home must be assessed as competent to self-administer on initiation of the service and at 6 or 12 month intervals thereafter, as specified by the Purchasing Authority.  Competency assessments of the patients and carers following training is the responsibility of the Purchasing Authority</t>
    </r>
    <r>
      <rPr>
        <sz val="10"/>
        <rFont val="Arial"/>
        <family val="2"/>
      </rPr>
      <t xml:space="preserve"> or as detailed in the agreed Individual Patient Care Plan. </t>
    </r>
  </si>
  <si>
    <t>Stock Management in the Home</t>
  </si>
  <si>
    <t xml:space="preserve">It is expected that patients will maintain safety stock in the home sufficient for 14 days treatment in addition to that calculated as normal as designated within the Medicines Pathway.  </t>
  </si>
  <si>
    <t xml:space="preserve">The Contractor will implement procedures to ensure the patient receives deliveries containing quantities of medicines and ancillaries for the expected treatment duration in accordance with the Medicines Pathway and/or administration instructions detailed on the patient's prescription.  </t>
  </si>
  <si>
    <t>5a_6.3</t>
  </si>
  <si>
    <t>5a_6.4</t>
  </si>
  <si>
    <t>Subject to the patients or carers consent, stock identified as past its expiry date or unusable for any other reason must be removed from the patient’s home at the earliest opportunity to ensure patient safety.  
The Contractor must log such events as incidents and report to the Purchasing Authority as agreed in this specification.</t>
  </si>
  <si>
    <t xml:space="preserve">Returns &amp; Clinical Waste Management </t>
  </si>
  <si>
    <t>5a_7.1c</t>
  </si>
  <si>
    <r>
      <rPr>
        <sz val="10"/>
        <rFont val="Arial"/>
        <family val="2"/>
      </rPr>
      <t>The Contractor will be responsible for the safe disposal and removal</t>
    </r>
    <r>
      <rPr>
        <sz val="10"/>
        <color indexed="10"/>
        <rFont val="Arial"/>
        <family val="2"/>
      </rPr>
      <t xml:space="preserve"> </t>
    </r>
    <r>
      <rPr>
        <sz val="10"/>
        <color indexed="8"/>
        <rFont val="Arial"/>
        <family val="2"/>
      </rPr>
      <t xml:space="preserve">of the patient’s clinical waste at intervals agreed with the Purchasing Authority </t>
    </r>
    <r>
      <rPr>
        <sz val="10"/>
        <rFont val="Arial"/>
        <family val="2"/>
      </rPr>
      <t>and</t>
    </r>
    <r>
      <rPr>
        <sz val="10"/>
        <color indexed="8"/>
        <rFont val="Arial"/>
        <family val="2"/>
      </rPr>
      <t xml:space="preserve"> will provide approved sharps disposal boxes and appropriate clinical waste containers.  All current UK and EU law and regulations on clinical waste must be adhered to by the Contractor including the collection, transportation and disposal of clinical waste.  </t>
    </r>
    <r>
      <rPr>
        <b/>
        <sz val="10"/>
        <color indexed="8"/>
        <rFont val="Arial"/>
        <family val="2"/>
      </rPr>
      <t xml:space="preserve">Please indicate Yes / No as to if you comply.   Please note that the inability to comply may result in a bid being unsuccessful.  In addition, please provide a copy of the applicable </t>
    </r>
    <r>
      <rPr>
        <b/>
        <sz val="10"/>
        <rFont val="Arial"/>
        <family val="2"/>
      </rPr>
      <t xml:space="preserve">waste management licence. </t>
    </r>
  </si>
  <si>
    <t>Returned medicines which have been outside the control of the Contractor or an approved sub-contractor (e.g. delivered to a patient) must not be reissued to another patient by the Contractor.</t>
  </si>
  <si>
    <t>Care Away from Home</t>
  </si>
  <si>
    <t xml:space="preserve">There will continue to be a range of situations where it is appropriate to arrange short notice delivery to addresses other than the patient's home address (e.g. patient's being re-admitted to hospital at short notice). </t>
  </si>
  <si>
    <t>5a_8.1a</t>
  </si>
  <si>
    <t>With reference to the above specification point, please demonstrate how managing flexibility and short notice delivers will be achieved.</t>
  </si>
  <si>
    <t xml:space="preserve">Contractors may be asked to deliver to different UK addresses. e.g. students with home and term time addresses or children living between two parents.  </t>
  </si>
  <si>
    <t>5a_8.3</t>
  </si>
  <si>
    <t xml:space="preserve">The Contractor will be required in exceptional circumstances to provide additional supplies to cover patient holidays and travel away from home  to any address in the UK mainland including islands accessible by road plus the Isle of Wight and the Isles of Scilly. </t>
  </si>
  <si>
    <t>5a_8.3a</t>
  </si>
  <si>
    <r>
      <rPr>
        <b/>
        <sz val="10"/>
        <rFont val="Arial"/>
        <family val="2"/>
      </rPr>
      <t xml:space="preserve">With reference to the above specification point, please describe how you would provide a service to patients when they are on holidays or travel away from home in the UK. </t>
    </r>
    <r>
      <rPr>
        <sz val="10"/>
        <rFont val="Arial"/>
        <family val="2"/>
      </rPr>
      <t xml:space="preserve"> </t>
    </r>
  </si>
  <si>
    <t>5a_8.4</t>
  </si>
  <si>
    <t>Patients are required to provide at least 4 weeks notice of travel plans within the UK in order that the Contractor can make necessary arrangements for service delivery. 
If patients are planning to travel abroad, and notify the Contractor, the Contractor will notify the Purchasing Authority at least 4 weeks in advance of the departure date.  
The patient is responsible for obtaining appropriate medical insurance which will allow them to obtain appropriate medical advice and treatment locally and to cover any unplanned events. The Contractor may be contacted to provide assistance, however there is no responsibility to get medicines or ancillaries to the patient should the patient not be able to return home as planned.</t>
  </si>
  <si>
    <t>Termination or interruption of the Homecare Service</t>
  </si>
  <si>
    <t>The patient may no longer require the Homecare Service due to cessation of treatment,  transfer to another therapy, admission into hospital or death.  The Contractor must have processes in place to manage termination or interruption of the homecare service for an individual patient.   The Purchasing Authority may request the Contractor to collect all new and un-used medicines, ancillaries and equipment and dispose or recycle them as appropriate.   In the event of a patient’s death the process described will be carried out with particular sensitivity at a time convenient to the patient’s family or carer.</t>
  </si>
  <si>
    <t>5a_9.1a</t>
  </si>
  <si>
    <t>With reference to the above specification point, please provide details of how you would manage this.</t>
  </si>
  <si>
    <t>5a_9.2</t>
  </si>
  <si>
    <r>
      <t>Any instruction from the Purchasing Authority to interrupt or terminate the ho</t>
    </r>
    <r>
      <rPr>
        <sz val="10"/>
        <rFont val="Arial"/>
        <family val="2"/>
      </rPr>
      <t>mecare service for an individual patient must be implemented within 2 working days.</t>
    </r>
    <r>
      <rPr>
        <sz val="10"/>
        <color indexed="8"/>
        <rFont val="Arial"/>
        <family val="2"/>
      </rPr>
      <t xml:space="preserve"> The Purchasing Authority will not be responsible for any costs or losses incurred by the Contractor for products or services provided later than th</t>
    </r>
    <r>
      <rPr>
        <sz val="10"/>
        <rFont val="Arial"/>
        <family val="2"/>
      </rPr>
      <t xml:space="preserve">e 2nd </t>
    </r>
    <r>
      <rPr>
        <sz val="10"/>
        <color indexed="8"/>
        <rFont val="Arial"/>
        <family val="2"/>
      </rPr>
      <t xml:space="preserve">working day after notification of interruption or termination of service.  Confirmation must be provided in writing if initial instruction is via phone message.       </t>
    </r>
  </si>
  <si>
    <t>5a_9.3</t>
  </si>
  <si>
    <r>
      <t>All equipment, ancillaries and unwanted medicines will be collected by the Contractor within</t>
    </r>
    <r>
      <rPr>
        <sz val="10"/>
        <rFont val="Arial"/>
        <family val="2"/>
      </rPr>
      <t xml:space="preserve"> 10</t>
    </r>
    <r>
      <rPr>
        <sz val="10"/>
        <color indexed="8"/>
        <rFont val="Arial"/>
        <family val="2"/>
      </rPr>
      <t xml:space="preserve"> working days of the termination of the homecare service or as agreed with the patient or carer.</t>
    </r>
  </si>
  <si>
    <t xml:space="preserve">Communication with the Purchasing Authority </t>
  </si>
  <si>
    <t>5a_10.2</t>
  </si>
  <si>
    <t>The Contractor is to provide a service available to the Purchasing Authority for resolution of service queries, complaints and contract management.  The following attributes are the minimum requirements:
• Contractor's staff to be available by telephone between 09:00hrs and 17:00hrs weekdays with answer phone outside those hours 
• This telephone number should be a different number to the patient helpline number
• secure e-mail for exchange of patient identifiable information
• named contract manager and deputy</t>
  </si>
  <si>
    <t>5a_10.3</t>
  </si>
  <si>
    <t>All contact between the Contractor and the Purchasing Authority must be logged and records made available to the Purchasing Authority on request.  The Contractor must ensure robust communication processes are in place to support the provision of the homecare service</t>
  </si>
  <si>
    <t>5a_10.3a</t>
  </si>
  <si>
    <t>Performance Monitoring and Management Information</t>
  </si>
  <si>
    <t>The Purchasing Authority and the Contracting Authority are responsible for managing the quality of the homecare services and performance of Contractors.  This is managed via the collection of Key Performance Indicators and regular contract review meetings. The receiving Contracting Authority may share Purchasing Authority level information with the relevant Purchasing Authority.</t>
  </si>
  <si>
    <t>5a_11.2c</t>
  </si>
  <si>
    <t>5a_11.3</t>
  </si>
  <si>
    <t>5a_11.4</t>
  </si>
  <si>
    <t xml:space="preserve">Contract Review Meetings will be held with each of the successful Contractors 4 times each year, minimum 2 at a local level with the Purchasing Authority and 2 at a national level with all relevant stakeholders. </t>
  </si>
  <si>
    <t>5a_11.5</t>
  </si>
  <si>
    <r>
      <t>The Contractor will comply with all reasonable requests by the Department of Health, CMU, the Purchasing Authority and NHS England (or any future organisations they become part of) for management data to be provided in respect of the products and services supplied under this framework. This information is to be provided withi</t>
    </r>
    <r>
      <rPr>
        <sz val="10"/>
        <rFont val="Arial"/>
        <family val="2"/>
      </rPr>
      <t xml:space="preserve">n 10 </t>
    </r>
    <r>
      <rPr>
        <sz val="10"/>
        <color indexed="8"/>
        <rFont val="Arial"/>
        <family val="2"/>
      </rPr>
      <t>working days for ad hoc requests or at a time agreed between the parties.</t>
    </r>
  </si>
  <si>
    <t>5a_11.6</t>
  </si>
  <si>
    <t>5a_11.7</t>
  </si>
  <si>
    <t xml:space="preserve">The Contractor will carry out self-inspections of their quality system at regular intervals and record the results and raise corrective and preventative actions for any non-conformances found. </t>
  </si>
  <si>
    <t>5a_11.8</t>
  </si>
  <si>
    <t xml:space="preserve">The Purchasing Authority may perform a routine annual audit of the Contractor's operations to assure itself of compliance with the terms of this specification by giving at least 28 days notice or at a time agreed between the parties.  
</t>
  </si>
  <si>
    <t>Change Management</t>
  </si>
  <si>
    <t xml:space="preserve">Any planned changes to Contractor's or Purchasing Authority's facilities, processes, documents, medicines, ancillaries, equipment or staffing levels which may reasonably be expected to impact on the quality of the service must be notified to the other party as far in advance as responsibly possible and in any case prior to the change occurring. </t>
  </si>
  <si>
    <t>5a_12.2</t>
  </si>
  <si>
    <r>
      <t xml:space="preserve">Any changes to Contractor's facilities, processes, documents, medicines, ancillaries, equipment or staffing levels which may reasonably be expected to impact on compliance with this specification must be approved by the Purchasing Authority as far in advance as responsibly possible and in any case </t>
    </r>
    <r>
      <rPr>
        <sz val="10"/>
        <rFont val="Arial"/>
        <family val="2"/>
      </rPr>
      <t>at least 28 days</t>
    </r>
    <r>
      <rPr>
        <i/>
        <sz val="10"/>
        <color indexed="10"/>
        <rFont val="Arial"/>
        <family val="2"/>
      </rPr>
      <t xml:space="preserve"> </t>
    </r>
    <r>
      <rPr>
        <sz val="10"/>
        <color indexed="8"/>
        <rFont val="Arial"/>
        <family val="2"/>
      </rPr>
      <t xml:space="preserve">prior to the change occurring. </t>
    </r>
  </si>
  <si>
    <t>5a_12.3</t>
  </si>
  <si>
    <t>Where either the Purchasing Authority or Contractor requests approval for any change, approval is not to be unreasonably withheld or delayed by the other party.</t>
  </si>
  <si>
    <t>5a_12.4</t>
  </si>
  <si>
    <t>5a_12.4a</t>
  </si>
  <si>
    <t xml:space="preserve">With reference to the above specification point, please provide details of your internal change control processes. </t>
  </si>
  <si>
    <t>5a_12.5</t>
  </si>
  <si>
    <t>5a_12.6</t>
  </si>
  <si>
    <t xml:space="preserve">The  Contractor and the Purchasing Authority are jointly responsible for ensuring a smooth transition onto the service for new patients or from one Contractor to another. </t>
  </si>
  <si>
    <t>5a_12.6a</t>
  </si>
  <si>
    <t>With reference to the above specification point, could you please provide details on how you will ensure a smooth implementation of a new service and smooth transition of existing patients.</t>
  </si>
  <si>
    <t>5a_13</t>
  </si>
  <si>
    <t>Provision of services outside this specification</t>
  </si>
  <si>
    <t>5a_13.1</t>
  </si>
  <si>
    <t xml:space="preserve">The Contractor and Purchasing Authority recognise that there may be a need for additional or specialised services for individual patients. Such services will be agreed between the parties and the responsibilities of each of the parties documented in the Individual Patient Care Plan. </t>
  </si>
  <si>
    <t>5a_13.1a</t>
  </si>
  <si>
    <t>With reference to the above specification point, could you please provide details on how you would manage this.</t>
  </si>
  <si>
    <t>5a_13.2</t>
  </si>
  <si>
    <t xml:space="preserve">The Contractor and Purchasing Authority recognise that there may be a need for urgent or emergency services in exceptional circumstances.  If urgent or emergency services that are outside the terms this specification are to be provided by the Contractor to one of the Purchasing Authority's patients for the purposes of maintaining patient safety, the Contractor will make its best efforts to contact and agree its actions in advance with the Purchasing Authority.  </t>
  </si>
  <si>
    <t>5a_13.2a</t>
  </si>
  <si>
    <t>5a_14</t>
  </si>
  <si>
    <t>5a_14.1</t>
  </si>
  <si>
    <r>
      <rPr>
        <sz val="10"/>
        <rFont val="Arial"/>
        <family val="2"/>
      </rPr>
      <t>The requirements detailed in this specification are in addition to and complement the</t>
    </r>
    <r>
      <rPr>
        <b/>
        <sz val="10"/>
        <rFont val="Arial"/>
        <family val="2"/>
      </rPr>
      <t xml:space="preserve"> </t>
    </r>
    <r>
      <rPr>
        <sz val="10"/>
        <rFont val="Arial"/>
        <family val="2"/>
      </rPr>
      <t>NHS Conditions of Contract for the supply of services and NHS Conditions of contract for the purchase of goods (supplementary).</t>
    </r>
  </si>
  <si>
    <t>Document 5b - Prescribing &amp; Dispensing</t>
  </si>
  <si>
    <t>The prescribing process</t>
  </si>
  <si>
    <t xml:space="preserve">The Purchasing Authority will provide valid prescriptions to the Contractor in accordance with the prevailing regulations and in the agreed format. </t>
  </si>
  <si>
    <t>All prescriptions will be signed by an authorised prescriber at the Purchasing Authority.</t>
  </si>
  <si>
    <t xml:space="preserve">Where possible all prescriptions will be clinically screened and validated by the appropriate clinical pharmacist at the Purchasing Authority before submission to the Contractor for dispensing. </t>
  </si>
  <si>
    <t xml:space="preserve">The Purchasing Authority will transmit or transfer prescriptions to the Contractor via approved methods that are IGT Level 2 compliant or otherwise specified in the Data Sharing or Data Processing agreement.  </t>
  </si>
  <si>
    <t>The prescription must be dispensed for the first time within 6 months of being signed and dated by an authorised prescriber. Repeat prescribing – there is no legal time limit for the remaining repeats, but it must be stated that it is a repeatable prescription with the number of repeats required.</t>
  </si>
  <si>
    <t>Wherever possible, the Purchasing Authority will provide prescriptions for products included in the Commercial Medicines Unit Framework's contract lines and prices.
Whilst prescriptions are routinely written generically, where it is important for a specific brand or manufacturer's product to be supplied the Purchasing Authority will issue a prescription detailing the specific brand.
This will be accomplished by showing the brand for each specified item on each prescription.</t>
  </si>
  <si>
    <t xml:space="preserve">The Purchasing Authority will have a robust process in place for notifying the Contractor of changes in prescribed medications and/or dosages for existing patients. </t>
  </si>
  <si>
    <t>The Purchasing Authority will ensure prescriptions for unlicensed imported medicines or Specials are clear and unambiguous.  The Purchasing Authority is responsible for ensuring that the prescriber and patient are aware that the medicine(s) being prescribed/administered is unlicensed and both have given informed consent.  The Purchasing Authority will ensure that the prescriber and patient consent is clearly identifiable by the dispensing pharmacist for each prescription for unspecified unlicensed imported medicines or Special medicine.</t>
  </si>
  <si>
    <t xml:space="preserve">The Contractor must have measures in place to ensure that repeat prescription(s) are requested from the Purchasing Authority 4 weeks in advance of them being required for dispensing.
</t>
  </si>
  <si>
    <t xml:space="preserve">The Contractor must have measures in place to ensure that prescription(s) are only dispensed if  they are valid and have been  signed by an authorised prescriber and have been validated by a clinical pharmacist at the Purchasing Authority.  </t>
  </si>
  <si>
    <t>With reference to the above specification point, please describe how this will be managed.</t>
  </si>
  <si>
    <t xml:space="preserve">Unlicensed medicines may not be dispensed unless specified in this tender or otherwise agreed with the Purchasing Authority on a case-by-case basis.   </t>
  </si>
  <si>
    <t>5b_2.3</t>
  </si>
  <si>
    <t xml:space="preserve">The Contractor should dispense Commercial Medicines Unit Framework's contract lines wherever specified.  </t>
  </si>
  <si>
    <t>5b_2.3a</t>
  </si>
  <si>
    <t>With reference to the above point, please describe your process for handling this.</t>
  </si>
  <si>
    <t>5b_2.4</t>
  </si>
  <si>
    <t>All medicines supplied to patients by the Contractor will have a shelf life which is appropriate to the duration of treatment.</t>
  </si>
  <si>
    <t>5b_2.5</t>
  </si>
  <si>
    <t xml:space="preserve">The product and/or medicine will be dispensed and labelled in accordance with current legislation and GPhC and RPS best practice standards by the Contractor.  </t>
  </si>
  <si>
    <t>5b_2.6</t>
  </si>
  <si>
    <t>Licensed medicines will be supplied with their Patient Information Leaflets (PILs)</t>
  </si>
  <si>
    <t>5b_2.7</t>
  </si>
  <si>
    <t xml:space="preserve">The Contractor must ensure that all prescriptions undergo a final dispensing accuracy check by a registered pharmacist or registered accredited checking Pharmacy technician, under the supervision of a registered responsible pharmacist, in accordance with current legislation.  </t>
  </si>
  <si>
    <t>5b_2.8</t>
  </si>
  <si>
    <t xml:space="preserve">In the event of a manufacturing or supply problem beyond the control of the Contractor, the Contractor will notify the Purchasing Authority as soon as reasonably practical and both parties will work in partnership to minimise additional costs to the Purchasing Authority whilst maintaining patient safety.  </t>
  </si>
  <si>
    <t>5b_2.9</t>
  </si>
  <si>
    <t xml:space="preserve">The Contractor will have a robust process in place for receiving and acting on notifications from the Purchasing Authority of changes in prescribed medications and/or dosages for existing patients. </t>
  </si>
  <si>
    <t>5b_2.9a</t>
  </si>
  <si>
    <t>With reference to the above point, please describe how this will be managed</t>
  </si>
  <si>
    <t>Outer packaging</t>
  </si>
  <si>
    <t>Document 5c - Delivery</t>
  </si>
  <si>
    <t>Delivery Scope</t>
  </si>
  <si>
    <t>Routine Delivery Scheduling</t>
  </si>
  <si>
    <t xml:space="preserve">Deliveries should be at clinically appropriate frequency meeting the needs of the Medicines Pathway and/or Individual Care Plan.  The frequency of deliveries will usually be 4 or 12 weekly for patients receiving treatment via infusions, or oral or inhaled treatments. </t>
  </si>
  <si>
    <t>The Contractor shall ensure that deliveries are made to the patient’s confirmed delivery address during normal delivery  hours. (Note: the definition of working hours is 8:00hrs and 18:00hrs between Monday and Friday and 8:00hrs to 12:00hrs on Saturdays excluding Bank Holidays.)  
The delivery day and morning slot (08:00hrs - 13:00hrs) or afternoon slot (13:00hrs - 18:00hrs) should be agreed at the time of scheduling with the patient.  A specified 2 hour window should then be confirmed with the patient no later than 21:00hrs the day before delivery.
If the patient's routine delivery would be due on a non-working day the delivery date should be scheduled in the 5 working days prior to the Bank Holiday. 
Please note that if due to exceptional circumstances a delivery is to be after 20.00hrs, it should be with prior patient consent.</t>
  </si>
  <si>
    <r>
      <t>With reference to the above</t>
    </r>
    <r>
      <rPr>
        <b/>
        <sz val="10"/>
        <color indexed="10"/>
        <rFont val="Arial"/>
        <family val="2"/>
      </rPr>
      <t xml:space="preserve"> </t>
    </r>
    <r>
      <rPr>
        <b/>
        <sz val="10"/>
        <color indexed="8"/>
        <rFont val="Arial"/>
        <family val="2"/>
      </rPr>
      <t>point, please detail how you would manage this.</t>
    </r>
  </si>
  <si>
    <t xml:space="preserve">The service is to be delivered at a place convenient to the patient.  This may be their home of other suitable community setting e.g. workplace, friend or relative's address or day care centre. </t>
  </si>
  <si>
    <t xml:space="preserve">If the Contractor becomes aware that the confirmed delivery date and time will not be met, they must contact the patient at the earliest opportunity to advise them of the new anticipated time of arrival and/or arrange an alternative delivery date and time. Patient choice of innovative communication methods such as text reminders, online tracking are considered advantageous. </t>
  </si>
  <si>
    <t xml:space="preserve">With reference to the above specification point, please indicate how you will manage this.
</t>
  </si>
  <si>
    <t>Preparing for the Delivery</t>
  </si>
  <si>
    <t>5c_3.1</t>
  </si>
  <si>
    <t>5c_3.2</t>
  </si>
  <si>
    <t xml:space="preserve">The Contractor must ensure that all product and/or medicine are stored, transported and delivered in a clean condition. </t>
  </si>
  <si>
    <t>5c_3.3</t>
  </si>
  <si>
    <r>
      <t xml:space="preserve">All deliveries should be made under appropriately controlled conditions to suit the nature of the consignments being delivered.
Suitable delivery methods include
- via specially trained homecare delivery drivers (Note: this is essential if the driver enters the patient's home as a standard element of the homecare service)
- specialist pharmaceutical delivery network holding an MHRA Wholesale Dealer's Licence
</t>
    </r>
    <r>
      <rPr>
        <sz val="10"/>
        <rFont val="Arial"/>
        <family val="2"/>
      </rPr>
      <t>- Sub Contracted Courier
- Non-Contracted Courier (in exceptional circumstances)</t>
    </r>
    <r>
      <rPr>
        <sz val="10"/>
        <color indexed="8"/>
        <rFont val="Arial"/>
        <family val="2"/>
      </rPr>
      <t xml:space="preserve">
Delivery networks which minimise the risk of product loss and provide audit trail of pharmaceutical storage conditions being maintained throughout are preferred.</t>
    </r>
  </si>
  <si>
    <t>5c_3.3a</t>
  </si>
  <si>
    <t>With reference to the above specification point, please advise how you would manage the above.</t>
  </si>
  <si>
    <t>5c_3.4</t>
  </si>
  <si>
    <t xml:space="preserve">The delivery personnel will carry photographic identification, to be shown and/or visible at all times, and be of smart appearance and fully conversant with the delivery system. </t>
  </si>
  <si>
    <t xml:space="preserve">It is advantageous if patients/carers receive deliveries via the same driver and are informed in advance if there is a permanent change of driver or if the regular driver is on holiday, or if a courier service is to be used. </t>
  </si>
  <si>
    <t>With reference to the above specification point, please provide details of how this process will be managed.</t>
  </si>
  <si>
    <t xml:space="preserve">Outer packaging and/or additional labelling for an individual homecare delivery that is added by delivery staff after handover from the pharmacy must be in compliance with processes approved by the Superintendent Pharmacist or, in exceptional circumstances only, approved on an ad hoc basis by the Responsible Registered Pharmacist.   </t>
  </si>
  <si>
    <t>Making the Delivery</t>
  </si>
  <si>
    <t xml:space="preserve">The delivery service is to be provided in a courteous, helpful and confidential manner. Drivers are to be flexible and respect patients' and carers' needs.  </t>
  </si>
  <si>
    <t xml:space="preserve">Consignments must only be delivered to the agreed address and signed for by designated person(s) approved by the patient or carer. Consignments must not be left unattended. </t>
  </si>
  <si>
    <t>5c_4.2a</t>
  </si>
  <si>
    <t>With reference to the above specification point, please provide details of your processes that ensure consignments are delivered to designated persons including how the information is made available to the driver.</t>
  </si>
  <si>
    <t xml:space="preserve">No member of the Contractor's delivery staff is required to enter into the patient's home to provide the homecare service, unless it has been agreed in advance via a patient risk assessment. This must be documented on the patient registration form, for instance the patient requires help unpacking and putting the medicines away.  Should a member of the Contractor's Delivery Staff be invited to enter the patient's home they should only do so if essential e.g. to ensure patient safety.  A record of this event must be recorded.  </t>
  </si>
  <si>
    <r>
      <t xml:space="preserve">The patient or carer reserves the right to refuse to accept </t>
    </r>
    <r>
      <rPr>
        <sz val="10"/>
        <color indexed="8"/>
        <rFont val="Arial"/>
        <family val="2"/>
      </rPr>
      <t xml:space="preserve">consignments or part consignments which are found, on receipt, to be damaged, faulty and/or otherwise incorrect.  Such events will be recorded by the Contractor and reported to the Purchasing Authority in accordance with this specification.   </t>
    </r>
  </si>
  <si>
    <t>The delivery personnel must remove all outer delivery packaging if requested to do so by the patient or carer, and it is appropriate to do so.</t>
  </si>
  <si>
    <t>Failed deliveries, collections and returns</t>
  </si>
  <si>
    <t xml:space="preserve">The Contractor must have robust systems in place to re-deliver and/or return failed deliveries and follow through in a timely manner to ensure the patient receives a replacement consignment where appropriate.   </t>
  </si>
  <si>
    <t>It is preferable that all collections of returned items are made at the same time as a scheduled product delivery.  If the collection is not taking place at the same time as the delivery, the Contractor must agree a convenient collection time with the patient or carer mirroring the specified delivery service level, and this must be at the Contractor's cost.  If there are exceptional circumstances, this must be agreed with and authorised by the Purchasing Authority.</t>
  </si>
  <si>
    <t>Emergency Deliveries</t>
  </si>
  <si>
    <t>5a_15</t>
  </si>
  <si>
    <t>5a_15.1</t>
  </si>
  <si>
    <t>5a_16</t>
  </si>
  <si>
    <t>5a_16.1</t>
  </si>
  <si>
    <t>5b_1.11</t>
  </si>
  <si>
    <t>5b_1.12</t>
  </si>
  <si>
    <t>5b_1.12.1</t>
  </si>
  <si>
    <t>5b_1.12.2</t>
  </si>
  <si>
    <t>5b_1.12.3</t>
  </si>
  <si>
    <t>5b_1.12.4</t>
  </si>
  <si>
    <t>5b_1.12.5</t>
  </si>
  <si>
    <t>5b_1.12.6</t>
  </si>
  <si>
    <t>5b_1.12.7</t>
  </si>
  <si>
    <t>5b_1.12.8</t>
  </si>
  <si>
    <t>5b_1.12.9</t>
  </si>
  <si>
    <t>5b_1.12.10</t>
  </si>
  <si>
    <t>5b_1.12.11</t>
  </si>
  <si>
    <t>©NHS England 2018</t>
  </si>
  <si>
    <t>Offerors completing this Specification should save the file as Excel format. Please do NOT use square brackets [  ] when referring to reference points in your responses.</t>
  </si>
  <si>
    <t xml:space="preserve">The following reports should be sent directly to the Purchasing Authority as agreed:
• Drugs stock report for individual patients 
• Report on uncontactable patients
• Monthly delivery report
</t>
  </si>
  <si>
    <r>
      <t>Any non-clinical home visits to be provided as part of the homecare service are listed below, and should be conducted between 08.00 and 18.00   Non-clinical home visits are undertaken by the Contractor only where necessary to meet the terms of this specification.  
-  Equipment installation visit
-  Delivery of heavy items into the patient home</t>
    </r>
    <r>
      <rPr>
        <sz val="10"/>
        <rFont val="Arial"/>
        <family val="2"/>
      </rPr>
      <t xml:space="preserve">
The Contractor will ensure escalation contacts are available at all times home visits are being undertaken.
The Purchasing Authority is responsible for assessing the risks associated with non-clinical home visits.   Also see Risk Management section on the Governance Tab.</t>
    </r>
  </si>
  <si>
    <t>An Emergency delivery is defined as a delivery requested and authorised by the Purchasing Authority for delivery within 24 hours.</t>
  </si>
  <si>
    <t>5a_1.13.62</t>
  </si>
  <si>
    <t>5a_1.13.63</t>
  </si>
  <si>
    <t>5a_1.13.64</t>
  </si>
  <si>
    <t>5a_1.13.65</t>
  </si>
  <si>
    <t>5a_1.13.66</t>
  </si>
  <si>
    <t>5a_1.13.67</t>
  </si>
  <si>
    <t>5a_1.13.68</t>
  </si>
  <si>
    <t>5a_1.13.69</t>
  </si>
  <si>
    <t>5a_1.13.70</t>
  </si>
  <si>
    <t>5a_1.13.71</t>
  </si>
  <si>
    <t>5a_1.13.72</t>
  </si>
  <si>
    <t>NHS National Framework agreement for the supply of Homecare Delivery Service – Products for the treatment of bleeding disorders in England, Wales and Northern Ireland</t>
  </si>
  <si>
    <t>This specification outlines the general requirements for this framework agreement for a Homecare Delivery Service for products for the treatment of bleeding disorders purchased by the NHS in England, Wales and Northern Ireland delivered via a refrigerated van. There are further supplementary specifications which outline the specific requirements with regard to:</t>
  </si>
  <si>
    <t>•  Products and medicines, prescribing and dispensing
•  Delivery and service
•  Information and training for patients and staff
•  Equipment and ancillaries
•  Home access
•  Governance
•  Finance</t>
  </si>
  <si>
    <r>
      <t xml:space="preserve">This Framework agreement is for provision of a Homecare Delivery Service for products and medicines for the treatment of bleeding disorders in England, Wales and Northern Ireland, which may include the following items:
</t>
    </r>
    <r>
      <rPr>
        <sz val="12"/>
        <color rgb="FFFF0000"/>
        <rFont val="Arial"/>
        <family val="2"/>
      </rPr>
      <t xml:space="preserve">NOTE: </t>
    </r>
    <r>
      <rPr>
        <sz val="12"/>
        <rFont val="Arial"/>
        <family val="2"/>
      </rPr>
      <t>These products and medicines may change over the duration of the framework.</t>
    </r>
  </si>
  <si>
    <t>Von Willabrand Factor</t>
  </si>
  <si>
    <t>Factor VIII Inhibitor Bypassing Faction</t>
  </si>
  <si>
    <r>
      <rPr>
        <sz val="12"/>
        <color rgb="FF0070C0"/>
        <rFont val="Arial"/>
        <family val="2"/>
      </rPr>
      <t>Future frameworks may include</t>
    </r>
    <r>
      <rPr>
        <sz val="12"/>
        <rFont val="Arial"/>
        <family val="2"/>
      </rPr>
      <t>: Fibrinogen and Emicizumab</t>
    </r>
  </si>
  <si>
    <t>It is anticipated that the scope in terms of numbers of patients and boundaries of provision may change during the term of this framework but will be limited to treatments for bleeding disorders for patients being treated by the NHS in England and Wales and Northern Ireland. Provision will be made for implementing these changes in a way that is acceptable to all parties, taking into account patient choice and significant market changes.</t>
  </si>
  <si>
    <t xml:space="preserve">It is expected that in the event of any service developments, which will provide positive benefits to patients and falling during the period of the contract, may be implemented during the contract period. </t>
  </si>
  <si>
    <t>1 - Introduction</t>
  </si>
  <si>
    <t>2 - Scope</t>
  </si>
  <si>
    <t>3 - Definitions</t>
  </si>
  <si>
    <t>4 - Duration of Framework</t>
  </si>
  <si>
    <t>Framework for Contract CM/MSR/15/5480 NHS National Framework agreement for the supply of Homecare Delivery Service – Products for the treatment of bleeding disorders in England, Wales and Northern Ireland</t>
  </si>
  <si>
    <t>Patient selection is the responsibility of the Purchasing Authority.  An initial patient suitability and needs assessment will be carried out by a competent member of staff appointed by the Purchasing Authority. The Purchasing Authority will explain the patient's responsibilities and confirm the patient’s motivation and suitability for the homecare service.  This will include questions to assess the patient’s home environment or usual location (not necessarily an actual visit) where the services will be delivered by the Contractor in order to identify any special needs in an individual patient care plan.</t>
  </si>
  <si>
    <t>Ancillary requirement forms will be completed by the Purchasing Authority at the beginning of a patient's home delivery inclusion. These will be sent to the Contractor who will be responsible for checking ancillary product requirements with the patient in the first pre-delivery call. It is the Contractor’s responsibility to check stock levels and replenish the patient’s additional requirements for ancillary products on a regular basis. No delivery cost will be paid for separate ancillary deliveries.</t>
  </si>
  <si>
    <t>Contractors should specify if they can make deliveries to all the geographic locations covered in this framework for England, Wales and Northern Ireland, detailed below to the best of our current knowledge; please select 'Yes' for EACH individual Centre you are able to supply from the following list:</t>
  </si>
  <si>
    <r>
      <t xml:space="preserve">The Purchasing Authority may carry out a quality audit of the Contractor's facilities and processes to satisfy itself that the Contractor is complying with the relevant regulations and quality guidelines stated in this specification.  Auditors may include a QC or production pharmacist or other authorised officer from the Purchasing Authority or other NHS bodies.  The Contractor will be given an opportunity to respond to any issues raised by a Quality Audit.  A Summary of results of Quality Audits including the Contractor's responses may be shared with other relevant NHS Purchasing Authorities. 
</t>
    </r>
    <r>
      <rPr>
        <b/>
        <sz val="10"/>
        <color indexed="8"/>
        <rFont val="Arial"/>
        <family val="2"/>
      </rPr>
      <t>Please indicate Yes / No as to if you comply.  Please note that the inability to comply, may result in a bid being unsuccessful.</t>
    </r>
  </si>
  <si>
    <t xml:space="preserve">The initial patient suitability and needs assessment is carried out by the Purchasing Authority.  If any health concerns, issues or additional special needs are identified by the Contractor, at any time they must be notified to the Purchasing Authority within 2 working days. </t>
  </si>
  <si>
    <t xml:space="preserve">Patient Services telephone helpline to be provided.  The following attributes are the minimum requirements
• available between 08:00hrs and 20:00hrs weekdays and 09:00hrs to 12:00hrs on Saturdays with answer phone outside those hours
• Freephone number for landlines to call
• standard landline number for mobiles to call
</t>
  </si>
  <si>
    <r>
      <t>Identification of patients suitable for self-infusion will be the responsibility of the Purchasing Authority.  Training of patients and/or carers to self-administer medicines will be the responsibility of the Purchasing Authority</t>
    </r>
    <r>
      <rPr>
        <sz val="10"/>
        <color rgb="FFFF0000"/>
        <rFont val="Arial"/>
        <family val="2"/>
      </rPr>
      <t xml:space="preserve"> </t>
    </r>
    <r>
      <rPr>
        <sz val="10"/>
        <color indexed="8"/>
        <rFont val="Arial"/>
        <family val="2"/>
      </rPr>
      <t xml:space="preserve">or as detailed in the agreed Individual Patient Care Plan.  </t>
    </r>
  </si>
  <si>
    <t>With the co-operation of the patient or carer, the Contractor will undertake a stock check of medicines, ancillaries and equipment either over the phone or by email. 
Discrepancies in stock levels must be reported to the Purchasing Authority within one week.</t>
  </si>
  <si>
    <t>On occasion a patient satisfaction questionnaire will be issued by the Purchasing Authority to the patient and/or carer in order to ascertain the quality of the level of service and review the patient experience. The Contractor will ensure the patient satisfaction questionnaire is delivered to each active Patient on the Homecare Service free of charge.  It is intended that the national standard patient satisfaction questions will be included in any questionnaire along with any service specific questions in order to facilitate contract management, benchmarking and sharing of best practice.
The questionnaire document will be supplied in an appropriate envelope by the Purchasing Authority with a reply envelope. Questionnaires will be returned by patients or carers to the Purchasing Authority's representative for analysis and reporting.  Findings from analysis of the questionnaire will be shared with the Contractor.  
An example questionnaire is included in the RPS Homecare Handbook (link provided in Introduction tab.)</t>
  </si>
  <si>
    <r>
      <t xml:space="preserve">Below is a list of all documents that must be subject to formal approval by the Contractor and Purchasing Authority and are subject to the change control provisions of this specification 
• Registration Form
• Prescription Form
</t>
    </r>
    <r>
      <rPr>
        <sz val="10"/>
        <rFont val="Arial"/>
        <family val="2"/>
      </rPr>
      <t xml:space="preserve">• Clinical service protocols
</t>
    </r>
    <r>
      <rPr>
        <sz val="10"/>
        <color indexed="8"/>
        <rFont val="Arial"/>
        <family val="2"/>
      </rPr>
      <t xml:space="preserve">• Patient Information
• Approved Subcontractor List
</t>
    </r>
  </si>
  <si>
    <t>Contractors should ensure that medicines are packed in a way that does not put the person delivering or unpacking products at risk from exposure to hazardous products if the delivery is subject to mechanical damage.</t>
  </si>
  <si>
    <t xml:space="preserve">The Contractor will be required to provide deliveries to any address in the UK mainland including islands accessible by road plus Northern Ireland, the Isle of Wight and the Isles of Scilly. </t>
  </si>
  <si>
    <t>5c_2.5</t>
  </si>
  <si>
    <t>5c_2.5a</t>
  </si>
  <si>
    <t>All deliveries require a signature accompanied by the date and time of the delivery, from the person accepting the delivery as proof of delivery, unless otherwise agreed with the Purchasing Authority.</t>
  </si>
  <si>
    <t>5c_6</t>
  </si>
  <si>
    <t>5d_c</t>
  </si>
  <si>
    <t>5d_1</t>
  </si>
  <si>
    <t>5d_2.2</t>
  </si>
  <si>
    <t>5d_2.2a</t>
  </si>
  <si>
    <t>5d_2.3</t>
  </si>
  <si>
    <t>5d_2.3a</t>
  </si>
  <si>
    <t>5d_2.4</t>
  </si>
  <si>
    <t>5d_2.4a</t>
  </si>
  <si>
    <t>Contractors are requested to quote for the following Ancillaries List in Document 06 Commercial Schedule, Table 2; Please provide a quotation for a Routine Adult / Paediatric patient on routine prophylaxis with a portacath to include provision of all ancillaries necessary to use the port, including 3 additional syringes, 1 x 23 gauge straight needle, 1 port needle, 1 injectable bung, 1 pair sterile gloves, 1 sterile dressing pack, 1 skin disinfection, 1 normal pre-filled syringe saline for injection, 1 amp heparinised saline, 1 local anaesthetic cream.</t>
  </si>
  <si>
    <t>5f_1</t>
  </si>
  <si>
    <t>5f_1.1</t>
  </si>
  <si>
    <t>5f_1.2</t>
  </si>
  <si>
    <t>5f_1.3</t>
  </si>
  <si>
    <t>5f_1.4</t>
  </si>
  <si>
    <t>5f_1.5</t>
  </si>
  <si>
    <t>5f_1.6</t>
  </si>
  <si>
    <t>5f_1.6a</t>
  </si>
  <si>
    <t>5f_2</t>
  </si>
  <si>
    <t>5f_2.1</t>
  </si>
  <si>
    <t>5f_2.1a</t>
  </si>
  <si>
    <t>5f_1.1a</t>
  </si>
  <si>
    <t>Following a home visit, a report should be made to the Purchasing Authority within 48 hours if the planned activity could not be completed.   Any new or changed risks identified during a non-clinical home visit will be recorded and the Individual Patient Care Plan updated with new or changed risk control measures.
A summary report or log including non-clinical Home Visits must be available for each individual patient on request of the Purchasing Authority.</t>
  </si>
  <si>
    <t>The Contractor should operate a similar system for reporting adverse drug reactions. For ADR’s that are not also classified as patient safety incidents, the Contractor should report to the MHRA either via a pharma company or directly via the yellow card reporting system. For ADR’s that are also classified as Patient safety incidents the Contractor should report via the national reporting and learning system who will forward this information to the MHRA.
The Contractor is responsible for reporting any incidents to the Purchasing Authority within 1 working day.</t>
  </si>
  <si>
    <t xml:space="preserve">The Contractor must ensure that all staff, including all sub-contractors and couriers, having contact with patients in person, have undergone Disclosure and Barring Service (DBS) clearance in accordance with the prevailing regulations.  Contractors will bear the cost of carrying out these checks.
</t>
  </si>
  <si>
    <t>All invoices will be supported by proof of delivery unless specifically agreed with the Purchasing Authority.  Acceptable proof should normally be provided by means of a patient or carer/representative signature on either a paper document intended for the purpose or via a digital device.  Where an electronic signature is captured a mechanism shall exist such that a copy or facsimile thereof may be provided to the Trust. In order to reduce the  environmental impact, Contractors may make electronic images available providing such systems meet acceptable NHS information security guidelines.</t>
  </si>
  <si>
    <r>
      <t xml:space="preserve">The Purchasing Authority and Contractor will comply with the current Royal Pharmaceutical Society (RPS) Professional Standards for Homecare Services in England. 
</t>
    </r>
    <r>
      <rPr>
        <sz val="10"/>
        <color rgb="FF0000FF"/>
        <rFont val="Arial"/>
        <family val="2"/>
      </rPr>
      <t>https://www.rpharms.com/resources/professional-standards/professional-standards-for-homecare-services</t>
    </r>
    <r>
      <rPr>
        <sz val="10"/>
        <rFont val="Arial"/>
        <family val="2"/>
      </rPr>
      <t xml:space="preserve">
</t>
    </r>
    <r>
      <rPr>
        <b/>
        <sz val="10"/>
        <rFont val="Arial"/>
        <family val="2"/>
      </rPr>
      <t>Please indicate Yes / No as to if you comply.  Please note that the inability to comply may result in a bid being unsuccessful.</t>
    </r>
  </si>
  <si>
    <r>
      <t xml:space="preserve">Where a patient's homecare service is transferred between different contractors, all contractors must follow the Homecare Handbook Appendix 12 - Procedure for transferring patients between homecare services. 
</t>
    </r>
    <r>
      <rPr>
        <sz val="10"/>
        <color rgb="FF0000FF"/>
        <rFont val="Arial"/>
        <family val="2"/>
      </rPr>
      <t>https://www.rpharms.com/resources/professional-standards/professional-standards-for-homecare-services</t>
    </r>
  </si>
  <si>
    <t>Product and/or medicine to be supplied are to be as agreed in the product schedule, including manufacturers, brand, pack size, according to the CMU Framework Agreements for the Supply of products for the treatment of bleeding disorders reference numbers: 
CM/PHS/11/5263 (Blood Clotting Factor Products, 1 July 2014 - 30 June 2018)
CM/PHS/13/5417 (Prothrombin Complex Concentrate (PCC) 1 July 2014 - 30 June 2018)
CM/PHS/14/5434 Recombinant Factor IX - Expires 31st August 2018 (option to extend for 24 months)
CM/PHS/16/5501 Human cell Line Recombinant Factor VIII - Expires 31st January 2019 (option to extend for 24 months)
CM/PHS/16/5502 Factor X and Porcine Factor VIII - Expires 30th June 2018 (option to extend for 24 months)
existing at the time, and no alteration or substitution is to be made without prior approval of the Purchasing Authority. Permanent changes will be the subject of a framework variation via the Purchasing Authority.</t>
  </si>
  <si>
    <t>The current contract for Home Delivery of Blood Clotting Products and medicines commenced in July 2014 and was extended until 30th June 2018. The number of deliveries to patients receiving their treatments for bleeding disorders via the home delivery route has been approximately 18,600 deliveries in 2017 (January - December). It is anticipated that the number of home deliveries may increase during this new framework as awareness of the home delivery route increases. Patients find the service is tailored to their needs and allows them greater flexibility in when and where they can receive their medication. It also helps to reduce workload on specialist hospital staff allowing them to work more closely with patients to improve delivery of care.</t>
  </si>
  <si>
    <t>The following example documents can be found in the Homecare Handbook:</t>
  </si>
  <si>
    <t>Appendix 4 - Patient Registration Form</t>
  </si>
  <si>
    <t>Appendix 5 - Template homecare patient satisfaction questionnaire</t>
  </si>
  <si>
    <t>Appendix 7 - Home suitability and needs assessment checklist</t>
  </si>
  <si>
    <t>Appendix 12 - Change Management Document(Procedure for transferring patients between services)</t>
  </si>
  <si>
    <t>Has defined and documented the processes.</t>
  </si>
  <si>
    <t>Has been approved to perform a regulated activity.</t>
  </si>
  <si>
    <t>Service is operational in practice, usually on a small scale or for a limited time, so evidence of compliance is not yet available.  
E.g. has an established delivery service and has developed protocols for this therapy area.</t>
  </si>
  <si>
    <r>
      <t xml:space="preserve">The Contractor, if requested by the purchasing authority, will supply a suitable under the counter domestic refrigerator, which has been PAT tested and should be installed by the Contractor into the patient’s home prior to the first scheduled delivery of medicines.  </t>
    </r>
    <r>
      <rPr>
        <sz val="10"/>
        <rFont val="Arial"/>
        <family val="2"/>
      </rPr>
      <t xml:space="preserve">
If there is no fridge provided, because the volume of refrigerated product is deemed too small by the Purchasing Authority to warrant the provision of a separate fridge, then the patient must need to have suitable space in their own domestic fridge and be trained on how to store the product and monitor temperatures according to the supplier's/manufacturer's instructions. </t>
    </r>
    <r>
      <rPr>
        <b/>
        <sz val="10"/>
        <color indexed="10"/>
        <rFont val="Arial"/>
        <family val="2"/>
      </rPr>
      <t/>
    </r>
  </si>
  <si>
    <r>
      <t xml:space="preserve">The Medicine Pathway(s) is shown in the RPS Homecare Handbook (Page 19) 
</t>
    </r>
    <r>
      <rPr>
        <sz val="10"/>
        <color rgb="FF0000FF"/>
        <rFont val="Arial"/>
        <family val="2"/>
      </rPr>
      <t>https://www.rpharms.com/resources/professional-standards/professional-standards-for-homecare-services</t>
    </r>
  </si>
  <si>
    <t>* Weightings - this tab provides the 'Weightings' for the drop down boxes used in the specification, and only needs amending if a Contracting Authority requires changes to be made.  It is recommended this tab is locked and hidden before issuing to Contractors.</t>
  </si>
  <si>
    <t xml:space="preserve">These weightings are the source sheets (behind the scenes workings) for the drop down boxes in Columns F to O.  </t>
  </si>
  <si>
    <t>There is no need to change these weightings at all, unless there is a specific need to re-word the options.</t>
  </si>
  <si>
    <t>The Contractor must facilitate Continual Professional Development (CPD) for all professional staff as required by their respective professional body.   The Contractor must have a robust mechanism to ensure that relevant professional registrations are maintained.</t>
  </si>
  <si>
    <t xml:space="preserve">Calculation of  percentage of positive compliance responses  </t>
  </si>
  <si>
    <r>
      <t xml:space="preserve">The Haemtrack delivery spreadsheet must be completed by contractors delivering products to haemophilia patients. The spreadsheets will be used to record details of all patient deliveries and manage patient stock within Haemtrack. The completed Haemtrack delivery spreadsheet must be uploaded within two working days of delivery.  Contractors are advised to read the guidance contained within the Haemtrack delivery spreadsheet. </t>
    </r>
    <r>
      <rPr>
        <b/>
        <sz val="10"/>
        <color rgb="FFFF0000"/>
        <rFont val="Arial"/>
        <family val="2"/>
      </rPr>
      <t>Document 5a.</t>
    </r>
    <r>
      <rPr>
        <sz val="10"/>
        <color indexed="8"/>
        <rFont val="Arial"/>
        <family val="2"/>
      </rPr>
      <t xml:space="preserve">
Each contractor will be provided with a Haemtrack account and issued with a [Provider Identifier]. The [provider identifier] must be used when completing the Haemtrack delivery spreadsheet. The Haemtrack account must be used by providers to upload the completed spreadsheets and to ensure uploads have been successful, validation reports will be provided to assist this. 
Patients will be matched on their NHS number. If NHS number is currently not held by contractors these will be provided by Trusts. Contractors must report product names as listed in the Haemtrack delivery spreadsheet.  
The Haemtrack delivery spreadsheets may be auto generated by contractors using existing systems but please note that the Home Delivery Interface will only process spreadsheets in the format as defined in the latest version of the Haemtrack delivery spreadsheet.  Contractors can download the latest version of the Haemtrack delivery sheet using their Haemtrack account.
</t>
    </r>
  </si>
  <si>
    <t>Baxalta Ltd</t>
  </si>
  <si>
    <r>
      <t xml:space="preserve">Please confirm that you have an Incident Policy and Serious Untoward Incident Policy.  
</t>
    </r>
    <r>
      <rPr>
        <b/>
        <sz val="10"/>
        <color rgb="FF993300"/>
        <rFont val="Arial"/>
        <family val="2"/>
      </rPr>
      <t>Please submit a PDF copy of welcome pack example via Bravo.</t>
    </r>
  </si>
  <si>
    <t xml:space="preserve">5d_2.4 
5g 3.1c
5g_6.6a
5g_7.2a
5g_10.2a 
5g_11.1a
5g11.4a
</t>
  </si>
  <si>
    <t>Page 19 - Medicines Pathway process flow</t>
  </si>
  <si>
    <t>The Purchasing Authority will complete and securely transmit to the Contractor, a registration form for each patient being referred for the homecare service along with an individual patient care plan if special needs have been identified. The registration form will give the confirmed or expected activation date for the Homecare Service.</t>
  </si>
  <si>
    <t>5e_1</t>
  </si>
  <si>
    <t>5e_1.1</t>
  </si>
  <si>
    <t>5e_1.2</t>
  </si>
  <si>
    <t>5e_1.3</t>
  </si>
  <si>
    <t>5e_1.4</t>
  </si>
  <si>
    <t>5e_1.5</t>
  </si>
  <si>
    <t>5e_2.6</t>
  </si>
  <si>
    <r>
      <t xml:space="preserve">With reference to the above specification point, please provide the necessary evidence of agreements with relevant sub-contractors.
</t>
    </r>
    <r>
      <rPr>
        <b/>
        <sz val="10"/>
        <color rgb="FF993300"/>
        <rFont val="Arial"/>
        <family val="2"/>
      </rPr>
      <t>Please submit a PDF copies via Bravo.</t>
    </r>
  </si>
  <si>
    <r>
      <t xml:space="preserve">With reference to the above specification point, Contractors should provide a copy of their Risk Management Policy and describe how they manage risk assessments and the escalation procedure in case of disagreement.
</t>
    </r>
    <r>
      <rPr>
        <b/>
        <sz val="10"/>
        <color rgb="FF993300"/>
        <rFont val="Arial"/>
        <family val="2"/>
      </rPr>
      <t xml:space="preserve">
Please submit a PDF copy via Bravo.</t>
    </r>
  </si>
  <si>
    <r>
      <rPr>
        <b/>
        <sz val="10"/>
        <color indexed="8"/>
        <rFont val="Arial"/>
        <family val="2"/>
      </rPr>
      <t xml:space="preserve">With reference to the above specification point, please provide a copy of policies and staff hand book relating to the above points.
</t>
    </r>
    <r>
      <rPr>
        <b/>
        <sz val="10"/>
        <color rgb="FF993300"/>
        <rFont val="Arial"/>
        <family val="2"/>
      </rPr>
      <t>Please submit a PDF copy via Bravo.</t>
    </r>
    <r>
      <rPr>
        <sz val="10"/>
        <color indexed="8"/>
        <rFont val="Arial"/>
        <family val="2"/>
      </rPr>
      <t xml:space="preserve">
</t>
    </r>
  </si>
  <si>
    <r>
      <t xml:space="preserve">With reference to the above specification point, please provide evidence on how you train staff to demonstrate the above.
</t>
    </r>
    <r>
      <rPr>
        <b/>
        <sz val="10"/>
        <color rgb="FF993300"/>
        <rFont val="Arial"/>
        <family val="2"/>
      </rPr>
      <t>Please submit a PDF copy via Bravo.</t>
    </r>
  </si>
  <si>
    <r>
      <t xml:space="preserve">With reference to the above specification point, please provide evidence of this.
</t>
    </r>
    <r>
      <rPr>
        <b/>
        <sz val="10"/>
        <color rgb="FF993300"/>
        <rFont val="Arial"/>
        <family val="2"/>
      </rPr>
      <t>Please submit a PDF copy via Bravo.</t>
    </r>
  </si>
  <si>
    <t xml:space="preserve">Existing and future treatments for bleeding disorder products and medicines will allow more patients to become eligible to receive their products and medicines via the home delivery route, allowing patients’ more choice on how they receive their products/medicines. Patient numbers utilising this Home Delivery framework may continue to increase and it is paramount that this delivery route is managed effectively ensuring the best possible care for patients. Home delivery of products and medicines for home treatment and is consistent with the NHS policy of the provision of treatment close to home where possible and further away where necessary.
</t>
  </si>
  <si>
    <r>
      <t>Stakeholder members for the Homecare Delivery Service of licensed products for use in England, Wales and Northern Ireland for the treatment of bleeding disorders including recombinants and plasma derived products are:</t>
    </r>
    <r>
      <rPr>
        <b/>
        <sz val="12"/>
        <rFont val="Arial"/>
        <family val="2"/>
      </rPr>
      <t xml:space="preserve">
</t>
    </r>
    <r>
      <rPr>
        <sz val="12"/>
        <rFont val="Arial"/>
        <family val="2"/>
      </rPr>
      <t xml:space="preserve">UKHCDO clinical representatives
HNA representatives
Haemophilia Society 
NHS England Commissioners 
Patient representatives
Clinical Specialists  
PMSG Specialist Procurement Pharmacists
Commercial Medicines Unit </t>
    </r>
    <r>
      <rPr>
        <sz val="12"/>
        <color indexed="10"/>
        <rFont val="Arial"/>
        <family val="2"/>
      </rPr>
      <t xml:space="preserve"> </t>
    </r>
  </si>
  <si>
    <t>For Information = scores for  compliance %  of positive responses</t>
  </si>
  <si>
    <t>Contractors are required to advise both the Purchasing Authority and NHS England's Commercial Medicines Unit (CMU) as soon as they become aware that they are reaching capacity or the level of growth in patient numbers which has the potential to have a detrimental effect on patient service levels to existing patients on the homecare service.  The Purchasing Authority will work in partnership with the Contractor to maintain service levels to patients at an acceptable level.</t>
  </si>
  <si>
    <t>Official Journal of the European Union reference: To be provided at award</t>
  </si>
  <si>
    <r>
      <t xml:space="preserve">The following reports should be sent directly to the Contracting Authority by the 10th day of the next calendar month:
• Monthly Management Information Report
• KPI Report
Examples of these reports are included in the ITT tender pack (Documents 2b and 2c)
</t>
    </r>
    <r>
      <rPr>
        <b/>
        <sz val="10"/>
        <color indexed="8"/>
        <rFont val="Arial"/>
        <family val="2"/>
      </rPr>
      <t xml:space="preserve">
Please indicate Yes / No as to if you comply.   Please note that the inability to comply may result in a bid being unsuccessful.</t>
    </r>
  </si>
  <si>
    <t>Do  you comply with Specification?  Paragraph by paragraph : Select Yes or no for specification items</t>
  </si>
  <si>
    <t>Oxford-Churchill Hospital</t>
  </si>
  <si>
    <t>Kettering-Kettering General Hospital</t>
  </si>
  <si>
    <t>Northampton-Northampton General Hospital NHS Trust</t>
  </si>
  <si>
    <t>Bournemouth / Poole-Poole Hospital NHS Trust</t>
  </si>
  <si>
    <t>Dorchester-West Dorset Hospital</t>
  </si>
  <si>
    <t>Portsmouth-Queen Alexandra Hospital</t>
  </si>
  <si>
    <t>Salisbury-Salisbury District Hospital</t>
  </si>
  <si>
    <t>Barnstaple-North Devon District Hospital</t>
  </si>
  <si>
    <t>Bristol (Infirmary &amp; Children's)-Bristol Haematology and Oncology Centre</t>
  </si>
  <si>
    <t>Exeter-Royal Devon &amp; Exeter Hospital</t>
  </si>
  <si>
    <t>Plymouth-Derriford Hospital</t>
  </si>
  <si>
    <t>Taunton / Yeovil-Musgrove Park Hospital</t>
  </si>
  <si>
    <t>Torquay-Torbay Hospital</t>
  </si>
  <si>
    <t>Truro-Royal Cornwall Hospital</t>
  </si>
  <si>
    <t>Birmingham (Queen Elizabeth)-Queen Elizabeth Hospital</t>
  </si>
  <si>
    <t>Birmingham Children's-Birmingham Children's Hospital NHS Trust</t>
  </si>
  <si>
    <t>Coventry-University Hospitals Coventry &amp; Warwickshire NHS Trust</t>
  </si>
  <si>
    <t>Shrewsbury-Shrewsbury Hospital</t>
  </si>
  <si>
    <t>North Staffordshire (Stoke on Trent)-University Hospital of North Midlands Trust</t>
  </si>
  <si>
    <t>Wolverhampton-New Cross Hospital</t>
  </si>
  <si>
    <t>North Hampshire (Basingstoke)-North Hampshire Hospital</t>
  </si>
  <si>
    <t>Southampton-Southampton General Hospital</t>
  </si>
  <si>
    <t>Sheffield (Royal Hallamshire)-Royal Hallamshire Hospital</t>
  </si>
  <si>
    <t>Sheffield (Children's)-Sheffield Children's Hospital</t>
  </si>
  <si>
    <t>Derby-Royal Derby Hospital</t>
  </si>
  <si>
    <t>Leicester-The Leicester Royal Infirmary</t>
  </si>
  <si>
    <t>Nottingham-Nottingham University Hospital</t>
  </si>
  <si>
    <t>Bradford-Bradford Royal Infirmary</t>
  </si>
  <si>
    <t>Kingston upon Hull (Hull)-Castle Hill Hospital</t>
  </si>
  <si>
    <t>Leeds-St James’s University Hospital</t>
  </si>
  <si>
    <t>York-York District Hospital</t>
  </si>
  <si>
    <t>Lincoln-Lincoln County Hospital</t>
  </si>
  <si>
    <t>Manchester (Adults)-Manchester Royal Infirmary</t>
  </si>
  <si>
    <t>Manchester Children's-Royal Manchester Children's Hospital</t>
  </si>
  <si>
    <t>Lancaster-Royal Lancaster Infirmary</t>
  </si>
  <si>
    <t>Liverpool (R. I.)-Royal Liverpool University Hospital</t>
  </si>
  <si>
    <t>Liverpool Children's-Alder Hey Children's NHS Foundation Trust</t>
  </si>
  <si>
    <t>Bangor-Ysbyty Gwynedd</t>
  </si>
  <si>
    <t>The Belfast Health and Social Care Trust (BHSCT)-Belfast City Hospital</t>
  </si>
  <si>
    <t>Royal Free-Royal Free Hospital</t>
  </si>
  <si>
    <t>Hammersmith Hospital, London-Hammersmith Hospital</t>
  </si>
  <si>
    <t>University College Hospital, London-University College Hospital</t>
  </si>
  <si>
    <t>Great Ormond Street-Great Ormond Street Hospital for Children</t>
  </si>
  <si>
    <t>The Royal London Hospital-The Royal London Hospital</t>
  </si>
  <si>
    <t>Cambridge-Addenbrooke's Hospital</t>
  </si>
  <si>
    <t>Norwich-Norfolk &amp; Norwich University Hospital</t>
  </si>
  <si>
    <t>Luton-Luton &amp; Dunstable Hospital</t>
  </si>
  <si>
    <t>Colchester-Colchester General Hospital</t>
  </si>
  <si>
    <t>Ipswich-The Ipswich Hospital</t>
  </si>
  <si>
    <t>Peterborough-Peterborough District Hospital</t>
  </si>
  <si>
    <t>St Thomas' and Guy's Hospital-St Thomas' Hospital</t>
  </si>
  <si>
    <t>St George's Hospital, London-St George's Hospital</t>
  </si>
  <si>
    <t>Lewisham-University Hospital Lewisham</t>
  </si>
  <si>
    <t>Canterbury-Kent &amp; Canterbury Hospital</t>
  </si>
  <si>
    <t>Gillingham, Kent (Medway)-Medway Maritime Hospital</t>
  </si>
  <si>
    <t>Brighton-Royal Sussex County Hospital</t>
  </si>
  <si>
    <t>Eastbourne-Eastbourne District General Hospital</t>
  </si>
  <si>
    <t>Chichester-St Richard’s Hospital</t>
  </si>
  <si>
    <t>James Paget-James Paget Hospital</t>
  </si>
  <si>
    <t>Ashford &amp; St. Peters-St Peter’s Hospital</t>
  </si>
  <si>
    <t>Newcastle upon Tyne-Royal Victoria Infirmary</t>
  </si>
  <si>
    <t>Cardiff-University Hospital of Wales</t>
  </si>
  <si>
    <t>Swansea-Singleton Hospital</t>
  </si>
  <si>
    <t>Abergavenny-Nevill Hall Hospital</t>
  </si>
  <si>
    <t>Cwm Taf Health Board-Wales</t>
  </si>
  <si>
    <t>Aneurin Bevan Health Board-Wales</t>
  </si>
  <si>
    <t>Abertawe Bro Morganwg University Health Board-Wales</t>
  </si>
  <si>
    <t>Hwyel Dda Health Board-Wales</t>
  </si>
  <si>
    <t>Cardiff &amp; Vale University Health Board-Wales</t>
  </si>
  <si>
    <t>Betsi Cadwaladr University Health Board-Wales</t>
  </si>
  <si>
    <t>Powys Teaching Health Board-Wales</t>
  </si>
  <si>
    <t>Welsh Blood Service-Wales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</si>
</sst>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b/>
      <sz val="12"/>
      <color rgb="FFFF0000"/>
      <name val="Arial"/>
      <family val="2"/>
    </font>
    <font>
      <b/>
      <u/>
      <sz val="10"/>
      <color rgb="FFFF0000"/>
      <name val="Arial"/>
      <family val="2"/>
    </font>
    <font>
      <sz val="10"/>
      <color indexed="8"/>
      <name val="Arial"/>
      <family val="2"/>
    </font>
    <font>
      <b/>
      <sz val="10"/>
      <color theme="1"/>
      <name val="Arial"/>
      <family val="2"/>
    </font>
    <font>
      <b/>
      <sz val="10"/>
      <color indexed="8"/>
      <name val="Arial"/>
      <family val="2"/>
    </font>
    <font>
      <b/>
      <sz val="10"/>
      <name val="Arial"/>
      <family val="2"/>
    </font>
    <font>
      <sz val="8"/>
      <color indexed="8"/>
      <name val="Arial"/>
      <family val="2"/>
    </font>
    <font>
      <sz val="10"/>
      <color theme="1"/>
      <name val="Arial"/>
      <family val="2"/>
    </font>
    <font>
      <sz val="10"/>
      <name val="Arial"/>
      <family val="2"/>
    </font>
    <font>
      <b/>
      <sz val="10"/>
      <color rgb="FFFF0000"/>
      <name val="Arial"/>
      <family val="2"/>
    </font>
    <font>
      <sz val="10"/>
      <color rgb="FFFF0000"/>
      <name val="Arial"/>
      <family val="2"/>
    </font>
    <font>
      <b/>
      <sz val="10"/>
      <color indexed="44"/>
      <name val="Arial"/>
      <family val="2"/>
    </font>
    <font>
      <b/>
      <sz val="10"/>
      <color theme="3" tint="0.39997558519241921"/>
      <name val="Arial"/>
      <family val="2"/>
    </font>
    <font>
      <sz val="10"/>
      <color indexed="44"/>
      <name val="Arial"/>
      <family val="2"/>
    </font>
    <font>
      <sz val="10"/>
      <color indexed="10"/>
      <name val="Arial"/>
      <family val="2"/>
    </font>
    <font>
      <sz val="10"/>
      <color theme="3" tint="0.39997558519241921"/>
      <name val="Arial"/>
      <family val="2"/>
    </font>
    <font>
      <b/>
      <sz val="10"/>
      <color indexed="10"/>
      <name val="Arial"/>
      <family val="2"/>
    </font>
    <font>
      <i/>
      <sz val="10"/>
      <name val="Arial"/>
      <family val="2"/>
    </font>
    <font>
      <b/>
      <sz val="11"/>
      <name val="Arial"/>
      <family val="2"/>
    </font>
    <font>
      <b/>
      <sz val="12"/>
      <color indexed="8"/>
      <name val="Arial"/>
      <family val="2"/>
    </font>
    <font>
      <b/>
      <sz val="10"/>
      <color theme="3" tint="0.59999389629810485"/>
      <name val="Arial"/>
      <family val="2"/>
    </font>
    <font>
      <sz val="10"/>
      <color theme="3" tint="0.59999389629810485"/>
      <name val="Arial"/>
      <family val="2"/>
    </font>
    <font>
      <sz val="10"/>
      <name val="Arial"/>
      <family val="2"/>
    </font>
    <font>
      <sz val="12"/>
      <color theme="1"/>
      <name val="Arial"/>
      <family val="2"/>
    </font>
    <font>
      <sz val="10"/>
      <color theme="0"/>
      <name val="Arial"/>
      <family val="2"/>
    </font>
    <font>
      <sz val="12"/>
      <color rgb="FFFF0000"/>
      <name val="Arial"/>
      <family val="2"/>
    </font>
    <font>
      <sz val="11"/>
      <name val="Arial"/>
      <family val="2"/>
    </font>
    <font>
      <sz val="14"/>
      <color indexed="8"/>
      <name val="Arial"/>
      <family val="2"/>
    </font>
    <font>
      <sz val="8"/>
      <color rgb="FF000000"/>
      <name val="Arial"/>
      <family val="2"/>
    </font>
    <font>
      <sz val="8"/>
      <color rgb="FFFF0000"/>
      <name val="Arial"/>
      <family val="2"/>
    </font>
    <font>
      <b/>
      <sz val="11"/>
      <color theme="1"/>
      <name val="Arial"/>
      <family val="2"/>
    </font>
    <font>
      <sz val="10"/>
      <name val="Arial"/>
      <family val="2"/>
    </font>
    <font>
      <sz val="8"/>
      <name val="Arial"/>
      <family val="2"/>
    </font>
    <font>
      <b/>
      <sz val="16"/>
      <name val="Arial"/>
      <family val="2"/>
    </font>
    <font>
      <u/>
      <sz val="12"/>
      <name val="Arial"/>
      <family val="2"/>
    </font>
    <font>
      <sz val="12"/>
      <color theme="3"/>
      <name val="Arial"/>
      <family val="2"/>
    </font>
    <font>
      <b/>
      <sz val="8"/>
      <name val="Arial"/>
      <family val="2"/>
    </font>
    <font>
      <b/>
      <sz val="18"/>
      <name val="Arial"/>
      <family val="2"/>
    </font>
    <font>
      <b/>
      <sz val="11"/>
      <color indexed="10"/>
      <name val="Arial"/>
      <family val="2"/>
    </font>
    <font>
      <sz val="11"/>
      <color rgb="FF00B050"/>
      <name val="Arial"/>
      <family val="2"/>
    </font>
    <font>
      <sz val="11"/>
      <color rgb="FFFF0000"/>
      <name val="Arial"/>
      <family val="2"/>
    </font>
    <font>
      <sz val="12"/>
      <color indexed="10"/>
      <name val="Arial"/>
      <family val="2"/>
    </font>
    <font>
      <b/>
      <sz val="11"/>
      <color indexed="36"/>
      <name val="Arial"/>
      <family val="2"/>
    </font>
    <font>
      <sz val="11"/>
      <color indexed="10"/>
      <name val="Arial"/>
      <family val="2"/>
    </font>
    <font>
      <b/>
      <sz val="10"/>
      <color indexed="60"/>
      <name val="Arial"/>
      <family val="2"/>
    </font>
    <font>
      <b/>
      <sz val="9"/>
      <name val="Arial"/>
      <family val="2"/>
    </font>
    <font>
      <b/>
      <sz val="10"/>
      <color indexed="36"/>
      <name val="Arial"/>
      <family val="2"/>
    </font>
    <font>
      <sz val="10"/>
      <color indexed="36"/>
      <name val="Arial"/>
      <family val="2"/>
    </font>
    <font>
      <i/>
      <sz val="10"/>
      <color indexed="10"/>
      <name val="Arial"/>
      <family val="2"/>
    </font>
    <font>
      <sz val="12"/>
      <color rgb="FF0070C0"/>
      <name val="Arial"/>
      <family val="2"/>
    </font>
    <font>
      <sz val="12"/>
      <color indexed="8"/>
      <name val="Arial"/>
      <family val="2"/>
    </font>
    <font>
      <sz val="10"/>
      <color rgb="FF0000FF"/>
      <name val="Arial"/>
      <family val="2"/>
    </font>
    <font>
      <b/>
      <sz val="10"/>
      <color rgb="FF000000"/>
      <name val="Arial"/>
      <family val="2"/>
    </font>
    <font>
      <sz val="10"/>
      <color rgb="FF000000"/>
      <name val="Arial"/>
      <family val="2"/>
    </font>
    <font>
      <u/>
      <sz val="12"/>
      <color theme="10"/>
      <name val="Arial"/>
      <family val="2"/>
    </font>
    <font>
      <b/>
      <sz val="10"/>
      <color rgb="FF993300"/>
      <name val="Arial"/>
      <family val="2"/>
    </font>
    <font>
      <b/>
      <sz val="10"/>
      <color rgb="FF8DB4E2"/>
      <name val="Arial"/>
      <family val="2"/>
    </font>
  </fonts>
  <fills count="1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indexed="9"/>
        <bgColor indexed="64"/>
      </patternFill>
    </fill>
    <fill>
      <patternFill patternType="solid">
        <fgColor indexed="43"/>
        <bgColor indexed="64"/>
      </patternFill>
    </fill>
    <fill>
      <patternFill patternType="solid">
        <fgColor rgb="FF8DB4E2"/>
        <bgColor indexed="64"/>
      </patternFill>
    </fill>
    <fill>
      <patternFill patternType="solid">
        <fgColor rgb="FFB7DEE8"/>
        <bgColor indexed="64"/>
      </patternFill>
    </fill>
    <fill>
      <patternFill patternType="solid">
        <fgColor indexed="44"/>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08">
    <xf numFmtId="0" fontId="0" fillId="0" borderId="0"/>
    <xf numFmtId="0" fontId="18" fillId="0" borderId="0" applyNumberFormat="0" applyFill="0" applyBorder="0" applyProtection="0">
      <alignment vertical="top"/>
    </xf>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33"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3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41" fillId="0" borderId="0"/>
    <xf numFmtId="0" fontId="41" fillId="0" borderId="0"/>
    <xf numFmtId="0" fontId="4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1" fillId="0" borderId="0"/>
    <xf numFmtId="0" fontId="41" fillId="0" borderId="0"/>
    <xf numFmtId="0" fontId="4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4">
    <xf numFmtId="0" fontId="0" fillId="0" borderId="0" xfId="0"/>
    <xf numFmtId="0" fontId="9" fillId="0" borderId="0" xfId="0" applyFont="1" applyProtection="1"/>
    <xf numFmtId="0" fontId="0" fillId="0" borderId="0" xfId="0" applyProtection="1"/>
    <xf numFmtId="0" fontId="8" fillId="0" borderId="0" xfId="0" applyFont="1" applyFill="1" applyAlignment="1" applyProtection="1">
      <alignment horizontal="left" vertical="top"/>
    </xf>
    <xf numFmtId="0" fontId="0" fillId="0" borderId="0" xfId="0" applyBorder="1" applyProtection="1"/>
    <xf numFmtId="0" fontId="9" fillId="0" borderId="0" xfId="0" applyFont="1" applyFill="1" applyAlignment="1" applyProtection="1">
      <alignment wrapText="1"/>
    </xf>
    <xf numFmtId="0" fontId="11" fillId="0" borderId="0" xfId="0" applyFont="1" applyBorder="1" applyAlignment="1" applyProtection="1">
      <alignment wrapText="1"/>
    </xf>
    <xf numFmtId="0" fontId="12" fillId="0" borderId="0" xfId="0" applyFont="1" applyBorder="1" applyAlignment="1" applyProtection="1">
      <alignment wrapText="1"/>
    </xf>
    <xf numFmtId="0" fontId="10" fillId="0" borderId="0" xfId="0" applyFont="1" applyProtection="1"/>
    <xf numFmtId="0" fontId="0" fillId="0" borderId="0" xfId="0" applyFill="1" applyProtection="1"/>
    <xf numFmtId="0" fontId="13" fillId="0" borderId="0" xfId="0" applyFont="1" applyBorder="1" applyAlignment="1" applyProtection="1">
      <alignment wrapText="1"/>
    </xf>
    <xf numFmtId="0" fontId="14" fillId="3" borderId="4" xfId="0" applyFont="1" applyFill="1" applyBorder="1" applyAlignment="1" applyProtection="1">
      <alignment wrapText="1"/>
    </xf>
    <xf numFmtId="0" fontId="12" fillId="0" borderId="0" xfId="0" applyFont="1" applyAlignment="1" applyProtection="1">
      <alignment wrapText="1"/>
    </xf>
    <xf numFmtId="0" fontId="16" fillId="3" borderId="6" xfId="0" applyFont="1" applyFill="1" applyBorder="1" applyAlignment="1" applyProtection="1">
      <alignment wrapText="1"/>
    </xf>
    <xf numFmtId="0" fontId="16" fillId="3" borderId="6" xfId="0" applyFont="1" applyFill="1" applyBorder="1" applyProtection="1"/>
    <xf numFmtId="0" fontId="16" fillId="3" borderId="7" xfId="0" applyFont="1" applyFill="1" applyBorder="1" applyProtection="1"/>
    <xf numFmtId="0" fontId="0" fillId="4" borderId="0" xfId="0" applyFill="1" applyProtection="1"/>
    <xf numFmtId="0" fontId="17" fillId="0" borderId="0" xfId="0" applyFont="1" applyProtection="1"/>
    <xf numFmtId="0" fontId="14" fillId="5" borderId="8" xfId="0" applyFont="1" applyFill="1" applyBorder="1" applyAlignment="1" applyProtection="1">
      <alignment wrapText="1"/>
    </xf>
    <xf numFmtId="0" fontId="14" fillId="5" borderId="9" xfId="0" applyFont="1" applyFill="1" applyBorder="1" applyAlignment="1" applyProtection="1">
      <alignment wrapText="1"/>
    </xf>
    <xf numFmtId="0" fontId="16" fillId="5" borderId="10" xfId="0" applyFont="1" applyFill="1" applyBorder="1" applyAlignment="1" applyProtection="1">
      <alignment wrapText="1"/>
    </xf>
    <xf numFmtId="1" fontId="16" fillId="5" borderId="11" xfId="0" applyNumberFormat="1" applyFont="1" applyFill="1" applyBorder="1" applyAlignment="1" applyProtection="1">
      <alignment horizontal="center" wrapText="1"/>
    </xf>
    <xf numFmtId="0" fontId="16" fillId="5" borderId="12" xfId="0" applyFont="1" applyFill="1" applyBorder="1" applyAlignment="1" applyProtection="1">
      <alignment wrapText="1"/>
    </xf>
    <xf numFmtId="0" fontId="16" fillId="5" borderId="13" xfId="0" applyFont="1" applyFill="1" applyBorder="1" applyAlignment="1" applyProtection="1">
      <alignment horizontal="center" wrapText="1"/>
    </xf>
    <xf numFmtId="0" fontId="16" fillId="5" borderId="14" xfId="0" applyFont="1" applyFill="1" applyBorder="1" applyAlignment="1" applyProtection="1">
      <alignment wrapText="1"/>
    </xf>
    <xf numFmtId="0" fontId="16" fillId="5" borderId="15" xfId="0" applyFont="1" applyFill="1" applyBorder="1" applyAlignment="1" applyProtection="1">
      <alignment horizontal="center" wrapText="1"/>
    </xf>
    <xf numFmtId="0" fontId="14" fillId="6" borderId="16" xfId="0" applyFont="1" applyFill="1" applyBorder="1" applyAlignment="1" applyProtection="1">
      <alignment wrapText="1"/>
    </xf>
    <xf numFmtId="0" fontId="14" fillId="6" borderId="17" xfId="0" applyFont="1" applyFill="1" applyBorder="1" applyAlignment="1" applyProtection="1">
      <alignment wrapText="1"/>
    </xf>
    <xf numFmtId="0" fontId="16" fillId="6" borderId="18" xfId="0" applyFont="1" applyFill="1" applyBorder="1" applyAlignment="1" applyProtection="1">
      <alignment wrapText="1"/>
    </xf>
    <xf numFmtId="0" fontId="16" fillId="6" borderId="19" xfId="0" applyFont="1" applyFill="1" applyBorder="1" applyAlignment="1" applyProtection="1">
      <alignment horizontal="center" wrapText="1"/>
    </xf>
    <xf numFmtId="0" fontId="16" fillId="6" borderId="12" xfId="0" applyFont="1" applyFill="1" applyBorder="1" applyAlignment="1" applyProtection="1">
      <alignment wrapText="1"/>
    </xf>
    <xf numFmtId="0" fontId="16" fillId="6" borderId="13" xfId="0" applyFont="1" applyFill="1" applyBorder="1" applyAlignment="1" applyProtection="1">
      <alignment horizontal="center" wrapText="1"/>
    </xf>
    <xf numFmtId="0" fontId="16" fillId="6" borderId="14" xfId="0" applyFont="1" applyFill="1" applyBorder="1" applyAlignment="1" applyProtection="1">
      <alignment wrapText="1"/>
    </xf>
    <xf numFmtId="1" fontId="16" fillId="6" borderId="15" xfId="0" applyNumberFormat="1" applyFont="1" applyFill="1" applyBorder="1" applyAlignment="1" applyProtection="1">
      <alignment horizontal="center" wrapText="1"/>
    </xf>
    <xf numFmtId="0" fontId="14" fillId="7" borderId="16" xfId="0" applyFont="1" applyFill="1" applyBorder="1" applyAlignment="1" applyProtection="1">
      <alignment wrapText="1"/>
    </xf>
    <xf numFmtId="0" fontId="14" fillId="7" borderId="17" xfId="0" applyFont="1" applyFill="1" applyBorder="1" applyAlignment="1" applyProtection="1">
      <alignment wrapText="1"/>
    </xf>
    <xf numFmtId="0" fontId="16" fillId="7" borderId="18" xfId="0" applyFont="1" applyFill="1" applyBorder="1" applyAlignment="1" applyProtection="1">
      <alignment wrapText="1"/>
    </xf>
    <xf numFmtId="0" fontId="16" fillId="7" borderId="19" xfId="0" applyFont="1" applyFill="1" applyBorder="1" applyAlignment="1" applyProtection="1">
      <alignment horizontal="center" wrapText="1"/>
    </xf>
    <xf numFmtId="0" fontId="16" fillId="7" borderId="12" xfId="0" applyFont="1" applyFill="1" applyBorder="1" applyAlignment="1" applyProtection="1">
      <alignment wrapText="1"/>
    </xf>
    <xf numFmtId="0" fontId="16" fillId="7" borderId="13" xfId="0" applyFont="1" applyFill="1" applyBorder="1" applyAlignment="1" applyProtection="1">
      <alignment horizontal="center" wrapText="1"/>
    </xf>
    <xf numFmtId="0" fontId="16" fillId="7" borderId="14" xfId="0" applyFont="1" applyFill="1" applyBorder="1" applyAlignment="1" applyProtection="1">
      <alignment wrapText="1"/>
    </xf>
    <xf numFmtId="0" fontId="16" fillId="7" borderId="15" xfId="0" applyFont="1" applyFill="1" applyBorder="1" applyAlignment="1" applyProtection="1">
      <alignment horizontal="center" wrapText="1"/>
    </xf>
    <xf numFmtId="0" fontId="15" fillId="0" borderId="21" xfId="0" applyFont="1" applyFill="1" applyBorder="1" applyAlignment="1" applyProtection="1">
      <alignment horizontal="center" vertical="top" wrapText="1"/>
    </xf>
    <xf numFmtId="1" fontId="14" fillId="7" borderId="21" xfId="0" applyNumberFormat="1" applyFont="1" applyFill="1" applyBorder="1" applyAlignment="1" applyProtection="1">
      <alignment horizontal="center" vertical="top" wrapText="1"/>
    </xf>
    <xf numFmtId="1" fontId="14" fillId="6" borderId="21" xfId="0" applyNumberFormat="1" applyFont="1" applyFill="1" applyBorder="1" applyAlignment="1" applyProtection="1">
      <alignment horizontal="center" vertical="top" wrapText="1"/>
    </xf>
    <xf numFmtId="1" fontId="14" fillId="8" borderId="21" xfId="0" applyNumberFormat="1" applyFont="1" applyFill="1" applyBorder="1" applyAlignment="1" applyProtection="1">
      <alignment horizontal="center" vertical="top" wrapText="1"/>
    </xf>
    <xf numFmtId="1" fontId="14" fillId="0" borderId="21" xfId="0" applyNumberFormat="1" applyFont="1" applyFill="1" applyBorder="1" applyAlignment="1" applyProtection="1">
      <alignment horizontal="center" vertical="top" wrapText="1"/>
    </xf>
    <xf numFmtId="0" fontId="14" fillId="0" borderId="0" xfId="0" applyFont="1" applyBorder="1" applyAlignment="1" applyProtection="1">
      <alignment horizontal="left" vertical="top" wrapText="1"/>
    </xf>
    <xf numFmtId="0" fontId="21" fillId="9" borderId="21" xfId="0" applyFont="1" applyFill="1" applyBorder="1" applyAlignment="1" applyProtection="1">
      <alignment horizontal="left" vertical="top" wrapText="1"/>
    </xf>
    <xf numFmtId="0" fontId="22" fillId="9" borderId="21"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12" borderId="21" xfId="0" applyFont="1" applyFill="1" applyBorder="1" applyAlignment="1" applyProtection="1">
      <alignment horizontal="center" vertical="top" wrapText="1"/>
    </xf>
    <xf numFmtId="0" fontId="14" fillId="0" borderId="21" xfId="0" applyFont="1" applyBorder="1" applyAlignment="1" applyProtection="1">
      <alignment horizontal="center" vertical="top" wrapText="1"/>
    </xf>
    <xf numFmtId="0" fontId="14" fillId="4" borderId="21" xfId="0" applyFont="1" applyFill="1" applyBorder="1" applyAlignment="1" applyProtection="1">
      <alignment horizontal="center" vertical="top" wrapText="1"/>
    </xf>
    <xf numFmtId="0" fontId="21" fillId="0" borderId="0"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12" fillId="0" borderId="0" xfId="0" applyFont="1" applyFill="1" applyBorder="1" applyAlignment="1" applyProtection="1">
      <alignment vertical="top" wrapText="1"/>
    </xf>
    <xf numFmtId="1" fontId="12" fillId="0" borderId="0" xfId="0" applyNumberFormat="1" applyFont="1" applyFill="1" applyBorder="1" applyAlignment="1" applyProtection="1">
      <alignment horizontal="center" vertical="top" wrapText="1"/>
    </xf>
    <xf numFmtId="0" fontId="18" fillId="0" borderId="21" xfId="0" applyFont="1" applyFill="1" applyBorder="1" applyAlignment="1" applyProtection="1">
      <alignment horizontal="center" vertical="top" wrapText="1"/>
    </xf>
    <xf numFmtId="0" fontId="14" fillId="0" borderId="23" xfId="0" applyFont="1" applyFill="1" applyBorder="1" applyAlignment="1" applyProtection="1">
      <alignment horizontal="center" vertical="top" wrapText="1"/>
    </xf>
    <xf numFmtId="0" fontId="16" fillId="5" borderId="11" xfId="0" applyFont="1" applyFill="1" applyBorder="1" applyAlignment="1" applyProtection="1">
      <alignment horizontal="center" wrapText="1"/>
    </xf>
    <xf numFmtId="1" fontId="16" fillId="6" borderId="19" xfId="0" applyNumberFormat="1" applyFont="1" applyFill="1" applyBorder="1" applyAlignment="1" applyProtection="1">
      <alignment horizontal="center" wrapText="1"/>
    </xf>
    <xf numFmtId="0" fontId="16" fillId="6" borderId="15" xfId="0" applyFont="1" applyFill="1" applyBorder="1" applyAlignment="1" applyProtection="1">
      <alignment horizontal="center" wrapText="1"/>
    </xf>
    <xf numFmtId="1" fontId="16" fillId="7" borderId="19" xfId="0" applyNumberFormat="1" applyFont="1" applyFill="1" applyBorder="1" applyAlignment="1" applyProtection="1">
      <alignment horizontal="center" wrapText="1"/>
    </xf>
    <xf numFmtId="1" fontId="16" fillId="7" borderId="13" xfId="0" applyNumberFormat="1" applyFont="1" applyFill="1" applyBorder="1" applyAlignment="1" applyProtection="1">
      <alignment horizontal="center" wrapText="1"/>
    </xf>
    <xf numFmtId="0" fontId="21" fillId="9" borderId="0" xfId="0" applyFont="1" applyFill="1" applyBorder="1" applyAlignment="1" applyProtection="1">
      <alignment horizontal="center" vertical="top"/>
    </xf>
    <xf numFmtId="0" fontId="8" fillId="9" borderId="26" xfId="0" applyFont="1" applyFill="1" applyBorder="1" applyAlignment="1" applyProtection="1">
      <alignment vertical="top"/>
    </xf>
    <xf numFmtId="9" fontId="14" fillId="0" borderId="21" xfId="0" applyNumberFormat="1" applyFont="1" applyBorder="1" applyAlignment="1" applyProtection="1">
      <alignment horizontal="center" vertical="top" wrapText="1"/>
    </xf>
    <xf numFmtId="9" fontId="14" fillId="8" borderId="21" xfId="0" applyNumberFormat="1" applyFont="1" applyFill="1" applyBorder="1" applyAlignment="1" applyProtection="1">
      <alignment horizontal="center" vertical="top" wrapText="1"/>
    </xf>
    <xf numFmtId="1" fontId="23" fillId="9" borderId="25" xfId="0" applyNumberFormat="1" applyFont="1" applyFill="1" applyBorder="1" applyAlignment="1" applyProtection="1">
      <alignment horizontal="center" vertical="top" wrapText="1"/>
    </xf>
    <xf numFmtId="0" fontId="8" fillId="9" borderId="26" xfId="0" applyFont="1" applyFill="1" applyBorder="1" applyAlignment="1" applyProtection="1">
      <alignment horizontal="center" vertical="top"/>
    </xf>
    <xf numFmtId="0" fontId="22" fillId="9" borderId="21" xfId="0" applyFont="1" applyFill="1" applyBorder="1" applyAlignment="1" applyProtection="1">
      <alignment vertical="top" wrapText="1"/>
    </xf>
    <xf numFmtId="0" fontId="22" fillId="9" borderId="21" xfId="0" applyFont="1" applyFill="1" applyBorder="1" applyAlignment="1" applyProtection="1">
      <alignment horizontal="center" vertical="top" wrapText="1"/>
    </xf>
    <xf numFmtId="0" fontId="30" fillId="9" borderId="21" xfId="0" applyFont="1" applyFill="1" applyBorder="1" applyAlignment="1" applyProtection="1">
      <alignment horizontal="center" vertical="top" wrapText="1"/>
    </xf>
    <xf numFmtId="0" fontId="31" fillId="9" borderId="21" xfId="0" applyFont="1" applyFill="1" applyBorder="1" applyAlignment="1" applyProtection="1">
      <alignment horizontal="center" vertical="top" wrapText="1"/>
    </xf>
    <xf numFmtId="1" fontId="31" fillId="9" borderId="21" xfId="0" applyNumberFormat="1" applyFont="1" applyFill="1" applyBorder="1" applyAlignment="1" applyProtection="1">
      <alignment horizontal="center" vertical="top" wrapText="1"/>
    </xf>
    <xf numFmtId="9" fontId="31" fillId="9" borderId="21" xfId="0" applyNumberFormat="1" applyFont="1" applyFill="1" applyBorder="1" applyAlignment="1" applyProtection="1">
      <alignment horizontal="center" vertical="top" wrapText="1"/>
    </xf>
    <xf numFmtId="1" fontId="31" fillId="9" borderId="25" xfId="0" applyNumberFormat="1" applyFont="1" applyFill="1" applyBorder="1" applyAlignment="1" applyProtection="1">
      <alignment horizontal="center" vertical="top" wrapText="1"/>
    </xf>
    <xf numFmtId="0" fontId="18" fillId="0" borderId="0" xfId="2" applyAlignment="1" applyProtection="1">
      <alignment horizontal="center"/>
    </xf>
    <xf numFmtId="0" fontId="14" fillId="0" borderId="22" xfId="0" applyFont="1" applyFill="1" applyBorder="1" applyAlignment="1" applyProtection="1">
      <alignment horizontal="center" vertical="top" wrapText="1"/>
    </xf>
    <xf numFmtId="0" fontId="14" fillId="9" borderId="21" xfId="0" applyFont="1" applyFill="1" applyBorder="1" applyAlignment="1" applyProtection="1">
      <alignment horizontal="center" vertical="top" wrapText="1"/>
    </xf>
    <xf numFmtId="0" fontId="14" fillId="0" borderId="0" xfId="0" applyFont="1" applyFill="1" applyBorder="1" applyAlignment="1" applyProtection="1">
      <alignment horizontal="left" vertical="top"/>
    </xf>
    <xf numFmtId="0" fontId="12" fillId="0" borderId="0" xfId="0" applyFont="1" applyFill="1" applyBorder="1" applyAlignment="1" applyProtection="1">
      <alignment horizontal="center" vertical="top"/>
    </xf>
    <xf numFmtId="0" fontId="14" fillId="9" borderId="21" xfId="0" applyFont="1" applyFill="1" applyBorder="1" applyAlignment="1" applyProtection="1">
      <alignment horizontal="center" vertical="center" wrapText="1"/>
    </xf>
    <xf numFmtId="0" fontId="21" fillId="9" borderId="21" xfId="0" applyFont="1" applyFill="1" applyBorder="1" applyAlignment="1" applyProtection="1">
      <alignment vertical="top" wrapText="1"/>
    </xf>
    <xf numFmtId="0" fontId="14" fillId="0" borderId="24" xfId="0" applyFont="1" applyFill="1" applyBorder="1" applyAlignment="1" applyProtection="1">
      <alignment horizontal="center" vertical="top" wrapText="1"/>
    </xf>
    <xf numFmtId="0" fontId="14" fillId="0" borderId="24" xfId="0" applyFont="1" applyFill="1" applyBorder="1" applyAlignment="1" applyProtection="1">
      <alignment horizontal="left" vertical="top" wrapText="1"/>
    </xf>
    <xf numFmtId="0" fontId="31" fillId="9" borderId="21" xfId="0" applyFont="1" applyFill="1" applyBorder="1" applyAlignment="1" applyProtection="1">
      <alignment horizontal="left" vertical="top" wrapText="1"/>
    </xf>
    <xf numFmtId="0" fontId="12" fillId="4" borderId="0" xfId="0" applyFont="1" applyFill="1" applyBorder="1" applyAlignment="1" applyProtection="1">
      <alignment horizontal="left" vertical="top" wrapText="1"/>
    </xf>
    <xf numFmtId="9" fontId="14" fillId="0" borderId="25" xfId="0" applyNumberFormat="1" applyFont="1" applyFill="1" applyBorder="1" applyAlignment="1" applyProtection="1">
      <alignment horizontal="center" vertical="top" wrapText="1"/>
    </xf>
    <xf numFmtId="164" fontId="14" fillId="0" borderId="25" xfId="0" applyNumberFormat="1" applyFont="1" applyFill="1" applyBorder="1" applyAlignment="1" applyProtection="1">
      <alignment horizontal="center" vertical="top" wrapText="1"/>
    </xf>
    <xf numFmtId="164" fontId="14" fillId="8" borderId="21" xfId="0" applyNumberFormat="1" applyFont="1" applyFill="1" applyBorder="1" applyAlignment="1" applyProtection="1">
      <alignment horizontal="center" vertical="top" wrapText="1"/>
    </xf>
    <xf numFmtId="0" fontId="14" fillId="6" borderId="4" xfId="0" applyFont="1" applyFill="1" applyBorder="1" applyAlignment="1" applyProtection="1">
      <alignment wrapText="1"/>
    </xf>
    <xf numFmtId="0" fontId="0" fillId="0" borderId="6" xfId="0" applyBorder="1" applyProtection="1"/>
    <xf numFmtId="0" fontId="0" fillId="0" borderId="7" xfId="0" applyBorder="1" applyProtection="1"/>
    <xf numFmtId="0" fontId="12" fillId="0" borderId="0" xfId="0" applyFont="1" applyFill="1" applyBorder="1" applyAlignment="1" applyProtection="1">
      <alignment horizontal="center" vertical="top" wrapText="1"/>
    </xf>
    <xf numFmtId="0" fontId="12" fillId="0" borderId="0" xfId="0" applyFont="1" applyBorder="1" applyAlignment="1" applyProtection="1">
      <alignment horizontal="left" vertical="top"/>
    </xf>
    <xf numFmtId="0" fontId="29" fillId="9" borderId="0" xfId="0" applyFont="1" applyFill="1" applyBorder="1" applyAlignment="1" applyProtection="1">
      <alignment horizontal="left" vertical="top"/>
    </xf>
    <xf numFmtId="0" fontId="22" fillId="9" borderId="0" xfId="0" applyFont="1" applyFill="1" applyBorder="1" applyAlignment="1" applyProtection="1">
      <alignment horizontal="left" vertical="top"/>
    </xf>
    <xf numFmtId="0" fontId="21" fillId="9" borderId="0" xfId="0" applyFont="1" applyFill="1" applyBorder="1" applyAlignment="1" applyProtection="1">
      <alignment horizontal="left" vertical="top"/>
    </xf>
    <xf numFmtId="0" fontId="18" fillId="12" borderId="21" xfId="0" applyFont="1" applyFill="1" applyBorder="1" applyAlignment="1" applyProtection="1">
      <alignment horizontal="left" vertical="top" wrapText="1"/>
    </xf>
    <xf numFmtId="0" fontId="17" fillId="0" borderId="21" xfId="0" applyFont="1" applyBorder="1" applyAlignment="1" applyProtection="1">
      <alignment horizontal="left" vertical="top" wrapText="1"/>
    </xf>
    <xf numFmtId="0" fontId="13" fillId="9" borderId="21" xfId="0" applyFont="1" applyFill="1" applyBorder="1" applyAlignment="1" applyProtection="1">
      <alignment horizontal="left" vertical="top" wrapText="1"/>
    </xf>
    <xf numFmtId="0" fontId="14" fillId="0" borderId="21" xfId="0" applyNumberFormat="1" applyFont="1" applyBorder="1" applyAlignment="1" applyProtection="1">
      <alignment horizontal="left" vertical="top" wrapText="1"/>
    </xf>
    <xf numFmtId="0" fontId="12" fillId="0" borderId="21" xfId="0" applyFont="1" applyFill="1" applyBorder="1" applyAlignment="1" applyProtection="1">
      <alignment horizontal="center" vertical="top"/>
    </xf>
    <xf numFmtId="0" fontId="12" fillId="0" borderId="21" xfId="0" applyFont="1" applyFill="1" applyBorder="1" applyAlignment="1" applyProtection="1">
      <alignment vertical="top" wrapText="1"/>
    </xf>
    <xf numFmtId="0" fontId="14" fillId="0" borderId="21" xfId="0" applyNumberFormat="1" applyFont="1" applyFill="1" applyBorder="1" applyAlignment="1" applyProtection="1">
      <alignment vertical="top" wrapText="1"/>
    </xf>
    <xf numFmtId="0" fontId="10" fillId="9" borderId="26" xfId="0" applyFont="1" applyFill="1" applyBorder="1" applyAlignment="1" applyProtection="1">
      <alignment vertical="top"/>
    </xf>
    <xf numFmtId="0" fontId="14" fillId="0" borderId="21" xfId="0" applyFont="1" applyFill="1" applyBorder="1" applyAlignment="1" applyProtection="1">
      <alignment horizontal="left" vertical="top" wrapText="1"/>
    </xf>
    <xf numFmtId="0" fontId="12" fillId="4" borderId="21" xfId="0" applyFont="1" applyFill="1" applyBorder="1" applyAlignment="1" applyProtection="1">
      <alignment vertical="top" wrapText="1"/>
    </xf>
    <xf numFmtId="0" fontId="15" fillId="4" borderId="21" xfId="0" applyFont="1" applyFill="1" applyBorder="1" applyAlignment="1" applyProtection="1">
      <alignment horizontal="left" vertical="top" wrapText="1"/>
    </xf>
    <xf numFmtId="0" fontId="18" fillId="0" borderId="21" xfId="0" applyFont="1" applyFill="1" applyBorder="1" applyAlignment="1" applyProtection="1">
      <alignment horizontal="left" vertical="top" wrapText="1"/>
    </xf>
    <xf numFmtId="0" fontId="18" fillId="4" borderId="21" xfId="0" applyFont="1" applyFill="1" applyBorder="1" applyAlignment="1" applyProtection="1">
      <alignment horizontal="left" vertical="top" wrapText="1"/>
    </xf>
    <xf numFmtId="0" fontId="12" fillId="4" borderId="21"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18" fillId="0" borderId="21" xfId="0" applyNumberFormat="1" applyFont="1" applyFill="1" applyBorder="1" applyAlignment="1" applyProtection="1">
      <alignment horizontal="left" vertical="top" wrapText="1"/>
    </xf>
    <xf numFmtId="0" fontId="12" fillId="0" borderId="21" xfId="0" applyNumberFormat="1" applyFont="1" applyFill="1" applyBorder="1" applyAlignment="1" applyProtection="1">
      <alignment horizontal="left" vertical="top" wrapText="1"/>
    </xf>
    <xf numFmtId="0" fontId="18" fillId="4" borderId="21" xfId="0" applyNumberFormat="1" applyFont="1" applyFill="1" applyBorder="1" applyAlignment="1" applyProtection="1">
      <alignment horizontal="left" vertical="top" wrapText="1"/>
    </xf>
    <xf numFmtId="0" fontId="12" fillId="4" borderId="21" xfId="0" applyNumberFormat="1" applyFont="1" applyFill="1" applyBorder="1" applyAlignment="1" applyProtection="1">
      <alignment horizontal="left" vertical="top" wrapText="1"/>
    </xf>
    <xf numFmtId="0" fontId="12" fillId="4" borderId="21" xfId="0" applyFont="1" applyFill="1" applyBorder="1" applyAlignment="1" applyProtection="1">
      <alignment horizontal="center" vertical="top" wrapText="1"/>
    </xf>
    <xf numFmtId="0" fontId="14" fillId="0" borderId="21" xfId="0" applyFont="1" applyBorder="1" applyAlignment="1" applyProtection="1">
      <alignment horizontal="center" vertical="center" wrapText="1"/>
    </xf>
    <xf numFmtId="1" fontId="14" fillId="6" borderId="21" xfId="0" applyNumberFormat="1" applyFont="1" applyFill="1" applyBorder="1" applyAlignment="1" applyProtection="1">
      <alignment horizontal="center" vertical="center" wrapText="1"/>
    </xf>
    <xf numFmtId="1" fontId="14" fillId="8" borderId="21" xfId="0" applyNumberFormat="1" applyFont="1" applyFill="1" applyBorder="1" applyAlignment="1" applyProtection="1">
      <alignment horizontal="center" vertical="center" wrapText="1"/>
    </xf>
    <xf numFmtId="9" fontId="14" fillId="0" borderId="21" xfId="0" applyNumberFormat="1" applyFont="1" applyBorder="1" applyAlignment="1" applyProtection="1">
      <alignment horizontal="center" vertical="center" wrapText="1"/>
    </xf>
    <xf numFmtId="9" fontId="14" fillId="10" borderId="21" xfId="0" applyNumberFormat="1" applyFont="1" applyFill="1" applyBorder="1" applyAlignment="1" applyProtection="1">
      <alignment horizontal="center" vertical="center" wrapText="1"/>
    </xf>
    <xf numFmtId="164" fontId="14" fillId="8" borderId="21" xfId="0" applyNumberFormat="1" applyFont="1" applyFill="1" applyBorder="1" applyAlignment="1" applyProtection="1">
      <alignment horizontal="center" vertical="center" wrapText="1"/>
    </xf>
    <xf numFmtId="0" fontId="37" fillId="0" borderId="0" xfId="0" applyFont="1" applyBorder="1" applyAlignment="1" applyProtection="1">
      <alignment vertical="center"/>
    </xf>
    <xf numFmtId="0" fontId="12" fillId="0" borderId="0" xfId="0" applyFont="1" applyBorder="1" applyAlignment="1" applyProtection="1">
      <alignment horizontal="center" vertical="center"/>
    </xf>
    <xf numFmtId="0" fontId="14" fillId="0" borderId="0" xfId="0" applyFont="1" applyFill="1" applyBorder="1" applyAlignment="1" applyProtection="1">
      <alignment horizontal="left" vertical="top" wrapText="1"/>
    </xf>
    <xf numFmtId="0" fontId="41" fillId="0" borderId="0" xfId="290" applyBorder="1" applyAlignment="1" applyProtection="1">
      <alignment wrapText="1"/>
    </xf>
    <xf numFmtId="0" fontId="41" fillId="0" borderId="0" xfId="290" applyBorder="1" applyProtection="1"/>
    <xf numFmtId="0" fontId="41" fillId="0" borderId="0" xfId="290" applyFill="1" applyBorder="1" applyProtection="1"/>
    <xf numFmtId="0" fontId="41" fillId="0" borderId="0" xfId="290" applyProtection="1"/>
    <xf numFmtId="0" fontId="28" fillId="0" borderId="0" xfId="290" applyFont="1" applyFill="1" applyAlignment="1" applyProtection="1">
      <alignment horizontal="center"/>
    </xf>
    <xf numFmtId="0" fontId="42" fillId="0" borderId="0" xfId="290" applyFont="1" applyFill="1" applyAlignment="1" applyProtection="1">
      <alignment vertical="center" wrapText="1"/>
    </xf>
    <xf numFmtId="0" fontId="36" fillId="12" borderId="0" xfId="290" applyFont="1" applyFill="1" applyAlignment="1" applyProtection="1">
      <alignment vertical="center"/>
    </xf>
    <xf numFmtId="0" fontId="41" fillId="12" borderId="0" xfId="290" applyFill="1" applyBorder="1" applyAlignment="1" applyProtection="1">
      <alignment vertical="top" wrapText="1"/>
    </xf>
    <xf numFmtId="0" fontId="41" fillId="12" borderId="0" xfId="290" applyFill="1" applyBorder="1" applyAlignment="1" applyProtection="1">
      <alignment horizontal="center" vertical="center"/>
    </xf>
    <xf numFmtId="0" fontId="41" fillId="12" borderId="0" xfId="290" applyFill="1" applyBorder="1" applyAlignment="1" applyProtection="1">
      <alignment vertical="center"/>
    </xf>
    <xf numFmtId="0" fontId="42" fillId="0" borderId="0" xfId="290" applyFont="1" applyFill="1" applyBorder="1" applyAlignment="1" applyProtection="1">
      <alignment vertical="center" wrapText="1"/>
    </xf>
    <xf numFmtId="0" fontId="43" fillId="12" borderId="0" xfId="290" applyFont="1" applyFill="1" applyBorder="1" applyAlignment="1" applyProtection="1"/>
    <xf numFmtId="0" fontId="43" fillId="12" borderId="0" xfId="290" applyFont="1" applyFill="1" applyBorder="1" applyAlignment="1" applyProtection="1">
      <alignment wrapText="1"/>
    </xf>
    <xf numFmtId="0" fontId="41" fillId="0" borderId="31" xfId="290" applyFill="1" applyBorder="1" applyProtection="1"/>
    <xf numFmtId="0" fontId="9" fillId="0" borderId="30" xfId="290" applyFont="1" applyBorder="1" applyAlignment="1" applyProtection="1">
      <alignment vertical="center" wrapText="1"/>
    </xf>
    <xf numFmtId="0" fontId="41" fillId="0" borderId="32" xfId="290" applyBorder="1" applyProtection="1"/>
    <xf numFmtId="0" fontId="24" fillId="0" borderId="0" xfId="290" applyFont="1" applyBorder="1" applyAlignment="1" applyProtection="1">
      <alignment vertical="top" wrapText="1"/>
    </xf>
    <xf numFmtId="0" fontId="41" fillId="0" borderId="0" xfId="290" applyFill="1" applyBorder="1" applyAlignment="1" applyProtection="1">
      <alignment vertical="center"/>
    </xf>
    <xf numFmtId="0" fontId="41" fillId="0" borderId="20" xfId="290" applyFill="1" applyBorder="1" applyAlignment="1" applyProtection="1">
      <alignment vertical="center"/>
    </xf>
    <xf numFmtId="0" fontId="41" fillId="0" borderId="33" xfId="290" applyBorder="1" applyAlignment="1" applyProtection="1">
      <alignment vertical="center"/>
    </xf>
    <xf numFmtId="0" fontId="41" fillId="0" borderId="0" xfId="290" applyBorder="1" applyAlignment="1" applyProtection="1">
      <alignment vertical="center"/>
    </xf>
    <xf numFmtId="0" fontId="41" fillId="0" borderId="0" xfId="290" applyBorder="1" applyAlignment="1" applyProtection="1">
      <alignment vertical="center" wrapText="1"/>
    </xf>
    <xf numFmtId="0" fontId="41" fillId="0" borderId="20" xfId="290" applyFill="1" applyBorder="1" applyProtection="1"/>
    <xf numFmtId="0" fontId="9" fillId="0" borderId="0" xfId="290" applyFont="1" applyBorder="1" applyAlignment="1" applyProtection="1">
      <alignment vertical="center" wrapText="1"/>
    </xf>
    <xf numFmtId="0" fontId="41" fillId="0" borderId="33" xfId="290" applyBorder="1" applyProtection="1"/>
    <xf numFmtId="0" fontId="41" fillId="0" borderId="34" xfId="290" applyFill="1" applyBorder="1" applyProtection="1"/>
    <xf numFmtId="0" fontId="8" fillId="0" borderId="26" xfId="290" applyFont="1" applyBorder="1" applyAlignment="1" applyProtection="1">
      <alignment wrapText="1"/>
    </xf>
    <xf numFmtId="0" fontId="41" fillId="0" borderId="35" xfId="290" applyBorder="1" applyProtection="1"/>
    <xf numFmtId="0" fontId="8" fillId="0" borderId="0" xfId="290" applyFont="1" applyBorder="1" applyAlignment="1" applyProtection="1">
      <alignment wrapText="1"/>
    </xf>
    <xf numFmtId="0" fontId="45" fillId="0" borderId="0" xfId="290" applyFont="1" applyBorder="1" applyAlignment="1" applyProtection="1">
      <alignment vertical="center" wrapText="1"/>
    </xf>
    <xf numFmtId="0" fontId="15" fillId="0" borderId="0" xfId="290" applyFont="1" applyBorder="1" applyAlignment="1" applyProtection="1">
      <alignment wrapText="1"/>
    </xf>
    <xf numFmtId="0" fontId="41" fillId="0" borderId="26" xfId="290" applyBorder="1" applyProtection="1"/>
    <xf numFmtId="0" fontId="24" fillId="0" borderId="0" xfId="290" applyFont="1" applyBorder="1" applyAlignment="1" applyProtection="1">
      <alignment wrapText="1"/>
    </xf>
    <xf numFmtId="0" fontId="41" fillId="0" borderId="30" xfId="290" applyBorder="1" applyAlignment="1" applyProtection="1">
      <alignment wrapText="1"/>
    </xf>
    <xf numFmtId="0" fontId="9" fillId="0" borderId="0" xfId="290" applyFont="1" applyFill="1" applyBorder="1" applyAlignment="1" applyProtection="1">
      <alignment vertical="top" wrapText="1"/>
    </xf>
    <xf numFmtId="0" fontId="18" fillId="13" borderId="21" xfId="290" applyFont="1" applyFill="1" applyBorder="1" applyAlignment="1" applyProtection="1">
      <alignment horizontal="left" vertical="top" wrapText="1"/>
      <protection locked="0"/>
    </xf>
    <xf numFmtId="0" fontId="41" fillId="0" borderId="26" xfId="290" applyBorder="1" applyAlignment="1" applyProtection="1">
      <alignment wrapText="1"/>
    </xf>
    <xf numFmtId="0" fontId="46" fillId="12" borderId="0" xfId="290" applyFont="1" applyFill="1" applyAlignment="1" applyProtection="1">
      <alignment vertical="center"/>
    </xf>
    <xf numFmtId="0" fontId="42" fillId="12" borderId="0" xfId="290" applyFont="1" applyFill="1" applyAlignment="1" applyProtection="1">
      <alignment vertical="center"/>
    </xf>
    <xf numFmtId="0" fontId="46" fillId="12" borderId="0" xfId="290" applyFont="1" applyFill="1" applyAlignment="1" applyProtection="1"/>
    <xf numFmtId="0" fontId="28" fillId="12" borderId="0" xfId="290" applyFont="1" applyFill="1" applyAlignment="1" applyProtection="1"/>
    <xf numFmtId="0" fontId="42" fillId="0" borderId="0" xfId="290" quotePrefix="1" applyFont="1" applyFill="1" applyAlignment="1" applyProtection="1">
      <alignment vertical="center" wrapText="1"/>
    </xf>
    <xf numFmtId="0" fontId="41" fillId="12" borderId="0" xfId="290" applyFill="1" applyAlignment="1" applyProtection="1">
      <alignment vertical="center"/>
    </xf>
    <xf numFmtId="0" fontId="36" fillId="0" borderId="0" xfId="290" applyFont="1" applyFill="1" applyAlignment="1" applyProtection="1">
      <alignment vertical="top" wrapText="1"/>
    </xf>
    <xf numFmtId="0" fontId="41" fillId="0" borderId="0" xfId="290" applyFill="1" applyAlignment="1" applyProtection="1">
      <alignment vertical="top"/>
    </xf>
    <xf numFmtId="0" fontId="28" fillId="0" borderId="0" xfId="290" applyFont="1" applyFill="1" applyBorder="1" applyAlignment="1" applyProtection="1">
      <alignment vertical="top" wrapText="1"/>
    </xf>
    <xf numFmtId="0" fontId="18" fillId="0" borderId="0" xfId="290" applyFont="1" applyFill="1" applyAlignment="1" applyProtection="1">
      <alignment vertical="top"/>
    </xf>
    <xf numFmtId="0" fontId="48" fillId="0" borderId="0" xfId="290" applyFont="1" applyFill="1" applyAlignment="1" applyProtection="1">
      <alignment vertical="top" wrapText="1"/>
    </xf>
    <xf numFmtId="0" fontId="36" fillId="0" borderId="0" xfId="308" applyFont="1" applyAlignment="1" applyProtection="1">
      <alignment wrapText="1"/>
    </xf>
    <xf numFmtId="0" fontId="41" fillId="0" borderId="0" xfId="308" applyProtection="1"/>
    <xf numFmtId="0" fontId="15" fillId="0" borderId="0" xfId="308" applyFont="1" applyAlignment="1" applyProtection="1"/>
    <xf numFmtId="0" fontId="18" fillId="0" borderId="0" xfId="308" applyFont="1" applyProtection="1"/>
    <xf numFmtId="0" fontId="0" fillId="0" borderId="0" xfId="308" applyFont="1" applyAlignment="1" applyProtection="1">
      <alignment vertical="center"/>
    </xf>
    <xf numFmtId="0" fontId="15" fillId="13" borderId="21" xfId="308" applyFont="1" applyFill="1" applyBorder="1" applyAlignment="1" applyProtection="1">
      <alignment vertical="center" wrapText="1"/>
      <protection locked="0"/>
    </xf>
    <xf numFmtId="0" fontId="41" fillId="0" borderId="0" xfId="308" applyAlignment="1" applyProtection="1">
      <alignment vertical="center"/>
    </xf>
    <xf numFmtId="0" fontId="18" fillId="0" borderId="0" xfId="308" applyFont="1" applyAlignment="1" applyProtection="1">
      <alignment vertical="center"/>
    </xf>
    <xf numFmtId="0" fontId="36" fillId="0" borderId="0" xfId="308" applyFont="1" applyAlignment="1" applyProtection="1">
      <alignment vertical="center" wrapText="1"/>
    </xf>
    <xf numFmtId="0" fontId="41" fillId="0" borderId="0" xfId="290" applyFill="1" applyAlignment="1" applyProtection="1">
      <alignment horizontal="left" vertical="center"/>
    </xf>
    <xf numFmtId="0" fontId="18" fillId="0" borderId="0" xfId="290" applyFont="1" applyAlignment="1" applyProtection="1">
      <alignment horizontal="left" vertical="center"/>
    </xf>
    <xf numFmtId="0" fontId="49" fillId="0" borderId="0" xfId="290" applyFont="1" applyFill="1" applyAlignment="1" applyProtection="1">
      <alignment horizontal="left" vertical="center" wrapText="1"/>
    </xf>
    <xf numFmtId="0" fontId="41" fillId="0" borderId="0" xfId="290" applyAlignment="1" applyProtection="1">
      <alignment horizontal="left" vertical="center"/>
    </xf>
    <xf numFmtId="0" fontId="41" fillId="0" borderId="0" xfId="290" applyFill="1" applyProtection="1"/>
    <xf numFmtId="0" fontId="18" fillId="0" borderId="0" xfId="290" applyFont="1" applyProtection="1"/>
    <xf numFmtId="0" fontId="49" fillId="0" borderId="0" xfId="290" applyFont="1" applyFill="1" applyAlignment="1" applyProtection="1">
      <alignment vertical="top" wrapText="1"/>
    </xf>
    <xf numFmtId="0" fontId="18" fillId="0" borderId="0" xfId="290" applyFont="1" applyBorder="1" applyAlignment="1" applyProtection="1">
      <alignment horizontal="left" vertical="top" wrapText="1"/>
    </xf>
    <xf numFmtId="0" fontId="36" fillId="0" borderId="0" xfId="290" applyFont="1" applyFill="1" applyAlignment="1" applyProtection="1">
      <alignment horizontal="left" vertical="center" wrapText="1"/>
    </xf>
    <xf numFmtId="0" fontId="50" fillId="0" borderId="0" xfId="290" applyFont="1" applyFill="1" applyAlignment="1" applyProtection="1">
      <alignment vertical="top" wrapText="1"/>
    </xf>
    <xf numFmtId="0" fontId="18" fillId="0" borderId="0" xfId="290" applyFont="1" applyFill="1" applyProtection="1"/>
    <xf numFmtId="0" fontId="9" fillId="0" borderId="0" xfId="290" applyFont="1" applyBorder="1" applyAlignment="1" applyProtection="1">
      <alignment vertical="top" wrapText="1"/>
    </xf>
    <xf numFmtId="0" fontId="18" fillId="0" borderId="0" xfId="290" applyFont="1" applyBorder="1" applyAlignment="1" applyProtection="1">
      <alignment vertical="top" wrapText="1"/>
    </xf>
    <xf numFmtId="0" fontId="52" fillId="0" borderId="0" xfId="290" applyFont="1" applyAlignment="1" applyProtection="1">
      <alignment wrapText="1"/>
    </xf>
    <xf numFmtId="0" fontId="35" fillId="0" borderId="0" xfId="290" applyFont="1" applyBorder="1" applyAlignment="1" applyProtection="1">
      <alignment horizontal="left" vertical="top" wrapText="1"/>
    </xf>
    <xf numFmtId="0" fontId="24" fillId="0" borderId="0" xfId="290" applyFont="1" applyFill="1" applyProtection="1"/>
    <xf numFmtId="0" fontId="53" fillId="0" borderId="0" xfId="290" applyFont="1" applyFill="1" applyAlignment="1" applyProtection="1">
      <alignment vertical="top" wrapText="1"/>
    </xf>
    <xf numFmtId="0" fontId="21" fillId="4" borderId="0" xfId="0" applyFont="1" applyFill="1" applyBorder="1" applyAlignment="1" applyProtection="1">
      <alignment horizontal="left" vertical="top" wrapText="1"/>
    </xf>
    <xf numFmtId="0" fontId="18" fillId="0" borderId="0" xfId="313" applyFont="1" applyFill="1" applyAlignment="1" applyProtection="1">
      <alignment horizontal="left" vertical="top" wrapText="1"/>
    </xf>
    <xf numFmtId="0" fontId="18" fillId="0" borderId="21" xfId="315" applyFont="1" applyFill="1" applyBorder="1" applyAlignment="1" applyProtection="1">
      <alignment horizontal="left" vertical="top" wrapText="1"/>
    </xf>
    <xf numFmtId="0" fontId="18" fillId="0" borderId="0" xfId="345" applyFont="1" applyFill="1" applyAlignment="1" applyProtection="1">
      <alignment horizontal="left" vertical="top" wrapText="1"/>
    </xf>
    <xf numFmtId="0" fontId="18" fillId="0" borderId="0" xfId="346" applyFont="1" applyFill="1" applyAlignment="1" applyProtection="1">
      <alignment horizontal="left" vertical="top" wrapText="1"/>
    </xf>
    <xf numFmtId="0" fontId="18" fillId="0" borderId="21" xfId="347" applyFont="1" applyFill="1" applyBorder="1" applyAlignment="1" applyProtection="1">
      <alignment horizontal="left" vertical="top" wrapText="1"/>
    </xf>
    <xf numFmtId="0" fontId="18" fillId="0" borderId="21" xfId="348" applyFont="1" applyFill="1" applyBorder="1" applyAlignment="1" applyProtection="1">
      <alignment horizontal="left" vertical="top" wrapText="1"/>
    </xf>
    <xf numFmtId="0" fontId="18" fillId="0" borderId="21" xfId="349" applyFont="1" applyFill="1" applyBorder="1" applyAlignment="1" applyProtection="1">
      <alignment horizontal="left" vertical="top" wrapText="1"/>
    </xf>
    <xf numFmtId="0" fontId="18" fillId="0" borderId="21" xfId="351" applyFont="1" applyFill="1" applyBorder="1" applyAlignment="1" applyProtection="1">
      <alignment horizontal="left" vertical="top" wrapText="1"/>
    </xf>
    <xf numFmtId="0" fontId="18" fillId="0" borderId="21" xfId="352" applyFont="1" applyFill="1" applyBorder="1" applyAlignment="1" applyProtection="1">
      <alignment horizontal="left" vertical="top" wrapText="1"/>
    </xf>
    <xf numFmtId="0" fontId="18" fillId="0" borderId="21" xfId="353" applyFont="1" applyFill="1" applyBorder="1" applyAlignment="1" applyProtection="1">
      <alignment horizontal="left" vertical="top" wrapText="1"/>
    </xf>
    <xf numFmtId="0" fontId="18" fillId="0" borderId="21" xfId="356" applyFont="1" applyFill="1" applyBorder="1" applyAlignment="1" applyProtection="1">
      <alignment horizontal="left" vertical="top" wrapText="1"/>
    </xf>
    <xf numFmtId="0" fontId="18" fillId="0" borderId="21" xfId="357" applyFont="1" applyFill="1" applyBorder="1" applyAlignment="1" applyProtection="1">
      <alignment horizontal="left" vertical="top" wrapText="1"/>
    </xf>
    <xf numFmtId="0" fontId="18" fillId="0" borderId="21" xfId="358" applyFont="1" applyFill="1" applyBorder="1" applyAlignment="1" applyProtection="1">
      <alignment horizontal="left" vertical="top" wrapText="1"/>
    </xf>
    <xf numFmtId="0" fontId="18" fillId="0" borderId="21" xfId="359" applyFont="1" applyFill="1" applyBorder="1" applyAlignment="1" applyProtection="1">
      <alignment horizontal="left" vertical="top" wrapText="1"/>
    </xf>
    <xf numFmtId="0" fontId="18" fillId="0" borderId="21" xfId="360" applyFont="1" applyFill="1" applyBorder="1" applyAlignment="1" applyProtection="1">
      <alignment vertical="top" wrapText="1"/>
    </xf>
    <xf numFmtId="0" fontId="18" fillId="0" borderId="21" xfId="361" applyFont="1" applyFill="1" applyBorder="1" applyAlignment="1" applyProtection="1">
      <alignment vertical="top" wrapText="1"/>
    </xf>
    <xf numFmtId="0" fontId="13" fillId="0" borderId="21" xfId="0" applyFont="1" applyFill="1" applyBorder="1" applyAlignment="1" applyProtection="1">
      <alignment horizontal="left" vertical="top" wrapText="1"/>
    </xf>
    <xf numFmtId="0" fontId="14" fillId="0" borderId="21" xfId="0" applyFont="1" applyFill="1" applyBorder="1" applyAlignment="1" applyProtection="1">
      <alignment horizontal="center" vertical="top" wrapText="1"/>
    </xf>
    <xf numFmtId="0" fontId="15" fillId="0" borderId="21" xfId="0" applyFont="1" applyFill="1" applyBorder="1" applyAlignment="1" applyProtection="1">
      <alignment horizontal="left" vertical="top" wrapText="1"/>
    </xf>
    <xf numFmtId="0" fontId="14" fillId="0" borderId="0" xfId="0" applyFont="1" applyBorder="1" applyAlignment="1" applyProtection="1">
      <alignment horizontal="left" vertical="top"/>
    </xf>
    <xf numFmtId="0" fontId="14" fillId="0" borderId="21" xfId="0" applyFont="1" applyBorder="1" applyAlignment="1" applyProtection="1">
      <alignment horizontal="left" vertical="top" wrapText="1"/>
    </xf>
    <xf numFmtId="9" fontId="14" fillId="0" borderId="21" xfId="0" applyNumberFormat="1" applyFont="1" applyFill="1" applyBorder="1" applyAlignment="1" applyProtection="1">
      <alignment horizontal="center" vertical="top" wrapText="1"/>
    </xf>
    <xf numFmtId="164" fontId="14" fillId="0" borderId="21" xfId="0" applyNumberFormat="1" applyFont="1" applyFill="1" applyBorder="1" applyAlignment="1" applyProtection="1">
      <alignment horizontal="center" vertical="top" wrapText="1"/>
    </xf>
    <xf numFmtId="0" fontId="12" fillId="0" borderId="21" xfId="0" applyFont="1" applyBorder="1" applyAlignment="1" applyProtection="1">
      <alignment horizontal="left" vertical="top" wrapText="1"/>
    </xf>
    <xf numFmtId="0" fontId="18" fillId="0" borderId="21" xfId="0" applyFont="1" applyFill="1" applyBorder="1" applyAlignment="1" applyProtection="1">
      <alignment vertical="top" wrapText="1"/>
    </xf>
    <xf numFmtId="0" fontId="18" fillId="4" borderId="21" xfId="0" applyFont="1" applyFill="1" applyBorder="1" applyAlignment="1" applyProtection="1">
      <alignment vertical="top" wrapText="1"/>
    </xf>
    <xf numFmtId="0" fontId="25" fillId="0" borderId="0" xfId="0" applyFont="1" applyFill="1" applyBorder="1" applyAlignment="1" applyProtection="1">
      <alignment horizontal="left" vertical="top" wrapText="1"/>
    </xf>
    <xf numFmtId="0" fontId="14" fillId="0" borderId="0" xfId="0" applyFont="1" applyFill="1" applyBorder="1" applyAlignment="1" applyProtection="1">
      <alignment horizontal="center" vertical="top" wrapText="1"/>
    </xf>
    <xf numFmtId="0" fontId="12" fillId="12" borderId="0" xfId="0" applyFont="1" applyFill="1" applyBorder="1" applyAlignment="1" applyProtection="1">
      <alignment horizontal="left" vertical="top"/>
    </xf>
    <xf numFmtId="0" fontId="15" fillId="12" borderId="21" xfId="0" applyFont="1" applyFill="1" applyBorder="1" applyAlignment="1" applyProtection="1">
      <alignment horizontal="left" vertical="top" wrapText="1"/>
    </xf>
    <xf numFmtId="0" fontId="15" fillId="0" borderId="21" xfId="0" applyNumberFormat="1" applyFont="1" applyFill="1" applyBorder="1" applyAlignment="1" applyProtection="1">
      <alignment horizontal="left" vertical="top" wrapText="1"/>
    </xf>
    <xf numFmtId="0" fontId="18" fillId="0" borderId="21" xfId="0" applyFont="1" applyBorder="1" applyAlignment="1" applyProtection="1">
      <alignment vertical="top" wrapText="1"/>
    </xf>
    <xf numFmtId="0" fontId="18" fillId="0" borderId="21" xfId="0" applyNumberFormat="1" applyFont="1" applyBorder="1" applyAlignment="1" applyProtection="1">
      <alignment vertical="top" wrapText="1"/>
    </xf>
    <xf numFmtId="0" fontId="18" fillId="0" borderId="21" xfId="0" applyNumberFormat="1" applyFont="1" applyFill="1" applyBorder="1" applyAlignment="1" applyProtection="1">
      <alignment vertical="top" wrapText="1"/>
    </xf>
    <xf numFmtId="0" fontId="15" fillId="0" borderId="21" xfId="0" applyFont="1" applyFill="1" applyBorder="1" applyAlignment="1" applyProtection="1">
      <alignment vertical="top" wrapText="1"/>
    </xf>
    <xf numFmtId="0" fontId="12" fillId="0" borderId="21" xfId="0" applyFont="1" applyBorder="1" applyAlignment="1" applyProtection="1">
      <alignment vertical="top" wrapText="1"/>
    </xf>
    <xf numFmtId="0" fontId="15" fillId="0" borderId="21" xfId="0" applyNumberFormat="1" applyFont="1" applyBorder="1" applyAlignment="1" applyProtection="1">
      <alignment vertical="top" wrapText="1"/>
    </xf>
    <xf numFmtId="0" fontId="15" fillId="14" borderId="21" xfId="0" applyFont="1" applyFill="1" applyBorder="1" applyAlignment="1" applyProtection="1">
      <alignment horizontal="center" vertical="top" wrapText="1"/>
    </xf>
    <xf numFmtId="0" fontId="18" fillId="0" borderId="0" xfId="0" applyNumberFormat="1" applyFont="1" applyFill="1" applyBorder="1" applyAlignment="1" applyProtection="1">
      <alignment horizontal="left" vertical="top" wrapText="1"/>
    </xf>
    <xf numFmtId="0" fontId="14" fillId="0" borderId="21" xfId="0" applyNumberFormat="1" applyFont="1" applyBorder="1" applyAlignment="1" applyProtection="1">
      <alignment vertical="top" wrapText="1"/>
    </xf>
    <xf numFmtId="0" fontId="17" fillId="0" borderId="21" xfId="0" applyNumberFormat="1" applyFont="1" applyFill="1" applyBorder="1" applyAlignment="1" applyProtection="1">
      <alignment vertical="top" wrapText="1"/>
    </xf>
    <xf numFmtId="0" fontId="12" fillId="0" borderId="21" xfId="0" applyNumberFormat="1" applyFont="1" applyBorder="1" applyAlignment="1" applyProtection="1">
      <alignment horizontal="left" vertical="top" wrapText="1"/>
    </xf>
    <xf numFmtId="0" fontId="12" fillId="14" borderId="21" xfId="0" applyFont="1" applyFill="1" applyBorder="1" applyAlignment="1" applyProtection="1">
      <alignment horizontal="center" vertical="top" wrapText="1"/>
    </xf>
    <xf numFmtId="0" fontId="14" fillId="0" borderId="21" xfId="0" applyFont="1" applyBorder="1" applyAlignment="1" applyProtection="1">
      <alignment vertical="top" wrapText="1"/>
    </xf>
    <xf numFmtId="0" fontId="14" fillId="4" borderId="21" xfId="0" applyNumberFormat="1" applyFont="1" applyFill="1" applyBorder="1" applyAlignment="1" applyProtection="1">
      <alignment vertical="top" wrapText="1"/>
    </xf>
    <xf numFmtId="0" fontId="15" fillId="4" borderId="21" xfId="0" applyNumberFormat="1" applyFont="1" applyFill="1" applyBorder="1" applyAlignment="1" applyProtection="1">
      <alignment horizontal="left" vertical="top" wrapText="1"/>
    </xf>
    <xf numFmtId="0" fontId="25" fillId="0" borderId="0" xfId="0" applyFont="1" applyBorder="1" applyAlignment="1" applyProtection="1">
      <alignment horizontal="center" vertical="top" wrapText="1"/>
    </xf>
    <xf numFmtId="0" fontId="14" fillId="0" borderId="21" xfId="0" applyNumberFormat="1" applyFont="1" applyFill="1" applyBorder="1" applyAlignment="1" applyProtection="1">
      <alignment horizontal="left" vertical="top" wrapText="1"/>
    </xf>
    <xf numFmtId="0" fontId="12" fillId="0" borderId="21" xfId="0" applyNumberFormat="1" applyFont="1" applyFill="1" applyBorder="1" applyAlignment="1" applyProtection="1">
      <alignment vertical="top" wrapText="1"/>
    </xf>
    <xf numFmtId="0" fontId="14" fillId="0" borderId="0" xfId="0" applyFont="1" applyBorder="1" applyAlignment="1" applyProtection="1">
      <alignment horizontal="left"/>
    </xf>
    <xf numFmtId="0" fontId="18" fillId="0" borderId="21" xfId="341" applyFont="1" applyFill="1" applyBorder="1" applyAlignment="1" applyProtection="1">
      <alignment horizontal="left" vertical="top" wrapText="1"/>
    </xf>
    <xf numFmtId="0" fontId="18" fillId="0" borderId="21" xfId="342" applyFont="1" applyFill="1" applyBorder="1" applyAlignment="1" applyProtection="1">
      <alignment horizontal="left" vertical="top" wrapText="1"/>
    </xf>
    <xf numFmtId="0" fontId="18" fillId="0" borderId="21" xfId="343" applyFont="1" applyFill="1" applyBorder="1" applyAlignment="1" applyProtection="1">
      <alignment horizontal="left" vertical="top" wrapText="1"/>
    </xf>
    <xf numFmtId="9" fontId="12" fillId="0" borderId="21" xfId="153" applyFont="1" applyFill="1" applyBorder="1" applyAlignment="1" applyProtection="1">
      <alignment horizontal="center" vertical="top" wrapText="1"/>
    </xf>
    <xf numFmtId="0" fontId="18" fillId="0" borderId="21" xfId="355" applyFont="1" applyFill="1" applyBorder="1" applyAlignment="1" applyProtection="1">
      <alignment horizontal="left" vertical="top" wrapText="1"/>
    </xf>
    <xf numFmtId="0" fontId="18" fillId="0" borderId="21" xfId="354" applyFont="1" applyFill="1" applyBorder="1" applyAlignment="1" applyProtection="1">
      <alignment horizontal="left" vertical="top" wrapText="1"/>
    </xf>
    <xf numFmtId="0" fontId="12" fillId="0" borderId="21" xfId="0" applyFont="1" applyFill="1" applyBorder="1" applyAlignment="1" applyProtection="1">
      <alignment horizontal="center" vertical="top" wrapText="1"/>
    </xf>
    <xf numFmtId="1" fontId="12" fillId="7" borderId="21" xfId="0" applyNumberFormat="1" applyFont="1" applyFill="1" applyBorder="1" applyAlignment="1" applyProtection="1">
      <alignment horizontal="center" vertical="top" wrapText="1"/>
    </xf>
    <xf numFmtId="0" fontId="12" fillId="0" borderId="21" xfId="0" applyFont="1" applyBorder="1" applyAlignment="1" applyProtection="1">
      <alignment horizontal="center" vertical="top" wrapText="1"/>
    </xf>
    <xf numFmtId="1" fontId="12" fillId="6" borderId="21" xfId="0" applyNumberFormat="1" applyFont="1" applyFill="1" applyBorder="1" applyAlignment="1" applyProtection="1">
      <alignment horizontal="center" vertical="top" wrapText="1"/>
    </xf>
    <xf numFmtId="9" fontId="12" fillId="0" borderId="21" xfId="0" applyNumberFormat="1" applyFont="1" applyBorder="1" applyAlignment="1" applyProtection="1">
      <alignment horizontal="center" vertical="top" wrapText="1"/>
    </xf>
    <xf numFmtId="0" fontId="18" fillId="11" borderId="21" xfId="0" applyFont="1" applyFill="1" applyBorder="1" applyAlignment="1" applyProtection="1">
      <alignment horizontal="center" vertical="top" wrapText="1"/>
      <protection locked="0"/>
    </xf>
    <xf numFmtId="9" fontId="14" fillId="11" borderId="21" xfId="0" applyNumberFormat="1" applyFont="1" applyFill="1" applyBorder="1" applyAlignment="1" applyProtection="1">
      <alignment horizontal="center" vertical="top" wrapText="1"/>
    </xf>
    <xf numFmtId="164" fontId="14" fillId="11" borderId="21" xfId="0" applyNumberFormat="1" applyFont="1" applyFill="1" applyBorder="1" applyAlignment="1" applyProtection="1">
      <alignment horizontal="center" vertical="top" wrapText="1"/>
    </xf>
    <xf numFmtId="9" fontId="14" fillId="5" borderId="21" xfId="0" applyNumberFormat="1" applyFont="1" applyFill="1" applyBorder="1" applyAlignment="1" applyProtection="1">
      <alignment horizontal="center" vertical="top" wrapText="1"/>
    </xf>
    <xf numFmtId="164" fontId="14" fillId="5" borderId="21" xfId="0" applyNumberFormat="1" applyFont="1" applyFill="1" applyBorder="1" applyAlignment="1" applyProtection="1">
      <alignment horizontal="center" vertical="top" wrapText="1"/>
    </xf>
    <xf numFmtId="0" fontId="18" fillId="5" borderId="21" xfId="0" applyFont="1" applyFill="1" applyBorder="1" applyAlignment="1" applyProtection="1">
      <alignment vertical="top" wrapText="1"/>
      <protection locked="0"/>
    </xf>
    <xf numFmtId="0" fontId="30" fillId="9" borderId="21" xfId="0" applyFont="1" applyFill="1" applyBorder="1" applyAlignment="1" applyProtection="1">
      <alignment horizontal="left" vertical="top" wrapText="1"/>
    </xf>
    <xf numFmtId="0" fontId="34" fillId="10" borderId="21" xfId="0" applyFont="1" applyFill="1" applyBorder="1" applyAlignment="1" applyProtection="1">
      <alignment horizontal="left" vertical="top" wrapText="1"/>
    </xf>
    <xf numFmtId="0" fontId="12" fillId="10" borderId="21" xfId="0" applyFont="1" applyFill="1" applyBorder="1" applyAlignment="1" applyProtection="1">
      <alignment horizontal="center" vertical="top" wrapText="1"/>
    </xf>
    <xf numFmtId="9" fontId="18" fillId="0" borderId="21" xfId="153" applyNumberFormat="1" applyFont="1" applyFill="1" applyBorder="1" applyAlignment="1" applyProtection="1">
      <alignment horizontal="center" vertical="center" wrapText="1"/>
    </xf>
    <xf numFmtId="0" fontId="18" fillId="10" borderId="21" xfId="0" applyFont="1" applyFill="1" applyBorder="1" applyAlignment="1" applyProtection="1">
      <alignment horizontal="center" vertical="top" wrapText="1"/>
    </xf>
    <xf numFmtId="9" fontId="30" fillId="9" borderId="21" xfId="153" applyFont="1" applyFill="1" applyBorder="1" applyAlignment="1" applyProtection="1">
      <alignment horizontal="center" vertical="top" wrapText="1"/>
    </xf>
    <xf numFmtId="0" fontId="16" fillId="6" borderId="13" xfId="0" applyFont="1" applyFill="1" applyBorder="1" applyAlignment="1" applyProtection="1">
      <alignment horizontal="center" vertical="top" wrapText="1"/>
    </xf>
    <xf numFmtId="0" fontId="16" fillId="7" borderId="13" xfId="0" applyFont="1" applyFill="1" applyBorder="1" applyAlignment="1" applyProtection="1">
      <alignment horizontal="center" vertical="top" wrapText="1"/>
    </xf>
    <xf numFmtId="0" fontId="41" fillId="0" borderId="0" xfId="290" applyFill="1" applyBorder="1" applyAlignment="1" applyProtection="1"/>
    <xf numFmtId="0" fontId="42" fillId="0" borderId="0" xfId="290" applyFont="1" applyFill="1" applyBorder="1" applyAlignment="1" applyProtection="1">
      <alignment wrapText="1"/>
    </xf>
    <xf numFmtId="0" fontId="41" fillId="12" borderId="0" xfId="290" applyFill="1" applyBorder="1" applyAlignment="1" applyProtection="1"/>
    <xf numFmtId="0" fontId="43" fillId="12" borderId="0" xfId="290" applyFont="1" applyFill="1" applyBorder="1" applyAlignment="1" applyProtection="1">
      <alignment horizontal="center" vertical="top"/>
    </xf>
    <xf numFmtId="0" fontId="8" fillId="0" borderId="0" xfId="290" applyFont="1" applyFill="1" applyBorder="1" applyAlignment="1" applyProtection="1">
      <alignment vertical="center"/>
    </xf>
    <xf numFmtId="0" fontId="12" fillId="0" borderId="0" xfId="0" applyFont="1" applyBorder="1" applyAlignment="1" applyProtection="1">
      <alignment horizontal="left" vertical="top" wrapText="1"/>
    </xf>
    <xf numFmtId="0" fontId="14" fillId="0" borderId="21" xfId="0" applyFont="1" applyFill="1" applyBorder="1" applyAlignment="1" applyProtection="1">
      <alignment vertical="top" wrapText="1"/>
    </xf>
    <xf numFmtId="0" fontId="14" fillId="4" borderId="21" xfId="0" applyFont="1" applyFill="1" applyBorder="1" applyAlignment="1" applyProtection="1">
      <alignment horizontal="left" vertical="top" wrapText="1"/>
    </xf>
    <xf numFmtId="0" fontId="12" fillId="12" borderId="0" xfId="0" applyFont="1" applyFill="1" applyBorder="1" applyAlignment="1" applyProtection="1">
      <alignment horizontal="left" vertical="top" wrapText="1"/>
    </xf>
    <xf numFmtId="0" fontId="18" fillId="10" borderId="21" xfId="0" applyFont="1" applyFill="1" applyBorder="1" applyAlignment="1" applyProtection="1">
      <alignment horizontal="left" vertical="top" wrapText="1"/>
    </xf>
    <xf numFmtId="0" fontId="14" fillId="12" borderId="21" xfId="0" applyFont="1" applyFill="1" applyBorder="1" applyAlignment="1" applyProtection="1">
      <alignment horizontal="left" vertical="top" wrapText="1"/>
    </xf>
    <xf numFmtId="164" fontId="12" fillId="5" borderId="21" xfId="0" applyNumberFormat="1" applyFont="1" applyFill="1" applyBorder="1" applyAlignment="1" applyProtection="1">
      <alignment horizontal="center" vertical="top" wrapText="1"/>
    </xf>
    <xf numFmtId="164" fontId="12" fillId="11" borderId="21" xfId="0" applyNumberFormat="1" applyFont="1" applyFill="1" applyBorder="1" applyAlignment="1" applyProtection="1">
      <alignment horizontal="center" vertical="top" wrapText="1"/>
    </xf>
    <xf numFmtId="0" fontId="25" fillId="0" borderId="0" xfId="0" applyFont="1" applyFill="1" applyBorder="1" applyAlignment="1" applyProtection="1">
      <alignment horizontal="center" vertical="top" wrapText="1"/>
    </xf>
    <xf numFmtId="0" fontId="12" fillId="0" borderId="0" xfId="0" applyFont="1" applyBorder="1" applyAlignment="1" applyProtection="1">
      <alignment horizontal="center" vertical="top" wrapText="1"/>
    </xf>
    <xf numFmtId="9" fontId="18" fillId="0" borderId="21" xfId="153" applyFont="1" applyFill="1" applyBorder="1" applyAlignment="1" applyProtection="1">
      <alignment horizontal="center" vertical="center" wrapText="1"/>
    </xf>
    <xf numFmtId="0" fontId="20" fillId="4" borderId="0" xfId="0" applyFont="1" applyFill="1" applyBorder="1" applyAlignment="1" applyProtection="1">
      <alignment horizontal="left" vertical="top" wrapText="1"/>
    </xf>
    <xf numFmtId="0" fontId="18" fillId="0" borderId="21" xfId="0" applyFont="1" applyBorder="1" applyAlignment="1" applyProtection="1">
      <alignment horizontal="left" vertical="top" wrapText="1"/>
    </xf>
    <xf numFmtId="0" fontId="14" fillId="14" borderId="0" xfId="0" applyFont="1" applyFill="1" applyBorder="1" applyAlignment="1" applyProtection="1">
      <alignment horizontal="center" vertical="top"/>
    </xf>
    <xf numFmtId="0" fontId="14" fillId="14" borderId="0" xfId="0" applyFont="1" applyFill="1" applyBorder="1" applyAlignment="1" applyProtection="1">
      <alignment horizontal="left" vertical="top" wrapText="1"/>
    </xf>
    <xf numFmtId="0" fontId="14" fillId="14" borderId="0" xfId="0" applyFont="1" applyFill="1" applyBorder="1" applyAlignment="1" applyProtection="1">
      <alignment horizontal="left" vertical="top"/>
    </xf>
    <xf numFmtId="0" fontId="22" fillId="14" borderId="0" xfId="0" applyFont="1" applyFill="1" applyBorder="1" applyAlignment="1" applyProtection="1">
      <alignment horizontal="center" vertical="top" wrapText="1"/>
    </xf>
    <xf numFmtId="0" fontId="10" fillId="0" borderId="0" xfId="290" applyFont="1" applyBorder="1" applyAlignment="1" applyProtection="1">
      <alignment vertical="top" wrapText="1"/>
    </xf>
    <xf numFmtId="0" fontId="47" fillId="12" borderId="0" xfId="290" applyFont="1" applyFill="1" applyAlignment="1" applyProtection="1">
      <alignment vertical="center"/>
    </xf>
    <xf numFmtId="0" fontId="36" fillId="0" borderId="0" xfId="290" applyFont="1" applyFill="1" applyAlignment="1" applyProtection="1">
      <alignment vertical="center" wrapText="1"/>
    </xf>
    <xf numFmtId="0" fontId="18" fillId="0" borderId="0" xfId="290" applyNumberFormat="1" applyFont="1" applyFill="1" applyBorder="1" applyAlignment="1" applyProtection="1">
      <alignment vertical="center"/>
    </xf>
    <xf numFmtId="0" fontId="9" fillId="0" borderId="21" xfId="290" applyNumberFormat="1" applyFont="1" applyFill="1" applyBorder="1" applyAlignment="1" applyProtection="1">
      <alignment horizontal="left" vertical="top"/>
    </xf>
    <xf numFmtId="0" fontId="9" fillId="0" borderId="21" xfId="290" applyNumberFormat="1" applyFont="1" applyFill="1" applyBorder="1" applyAlignment="1" applyProtection="1">
      <alignment vertical="top"/>
    </xf>
    <xf numFmtId="0" fontId="9" fillId="0" borderId="21" xfId="290" applyNumberFormat="1" applyFont="1" applyFill="1" applyBorder="1" applyAlignment="1" applyProtection="1">
      <alignment vertical="top" wrapText="1"/>
    </xf>
    <xf numFmtId="0" fontId="63" fillId="0" borderId="0" xfId="0" applyFont="1"/>
    <xf numFmtId="0" fontId="62" fillId="0" borderId="31" xfId="0" applyFont="1" applyBorder="1"/>
    <xf numFmtId="0" fontId="0" fillId="0" borderId="30" xfId="0" applyBorder="1" applyAlignment="1">
      <alignment vertical="top" wrapText="1"/>
    </xf>
    <xf numFmtId="0" fontId="0" fillId="0" borderId="32" xfId="0" applyBorder="1" applyAlignment="1">
      <alignment vertical="top" wrapText="1"/>
    </xf>
    <xf numFmtId="0" fontId="62" fillId="0" borderId="20" xfId="0" applyFont="1" applyBorder="1"/>
    <xf numFmtId="0" fontId="0" fillId="0" borderId="0" xfId="0" applyBorder="1" applyAlignment="1">
      <alignment vertical="top" wrapText="1"/>
    </xf>
    <xf numFmtId="0" fontId="0" fillId="0" borderId="33" xfId="0" applyBorder="1" applyAlignment="1">
      <alignment vertical="top" wrapText="1"/>
    </xf>
    <xf numFmtId="0" fontId="63" fillId="0" borderId="20" xfId="0" applyFont="1" applyBorder="1"/>
    <xf numFmtId="0" fontId="17" fillId="0" borderId="20" xfId="0" applyFont="1" applyBorder="1"/>
    <xf numFmtId="0" fontId="63" fillId="0" borderId="34" xfId="0" applyFont="1" applyBorder="1"/>
    <xf numFmtId="0" fontId="16" fillId="5" borderId="13" xfId="0" applyFont="1" applyFill="1" applyBorder="1" applyAlignment="1" applyProtection="1">
      <alignment horizontal="center" vertical="center" wrapText="1"/>
    </xf>
    <xf numFmtId="0" fontId="18" fillId="0" borderId="20" xfId="290" applyFont="1" applyFill="1" applyBorder="1" applyProtection="1"/>
    <xf numFmtId="1" fontId="12" fillId="8" borderId="21" xfId="0" applyNumberFormat="1" applyFont="1" applyFill="1" applyBorder="1" applyAlignment="1" applyProtection="1">
      <alignment horizontal="center" vertical="top" wrapText="1"/>
    </xf>
    <xf numFmtId="0" fontId="14" fillId="9" borderId="21" xfId="0" applyFont="1" applyFill="1" applyBorder="1" applyAlignment="1" applyProtection="1">
      <alignment horizontal="left" vertical="top" wrapText="1"/>
    </xf>
    <xf numFmtId="0" fontId="15" fillId="9" borderId="21" xfId="0" applyFont="1" applyFill="1" applyBorder="1" applyAlignment="1" applyProtection="1">
      <alignment horizontal="center" vertical="top" wrapText="1"/>
    </xf>
    <xf numFmtId="0" fontId="18" fillId="0" borderId="0" xfId="2" applyProtection="1"/>
    <xf numFmtId="0" fontId="16" fillId="0" borderId="0" xfId="0" applyFont="1" applyFill="1" applyBorder="1" applyAlignment="1" applyProtection="1">
      <alignment wrapText="1"/>
    </xf>
    <xf numFmtId="0" fontId="66" fillId="9" borderId="21" xfId="0" applyFont="1" applyFill="1" applyBorder="1" applyAlignment="1" applyProtection="1">
      <alignment horizontal="center" vertical="top" wrapText="1"/>
    </xf>
    <xf numFmtId="0" fontId="34" fillId="0" borderId="0" xfId="2" applyFont="1" applyProtection="1"/>
    <xf numFmtId="0" fontId="34" fillId="0" borderId="0" xfId="2" applyFont="1" applyFill="1" applyProtection="1"/>
    <xf numFmtId="0" fontId="18" fillId="11" borderId="21" xfId="0" applyFont="1" applyFill="1" applyBorder="1" applyAlignment="1" applyProtection="1">
      <alignment horizontal="center" vertical="top" wrapText="1"/>
    </xf>
    <xf numFmtId="0" fontId="42" fillId="4" borderId="21" xfId="318" applyFont="1" applyFill="1" applyBorder="1" applyAlignment="1" applyProtection="1">
      <alignment horizontal="left"/>
    </xf>
    <xf numFmtId="0" fontId="9" fillId="0" borderId="0" xfId="290" applyFont="1" applyBorder="1" applyAlignment="1" applyProtection="1">
      <alignment horizontal="left" vertical="top" wrapText="1"/>
    </xf>
    <xf numFmtId="0" fontId="8" fillId="0" borderId="0" xfId="0" applyFont="1" applyAlignment="1" applyProtection="1">
      <alignment horizontal="center"/>
    </xf>
    <xf numFmtId="0" fontId="38" fillId="15" borderId="0" xfId="0" applyFont="1" applyFill="1" applyBorder="1" applyAlignment="1" applyProtection="1">
      <alignment vertical="center" wrapText="1"/>
    </xf>
    <xf numFmtId="0" fontId="39" fillId="15" borderId="27" xfId="0" applyFont="1" applyFill="1" applyBorder="1" applyAlignment="1" applyProtection="1">
      <alignment vertical="center" wrapText="1"/>
    </xf>
    <xf numFmtId="0" fontId="38" fillId="15" borderId="3" xfId="0" applyFont="1" applyFill="1" applyBorder="1" applyAlignment="1" applyProtection="1">
      <alignment horizontal="center" vertical="center" wrapText="1"/>
    </xf>
    <xf numFmtId="0" fontId="39" fillId="15" borderId="28" xfId="0" applyFont="1" applyFill="1" applyBorder="1" applyAlignment="1" applyProtection="1">
      <alignment vertical="center" wrapText="1"/>
    </xf>
    <xf numFmtId="0" fontId="38" fillId="6" borderId="29" xfId="0" applyFont="1" applyFill="1" applyBorder="1" applyAlignment="1" applyProtection="1">
      <alignment horizontal="center" vertical="center" wrapText="1"/>
    </xf>
    <xf numFmtId="0" fontId="38" fillId="15" borderId="29" xfId="0" applyFont="1" applyFill="1" applyBorder="1" applyAlignment="1" applyProtection="1">
      <alignment horizontal="center" vertical="center" wrapText="1"/>
    </xf>
    <xf numFmtId="0" fontId="40" fillId="12" borderId="0" xfId="290" applyFont="1" applyFill="1" applyAlignment="1" applyProtection="1">
      <alignment horizontal="center" vertical="top"/>
    </xf>
    <xf numFmtId="0" fontId="55" fillId="0" borderId="0" xfId="22" applyFont="1" applyBorder="1" applyAlignment="1" applyProtection="1">
      <alignment horizontal="left"/>
    </xf>
    <xf numFmtId="0" fontId="8" fillId="0" borderId="0" xfId="290" applyFont="1" applyFill="1" applyBorder="1" applyAlignment="1" applyProtection="1">
      <alignment horizontal="center"/>
    </xf>
    <xf numFmtId="0" fontId="28" fillId="12" borderId="0" xfId="290" applyFont="1" applyFill="1" applyAlignment="1" applyProtection="1">
      <alignment horizontal="center" vertical="top" wrapText="1"/>
    </xf>
    <xf numFmtId="0" fontId="40" fillId="12" borderId="0" xfId="290" applyFont="1" applyFill="1" applyAlignment="1" applyProtection="1">
      <alignment horizontal="center"/>
    </xf>
    <xf numFmtId="0" fontId="15" fillId="12" borderId="0" xfId="290" applyFont="1" applyFill="1" applyAlignment="1" applyProtection="1">
      <alignment horizontal="center" vertical="center" wrapText="1"/>
    </xf>
    <xf numFmtId="0" fontId="15" fillId="0" borderId="0" xfId="290" applyFont="1" applyAlignment="1" applyProtection="1">
      <alignment horizontal="center"/>
    </xf>
    <xf numFmtId="0" fontId="15" fillId="0" borderId="0" xfId="290" applyFont="1" applyAlignment="1" applyProtection="1">
      <alignment horizontal="center" vertical="top" wrapText="1"/>
    </xf>
    <xf numFmtId="0" fontId="9" fillId="0" borderId="0" xfId="290" applyFont="1" applyBorder="1" applyAlignment="1" applyProtection="1">
      <alignment horizontal="left" vertical="top" wrapText="1"/>
    </xf>
    <xf numFmtId="0" fontId="47" fillId="12" borderId="0" xfId="290" applyFont="1" applyFill="1" applyAlignment="1" applyProtection="1">
      <alignment horizontal="center" vertical="center"/>
    </xf>
    <xf numFmtId="0" fontId="8" fillId="16" borderId="0" xfId="290" applyFont="1" applyFill="1" applyBorder="1" applyAlignment="1" applyProtection="1">
      <alignment horizontal="left" vertical="center" wrapText="1"/>
    </xf>
    <xf numFmtId="0" fontId="9" fillId="0" borderId="0" xfId="290" applyFont="1" applyBorder="1" applyAlignment="1" applyProtection="1">
      <alignment horizontal="left" vertical="top" wrapText="1" indent="2"/>
    </xf>
    <xf numFmtId="0" fontId="28" fillId="0" borderId="0" xfId="290" applyFont="1" applyFill="1" applyBorder="1" applyAlignment="1" applyProtection="1">
      <alignment horizontal="left" vertical="top" wrapText="1"/>
    </xf>
    <xf numFmtId="0" fontId="15" fillId="0" borderId="5" xfId="0" applyFont="1" applyFill="1" applyBorder="1" applyAlignment="1" applyProtection="1">
      <alignment horizontal="center" wrapText="1"/>
    </xf>
    <xf numFmtId="0" fontId="15" fillId="0" borderId="0" xfId="0" applyFont="1" applyFill="1" applyAlignment="1" applyProtection="1">
      <alignment horizontal="center" wrapText="1"/>
    </xf>
    <xf numFmtId="0" fontId="8" fillId="0" borderId="0" xfId="0" applyFont="1" applyAlignment="1" applyProtection="1">
      <alignment horizontal="center"/>
    </xf>
    <xf numFmtId="0" fontId="10" fillId="0" borderId="1" xfId="0" applyFont="1" applyBorder="1" applyAlignment="1" applyProtection="1">
      <alignment horizontal="center" vertical="top" wrapText="1"/>
    </xf>
    <xf numFmtId="0" fontId="10" fillId="0" borderId="2" xfId="0" applyFont="1" applyBorder="1" applyAlignment="1" applyProtection="1">
      <alignment horizontal="center" vertical="top" wrapText="1"/>
    </xf>
    <xf numFmtId="0" fontId="10" fillId="0" borderId="3" xfId="0" applyFont="1" applyBorder="1" applyAlignment="1" applyProtection="1">
      <alignment horizontal="center" vertical="top" wrapText="1"/>
    </xf>
    <xf numFmtId="0" fontId="8" fillId="0" borderId="0" xfId="0" applyFont="1" applyAlignment="1" applyProtection="1">
      <alignment horizontal="left" vertical="top" wrapText="1"/>
    </xf>
    <xf numFmtId="0" fontId="8" fillId="2" borderId="0" xfId="0" applyFont="1" applyFill="1" applyAlignment="1" applyProtection="1">
      <alignment horizontal="center" vertical="top" wrapText="1"/>
    </xf>
    <xf numFmtId="0" fontId="9" fillId="0" borderId="0" xfId="2" applyFont="1" applyAlignment="1" applyProtection="1">
      <alignment horizontal="center"/>
    </xf>
    <xf numFmtId="0" fontId="60" fillId="0" borderId="0" xfId="0" applyFont="1" applyBorder="1" applyAlignment="1" applyProtection="1">
      <alignment horizontal="center" vertical="center"/>
    </xf>
    <xf numFmtId="0" fontId="18" fillId="0" borderId="21" xfId="0" applyFont="1" applyFill="1" applyBorder="1" applyAlignment="1" applyProtection="1">
      <alignment horizontal="left" vertical="top" wrapText="1"/>
      <protection locked="0"/>
    </xf>
    <xf numFmtId="0" fontId="46" fillId="4" borderId="21" xfId="0" applyFont="1" applyFill="1" applyBorder="1" applyAlignment="1" applyProtection="1">
      <alignment horizontal="center" vertical="center"/>
      <protection locked="0"/>
    </xf>
  </cellXfs>
  <cellStyles count="2008">
    <cellStyle name="Default" xfId="1"/>
    <cellStyle name="Hyperlink 2" xfId="1735"/>
    <cellStyle name="Nor}al" xfId="2"/>
    <cellStyle name="Normal" xfId="0" builtinId="0"/>
    <cellStyle name="Normal - Style1 2" xfId="3"/>
    <cellStyle name="Normal 10" xfId="14"/>
    <cellStyle name="Normal 100" xfId="310"/>
    <cellStyle name="Normal 100 2" xfId="1190"/>
    <cellStyle name="Normal 101" xfId="311"/>
    <cellStyle name="Normal 102" xfId="312"/>
    <cellStyle name="Normal 103" xfId="313"/>
    <cellStyle name="Normal 104" xfId="314"/>
    <cellStyle name="Normal 105" xfId="315"/>
    <cellStyle name="Normal 106" xfId="316"/>
    <cellStyle name="Normal 107" xfId="317"/>
    <cellStyle name="Normal 108" xfId="318"/>
    <cellStyle name="Normal 109" xfId="319"/>
    <cellStyle name="Normal 11" xfId="23"/>
    <cellStyle name="Normal 110" xfId="320"/>
    <cellStyle name="Normal 111" xfId="321"/>
    <cellStyle name="Normal 112" xfId="322"/>
    <cellStyle name="Normal 113" xfId="323"/>
    <cellStyle name="Normal 114" xfId="324"/>
    <cellStyle name="Normal 115" xfId="325"/>
    <cellStyle name="Normal 116" xfId="326"/>
    <cellStyle name="Normal 117" xfId="327"/>
    <cellStyle name="Normal 118" xfId="328"/>
    <cellStyle name="Normal 119" xfId="329"/>
    <cellStyle name="Normal 12" xfId="24"/>
    <cellStyle name="Normal 120" xfId="330"/>
    <cellStyle name="Normal 121" xfId="331"/>
    <cellStyle name="Normal 122" xfId="332"/>
    <cellStyle name="Normal 123" xfId="333"/>
    <cellStyle name="Normal 124" xfId="334"/>
    <cellStyle name="Normal 125" xfId="335"/>
    <cellStyle name="Normal 126" xfId="336"/>
    <cellStyle name="Normal 127" xfId="337"/>
    <cellStyle name="Normal 128" xfId="338"/>
    <cellStyle name="Normal 129" xfId="339"/>
    <cellStyle name="Normal 13" xfId="13"/>
    <cellStyle name="Normal 13 2" xfId="85"/>
    <cellStyle name="Normal 13 2 2" xfId="222"/>
    <cellStyle name="Normal 13 2 2 2" xfId="573"/>
    <cellStyle name="Normal 13 2 2 2 2" xfId="1395"/>
    <cellStyle name="Normal 13 2 2 3" xfId="845"/>
    <cellStyle name="Normal 13 2 2 3 2" xfId="1667"/>
    <cellStyle name="Normal 13 2 2 4" xfId="1117"/>
    <cellStyle name="Normal 13 2 2 5" xfId="1940"/>
    <cellStyle name="Normal 13 2 3" xfId="437"/>
    <cellStyle name="Normal 13 2 3 2" xfId="1259"/>
    <cellStyle name="Normal 13 2 4" xfId="709"/>
    <cellStyle name="Normal 13 2 4 2" xfId="1531"/>
    <cellStyle name="Normal 13 2 5" xfId="981"/>
    <cellStyle name="Normal 13 2 6" xfId="1804"/>
    <cellStyle name="Normal 13 3" xfId="154"/>
    <cellStyle name="Normal 13 3 2" xfId="505"/>
    <cellStyle name="Normal 13 3 2 2" xfId="1327"/>
    <cellStyle name="Normal 13 3 3" xfId="777"/>
    <cellStyle name="Normal 13 3 3 2" xfId="1599"/>
    <cellStyle name="Normal 13 3 4" xfId="1049"/>
    <cellStyle name="Normal 13 3 5" xfId="1872"/>
    <cellStyle name="Normal 13 4" xfId="369"/>
    <cellStyle name="Normal 13 4 2" xfId="1191"/>
    <cellStyle name="Normal 13 5" xfId="641"/>
    <cellStyle name="Normal 13 5 2" xfId="1463"/>
    <cellStyle name="Normal 13 6" xfId="913"/>
    <cellStyle name="Normal 13 7" xfId="1736"/>
    <cellStyle name="Normal 130" xfId="340"/>
    <cellStyle name="Normal 131" xfId="341"/>
    <cellStyle name="Normal 132" xfId="342"/>
    <cellStyle name="Normal 133" xfId="343"/>
    <cellStyle name="Normal 134" xfId="344"/>
    <cellStyle name="Normal 135" xfId="345"/>
    <cellStyle name="Normal 136" xfId="346"/>
    <cellStyle name="Normal 137" xfId="347"/>
    <cellStyle name="Normal 138" xfId="348"/>
    <cellStyle name="Normal 139" xfId="349"/>
    <cellStyle name="Normal 14" xfId="19"/>
    <cellStyle name="Normal 14 2" xfId="90"/>
    <cellStyle name="Normal 14 2 2" xfId="227"/>
    <cellStyle name="Normal 14 2 2 2" xfId="578"/>
    <cellStyle name="Normal 14 2 2 2 2" xfId="1400"/>
    <cellStyle name="Normal 14 2 2 3" xfId="850"/>
    <cellStyle name="Normal 14 2 2 3 2" xfId="1672"/>
    <cellStyle name="Normal 14 2 2 4" xfId="1122"/>
    <cellStyle name="Normal 14 2 2 5" xfId="1945"/>
    <cellStyle name="Normal 14 2 3" xfId="442"/>
    <cellStyle name="Normal 14 2 3 2" xfId="1264"/>
    <cellStyle name="Normal 14 2 4" xfId="714"/>
    <cellStyle name="Normal 14 2 4 2" xfId="1536"/>
    <cellStyle name="Normal 14 2 5" xfId="986"/>
    <cellStyle name="Normal 14 2 6" xfId="1809"/>
    <cellStyle name="Normal 14 3" xfId="159"/>
    <cellStyle name="Normal 14 3 2" xfId="510"/>
    <cellStyle name="Normal 14 3 2 2" xfId="1332"/>
    <cellStyle name="Normal 14 3 3" xfId="782"/>
    <cellStyle name="Normal 14 3 3 2" xfId="1604"/>
    <cellStyle name="Normal 14 3 4" xfId="1054"/>
    <cellStyle name="Normal 14 3 5" xfId="1877"/>
    <cellStyle name="Normal 14 4" xfId="374"/>
    <cellStyle name="Normal 14 4 2" xfId="1196"/>
    <cellStyle name="Normal 14 5" xfId="646"/>
    <cellStyle name="Normal 14 5 2" xfId="1468"/>
    <cellStyle name="Normal 14 6" xfId="918"/>
    <cellStyle name="Normal 14 7" xfId="1741"/>
    <cellStyle name="Normal 140" xfId="350"/>
    <cellStyle name="Normal 141" xfId="351"/>
    <cellStyle name="Normal 142" xfId="352"/>
    <cellStyle name="Normal 143" xfId="353"/>
    <cellStyle name="Normal 144" xfId="354"/>
    <cellStyle name="Normal 145" xfId="355"/>
    <cellStyle name="Normal 146" xfId="356"/>
    <cellStyle name="Normal 147" xfId="357"/>
    <cellStyle name="Normal 148" xfId="358"/>
    <cellStyle name="Normal 149" xfId="359"/>
    <cellStyle name="Normal 15" xfId="17"/>
    <cellStyle name="Normal 15 2" xfId="88"/>
    <cellStyle name="Normal 15 2 2" xfId="225"/>
    <cellStyle name="Normal 15 2 2 2" xfId="576"/>
    <cellStyle name="Normal 15 2 2 2 2" xfId="1398"/>
    <cellStyle name="Normal 15 2 2 3" xfId="848"/>
    <cellStyle name="Normal 15 2 2 3 2" xfId="1670"/>
    <cellStyle name="Normal 15 2 2 4" xfId="1120"/>
    <cellStyle name="Normal 15 2 2 5" xfId="1943"/>
    <cellStyle name="Normal 15 2 3" xfId="440"/>
    <cellStyle name="Normal 15 2 3 2" xfId="1262"/>
    <cellStyle name="Normal 15 2 4" xfId="712"/>
    <cellStyle name="Normal 15 2 4 2" xfId="1534"/>
    <cellStyle name="Normal 15 2 5" xfId="984"/>
    <cellStyle name="Normal 15 2 6" xfId="1807"/>
    <cellStyle name="Normal 15 3" xfId="157"/>
    <cellStyle name="Normal 15 3 2" xfId="508"/>
    <cellStyle name="Normal 15 3 2 2" xfId="1330"/>
    <cellStyle name="Normal 15 3 3" xfId="780"/>
    <cellStyle name="Normal 15 3 3 2" xfId="1602"/>
    <cellStyle name="Normal 15 3 4" xfId="1052"/>
    <cellStyle name="Normal 15 3 5" xfId="1875"/>
    <cellStyle name="Normal 15 4" xfId="372"/>
    <cellStyle name="Normal 15 4 2" xfId="1194"/>
    <cellStyle name="Normal 15 5" xfId="644"/>
    <cellStyle name="Normal 15 5 2" xfId="1466"/>
    <cellStyle name="Normal 15 6" xfId="916"/>
    <cellStyle name="Normal 15 7" xfId="1739"/>
    <cellStyle name="Normal 150" xfId="360"/>
    <cellStyle name="Normal 151" xfId="361"/>
    <cellStyle name="Normal 152" xfId="362"/>
    <cellStyle name="Normal 153" xfId="363"/>
    <cellStyle name="Normal 154" xfId="364"/>
    <cellStyle name="Normal 155" xfId="365"/>
    <cellStyle name="Normal 156" xfId="366"/>
    <cellStyle name="Normal 157" xfId="367"/>
    <cellStyle name="Normal 158" xfId="368"/>
    <cellStyle name="Normal 16" xfId="18"/>
    <cellStyle name="Normal 16 2" xfId="89"/>
    <cellStyle name="Normal 16 2 2" xfId="226"/>
    <cellStyle name="Normal 16 2 2 2" xfId="577"/>
    <cellStyle name="Normal 16 2 2 2 2" xfId="1399"/>
    <cellStyle name="Normal 16 2 2 3" xfId="849"/>
    <cellStyle name="Normal 16 2 2 3 2" xfId="1671"/>
    <cellStyle name="Normal 16 2 2 4" xfId="1121"/>
    <cellStyle name="Normal 16 2 2 5" xfId="1944"/>
    <cellStyle name="Normal 16 2 3" xfId="441"/>
    <cellStyle name="Normal 16 2 3 2" xfId="1263"/>
    <cellStyle name="Normal 16 2 4" xfId="713"/>
    <cellStyle name="Normal 16 2 4 2" xfId="1535"/>
    <cellStyle name="Normal 16 2 5" xfId="985"/>
    <cellStyle name="Normal 16 2 6" xfId="1808"/>
    <cellStyle name="Normal 16 3" xfId="158"/>
    <cellStyle name="Normal 16 3 2" xfId="509"/>
    <cellStyle name="Normal 16 3 2 2" xfId="1331"/>
    <cellStyle name="Normal 16 3 3" xfId="781"/>
    <cellStyle name="Normal 16 3 3 2" xfId="1603"/>
    <cellStyle name="Normal 16 3 4" xfId="1053"/>
    <cellStyle name="Normal 16 3 5" xfId="1876"/>
    <cellStyle name="Normal 16 4" xfId="373"/>
    <cellStyle name="Normal 16 4 2" xfId="1195"/>
    <cellStyle name="Normal 16 5" xfId="645"/>
    <cellStyle name="Normal 16 5 2" xfId="1467"/>
    <cellStyle name="Normal 16 6" xfId="917"/>
    <cellStyle name="Normal 16 7" xfId="1740"/>
    <cellStyle name="Normal 17" xfId="16"/>
    <cellStyle name="Normal 17 2" xfId="87"/>
    <cellStyle name="Normal 17 2 2" xfId="224"/>
    <cellStyle name="Normal 17 2 2 2" xfId="575"/>
    <cellStyle name="Normal 17 2 2 2 2" xfId="1397"/>
    <cellStyle name="Normal 17 2 2 3" xfId="847"/>
    <cellStyle name="Normal 17 2 2 3 2" xfId="1669"/>
    <cellStyle name="Normal 17 2 2 4" xfId="1119"/>
    <cellStyle name="Normal 17 2 2 5" xfId="1942"/>
    <cellStyle name="Normal 17 2 3" xfId="439"/>
    <cellStyle name="Normal 17 2 3 2" xfId="1261"/>
    <cellStyle name="Normal 17 2 4" xfId="711"/>
    <cellStyle name="Normal 17 2 4 2" xfId="1533"/>
    <cellStyle name="Normal 17 2 5" xfId="983"/>
    <cellStyle name="Normal 17 2 6" xfId="1806"/>
    <cellStyle name="Normal 17 3" xfId="156"/>
    <cellStyle name="Normal 17 3 2" xfId="507"/>
    <cellStyle name="Normal 17 3 2 2" xfId="1329"/>
    <cellStyle name="Normal 17 3 3" xfId="779"/>
    <cellStyle name="Normal 17 3 3 2" xfId="1601"/>
    <cellStyle name="Normal 17 3 4" xfId="1051"/>
    <cellStyle name="Normal 17 3 5" xfId="1874"/>
    <cellStyle name="Normal 17 4" xfId="371"/>
    <cellStyle name="Normal 17 4 2" xfId="1193"/>
    <cellStyle name="Normal 17 5" xfId="643"/>
    <cellStyle name="Normal 17 5 2" xfId="1465"/>
    <cellStyle name="Normal 17 6" xfId="915"/>
    <cellStyle name="Normal 17 7" xfId="1738"/>
    <cellStyle name="Normal 18" xfId="20"/>
    <cellStyle name="Normal 18 2" xfId="91"/>
    <cellStyle name="Normal 18 2 2" xfId="228"/>
    <cellStyle name="Normal 18 2 2 2" xfId="579"/>
    <cellStyle name="Normal 18 2 2 2 2" xfId="1401"/>
    <cellStyle name="Normal 18 2 2 3" xfId="851"/>
    <cellStyle name="Normal 18 2 2 3 2" xfId="1673"/>
    <cellStyle name="Normal 18 2 2 4" xfId="1123"/>
    <cellStyle name="Normal 18 2 2 5" xfId="1946"/>
    <cellStyle name="Normal 18 2 3" xfId="443"/>
    <cellStyle name="Normal 18 2 3 2" xfId="1265"/>
    <cellStyle name="Normal 18 2 4" xfId="715"/>
    <cellStyle name="Normal 18 2 4 2" xfId="1537"/>
    <cellStyle name="Normal 18 2 5" xfId="987"/>
    <cellStyle name="Normal 18 2 6" xfId="1810"/>
    <cellStyle name="Normal 18 3" xfId="160"/>
    <cellStyle name="Normal 18 3 2" xfId="511"/>
    <cellStyle name="Normal 18 3 2 2" xfId="1333"/>
    <cellStyle name="Normal 18 3 3" xfId="783"/>
    <cellStyle name="Normal 18 3 3 2" xfId="1605"/>
    <cellStyle name="Normal 18 3 4" xfId="1055"/>
    <cellStyle name="Normal 18 3 5" xfId="1878"/>
    <cellStyle name="Normal 18 4" xfId="375"/>
    <cellStyle name="Normal 18 4 2" xfId="1197"/>
    <cellStyle name="Normal 18 5" xfId="647"/>
    <cellStyle name="Normal 18 5 2" xfId="1469"/>
    <cellStyle name="Normal 18 6" xfId="919"/>
    <cellStyle name="Normal 18 7" xfId="1742"/>
    <cellStyle name="Normal 19" xfId="26"/>
    <cellStyle name="Normal 19 2" xfId="94"/>
    <cellStyle name="Normal 19 2 2" xfId="231"/>
    <cellStyle name="Normal 19 2 2 2" xfId="582"/>
    <cellStyle name="Normal 19 2 2 2 2" xfId="1404"/>
    <cellStyle name="Normal 19 2 2 3" xfId="854"/>
    <cellStyle name="Normal 19 2 2 3 2" xfId="1676"/>
    <cellStyle name="Normal 19 2 2 4" xfId="1126"/>
    <cellStyle name="Normal 19 2 2 5" xfId="1949"/>
    <cellStyle name="Normal 19 2 3" xfId="446"/>
    <cellStyle name="Normal 19 2 3 2" xfId="1268"/>
    <cellStyle name="Normal 19 2 4" xfId="718"/>
    <cellStyle name="Normal 19 2 4 2" xfId="1540"/>
    <cellStyle name="Normal 19 2 5" xfId="990"/>
    <cellStyle name="Normal 19 2 6" xfId="1813"/>
    <cellStyle name="Normal 19 3" xfId="163"/>
    <cellStyle name="Normal 19 3 2" xfId="514"/>
    <cellStyle name="Normal 19 3 2 2" xfId="1336"/>
    <cellStyle name="Normal 19 3 3" xfId="786"/>
    <cellStyle name="Normal 19 3 3 2" xfId="1608"/>
    <cellStyle name="Normal 19 3 4" xfId="1058"/>
    <cellStyle name="Normal 19 3 5" xfId="1881"/>
    <cellStyle name="Normal 19 4" xfId="378"/>
    <cellStyle name="Normal 19 4 2" xfId="1200"/>
    <cellStyle name="Normal 19 5" xfId="650"/>
    <cellStyle name="Normal 19 5 2" xfId="1472"/>
    <cellStyle name="Normal 19 6" xfId="922"/>
    <cellStyle name="Normal 19 7" xfId="1745"/>
    <cellStyle name="Normal 2" xfId="4"/>
    <cellStyle name="Normal 20" xfId="28"/>
    <cellStyle name="Normal 20 2" xfId="96"/>
    <cellStyle name="Normal 20 2 2" xfId="233"/>
    <cellStyle name="Normal 20 2 2 2" xfId="584"/>
    <cellStyle name="Normal 20 2 2 2 2" xfId="1406"/>
    <cellStyle name="Normal 20 2 2 3" xfId="856"/>
    <cellStyle name="Normal 20 2 2 3 2" xfId="1678"/>
    <cellStyle name="Normal 20 2 2 4" xfId="1128"/>
    <cellStyle name="Normal 20 2 2 5" xfId="1951"/>
    <cellStyle name="Normal 20 2 3" xfId="448"/>
    <cellStyle name="Normal 20 2 3 2" xfId="1270"/>
    <cellStyle name="Normal 20 2 4" xfId="720"/>
    <cellStyle name="Normal 20 2 4 2" xfId="1542"/>
    <cellStyle name="Normal 20 2 5" xfId="992"/>
    <cellStyle name="Normal 20 2 6" xfId="1815"/>
    <cellStyle name="Normal 20 3" xfId="165"/>
    <cellStyle name="Normal 20 3 2" xfId="516"/>
    <cellStyle name="Normal 20 3 2 2" xfId="1338"/>
    <cellStyle name="Normal 20 3 3" xfId="788"/>
    <cellStyle name="Normal 20 3 3 2" xfId="1610"/>
    <cellStyle name="Normal 20 3 4" xfId="1060"/>
    <cellStyle name="Normal 20 3 5" xfId="1883"/>
    <cellStyle name="Normal 20 4" xfId="380"/>
    <cellStyle name="Normal 20 4 2" xfId="1202"/>
    <cellStyle name="Normal 20 5" xfId="652"/>
    <cellStyle name="Normal 20 5 2" xfId="1474"/>
    <cellStyle name="Normal 20 6" xfId="924"/>
    <cellStyle name="Normal 20 7" xfId="1747"/>
    <cellStyle name="Normal 21" xfId="25"/>
    <cellStyle name="Normal 21 2" xfId="93"/>
    <cellStyle name="Normal 21 2 2" xfId="230"/>
    <cellStyle name="Normal 21 2 2 2" xfId="581"/>
    <cellStyle name="Normal 21 2 2 2 2" xfId="1403"/>
    <cellStyle name="Normal 21 2 2 3" xfId="853"/>
    <cellStyle name="Normal 21 2 2 3 2" xfId="1675"/>
    <cellStyle name="Normal 21 2 2 4" xfId="1125"/>
    <cellStyle name="Normal 21 2 2 5" xfId="1948"/>
    <cellStyle name="Normal 21 2 3" xfId="445"/>
    <cellStyle name="Normal 21 2 3 2" xfId="1267"/>
    <cellStyle name="Normal 21 2 4" xfId="717"/>
    <cellStyle name="Normal 21 2 4 2" xfId="1539"/>
    <cellStyle name="Normal 21 2 5" xfId="989"/>
    <cellStyle name="Normal 21 2 6" xfId="1812"/>
    <cellStyle name="Normal 21 3" xfId="162"/>
    <cellStyle name="Normal 21 3 2" xfId="513"/>
    <cellStyle name="Normal 21 3 2 2" xfId="1335"/>
    <cellStyle name="Normal 21 3 3" xfId="785"/>
    <cellStyle name="Normal 21 3 3 2" xfId="1607"/>
    <cellStyle name="Normal 21 3 4" xfId="1057"/>
    <cellStyle name="Normal 21 3 5" xfId="1880"/>
    <cellStyle name="Normal 21 4" xfId="377"/>
    <cellStyle name="Normal 21 4 2" xfId="1199"/>
    <cellStyle name="Normal 21 5" xfId="649"/>
    <cellStyle name="Normal 21 5 2" xfId="1471"/>
    <cellStyle name="Normal 21 6" xfId="921"/>
    <cellStyle name="Normal 21 7" xfId="1744"/>
    <cellStyle name="Normal 22" xfId="29"/>
    <cellStyle name="Normal 22 2" xfId="97"/>
    <cellStyle name="Normal 22 2 2" xfId="234"/>
    <cellStyle name="Normal 22 2 2 2" xfId="585"/>
    <cellStyle name="Normal 22 2 2 2 2" xfId="1407"/>
    <cellStyle name="Normal 22 2 2 3" xfId="857"/>
    <cellStyle name="Normal 22 2 2 3 2" xfId="1679"/>
    <cellStyle name="Normal 22 2 2 4" xfId="1129"/>
    <cellStyle name="Normal 22 2 2 5" xfId="1952"/>
    <cellStyle name="Normal 22 2 3" xfId="449"/>
    <cellStyle name="Normal 22 2 3 2" xfId="1271"/>
    <cellStyle name="Normal 22 2 4" xfId="721"/>
    <cellStyle name="Normal 22 2 4 2" xfId="1543"/>
    <cellStyle name="Normal 22 2 5" xfId="993"/>
    <cellStyle name="Normal 22 2 6" xfId="1816"/>
    <cellStyle name="Normal 22 3" xfId="166"/>
    <cellStyle name="Normal 22 3 2" xfId="517"/>
    <cellStyle name="Normal 22 3 2 2" xfId="1339"/>
    <cellStyle name="Normal 22 3 3" xfId="789"/>
    <cellStyle name="Normal 22 3 3 2" xfId="1611"/>
    <cellStyle name="Normal 22 3 4" xfId="1061"/>
    <cellStyle name="Normal 22 3 5" xfId="1884"/>
    <cellStyle name="Normal 22 4" xfId="381"/>
    <cellStyle name="Normal 22 4 2" xfId="1203"/>
    <cellStyle name="Normal 22 5" xfId="653"/>
    <cellStyle name="Normal 22 5 2" xfId="1475"/>
    <cellStyle name="Normal 22 6" xfId="925"/>
    <cellStyle name="Normal 22 7" xfId="1748"/>
    <cellStyle name="Normal 23" xfId="21"/>
    <cellStyle name="Normal 23 2" xfId="92"/>
    <cellStyle name="Normal 23 2 2" xfId="229"/>
    <cellStyle name="Normal 23 2 2 2" xfId="580"/>
    <cellStyle name="Normal 23 2 2 2 2" xfId="1402"/>
    <cellStyle name="Normal 23 2 2 3" xfId="852"/>
    <cellStyle name="Normal 23 2 2 3 2" xfId="1674"/>
    <cellStyle name="Normal 23 2 2 4" xfId="1124"/>
    <cellStyle name="Normal 23 2 2 5" xfId="1947"/>
    <cellStyle name="Normal 23 2 3" xfId="444"/>
    <cellStyle name="Normal 23 2 3 2" xfId="1266"/>
    <cellStyle name="Normal 23 2 4" xfId="716"/>
    <cellStyle name="Normal 23 2 4 2" xfId="1538"/>
    <cellStyle name="Normal 23 2 5" xfId="988"/>
    <cellStyle name="Normal 23 2 6" xfId="1811"/>
    <cellStyle name="Normal 23 3" xfId="161"/>
    <cellStyle name="Normal 23 3 2" xfId="512"/>
    <cellStyle name="Normal 23 3 2 2" xfId="1334"/>
    <cellStyle name="Normal 23 3 3" xfId="784"/>
    <cellStyle name="Normal 23 3 3 2" xfId="1606"/>
    <cellStyle name="Normal 23 3 4" xfId="1056"/>
    <cellStyle name="Normal 23 3 5" xfId="1879"/>
    <cellStyle name="Normal 23 4" xfId="376"/>
    <cellStyle name="Normal 23 4 2" xfId="1198"/>
    <cellStyle name="Normal 23 5" xfId="648"/>
    <cellStyle name="Normal 23 5 2" xfId="1470"/>
    <cellStyle name="Normal 23 6" xfId="920"/>
    <cellStyle name="Normal 23 7" xfId="1743"/>
    <cellStyle name="Normal 24" xfId="30"/>
    <cellStyle name="Normal 24 2" xfId="98"/>
    <cellStyle name="Normal 24 2 2" xfId="235"/>
    <cellStyle name="Normal 24 2 2 2" xfId="586"/>
    <cellStyle name="Normal 24 2 2 2 2" xfId="1408"/>
    <cellStyle name="Normal 24 2 2 3" xfId="858"/>
    <cellStyle name="Normal 24 2 2 3 2" xfId="1680"/>
    <cellStyle name="Normal 24 2 2 4" xfId="1130"/>
    <cellStyle name="Normal 24 2 2 5" xfId="1953"/>
    <cellStyle name="Normal 24 2 3" xfId="450"/>
    <cellStyle name="Normal 24 2 3 2" xfId="1272"/>
    <cellStyle name="Normal 24 2 4" xfId="722"/>
    <cellStyle name="Normal 24 2 4 2" xfId="1544"/>
    <cellStyle name="Normal 24 2 5" xfId="994"/>
    <cellStyle name="Normal 24 2 6" xfId="1817"/>
    <cellStyle name="Normal 24 3" xfId="167"/>
    <cellStyle name="Normal 24 3 2" xfId="518"/>
    <cellStyle name="Normal 24 3 2 2" xfId="1340"/>
    <cellStyle name="Normal 24 3 3" xfId="790"/>
    <cellStyle name="Normal 24 3 3 2" xfId="1612"/>
    <cellStyle name="Normal 24 3 4" xfId="1062"/>
    <cellStyle name="Normal 24 3 5" xfId="1885"/>
    <cellStyle name="Normal 24 4" xfId="382"/>
    <cellStyle name="Normal 24 4 2" xfId="1204"/>
    <cellStyle name="Normal 24 5" xfId="654"/>
    <cellStyle name="Normal 24 5 2" xfId="1476"/>
    <cellStyle name="Normal 24 6" xfId="926"/>
    <cellStyle name="Normal 24 7" xfId="1749"/>
    <cellStyle name="Normal 25" xfId="33"/>
    <cellStyle name="Normal 25 2" xfId="101"/>
    <cellStyle name="Normal 25 2 2" xfId="238"/>
    <cellStyle name="Normal 25 2 2 2" xfId="589"/>
    <cellStyle name="Normal 25 2 2 2 2" xfId="1411"/>
    <cellStyle name="Normal 25 2 2 3" xfId="861"/>
    <cellStyle name="Normal 25 2 2 3 2" xfId="1683"/>
    <cellStyle name="Normal 25 2 2 4" xfId="1133"/>
    <cellStyle name="Normal 25 2 2 5" xfId="1956"/>
    <cellStyle name="Normal 25 2 3" xfId="453"/>
    <cellStyle name="Normal 25 2 3 2" xfId="1275"/>
    <cellStyle name="Normal 25 2 4" xfId="725"/>
    <cellStyle name="Normal 25 2 4 2" xfId="1547"/>
    <cellStyle name="Normal 25 2 5" xfId="997"/>
    <cellStyle name="Normal 25 2 6" xfId="1820"/>
    <cellStyle name="Normal 25 3" xfId="170"/>
    <cellStyle name="Normal 25 3 2" xfId="521"/>
    <cellStyle name="Normal 25 3 2 2" xfId="1343"/>
    <cellStyle name="Normal 25 3 3" xfId="793"/>
    <cellStyle name="Normal 25 3 3 2" xfId="1615"/>
    <cellStyle name="Normal 25 3 4" xfId="1065"/>
    <cellStyle name="Normal 25 3 5" xfId="1888"/>
    <cellStyle name="Normal 25 4" xfId="385"/>
    <cellStyle name="Normal 25 4 2" xfId="1207"/>
    <cellStyle name="Normal 25 5" xfId="657"/>
    <cellStyle name="Normal 25 5 2" xfId="1479"/>
    <cellStyle name="Normal 25 6" xfId="929"/>
    <cellStyle name="Normal 25 7" xfId="1752"/>
    <cellStyle name="Normal 26" xfId="34"/>
    <cellStyle name="Normal 26 2" xfId="102"/>
    <cellStyle name="Normal 26 2 2" xfId="239"/>
    <cellStyle name="Normal 26 2 2 2" xfId="590"/>
    <cellStyle name="Normal 26 2 2 2 2" xfId="1412"/>
    <cellStyle name="Normal 26 2 2 3" xfId="862"/>
    <cellStyle name="Normal 26 2 2 3 2" xfId="1684"/>
    <cellStyle name="Normal 26 2 2 4" xfId="1134"/>
    <cellStyle name="Normal 26 2 2 5" xfId="1957"/>
    <cellStyle name="Normal 26 2 3" xfId="454"/>
    <cellStyle name="Normal 26 2 3 2" xfId="1276"/>
    <cellStyle name="Normal 26 2 4" xfId="726"/>
    <cellStyle name="Normal 26 2 4 2" xfId="1548"/>
    <cellStyle name="Normal 26 2 5" xfId="998"/>
    <cellStyle name="Normal 26 2 6" xfId="1821"/>
    <cellStyle name="Normal 26 3" xfId="171"/>
    <cellStyle name="Normal 26 3 2" xfId="522"/>
    <cellStyle name="Normal 26 3 2 2" xfId="1344"/>
    <cellStyle name="Normal 26 3 3" xfId="794"/>
    <cellStyle name="Normal 26 3 3 2" xfId="1616"/>
    <cellStyle name="Normal 26 3 4" xfId="1066"/>
    <cellStyle name="Normal 26 3 5" xfId="1889"/>
    <cellStyle name="Normal 26 4" xfId="386"/>
    <cellStyle name="Normal 26 4 2" xfId="1208"/>
    <cellStyle name="Normal 26 5" xfId="658"/>
    <cellStyle name="Normal 26 5 2" xfId="1480"/>
    <cellStyle name="Normal 26 6" xfId="930"/>
    <cellStyle name="Normal 26 7" xfId="1753"/>
    <cellStyle name="Normal 27" xfId="32"/>
    <cellStyle name="Normal 27 2" xfId="100"/>
    <cellStyle name="Normal 27 2 2" xfId="237"/>
    <cellStyle name="Normal 27 2 2 2" xfId="588"/>
    <cellStyle name="Normal 27 2 2 2 2" xfId="1410"/>
    <cellStyle name="Normal 27 2 2 3" xfId="860"/>
    <cellStyle name="Normal 27 2 2 3 2" xfId="1682"/>
    <cellStyle name="Normal 27 2 2 4" xfId="1132"/>
    <cellStyle name="Normal 27 2 2 5" xfId="1955"/>
    <cellStyle name="Normal 27 2 3" xfId="452"/>
    <cellStyle name="Normal 27 2 3 2" xfId="1274"/>
    <cellStyle name="Normal 27 2 4" xfId="724"/>
    <cellStyle name="Normal 27 2 4 2" xfId="1546"/>
    <cellStyle name="Normal 27 2 5" xfId="996"/>
    <cellStyle name="Normal 27 2 6" xfId="1819"/>
    <cellStyle name="Normal 27 3" xfId="169"/>
    <cellStyle name="Normal 27 3 2" xfId="520"/>
    <cellStyle name="Normal 27 3 2 2" xfId="1342"/>
    <cellStyle name="Normal 27 3 3" xfId="792"/>
    <cellStyle name="Normal 27 3 3 2" xfId="1614"/>
    <cellStyle name="Normal 27 3 4" xfId="1064"/>
    <cellStyle name="Normal 27 3 5" xfId="1887"/>
    <cellStyle name="Normal 27 4" xfId="384"/>
    <cellStyle name="Normal 27 4 2" xfId="1206"/>
    <cellStyle name="Normal 27 5" xfId="656"/>
    <cellStyle name="Normal 27 5 2" xfId="1478"/>
    <cellStyle name="Normal 27 6" xfId="928"/>
    <cellStyle name="Normal 27 7" xfId="1751"/>
    <cellStyle name="Normal 28" xfId="27"/>
    <cellStyle name="Normal 28 2" xfId="95"/>
    <cellStyle name="Normal 28 2 2" xfId="232"/>
    <cellStyle name="Normal 28 2 2 2" xfId="583"/>
    <cellStyle name="Normal 28 2 2 2 2" xfId="1405"/>
    <cellStyle name="Normal 28 2 2 3" xfId="855"/>
    <cellStyle name="Normal 28 2 2 3 2" xfId="1677"/>
    <cellStyle name="Normal 28 2 2 4" xfId="1127"/>
    <cellStyle name="Normal 28 2 2 5" xfId="1950"/>
    <cellStyle name="Normal 28 2 3" xfId="447"/>
    <cellStyle name="Normal 28 2 3 2" xfId="1269"/>
    <cellStyle name="Normal 28 2 4" xfId="719"/>
    <cellStyle name="Normal 28 2 4 2" xfId="1541"/>
    <cellStyle name="Normal 28 2 5" xfId="991"/>
    <cellStyle name="Normal 28 2 6" xfId="1814"/>
    <cellStyle name="Normal 28 3" xfId="164"/>
    <cellStyle name="Normal 28 3 2" xfId="515"/>
    <cellStyle name="Normal 28 3 2 2" xfId="1337"/>
    <cellStyle name="Normal 28 3 3" xfId="787"/>
    <cellStyle name="Normal 28 3 3 2" xfId="1609"/>
    <cellStyle name="Normal 28 3 4" xfId="1059"/>
    <cellStyle name="Normal 28 3 5" xfId="1882"/>
    <cellStyle name="Normal 28 4" xfId="379"/>
    <cellStyle name="Normal 28 4 2" xfId="1201"/>
    <cellStyle name="Normal 28 5" xfId="651"/>
    <cellStyle name="Normal 28 5 2" xfId="1473"/>
    <cellStyle name="Normal 28 6" xfId="923"/>
    <cellStyle name="Normal 28 7" xfId="1746"/>
    <cellStyle name="Normal 29" xfId="36"/>
    <cellStyle name="Normal 29 2" xfId="104"/>
    <cellStyle name="Normal 29 2 2" xfId="241"/>
    <cellStyle name="Normal 29 2 2 2" xfId="592"/>
    <cellStyle name="Normal 29 2 2 2 2" xfId="1414"/>
    <cellStyle name="Normal 29 2 2 3" xfId="864"/>
    <cellStyle name="Normal 29 2 2 3 2" xfId="1686"/>
    <cellStyle name="Normal 29 2 2 4" xfId="1136"/>
    <cellStyle name="Normal 29 2 2 5" xfId="1959"/>
    <cellStyle name="Normal 29 2 3" xfId="456"/>
    <cellStyle name="Normal 29 2 3 2" xfId="1278"/>
    <cellStyle name="Normal 29 2 4" xfId="728"/>
    <cellStyle name="Normal 29 2 4 2" xfId="1550"/>
    <cellStyle name="Normal 29 2 5" xfId="1000"/>
    <cellStyle name="Normal 29 2 6" xfId="1823"/>
    <cellStyle name="Normal 29 3" xfId="173"/>
    <cellStyle name="Normal 29 3 2" xfId="524"/>
    <cellStyle name="Normal 29 3 2 2" xfId="1346"/>
    <cellStyle name="Normal 29 3 3" xfId="796"/>
    <cellStyle name="Normal 29 3 3 2" xfId="1618"/>
    <cellStyle name="Normal 29 3 4" xfId="1068"/>
    <cellStyle name="Normal 29 3 5" xfId="1891"/>
    <cellStyle name="Normal 29 4" xfId="388"/>
    <cellStyle name="Normal 29 4 2" xfId="1210"/>
    <cellStyle name="Normal 29 5" xfId="660"/>
    <cellStyle name="Normal 29 5 2" xfId="1482"/>
    <cellStyle name="Normal 29 6" xfId="932"/>
    <cellStyle name="Normal 29 7" xfId="1755"/>
    <cellStyle name="Normal 3" xfId="5"/>
    <cellStyle name="Normal 30" xfId="31"/>
    <cellStyle name="Normal 30 2" xfId="99"/>
    <cellStyle name="Normal 30 2 2" xfId="236"/>
    <cellStyle name="Normal 30 2 2 2" xfId="587"/>
    <cellStyle name="Normal 30 2 2 2 2" xfId="1409"/>
    <cellStyle name="Normal 30 2 2 3" xfId="859"/>
    <cellStyle name="Normal 30 2 2 3 2" xfId="1681"/>
    <cellStyle name="Normal 30 2 2 4" xfId="1131"/>
    <cellStyle name="Normal 30 2 2 5" xfId="1954"/>
    <cellStyle name="Normal 30 2 3" xfId="451"/>
    <cellStyle name="Normal 30 2 3 2" xfId="1273"/>
    <cellStyle name="Normal 30 2 4" xfId="723"/>
    <cellStyle name="Normal 30 2 4 2" xfId="1545"/>
    <cellStyle name="Normal 30 2 5" xfId="995"/>
    <cellStyle name="Normal 30 2 6" xfId="1818"/>
    <cellStyle name="Normal 30 3" xfId="168"/>
    <cellStyle name="Normal 30 3 2" xfId="519"/>
    <cellStyle name="Normal 30 3 2 2" xfId="1341"/>
    <cellStyle name="Normal 30 3 3" xfId="791"/>
    <cellStyle name="Normal 30 3 3 2" xfId="1613"/>
    <cellStyle name="Normal 30 3 4" xfId="1063"/>
    <cellStyle name="Normal 30 3 5" xfId="1886"/>
    <cellStyle name="Normal 30 4" xfId="383"/>
    <cellStyle name="Normal 30 4 2" xfId="1205"/>
    <cellStyle name="Normal 30 5" xfId="655"/>
    <cellStyle name="Normal 30 5 2" xfId="1477"/>
    <cellStyle name="Normal 30 6" xfId="927"/>
    <cellStyle name="Normal 30 7" xfId="1750"/>
    <cellStyle name="Normal 31" xfId="37"/>
    <cellStyle name="Normal 31 2" xfId="105"/>
    <cellStyle name="Normal 31 2 2" xfId="242"/>
    <cellStyle name="Normal 31 2 2 2" xfId="593"/>
    <cellStyle name="Normal 31 2 2 2 2" xfId="1415"/>
    <cellStyle name="Normal 31 2 2 3" xfId="865"/>
    <cellStyle name="Normal 31 2 2 3 2" xfId="1687"/>
    <cellStyle name="Normal 31 2 2 4" xfId="1137"/>
    <cellStyle name="Normal 31 2 2 5" xfId="1960"/>
    <cellStyle name="Normal 31 2 3" xfId="457"/>
    <cellStyle name="Normal 31 2 3 2" xfId="1279"/>
    <cellStyle name="Normal 31 2 4" xfId="729"/>
    <cellStyle name="Normal 31 2 4 2" xfId="1551"/>
    <cellStyle name="Normal 31 2 5" xfId="1001"/>
    <cellStyle name="Normal 31 2 6" xfId="1824"/>
    <cellStyle name="Normal 31 3" xfId="174"/>
    <cellStyle name="Normal 31 3 2" xfId="525"/>
    <cellStyle name="Normal 31 3 2 2" xfId="1347"/>
    <cellStyle name="Normal 31 3 3" xfId="797"/>
    <cellStyle name="Normal 31 3 3 2" xfId="1619"/>
    <cellStyle name="Normal 31 3 4" xfId="1069"/>
    <cellStyle name="Normal 31 3 5" xfId="1892"/>
    <cellStyle name="Normal 31 4" xfId="389"/>
    <cellStyle name="Normal 31 4 2" xfId="1211"/>
    <cellStyle name="Normal 31 5" xfId="661"/>
    <cellStyle name="Normal 31 5 2" xfId="1483"/>
    <cellStyle name="Normal 31 6" xfId="933"/>
    <cellStyle name="Normal 31 7" xfId="1756"/>
    <cellStyle name="Normal 32" xfId="42"/>
    <cellStyle name="Normal 32 2" xfId="110"/>
    <cellStyle name="Normal 32 2 2" xfId="247"/>
    <cellStyle name="Normal 32 2 2 2" xfId="598"/>
    <cellStyle name="Normal 32 2 2 2 2" xfId="1420"/>
    <cellStyle name="Normal 32 2 2 3" xfId="870"/>
    <cellStyle name="Normal 32 2 2 3 2" xfId="1692"/>
    <cellStyle name="Normal 32 2 2 4" xfId="1142"/>
    <cellStyle name="Normal 32 2 2 5" xfId="1965"/>
    <cellStyle name="Normal 32 2 3" xfId="462"/>
    <cellStyle name="Normal 32 2 3 2" xfId="1284"/>
    <cellStyle name="Normal 32 2 4" xfId="734"/>
    <cellStyle name="Normal 32 2 4 2" xfId="1556"/>
    <cellStyle name="Normal 32 2 5" xfId="1006"/>
    <cellStyle name="Normal 32 2 6" xfId="1829"/>
    <cellStyle name="Normal 32 3" xfId="179"/>
    <cellStyle name="Normal 32 3 2" xfId="530"/>
    <cellStyle name="Normal 32 3 2 2" xfId="1352"/>
    <cellStyle name="Normal 32 3 3" xfId="802"/>
    <cellStyle name="Normal 32 3 3 2" xfId="1624"/>
    <cellStyle name="Normal 32 3 4" xfId="1074"/>
    <cellStyle name="Normal 32 3 5" xfId="1897"/>
    <cellStyle name="Normal 32 4" xfId="394"/>
    <cellStyle name="Normal 32 4 2" xfId="1216"/>
    <cellStyle name="Normal 32 5" xfId="666"/>
    <cellStyle name="Normal 32 5 2" xfId="1488"/>
    <cellStyle name="Normal 32 6" xfId="938"/>
    <cellStyle name="Normal 32 7" xfId="1761"/>
    <cellStyle name="Normal 33" xfId="43"/>
    <cellStyle name="Normal 33 2" xfId="111"/>
    <cellStyle name="Normal 33 2 2" xfId="248"/>
    <cellStyle name="Normal 33 2 2 2" xfId="599"/>
    <cellStyle name="Normal 33 2 2 2 2" xfId="1421"/>
    <cellStyle name="Normal 33 2 2 3" xfId="871"/>
    <cellStyle name="Normal 33 2 2 3 2" xfId="1693"/>
    <cellStyle name="Normal 33 2 2 4" xfId="1143"/>
    <cellStyle name="Normal 33 2 2 5" xfId="1966"/>
    <cellStyle name="Normal 33 2 3" xfId="463"/>
    <cellStyle name="Normal 33 2 3 2" xfId="1285"/>
    <cellStyle name="Normal 33 2 4" xfId="735"/>
    <cellStyle name="Normal 33 2 4 2" xfId="1557"/>
    <cellStyle name="Normal 33 2 5" xfId="1007"/>
    <cellStyle name="Normal 33 2 6" xfId="1830"/>
    <cellStyle name="Normal 33 3" xfId="180"/>
    <cellStyle name="Normal 33 3 2" xfId="531"/>
    <cellStyle name="Normal 33 3 2 2" xfId="1353"/>
    <cellStyle name="Normal 33 3 3" xfId="803"/>
    <cellStyle name="Normal 33 3 3 2" xfId="1625"/>
    <cellStyle name="Normal 33 3 4" xfId="1075"/>
    <cellStyle name="Normal 33 3 5" xfId="1898"/>
    <cellStyle name="Normal 33 4" xfId="395"/>
    <cellStyle name="Normal 33 4 2" xfId="1217"/>
    <cellStyle name="Normal 33 5" xfId="667"/>
    <cellStyle name="Normal 33 5 2" xfId="1489"/>
    <cellStyle name="Normal 33 6" xfId="939"/>
    <cellStyle name="Normal 33 7" xfId="1762"/>
    <cellStyle name="Normal 34" xfId="44"/>
    <cellStyle name="Normal 34 2" xfId="112"/>
    <cellStyle name="Normal 34 2 2" xfId="249"/>
    <cellStyle name="Normal 34 2 2 2" xfId="600"/>
    <cellStyle name="Normal 34 2 2 2 2" xfId="1422"/>
    <cellStyle name="Normal 34 2 2 3" xfId="872"/>
    <cellStyle name="Normal 34 2 2 3 2" xfId="1694"/>
    <cellStyle name="Normal 34 2 2 4" xfId="1144"/>
    <cellStyle name="Normal 34 2 2 5" xfId="1967"/>
    <cellStyle name="Normal 34 2 3" xfId="464"/>
    <cellStyle name="Normal 34 2 3 2" xfId="1286"/>
    <cellStyle name="Normal 34 2 4" xfId="736"/>
    <cellStyle name="Normal 34 2 4 2" xfId="1558"/>
    <cellStyle name="Normal 34 2 5" xfId="1008"/>
    <cellStyle name="Normal 34 2 6" xfId="1831"/>
    <cellStyle name="Normal 34 3" xfId="181"/>
    <cellStyle name="Normal 34 3 2" xfId="532"/>
    <cellStyle name="Normal 34 3 2 2" xfId="1354"/>
    <cellStyle name="Normal 34 3 3" xfId="804"/>
    <cellStyle name="Normal 34 3 3 2" xfId="1626"/>
    <cellStyle name="Normal 34 3 4" xfId="1076"/>
    <cellStyle name="Normal 34 3 5" xfId="1899"/>
    <cellStyle name="Normal 34 4" xfId="396"/>
    <cellStyle name="Normal 34 4 2" xfId="1218"/>
    <cellStyle name="Normal 34 5" xfId="668"/>
    <cellStyle name="Normal 34 5 2" xfId="1490"/>
    <cellStyle name="Normal 34 6" xfId="940"/>
    <cellStyle name="Normal 34 7" xfId="1763"/>
    <cellStyle name="Normal 35" xfId="45"/>
    <cellStyle name="Normal 35 2" xfId="113"/>
    <cellStyle name="Normal 35 2 2" xfId="250"/>
    <cellStyle name="Normal 35 2 2 2" xfId="601"/>
    <cellStyle name="Normal 35 2 2 2 2" xfId="1423"/>
    <cellStyle name="Normal 35 2 2 3" xfId="873"/>
    <cellStyle name="Normal 35 2 2 3 2" xfId="1695"/>
    <cellStyle name="Normal 35 2 2 4" xfId="1145"/>
    <cellStyle name="Normal 35 2 2 5" xfId="1968"/>
    <cellStyle name="Normal 35 2 3" xfId="465"/>
    <cellStyle name="Normal 35 2 3 2" xfId="1287"/>
    <cellStyle name="Normal 35 2 4" xfId="737"/>
    <cellStyle name="Normal 35 2 4 2" xfId="1559"/>
    <cellStyle name="Normal 35 2 5" xfId="1009"/>
    <cellStyle name="Normal 35 2 6" xfId="1832"/>
    <cellStyle name="Normal 35 3" xfId="182"/>
    <cellStyle name="Normal 35 3 2" xfId="533"/>
    <cellStyle name="Normal 35 3 2 2" xfId="1355"/>
    <cellStyle name="Normal 35 3 3" xfId="805"/>
    <cellStyle name="Normal 35 3 3 2" xfId="1627"/>
    <cellStyle name="Normal 35 3 4" xfId="1077"/>
    <cellStyle name="Normal 35 3 5" xfId="1900"/>
    <cellStyle name="Normal 35 4" xfId="397"/>
    <cellStyle name="Normal 35 4 2" xfId="1219"/>
    <cellStyle name="Normal 35 5" xfId="669"/>
    <cellStyle name="Normal 35 5 2" xfId="1491"/>
    <cellStyle name="Normal 35 6" xfId="941"/>
    <cellStyle name="Normal 35 7" xfId="1764"/>
    <cellStyle name="Normal 36" xfId="46"/>
    <cellStyle name="Normal 36 2" xfId="114"/>
    <cellStyle name="Normal 36 2 2" xfId="251"/>
    <cellStyle name="Normal 36 2 2 2" xfId="602"/>
    <cellStyle name="Normal 36 2 2 2 2" xfId="1424"/>
    <cellStyle name="Normal 36 2 2 3" xfId="874"/>
    <cellStyle name="Normal 36 2 2 3 2" xfId="1696"/>
    <cellStyle name="Normal 36 2 2 4" xfId="1146"/>
    <cellStyle name="Normal 36 2 2 5" xfId="1969"/>
    <cellStyle name="Normal 36 2 3" xfId="466"/>
    <cellStyle name="Normal 36 2 3 2" xfId="1288"/>
    <cellStyle name="Normal 36 2 4" xfId="738"/>
    <cellStyle name="Normal 36 2 4 2" xfId="1560"/>
    <cellStyle name="Normal 36 2 5" xfId="1010"/>
    <cellStyle name="Normal 36 2 6" xfId="1833"/>
    <cellStyle name="Normal 36 3" xfId="183"/>
    <cellStyle name="Normal 36 3 2" xfId="534"/>
    <cellStyle name="Normal 36 3 2 2" xfId="1356"/>
    <cellStyle name="Normal 36 3 3" xfId="806"/>
    <cellStyle name="Normal 36 3 3 2" xfId="1628"/>
    <cellStyle name="Normal 36 3 4" xfId="1078"/>
    <cellStyle name="Normal 36 3 5" xfId="1901"/>
    <cellStyle name="Normal 36 4" xfId="398"/>
    <cellStyle name="Normal 36 4 2" xfId="1220"/>
    <cellStyle name="Normal 36 5" xfId="670"/>
    <cellStyle name="Normal 36 5 2" xfId="1492"/>
    <cellStyle name="Normal 36 6" xfId="942"/>
    <cellStyle name="Normal 36 7" xfId="1765"/>
    <cellStyle name="Normal 37" xfId="47"/>
    <cellStyle name="Normal 37 2" xfId="115"/>
    <cellStyle name="Normal 37 2 2" xfId="252"/>
    <cellStyle name="Normal 37 2 2 2" xfId="603"/>
    <cellStyle name="Normal 37 2 2 2 2" xfId="1425"/>
    <cellStyle name="Normal 37 2 2 3" xfId="875"/>
    <cellStyle name="Normal 37 2 2 3 2" xfId="1697"/>
    <cellStyle name="Normal 37 2 2 4" xfId="1147"/>
    <cellStyle name="Normal 37 2 2 5" xfId="1970"/>
    <cellStyle name="Normal 37 2 3" xfId="467"/>
    <cellStyle name="Normal 37 2 3 2" xfId="1289"/>
    <cellStyle name="Normal 37 2 4" xfId="739"/>
    <cellStyle name="Normal 37 2 4 2" xfId="1561"/>
    <cellStyle name="Normal 37 2 5" xfId="1011"/>
    <cellStyle name="Normal 37 2 6" xfId="1834"/>
    <cellStyle name="Normal 37 3" xfId="184"/>
    <cellStyle name="Normal 37 3 2" xfId="535"/>
    <cellStyle name="Normal 37 3 2 2" xfId="1357"/>
    <cellStyle name="Normal 37 3 3" xfId="807"/>
    <cellStyle name="Normal 37 3 3 2" xfId="1629"/>
    <cellStyle name="Normal 37 3 4" xfId="1079"/>
    <cellStyle name="Normal 37 3 5" xfId="1902"/>
    <cellStyle name="Normal 37 4" xfId="399"/>
    <cellStyle name="Normal 37 4 2" xfId="1221"/>
    <cellStyle name="Normal 37 5" xfId="671"/>
    <cellStyle name="Normal 37 5 2" xfId="1493"/>
    <cellStyle name="Normal 37 6" xfId="943"/>
    <cellStyle name="Normal 37 7" xfId="1766"/>
    <cellStyle name="Normal 38" xfId="15"/>
    <cellStyle name="Normal 38 2" xfId="86"/>
    <cellStyle name="Normal 38 2 2" xfId="223"/>
    <cellStyle name="Normal 38 2 2 2" xfId="574"/>
    <cellStyle name="Normal 38 2 2 2 2" xfId="1396"/>
    <cellStyle name="Normal 38 2 2 3" xfId="846"/>
    <cellStyle name="Normal 38 2 2 3 2" xfId="1668"/>
    <cellStyle name="Normal 38 2 2 4" xfId="1118"/>
    <cellStyle name="Normal 38 2 2 5" xfId="1941"/>
    <cellStyle name="Normal 38 2 3" xfId="438"/>
    <cellStyle name="Normal 38 2 3 2" xfId="1260"/>
    <cellStyle name="Normal 38 2 4" xfId="710"/>
    <cellStyle name="Normal 38 2 4 2" xfId="1532"/>
    <cellStyle name="Normal 38 2 5" xfId="982"/>
    <cellStyle name="Normal 38 2 6" xfId="1805"/>
    <cellStyle name="Normal 38 3" xfId="155"/>
    <cellStyle name="Normal 38 3 2" xfId="506"/>
    <cellStyle name="Normal 38 3 2 2" xfId="1328"/>
    <cellStyle name="Normal 38 3 3" xfId="778"/>
    <cellStyle name="Normal 38 3 3 2" xfId="1600"/>
    <cellStyle name="Normal 38 3 4" xfId="1050"/>
    <cellStyle name="Normal 38 3 5" xfId="1873"/>
    <cellStyle name="Normal 38 4" xfId="370"/>
    <cellStyle name="Normal 38 4 2" xfId="1192"/>
    <cellStyle name="Normal 38 5" xfId="642"/>
    <cellStyle name="Normal 38 5 2" xfId="1464"/>
    <cellStyle name="Normal 38 6" xfId="914"/>
    <cellStyle name="Normal 38 7" xfId="1737"/>
    <cellStyle name="Normal 39" xfId="35"/>
    <cellStyle name="Normal 39 2" xfId="103"/>
    <cellStyle name="Normal 39 2 2" xfId="240"/>
    <cellStyle name="Normal 39 2 2 2" xfId="591"/>
    <cellStyle name="Normal 39 2 2 2 2" xfId="1413"/>
    <cellStyle name="Normal 39 2 2 3" xfId="863"/>
    <cellStyle name="Normal 39 2 2 3 2" xfId="1685"/>
    <cellStyle name="Normal 39 2 2 4" xfId="1135"/>
    <cellStyle name="Normal 39 2 2 5" xfId="1958"/>
    <cellStyle name="Normal 39 2 3" xfId="455"/>
    <cellStyle name="Normal 39 2 3 2" xfId="1277"/>
    <cellStyle name="Normal 39 2 4" xfId="727"/>
    <cellStyle name="Normal 39 2 4 2" xfId="1549"/>
    <cellStyle name="Normal 39 2 5" xfId="999"/>
    <cellStyle name="Normal 39 2 6" xfId="1822"/>
    <cellStyle name="Normal 39 3" xfId="172"/>
    <cellStyle name="Normal 39 3 2" xfId="523"/>
    <cellStyle name="Normal 39 3 2 2" xfId="1345"/>
    <cellStyle name="Normal 39 3 3" xfId="795"/>
    <cellStyle name="Normal 39 3 3 2" xfId="1617"/>
    <cellStyle name="Normal 39 3 4" xfId="1067"/>
    <cellStyle name="Normal 39 3 5" xfId="1890"/>
    <cellStyle name="Normal 39 4" xfId="387"/>
    <cellStyle name="Normal 39 4 2" xfId="1209"/>
    <cellStyle name="Normal 39 5" xfId="659"/>
    <cellStyle name="Normal 39 5 2" xfId="1481"/>
    <cellStyle name="Normal 39 6" xfId="931"/>
    <cellStyle name="Normal 39 7" xfId="1754"/>
    <cellStyle name="Normal 4" xfId="7"/>
    <cellStyle name="Normal 40" xfId="50"/>
    <cellStyle name="Normal 40 2" xfId="118"/>
    <cellStyle name="Normal 40 2 2" xfId="255"/>
    <cellStyle name="Normal 40 2 2 2" xfId="606"/>
    <cellStyle name="Normal 40 2 2 2 2" xfId="1428"/>
    <cellStyle name="Normal 40 2 2 3" xfId="878"/>
    <cellStyle name="Normal 40 2 2 3 2" xfId="1700"/>
    <cellStyle name="Normal 40 2 2 4" xfId="1150"/>
    <cellStyle name="Normal 40 2 2 5" xfId="1973"/>
    <cellStyle name="Normal 40 2 3" xfId="470"/>
    <cellStyle name="Normal 40 2 3 2" xfId="1292"/>
    <cellStyle name="Normal 40 2 4" xfId="742"/>
    <cellStyle name="Normal 40 2 4 2" xfId="1564"/>
    <cellStyle name="Normal 40 2 5" xfId="1014"/>
    <cellStyle name="Normal 40 2 6" xfId="1837"/>
    <cellStyle name="Normal 40 3" xfId="187"/>
    <cellStyle name="Normal 40 3 2" xfId="538"/>
    <cellStyle name="Normal 40 3 2 2" xfId="1360"/>
    <cellStyle name="Normal 40 3 3" xfId="810"/>
    <cellStyle name="Normal 40 3 3 2" xfId="1632"/>
    <cellStyle name="Normal 40 3 4" xfId="1082"/>
    <cellStyle name="Normal 40 3 5" xfId="1905"/>
    <cellStyle name="Normal 40 4" xfId="402"/>
    <cellStyle name="Normal 40 4 2" xfId="1224"/>
    <cellStyle name="Normal 40 5" xfId="674"/>
    <cellStyle name="Normal 40 5 2" xfId="1496"/>
    <cellStyle name="Normal 40 6" xfId="946"/>
    <cellStyle name="Normal 40 7" xfId="1769"/>
    <cellStyle name="Normal 41" xfId="39"/>
    <cellStyle name="Normal 41 2" xfId="107"/>
    <cellStyle name="Normal 41 2 2" xfId="244"/>
    <cellStyle name="Normal 41 2 2 2" xfId="595"/>
    <cellStyle name="Normal 41 2 2 2 2" xfId="1417"/>
    <cellStyle name="Normal 41 2 2 3" xfId="867"/>
    <cellStyle name="Normal 41 2 2 3 2" xfId="1689"/>
    <cellStyle name="Normal 41 2 2 4" xfId="1139"/>
    <cellStyle name="Normal 41 2 2 5" xfId="1962"/>
    <cellStyle name="Normal 41 2 3" xfId="459"/>
    <cellStyle name="Normal 41 2 3 2" xfId="1281"/>
    <cellStyle name="Normal 41 2 4" xfId="731"/>
    <cellStyle name="Normal 41 2 4 2" xfId="1553"/>
    <cellStyle name="Normal 41 2 5" xfId="1003"/>
    <cellStyle name="Normal 41 2 6" xfId="1826"/>
    <cellStyle name="Normal 41 3" xfId="176"/>
    <cellStyle name="Normal 41 3 2" xfId="527"/>
    <cellStyle name="Normal 41 3 2 2" xfId="1349"/>
    <cellStyle name="Normal 41 3 3" xfId="799"/>
    <cellStyle name="Normal 41 3 3 2" xfId="1621"/>
    <cellStyle name="Normal 41 3 4" xfId="1071"/>
    <cellStyle name="Normal 41 3 5" xfId="1894"/>
    <cellStyle name="Normal 41 4" xfId="391"/>
    <cellStyle name="Normal 41 4 2" xfId="1213"/>
    <cellStyle name="Normal 41 5" xfId="663"/>
    <cellStyle name="Normal 41 5 2" xfId="1485"/>
    <cellStyle name="Normal 41 6" xfId="935"/>
    <cellStyle name="Normal 41 7" xfId="1758"/>
    <cellStyle name="Normal 42" xfId="49"/>
    <cellStyle name="Normal 42 2" xfId="117"/>
    <cellStyle name="Normal 42 2 2" xfId="254"/>
    <cellStyle name="Normal 42 2 2 2" xfId="605"/>
    <cellStyle name="Normal 42 2 2 2 2" xfId="1427"/>
    <cellStyle name="Normal 42 2 2 3" xfId="877"/>
    <cellStyle name="Normal 42 2 2 3 2" xfId="1699"/>
    <cellStyle name="Normal 42 2 2 4" xfId="1149"/>
    <cellStyle name="Normal 42 2 2 5" xfId="1972"/>
    <cellStyle name="Normal 42 2 3" xfId="469"/>
    <cellStyle name="Normal 42 2 3 2" xfId="1291"/>
    <cellStyle name="Normal 42 2 4" xfId="741"/>
    <cellStyle name="Normal 42 2 4 2" xfId="1563"/>
    <cellStyle name="Normal 42 2 5" xfId="1013"/>
    <cellStyle name="Normal 42 2 6" xfId="1836"/>
    <cellStyle name="Normal 42 3" xfId="186"/>
    <cellStyle name="Normal 42 3 2" xfId="537"/>
    <cellStyle name="Normal 42 3 2 2" xfId="1359"/>
    <cellStyle name="Normal 42 3 3" xfId="809"/>
    <cellStyle name="Normal 42 3 3 2" xfId="1631"/>
    <cellStyle name="Normal 42 3 4" xfId="1081"/>
    <cellStyle name="Normal 42 3 5" xfId="1904"/>
    <cellStyle name="Normal 42 4" xfId="401"/>
    <cellStyle name="Normal 42 4 2" xfId="1223"/>
    <cellStyle name="Normal 42 5" xfId="673"/>
    <cellStyle name="Normal 42 5 2" xfId="1495"/>
    <cellStyle name="Normal 42 6" xfId="945"/>
    <cellStyle name="Normal 42 7" xfId="1768"/>
    <cellStyle name="Normal 43" xfId="38"/>
    <cellStyle name="Normal 43 2" xfId="106"/>
    <cellStyle name="Normal 43 2 2" xfId="243"/>
    <cellStyle name="Normal 43 2 2 2" xfId="594"/>
    <cellStyle name="Normal 43 2 2 2 2" xfId="1416"/>
    <cellStyle name="Normal 43 2 2 3" xfId="866"/>
    <cellStyle name="Normal 43 2 2 3 2" xfId="1688"/>
    <cellStyle name="Normal 43 2 2 4" xfId="1138"/>
    <cellStyle name="Normal 43 2 2 5" xfId="1961"/>
    <cellStyle name="Normal 43 2 3" xfId="458"/>
    <cellStyle name="Normal 43 2 3 2" xfId="1280"/>
    <cellStyle name="Normal 43 2 4" xfId="730"/>
    <cellStyle name="Normal 43 2 4 2" xfId="1552"/>
    <cellStyle name="Normal 43 2 5" xfId="1002"/>
    <cellStyle name="Normal 43 2 6" xfId="1825"/>
    <cellStyle name="Normal 43 3" xfId="175"/>
    <cellStyle name="Normal 43 3 2" xfId="526"/>
    <cellStyle name="Normal 43 3 2 2" xfId="1348"/>
    <cellStyle name="Normal 43 3 3" xfId="798"/>
    <cellStyle name="Normal 43 3 3 2" xfId="1620"/>
    <cellStyle name="Normal 43 3 4" xfId="1070"/>
    <cellStyle name="Normal 43 3 5" xfId="1893"/>
    <cellStyle name="Normal 43 4" xfId="390"/>
    <cellStyle name="Normal 43 4 2" xfId="1212"/>
    <cellStyle name="Normal 43 5" xfId="662"/>
    <cellStyle name="Normal 43 5 2" xfId="1484"/>
    <cellStyle name="Normal 43 6" xfId="934"/>
    <cellStyle name="Normal 43 7" xfId="1757"/>
    <cellStyle name="Normal 44" xfId="53"/>
    <cellStyle name="Normal 44 2" xfId="121"/>
    <cellStyle name="Normal 44 2 2" xfId="258"/>
    <cellStyle name="Normal 44 2 2 2" xfId="609"/>
    <cellStyle name="Normal 44 2 2 2 2" xfId="1431"/>
    <cellStyle name="Normal 44 2 2 3" xfId="881"/>
    <cellStyle name="Normal 44 2 2 3 2" xfId="1703"/>
    <cellStyle name="Normal 44 2 2 4" xfId="1153"/>
    <cellStyle name="Normal 44 2 2 5" xfId="1976"/>
    <cellStyle name="Normal 44 2 3" xfId="473"/>
    <cellStyle name="Normal 44 2 3 2" xfId="1295"/>
    <cellStyle name="Normal 44 2 4" xfId="745"/>
    <cellStyle name="Normal 44 2 4 2" xfId="1567"/>
    <cellStyle name="Normal 44 2 5" xfId="1017"/>
    <cellStyle name="Normal 44 2 6" xfId="1840"/>
    <cellStyle name="Normal 44 3" xfId="190"/>
    <cellStyle name="Normal 44 3 2" xfId="541"/>
    <cellStyle name="Normal 44 3 2 2" xfId="1363"/>
    <cellStyle name="Normal 44 3 3" xfId="813"/>
    <cellStyle name="Normal 44 3 3 2" xfId="1635"/>
    <cellStyle name="Normal 44 3 4" xfId="1085"/>
    <cellStyle name="Normal 44 3 5" xfId="1908"/>
    <cellStyle name="Normal 44 4" xfId="405"/>
    <cellStyle name="Normal 44 4 2" xfId="1227"/>
    <cellStyle name="Normal 44 5" xfId="677"/>
    <cellStyle name="Normal 44 5 2" xfId="1499"/>
    <cellStyle name="Normal 44 6" xfId="949"/>
    <cellStyle name="Normal 44 7" xfId="1772"/>
    <cellStyle name="Normal 45" xfId="54"/>
    <cellStyle name="Normal 45 2" xfId="122"/>
    <cellStyle name="Normal 45 2 2" xfId="259"/>
    <cellStyle name="Normal 45 2 2 2" xfId="610"/>
    <cellStyle name="Normal 45 2 2 2 2" xfId="1432"/>
    <cellStyle name="Normal 45 2 2 3" xfId="882"/>
    <cellStyle name="Normal 45 2 2 3 2" xfId="1704"/>
    <cellStyle name="Normal 45 2 2 4" xfId="1154"/>
    <cellStyle name="Normal 45 2 2 5" xfId="1977"/>
    <cellStyle name="Normal 45 2 3" xfId="474"/>
    <cellStyle name="Normal 45 2 3 2" xfId="1296"/>
    <cellStyle name="Normal 45 2 4" xfId="746"/>
    <cellStyle name="Normal 45 2 4 2" xfId="1568"/>
    <cellStyle name="Normal 45 2 5" xfId="1018"/>
    <cellStyle name="Normal 45 2 6" xfId="1841"/>
    <cellStyle name="Normal 45 3" xfId="191"/>
    <cellStyle name="Normal 45 3 2" xfId="542"/>
    <cellStyle name="Normal 45 3 2 2" xfId="1364"/>
    <cellStyle name="Normal 45 3 3" xfId="814"/>
    <cellStyle name="Normal 45 3 3 2" xfId="1636"/>
    <cellStyle name="Normal 45 3 4" xfId="1086"/>
    <cellStyle name="Normal 45 3 5" xfId="1909"/>
    <cellStyle name="Normal 45 4" xfId="406"/>
    <cellStyle name="Normal 45 4 2" xfId="1228"/>
    <cellStyle name="Normal 45 5" xfId="678"/>
    <cellStyle name="Normal 45 5 2" xfId="1500"/>
    <cellStyle name="Normal 45 6" xfId="950"/>
    <cellStyle name="Normal 45 7" xfId="1773"/>
    <cellStyle name="Normal 46" xfId="55"/>
    <cellStyle name="Normal 46 2" xfId="123"/>
    <cellStyle name="Normal 46 2 2" xfId="260"/>
    <cellStyle name="Normal 46 2 2 2" xfId="611"/>
    <cellStyle name="Normal 46 2 2 2 2" xfId="1433"/>
    <cellStyle name="Normal 46 2 2 3" xfId="883"/>
    <cellStyle name="Normal 46 2 2 3 2" xfId="1705"/>
    <cellStyle name="Normal 46 2 2 4" xfId="1155"/>
    <cellStyle name="Normal 46 2 2 5" xfId="1978"/>
    <cellStyle name="Normal 46 2 3" xfId="475"/>
    <cellStyle name="Normal 46 2 3 2" xfId="1297"/>
    <cellStyle name="Normal 46 2 4" xfId="747"/>
    <cellStyle name="Normal 46 2 4 2" xfId="1569"/>
    <cellStyle name="Normal 46 2 5" xfId="1019"/>
    <cellStyle name="Normal 46 2 6" xfId="1842"/>
    <cellStyle name="Normal 46 3" xfId="192"/>
    <cellStyle name="Normal 46 3 2" xfId="543"/>
    <cellStyle name="Normal 46 3 2 2" xfId="1365"/>
    <cellStyle name="Normal 46 3 3" xfId="815"/>
    <cellStyle name="Normal 46 3 3 2" xfId="1637"/>
    <cellStyle name="Normal 46 3 4" xfId="1087"/>
    <cellStyle name="Normal 46 3 5" xfId="1910"/>
    <cellStyle name="Normal 46 4" xfId="407"/>
    <cellStyle name="Normal 46 4 2" xfId="1229"/>
    <cellStyle name="Normal 46 5" xfId="679"/>
    <cellStyle name="Normal 46 5 2" xfId="1501"/>
    <cellStyle name="Normal 46 6" xfId="951"/>
    <cellStyle name="Normal 46 7" xfId="1774"/>
    <cellStyle name="Normal 47" xfId="56"/>
    <cellStyle name="Normal 47 2" xfId="124"/>
    <cellStyle name="Normal 47 2 2" xfId="261"/>
    <cellStyle name="Normal 47 2 2 2" xfId="612"/>
    <cellStyle name="Normal 47 2 2 2 2" xfId="1434"/>
    <cellStyle name="Normal 47 2 2 3" xfId="884"/>
    <cellStyle name="Normal 47 2 2 3 2" xfId="1706"/>
    <cellStyle name="Normal 47 2 2 4" xfId="1156"/>
    <cellStyle name="Normal 47 2 2 5" xfId="1979"/>
    <cellStyle name="Normal 47 2 3" xfId="476"/>
    <cellStyle name="Normal 47 2 3 2" xfId="1298"/>
    <cellStyle name="Normal 47 2 4" xfId="748"/>
    <cellStyle name="Normal 47 2 4 2" xfId="1570"/>
    <cellStyle name="Normal 47 2 5" xfId="1020"/>
    <cellStyle name="Normal 47 2 6" xfId="1843"/>
    <cellStyle name="Normal 47 3" xfId="193"/>
    <cellStyle name="Normal 47 3 2" xfId="544"/>
    <cellStyle name="Normal 47 3 2 2" xfId="1366"/>
    <cellStyle name="Normal 47 3 3" xfId="816"/>
    <cellStyle name="Normal 47 3 3 2" xfId="1638"/>
    <cellStyle name="Normal 47 3 4" xfId="1088"/>
    <cellStyle name="Normal 47 3 5" xfId="1911"/>
    <cellStyle name="Normal 47 4" xfId="408"/>
    <cellStyle name="Normal 47 4 2" xfId="1230"/>
    <cellStyle name="Normal 47 5" xfId="680"/>
    <cellStyle name="Normal 47 5 2" xfId="1502"/>
    <cellStyle name="Normal 47 6" xfId="952"/>
    <cellStyle name="Normal 47 7" xfId="1775"/>
    <cellStyle name="Normal 48" xfId="48"/>
    <cellStyle name="Normal 48 2" xfId="116"/>
    <cellStyle name="Normal 48 2 2" xfId="253"/>
    <cellStyle name="Normal 48 2 2 2" xfId="604"/>
    <cellStyle name="Normal 48 2 2 2 2" xfId="1426"/>
    <cellStyle name="Normal 48 2 2 3" xfId="876"/>
    <cellStyle name="Normal 48 2 2 3 2" xfId="1698"/>
    <cellStyle name="Normal 48 2 2 4" xfId="1148"/>
    <cellStyle name="Normal 48 2 2 5" xfId="1971"/>
    <cellStyle name="Normal 48 2 3" xfId="468"/>
    <cellStyle name="Normal 48 2 3 2" xfId="1290"/>
    <cellStyle name="Normal 48 2 4" xfId="740"/>
    <cellStyle name="Normal 48 2 4 2" xfId="1562"/>
    <cellStyle name="Normal 48 2 5" xfId="1012"/>
    <cellStyle name="Normal 48 2 6" xfId="1835"/>
    <cellStyle name="Normal 48 3" xfId="185"/>
    <cellStyle name="Normal 48 3 2" xfId="536"/>
    <cellStyle name="Normal 48 3 2 2" xfId="1358"/>
    <cellStyle name="Normal 48 3 3" xfId="808"/>
    <cellStyle name="Normal 48 3 3 2" xfId="1630"/>
    <cellStyle name="Normal 48 3 4" xfId="1080"/>
    <cellStyle name="Normal 48 3 5" xfId="1903"/>
    <cellStyle name="Normal 48 4" xfId="400"/>
    <cellStyle name="Normal 48 4 2" xfId="1222"/>
    <cellStyle name="Normal 48 5" xfId="672"/>
    <cellStyle name="Normal 48 5 2" xfId="1494"/>
    <cellStyle name="Normal 48 6" xfId="944"/>
    <cellStyle name="Normal 48 7" xfId="1767"/>
    <cellStyle name="Normal 49" xfId="52"/>
    <cellStyle name="Normal 49 2" xfId="120"/>
    <cellStyle name="Normal 49 2 2" xfId="257"/>
    <cellStyle name="Normal 49 2 2 2" xfId="608"/>
    <cellStyle name="Normal 49 2 2 2 2" xfId="1430"/>
    <cellStyle name="Normal 49 2 2 3" xfId="880"/>
    <cellStyle name="Normal 49 2 2 3 2" xfId="1702"/>
    <cellStyle name="Normal 49 2 2 4" xfId="1152"/>
    <cellStyle name="Normal 49 2 2 5" xfId="1975"/>
    <cellStyle name="Normal 49 2 3" xfId="472"/>
    <cellStyle name="Normal 49 2 3 2" xfId="1294"/>
    <cellStyle name="Normal 49 2 4" xfId="744"/>
    <cellStyle name="Normal 49 2 4 2" xfId="1566"/>
    <cellStyle name="Normal 49 2 5" xfId="1016"/>
    <cellStyle name="Normal 49 2 6" xfId="1839"/>
    <cellStyle name="Normal 49 3" xfId="189"/>
    <cellStyle name="Normal 49 3 2" xfId="540"/>
    <cellStyle name="Normal 49 3 2 2" xfId="1362"/>
    <cellStyle name="Normal 49 3 3" xfId="812"/>
    <cellStyle name="Normal 49 3 3 2" xfId="1634"/>
    <cellStyle name="Normal 49 3 4" xfId="1084"/>
    <cellStyle name="Normal 49 3 5" xfId="1907"/>
    <cellStyle name="Normal 49 4" xfId="404"/>
    <cellStyle name="Normal 49 4 2" xfId="1226"/>
    <cellStyle name="Normal 49 5" xfId="676"/>
    <cellStyle name="Normal 49 5 2" xfId="1498"/>
    <cellStyle name="Normal 49 6" xfId="948"/>
    <cellStyle name="Normal 49 7" xfId="1771"/>
    <cellStyle name="Normal 5" xfId="8"/>
    <cellStyle name="Normal 50" xfId="41"/>
    <cellStyle name="Normal 50 2" xfId="109"/>
    <cellStyle name="Normal 50 2 2" xfId="246"/>
    <cellStyle name="Normal 50 2 2 2" xfId="597"/>
    <cellStyle name="Normal 50 2 2 2 2" xfId="1419"/>
    <cellStyle name="Normal 50 2 2 3" xfId="869"/>
    <cellStyle name="Normal 50 2 2 3 2" xfId="1691"/>
    <cellStyle name="Normal 50 2 2 4" xfId="1141"/>
    <cellStyle name="Normal 50 2 2 5" xfId="1964"/>
    <cellStyle name="Normal 50 2 3" xfId="461"/>
    <cellStyle name="Normal 50 2 3 2" xfId="1283"/>
    <cellStyle name="Normal 50 2 4" xfId="733"/>
    <cellStyle name="Normal 50 2 4 2" xfId="1555"/>
    <cellStyle name="Normal 50 2 5" xfId="1005"/>
    <cellStyle name="Normal 50 2 6" xfId="1828"/>
    <cellStyle name="Normal 50 3" xfId="178"/>
    <cellStyle name="Normal 50 3 2" xfId="529"/>
    <cellStyle name="Normal 50 3 2 2" xfId="1351"/>
    <cellStyle name="Normal 50 3 3" xfId="801"/>
    <cellStyle name="Normal 50 3 3 2" xfId="1623"/>
    <cellStyle name="Normal 50 3 4" xfId="1073"/>
    <cellStyle name="Normal 50 3 5" xfId="1896"/>
    <cellStyle name="Normal 50 4" xfId="393"/>
    <cellStyle name="Normal 50 4 2" xfId="1215"/>
    <cellStyle name="Normal 50 5" xfId="665"/>
    <cellStyle name="Normal 50 5 2" xfId="1487"/>
    <cellStyle name="Normal 50 6" xfId="937"/>
    <cellStyle name="Normal 50 7" xfId="1760"/>
    <cellStyle name="Normal 51" xfId="51"/>
    <cellStyle name="Normal 51 2" xfId="119"/>
    <cellStyle name="Normal 51 2 2" xfId="256"/>
    <cellStyle name="Normal 51 2 2 2" xfId="607"/>
    <cellStyle name="Normal 51 2 2 2 2" xfId="1429"/>
    <cellStyle name="Normal 51 2 2 3" xfId="879"/>
    <cellStyle name="Normal 51 2 2 3 2" xfId="1701"/>
    <cellStyle name="Normal 51 2 2 4" xfId="1151"/>
    <cellStyle name="Normal 51 2 2 5" xfId="1974"/>
    <cellStyle name="Normal 51 2 3" xfId="471"/>
    <cellStyle name="Normal 51 2 3 2" xfId="1293"/>
    <cellStyle name="Normal 51 2 4" xfId="743"/>
    <cellStyle name="Normal 51 2 4 2" xfId="1565"/>
    <cellStyle name="Normal 51 2 5" xfId="1015"/>
    <cellStyle name="Normal 51 2 6" xfId="1838"/>
    <cellStyle name="Normal 51 3" xfId="188"/>
    <cellStyle name="Normal 51 3 2" xfId="539"/>
    <cellStyle name="Normal 51 3 2 2" xfId="1361"/>
    <cellStyle name="Normal 51 3 3" xfId="811"/>
    <cellStyle name="Normal 51 3 3 2" xfId="1633"/>
    <cellStyle name="Normal 51 3 4" xfId="1083"/>
    <cellStyle name="Normal 51 3 5" xfId="1906"/>
    <cellStyle name="Normal 51 4" xfId="403"/>
    <cellStyle name="Normal 51 4 2" xfId="1225"/>
    <cellStyle name="Normal 51 5" xfId="675"/>
    <cellStyle name="Normal 51 5 2" xfId="1497"/>
    <cellStyle name="Normal 51 6" xfId="947"/>
    <cellStyle name="Normal 51 7" xfId="1770"/>
    <cellStyle name="Normal 52" xfId="59"/>
    <cellStyle name="Normal 52 2" xfId="127"/>
    <cellStyle name="Normal 52 2 2" xfId="264"/>
    <cellStyle name="Normal 52 2 2 2" xfId="615"/>
    <cellStyle name="Normal 52 2 2 2 2" xfId="1437"/>
    <cellStyle name="Normal 52 2 2 3" xfId="887"/>
    <cellStyle name="Normal 52 2 2 3 2" xfId="1709"/>
    <cellStyle name="Normal 52 2 2 4" xfId="1159"/>
    <cellStyle name="Normal 52 2 2 5" xfId="1982"/>
    <cellStyle name="Normal 52 2 3" xfId="479"/>
    <cellStyle name="Normal 52 2 3 2" xfId="1301"/>
    <cellStyle name="Normal 52 2 4" xfId="751"/>
    <cellStyle name="Normal 52 2 4 2" xfId="1573"/>
    <cellStyle name="Normal 52 2 5" xfId="1023"/>
    <cellStyle name="Normal 52 2 6" xfId="1846"/>
    <cellStyle name="Normal 52 3" xfId="196"/>
    <cellStyle name="Normal 52 3 2" xfId="547"/>
    <cellStyle name="Normal 52 3 2 2" xfId="1369"/>
    <cellStyle name="Normal 52 3 3" xfId="819"/>
    <cellStyle name="Normal 52 3 3 2" xfId="1641"/>
    <cellStyle name="Normal 52 3 4" xfId="1091"/>
    <cellStyle name="Normal 52 3 5" xfId="1914"/>
    <cellStyle name="Normal 52 4" xfId="411"/>
    <cellStyle name="Normal 52 4 2" xfId="1233"/>
    <cellStyle name="Normal 52 5" xfId="683"/>
    <cellStyle name="Normal 52 5 2" xfId="1505"/>
    <cellStyle name="Normal 52 6" xfId="955"/>
    <cellStyle name="Normal 52 7" xfId="1778"/>
    <cellStyle name="Normal 53" xfId="40"/>
    <cellStyle name="Normal 53 2" xfId="108"/>
    <cellStyle name="Normal 53 2 2" xfId="245"/>
    <cellStyle name="Normal 53 2 2 2" xfId="596"/>
    <cellStyle name="Normal 53 2 2 2 2" xfId="1418"/>
    <cellStyle name="Normal 53 2 2 3" xfId="868"/>
    <cellStyle name="Normal 53 2 2 3 2" xfId="1690"/>
    <cellStyle name="Normal 53 2 2 4" xfId="1140"/>
    <cellStyle name="Normal 53 2 2 5" xfId="1963"/>
    <cellStyle name="Normal 53 2 3" xfId="460"/>
    <cellStyle name="Normal 53 2 3 2" xfId="1282"/>
    <cellStyle name="Normal 53 2 4" xfId="732"/>
    <cellStyle name="Normal 53 2 4 2" xfId="1554"/>
    <cellStyle name="Normal 53 2 5" xfId="1004"/>
    <cellStyle name="Normal 53 2 6" xfId="1827"/>
    <cellStyle name="Normal 53 3" xfId="177"/>
    <cellStyle name="Normal 53 3 2" xfId="528"/>
    <cellStyle name="Normal 53 3 2 2" xfId="1350"/>
    <cellStyle name="Normal 53 3 3" xfId="800"/>
    <cellStyle name="Normal 53 3 3 2" xfId="1622"/>
    <cellStyle name="Normal 53 3 4" xfId="1072"/>
    <cellStyle name="Normal 53 3 5" xfId="1895"/>
    <cellStyle name="Normal 53 4" xfId="392"/>
    <cellStyle name="Normal 53 4 2" xfId="1214"/>
    <cellStyle name="Normal 53 5" xfId="664"/>
    <cellStyle name="Normal 53 5 2" xfId="1486"/>
    <cellStyle name="Normal 53 6" xfId="936"/>
    <cellStyle name="Normal 53 7" xfId="1759"/>
    <cellStyle name="Normal 54" xfId="60"/>
    <cellStyle name="Normal 54 2" xfId="128"/>
    <cellStyle name="Normal 54 2 2" xfId="265"/>
    <cellStyle name="Normal 54 2 2 2" xfId="616"/>
    <cellStyle name="Normal 54 2 2 2 2" xfId="1438"/>
    <cellStyle name="Normal 54 2 2 3" xfId="888"/>
    <cellStyle name="Normal 54 2 2 3 2" xfId="1710"/>
    <cellStyle name="Normal 54 2 2 4" xfId="1160"/>
    <cellStyle name="Normal 54 2 2 5" xfId="1983"/>
    <cellStyle name="Normal 54 2 3" xfId="480"/>
    <cellStyle name="Normal 54 2 3 2" xfId="1302"/>
    <cellStyle name="Normal 54 2 4" xfId="752"/>
    <cellStyle name="Normal 54 2 4 2" xfId="1574"/>
    <cellStyle name="Normal 54 2 5" xfId="1024"/>
    <cellStyle name="Normal 54 2 6" xfId="1847"/>
    <cellStyle name="Normal 54 3" xfId="197"/>
    <cellStyle name="Normal 54 3 2" xfId="548"/>
    <cellStyle name="Normal 54 3 2 2" xfId="1370"/>
    <cellStyle name="Normal 54 3 3" xfId="820"/>
    <cellStyle name="Normal 54 3 3 2" xfId="1642"/>
    <cellStyle name="Normal 54 3 4" xfId="1092"/>
    <cellStyle name="Normal 54 3 5" xfId="1915"/>
    <cellStyle name="Normal 54 4" xfId="412"/>
    <cellStyle name="Normal 54 4 2" xfId="1234"/>
    <cellStyle name="Normal 54 5" xfId="684"/>
    <cellStyle name="Normal 54 5 2" xfId="1506"/>
    <cellStyle name="Normal 54 6" xfId="956"/>
    <cellStyle name="Normal 54 7" xfId="1779"/>
    <cellStyle name="Normal 55" xfId="61"/>
    <cellStyle name="Normal 55 2" xfId="129"/>
    <cellStyle name="Normal 55 2 2" xfId="266"/>
    <cellStyle name="Normal 55 2 2 2" xfId="617"/>
    <cellStyle name="Normal 55 2 2 2 2" xfId="1439"/>
    <cellStyle name="Normal 55 2 2 3" xfId="889"/>
    <cellStyle name="Normal 55 2 2 3 2" xfId="1711"/>
    <cellStyle name="Normal 55 2 2 4" xfId="1161"/>
    <cellStyle name="Normal 55 2 2 5" xfId="1984"/>
    <cellStyle name="Normal 55 2 3" xfId="481"/>
    <cellStyle name="Normal 55 2 3 2" xfId="1303"/>
    <cellStyle name="Normal 55 2 4" xfId="753"/>
    <cellStyle name="Normal 55 2 4 2" xfId="1575"/>
    <cellStyle name="Normal 55 2 5" xfId="1025"/>
    <cellStyle name="Normal 55 2 6" xfId="1848"/>
    <cellStyle name="Normal 55 3" xfId="198"/>
    <cellStyle name="Normal 55 3 2" xfId="549"/>
    <cellStyle name="Normal 55 3 2 2" xfId="1371"/>
    <cellStyle name="Normal 55 3 3" xfId="821"/>
    <cellStyle name="Normal 55 3 3 2" xfId="1643"/>
    <cellStyle name="Normal 55 3 4" xfId="1093"/>
    <cellStyle name="Normal 55 3 5" xfId="1916"/>
    <cellStyle name="Normal 55 4" xfId="413"/>
    <cellStyle name="Normal 55 4 2" xfId="1235"/>
    <cellStyle name="Normal 55 5" xfId="685"/>
    <cellStyle name="Normal 55 5 2" xfId="1507"/>
    <cellStyle name="Normal 55 6" xfId="957"/>
    <cellStyle name="Normal 55 7" xfId="1780"/>
    <cellStyle name="Normal 56" xfId="62"/>
    <cellStyle name="Normal 56 2" xfId="130"/>
    <cellStyle name="Normal 56 2 2" xfId="267"/>
    <cellStyle name="Normal 56 2 2 2" xfId="618"/>
    <cellStyle name="Normal 56 2 2 2 2" xfId="1440"/>
    <cellStyle name="Normal 56 2 2 3" xfId="890"/>
    <cellStyle name="Normal 56 2 2 3 2" xfId="1712"/>
    <cellStyle name="Normal 56 2 2 4" xfId="1162"/>
    <cellStyle name="Normal 56 2 2 5" xfId="1985"/>
    <cellStyle name="Normal 56 2 3" xfId="482"/>
    <cellStyle name="Normal 56 2 3 2" xfId="1304"/>
    <cellStyle name="Normal 56 2 4" xfId="754"/>
    <cellStyle name="Normal 56 2 4 2" xfId="1576"/>
    <cellStyle name="Normal 56 2 5" xfId="1026"/>
    <cellStyle name="Normal 56 2 6" xfId="1849"/>
    <cellStyle name="Normal 56 3" xfId="199"/>
    <cellStyle name="Normal 56 3 2" xfId="550"/>
    <cellStyle name="Normal 56 3 2 2" xfId="1372"/>
    <cellStyle name="Normal 56 3 3" xfId="822"/>
    <cellStyle name="Normal 56 3 3 2" xfId="1644"/>
    <cellStyle name="Normal 56 3 4" xfId="1094"/>
    <cellStyle name="Normal 56 3 5" xfId="1917"/>
    <cellStyle name="Normal 56 4" xfId="414"/>
    <cellStyle name="Normal 56 4 2" xfId="1236"/>
    <cellStyle name="Normal 56 5" xfId="686"/>
    <cellStyle name="Normal 56 5 2" xfId="1508"/>
    <cellStyle name="Normal 56 6" xfId="958"/>
    <cellStyle name="Normal 56 7" xfId="1781"/>
    <cellStyle name="Normal 57" xfId="63"/>
    <cellStyle name="Normal 57 2" xfId="131"/>
    <cellStyle name="Normal 57 2 2" xfId="268"/>
    <cellStyle name="Normal 57 2 2 2" xfId="619"/>
    <cellStyle name="Normal 57 2 2 2 2" xfId="1441"/>
    <cellStyle name="Normal 57 2 2 3" xfId="891"/>
    <cellStyle name="Normal 57 2 2 3 2" xfId="1713"/>
    <cellStyle name="Normal 57 2 2 4" xfId="1163"/>
    <cellStyle name="Normal 57 2 2 5" xfId="1986"/>
    <cellStyle name="Normal 57 2 3" xfId="483"/>
    <cellStyle name="Normal 57 2 3 2" xfId="1305"/>
    <cellStyle name="Normal 57 2 4" xfId="755"/>
    <cellStyle name="Normal 57 2 4 2" xfId="1577"/>
    <cellStyle name="Normal 57 2 5" xfId="1027"/>
    <cellStyle name="Normal 57 2 6" xfId="1850"/>
    <cellStyle name="Normal 57 3" xfId="200"/>
    <cellStyle name="Normal 57 3 2" xfId="551"/>
    <cellStyle name="Normal 57 3 2 2" xfId="1373"/>
    <cellStyle name="Normal 57 3 3" xfId="823"/>
    <cellStyle name="Normal 57 3 3 2" xfId="1645"/>
    <cellStyle name="Normal 57 3 4" xfId="1095"/>
    <cellStyle name="Normal 57 3 5" xfId="1918"/>
    <cellStyle name="Normal 57 4" xfId="415"/>
    <cellStyle name="Normal 57 4 2" xfId="1237"/>
    <cellStyle name="Normal 57 5" xfId="687"/>
    <cellStyle name="Normal 57 5 2" xfId="1509"/>
    <cellStyle name="Normal 57 6" xfId="959"/>
    <cellStyle name="Normal 57 7" xfId="1782"/>
    <cellStyle name="Normal 58" xfId="64"/>
    <cellStyle name="Normal 58 2" xfId="132"/>
    <cellStyle name="Normal 58 2 2" xfId="269"/>
    <cellStyle name="Normal 58 2 2 2" xfId="620"/>
    <cellStyle name="Normal 58 2 2 2 2" xfId="1442"/>
    <cellStyle name="Normal 58 2 2 3" xfId="892"/>
    <cellStyle name="Normal 58 2 2 3 2" xfId="1714"/>
    <cellStyle name="Normal 58 2 2 4" xfId="1164"/>
    <cellStyle name="Normal 58 2 2 5" xfId="1987"/>
    <cellStyle name="Normal 58 2 3" xfId="484"/>
    <cellStyle name="Normal 58 2 3 2" xfId="1306"/>
    <cellStyle name="Normal 58 2 4" xfId="756"/>
    <cellStyle name="Normal 58 2 4 2" xfId="1578"/>
    <cellStyle name="Normal 58 2 5" xfId="1028"/>
    <cellStyle name="Normal 58 2 6" xfId="1851"/>
    <cellStyle name="Normal 58 3" xfId="201"/>
    <cellStyle name="Normal 58 3 2" xfId="552"/>
    <cellStyle name="Normal 58 3 2 2" xfId="1374"/>
    <cellStyle name="Normal 58 3 3" xfId="824"/>
    <cellStyle name="Normal 58 3 3 2" xfId="1646"/>
    <cellStyle name="Normal 58 3 4" xfId="1096"/>
    <cellStyle name="Normal 58 3 5" xfId="1919"/>
    <cellStyle name="Normal 58 4" xfId="416"/>
    <cellStyle name="Normal 58 4 2" xfId="1238"/>
    <cellStyle name="Normal 58 5" xfId="688"/>
    <cellStyle name="Normal 58 5 2" xfId="1510"/>
    <cellStyle name="Normal 58 6" xfId="960"/>
    <cellStyle name="Normal 58 7" xfId="1783"/>
    <cellStyle name="Normal 59" xfId="65"/>
    <cellStyle name="Normal 59 2" xfId="133"/>
    <cellStyle name="Normal 59 2 2" xfId="270"/>
    <cellStyle name="Normal 59 2 2 2" xfId="621"/>
    <cellStyle name="Normal 59 2 2 2 2" xfId="1443"/>
    <cellStyle name="Normal 59 2 2 3" xfId="893"/>
    <cellStyle name="Normal 59 2 2 3 2" xfId="1715"/>
    <cellStyle name="Normal 59 2 2 4" xfId="1165"/>
    <cellStyle name="Normal 59 2 2 5" xfId="1988"/>
    <cellStyle name="Normal 59 2 3" xfId="485"/>
    <cellStyle name="Normal 59 2 3 2" xfId="1307"/>
    <cellStyle name="Normal 59 2 4" xfId="757"/>
    <cellStyle name="Normal 59 2 4 2" xfId="1579"/>
    <cellStyle name="Normal 59 2 5" xfId="1029"/>
    <cellStyle name="Normal 59 2 6" xfId="1852"/>
    <cellStyle name="Normal 59 3" xfId="202"/>
    <cellStyle name="Normal 59 3 2" xfId="553"/>
    <cellStyle name="Normal 59 3 2 2" xfId="1375"/>
    <cellStyle name="Normal 59 3 3" xfId="825"/>
    <cellStyle name="Normal 59 3 3 2" xfId="1647"/>
    <cellStyle name="Normal 59 3 4" xfId="1097"/>
    <cellStyle name="Normal 59 3 5" xfId="1920"/>
    <cellStyle name="Normal 59 4" xfId="417"/>
    <cellStyle name="Normal 59 4 2" xfId="1239"/>
    <cellStyle name="Normal 59 5" xfId="689"/>
    <cellStyle name="Normal 59 5 2" xfId="1511"/>
    <cellStyle name="Normal 59 6" xfId="961"/>
    <cellStyle name="Normal 59 7" xfId="1784"/>
    <cellStyle name="Normal 6" xfId="9"/>
    <cellStyle name="Normal 60" xfId="66"/>
    <cellStyle name="Normal 60 2" xfId="134"/>
    <cellStyle name="Normal 60 2 2" xfId="271"/>
    <cellStyle name="Normal 60 2 2 2" xfId="622"/>
    <cellStyle name="Normal 60 2 2 2 2" xfId="1444"/>
    <cellStyle name="Normal 60 2 2 3" xfId="894"/>
    <cellStyle name="Normal 60 2 2 3 2" xfId="1716"/>
    <cellStyle name="Normal 60 2 2 4" xfId="1166"/>
    <cellStyle name="Normal 60 2 2 5" xfId="1989"/>
    <cellStyle name="Normal 60 2 3" xfId="486"/>
    <cellStyle name="Normal 60 2 3 2" xfId="1308"/>
    <cellStyle name="Normal 60 2 4" xfId="758"/>
    <cellStyle name="Normal 60 2 4 2" xfId="1580"/>
    <cellStyle name="Normal 60 2 5" xfId="1030"/>
    <cellStyle name="Normal 60 2 6" xfId="1853"/>
    <cellStyle name="Normal 60 3" xfId="203"/>
    <cellStyle name="Normal 60 3 2" xfId="554"/>
    <cellStyle name="Normal 60 3 2 2" xfId="1376"/>
    <cellStyle name="Normal 60 3 3" xfId="826"/>
    <cellStyle name="Normal 60 3 3 2" xfId="1648"/>
    <cellStyle name="Normal 60 3 4" xfId="1098"/>
    <cellStyle name="Normal 60 3 5" xfId="1921"/>
    <cellStyle name="Normal 60 4" xfId="418"/>
    <cellStyle name="Normal 60 4 2" xfId="1240"/>
    <cellStyle name="Normal 60 5" xfId="690"/>
    <cellStyle name="Normal 60 5 2" xfId="1512"/>
    <cellStyle name="Normal 60 6" xfId="962"/>
    <cellStyle name="Normal 60 7" xfId="1785"/>
    <cellStyle name="Normal 61" xfId="67"/>
    <cellStyle name="Normal 61 2" xfId="135"/>
    <cellStyle name="Normal 61 2 2" xfId="272"/>
    <cellStyle name="Normal 61 2 2 2" xfId="623"/>
    <cellStyle name="Normal 61 2 2 2 2" xfId="1445"/>
    <cellStyle name="Normal 61 2 2 3" xfId="895"/>
    <cellStyle name="Normal 61 2 2 3 2" xfId="1717"/>
    <cellStyle name="Normal 61 2 2 4" xfId="1167"/>
    <cellStyle name="Normal 61 2 2 5" xfId="1990"/>
    <cellStyle name="Normal 61 2 3" xfId="487"/>
    <cellStyle name="Normal 61 2 3 2" xfId="1309"/>
    <cellStyle name="Normal 61 2 4" xfId="759"/>
    <cellStyle name="Normal 61 2 4 2" xfId="1581"/>
    <cellStyle name="Normal 61 2 5" xfId="1031"/>
    <cellStyle name="Normal 61 2 6" xfId="1854"/>
    <cellStyle name="Normal 61 3" xfId="204"/>
    <cellStyle name="Normal 61 3 2" xfId="555"/>
    <cellStyle name="Normal 61 3 2 2" xfId="1377"/>
    <cellStyle name="Normal 61 3 3" xfId="827"/>
    <cellStyle name="Normal 61 3 3 2" xfId="1649"/>
    <cellStyle name="Normal 61 3 4" xfId="1099"/>
    <cellStyle name="Normal 61 3 5" xfId="1922"/>
    <cellStyle name="Normal 61 4" xfId="419"/>
    <cellStyle name="Normal 61 4 2" xfId="1241"/>
    <cellStyle name="Normal 61 5" xfId="691"/>
    <cellStyle name="Normal 61 5 2" xfId="1513"/>
    <cellStyle name="Normal 61 6" xfId="963"/>
    <cellStyle name="Normal 61 7" xfId="1786"/>
    <cellStyle name="Normal 62" xfId="68"/>
    <cellStyle name="Normal 62 2" xfId="136"/>
    <cellStyle name="Normal 62 2 2" xfId="273"/>
    <cellStyle name="Normal 62 2 2 2" xfId="624"/>
    <cellStyle name="Normal 62 2 2 2 2" xfId="1446"/>
    <cellStyle name="Normal 62 2 2 3" xfId="896"/>
    <cellStyle name="Normal 62 2 2 3 2" xfId="1718"/>
    <cellStyle name="Normal 62 2 2 4" xfId="1168"/>
    <cellStyle name="Normal 62 2 2 5" xfId="1991"/>
    <cellStyle name="Normal 62 2 3" xfId="488"/>
    <cellStyle name="Normal 62 2 3 2" xfId="1310"/>
    <cellStyle name="Normal 62 2 4" xfId="760"/>
    <cellStyle name="Normal 62 2 4 2" xfId="1582"/>
    <cellStyle name="Normal 62 2 5" xfId="1032"/>
    <cellStyle name="Normal 62 2 6" xfId="1855"/>
    <cellStyle name="Normal 62 3" xfId="205"/>
    <cellStyle name="Normal 62 3 2" xfId="556"/>
    <cellStyle name="Normal 62 3 2 2" xfId="1378"/>
    <cellStyle name="Normal 62 3 3" xfId="828"/>
    <cellStyle name="Normal 62 3 3 2" xfId="1650"/>
    <cellStyle name="Normal 62 3 4" xfId="1100"/>
    <cellStyle name="Normal 62 3 5" xfId="1923"/>
    <cellStyle name="Normal 62 4" xfId="420"/>
    <cellStyle name="Normal 62 4 2" xfId="1242"/>
    <cellStyle name="Normal 62 5" xfId="692"/>
    <cellStyle name="Normal 62 5 2" xfId="1514"/>
    <cellStyle name="Normal 62 6" xfId="964"/>
    <cellStyle name="Normal 62 7" xfId="1787"/>
    <cellStyle name="Normal 63" xfId="69"/>
    <cellStyle name="Normal 63 2" xfId="137"/>
    <cellStyle name="Normal 63 2 2" xfId="274"/>
    <cellStyle name="Normal 63 2 2 2" xfId="625"/>
    <cellStyle name="Normal 63 2 2 2 2" xfId="1447"/>
    <cellStyle name="Normal 63 2 2 3" xfId="897"/>
    <cellStyle name="Normal 63 2 2 3 2" xfId="1719"/>
    <cellStyle name="Normal 63 2 2 4" xfId="1169"/>
    <cellStyle name="Normal 63 2 2 5" xfId="1992"/>
    <cellStyle name="Normal 63 2 3" xfId="489"/>
    <cellStyle name="Normal 63 2 3 2" xfId="1311"/>
    <cellStyle name="Normal 63 2 4" xfId="761"/>
    <cellStyle name="Normal 63 2 4 2" xfId="1583"/>
    <cellStyle name="Normal 63 2 5" xfId="1033"/>
    <cellStyle name="Normal 63 2 6" xfId="1856"/>
    <cellStyle name="Normal 63 3" xfId="206"/>
    <cellStyle name="Normal 63 3 2" xfId="557"/>
    <cellStyle name="Normal 63 3 2 2" xfId="1379"/>
    <cellStyle name="Normal 63 3 3" xfId="829"/>
    <cellStyle name="Normal 63 3 3 2" xfId="1651"/>
    <cellStyle name="Normal 63 3 4" xfId="1101"/>
    <cellStyle name="Normal 63 3 5" xfId="1924"/>
    <cellStyle name="Normal 63 4" xfId="421"/>
    <cellStyle name="Normal 63 4 2" xfId="1243"/>
    <cellStyle name="Normal 63 5" xfId="693"/>
    <cellStyle name="Normal 63 5 2" xfId="1515"/>
    <cellStyle name="Normal 63 6" xfId="965"/>
    <cellStyle name="Normal 63 7" xfId="1788"/>
    <cellStyle name="Normal 64" xfId="70"/>
    <cellStyle name="Normal 64 2" xfId="138"/>
    <cellStyle name="Normal 64 2 2" xfId="275"/>
    <cellStyle name="Normal 64 2 2 2" xfId="626"/>
    <cellStyle name="Normal 64 2 2 2 2" xfId="1448"/>
    <cellStyle name="Normal 64 2 2 3" xfId="898"/>
    <cellStyle name="Normal 64 2 2 3 2" xfId="1720"/>
    <cellStyle name="Normal 64 2 2 4" xfId="1170"/>
    <cellStyle name="Normal 64 2 2 5" xfId="1993"/>
    <cellStyle name="Normal 64 2 3" xfId="490"/>
    <cellStyle name="Normal 64 2 3 2" xfId="1312"/>
    <cellStyle name="Normal 64 2 4" xfId="762"/>
    <cellStyle name="Normal 64 2 4 2" xfId="1584"/>
    <cellStyle name="Normal 64 2 5" xfId="1034"/>
    <cellStyle name="Normal 64 2 6" xfId="1857"/>
    <cellStyle name="Normal 64 3" xfId="207"/>
    <cellStyle name="Normal 64 3 2" xfId="558"/>
    <cellStyle name="Normal 64 3 2 2" xfId="1380"/>
    <cellStyle name="Normal 64 3 3" xfId="830"/>
    <cellStyle name="Normal 64 3 3 2" xfId="1652"/>
    <cellStyle name="Normal 64 3 4" xfId="1102"/>
    <cellStyle name="Normal 64 3 5" xfId="1925"/>
    <cellStyle name="Normal 64 4" xfId="422"/>
    <cellStyle name="Normal 64 4 2" xfId="1244"/>
    <cellStyle name="Normal 64 5" xfId="694"/>
    <cellStyle name="Normal 64 5 2" xfId="1516"/>
    <cellStyle name="Normal 64 6" xfId="966"/>
    <cellStyle name="Normal 64 7" xfId="1789"/>
    <cellStyle name="Normal 65" xfId="71"/>
    <cellStyle name="Normal 65 2" xfId="139"/>
    <cellStyle name="Normal 65 2 2" xfId="276"/>
    <cellStyle name="Normal 65 2 2 2" xfId="627"/>
    <cellStyle name="Normal 65 2 2 2 2" xfId="1449"/>
    <cellStyle name="Normal 65 2 2 3" xfId="899"/>
    <cellStyle name="Normal 65 2 2 3 2" xfId="1721"/>
    <cellStyle name="Normal 65 2 2 4" xfId="1171"/>
    <cellStyle name="Normal 65 2 2 5" xfId="1994"/>
    <cellStyle name="Normal 65 2 3" xfId="491"/>
    <cellStyle name="Normal 65 2 3 2" xfId="1313"/>
    <cellStyle name="Normal 65 2 4" xfId="763"/>
    <cellStyle name="Normal 65 2 4 2" xfId="1585"/>
    <cellStyle name="Normal 65 2 5" xfId="1035"/>
    <cellStyle name="Normal 65 2 6" xfId="1858"/>
    <cellStyle name="Normal 65 3" xfId="208"/>
    <cellStyle name="Normal 65 3 2" xfId="559"/>
    <cellStyle name="Normal 65 3 2 2" xfId="1381"/>
    <cellStyle name="Normal 65 3 3" xfId="831"/>
    <cellStyle name="Normal 65 3 3 2" xfId="1653"/>
    <cellStyle name="Normal 65 3 4" xfId="1103"/>
    <cellStyle name="Normal 65 3 5" xfId="1926"/>
    <cellStyle name="Normal 65 4" xfId="423"/>
    <cellStyle name="Normal 65 4 2" xfId="1245"/>
    <cellStyle name="Normal 65 5" xfId="695"/>
    <cellStyle name="Normal 65 5 2" xfId="1517"/>
    <cellStyle name="Normal 65 6" xfId="967"/>
    <cellStyle name="Normal 65 7" xfId="1790"/>
    <cellStyle name="Normal 66" xfId="72"/>
    <cellStyle name="Normal 66 2" xfId="140"/>
    <cellStyle name="Normal 66 2 2" xfId="277"/>
    <cellStyle name="Normal 66 2 2 2" xfId="628"/>
    <cellStyle name="Normal 66 2 2 2 2" xfId="1450"/>
    <cellStyle name="Normal 66 2 2 3" xfId="900"/>
    <cellStyle name="Normal 66 2 2 3 2" xfId="1722"/>
    <cellStyle name="Normal 66 2 2 4" xfId="1172"/>
    <cellStyle name="Normal 66 2 2 5" xfId="1995"/>
    <cellStyle name="Normal 66 2 3" xfId="492"/>
    <cellStyle name="Normal 66 2 3 2" xfId="1314"/>
    <cellStyle name="Normal 66 2 4" xfId="764"/>
    <cellStyle name="Normal 66 2 4 2" xfId="1586"/>
    <cellStyle name="Normal 66 2 5" xfId="1036"/>
    <cellStyle name="Normal 66 2 6" xfId="1859"/>
    <cellStyle name="Normal 66 3" xfId="209"/>
    <cellStyle name="Normal 66 3 2" xfId="560"/>
    <cellStyle name="Normal 66 3 2 2" xfId="1382"/>
    <cellStyle name="Normal 66 3 3" xfId="832"/>
    <cellStyle name="Normal 66 3 3 2" xfId="1654"/>
    <cellStyle name="Normal 66 3 4" xfId="1104"/>
    <cellStyle name="Normal 66 3 5" xfId="1927"/>
    <cellStyle name="Normal 66 4" xfId="424"/>
    <cellStyle name="Normal 66 4 2" xfId="1246"/>
    <cellStyle name="Normal 66 5" xfId="696"/>
    <cellStyle name="Normal 66 5 2" xfId="1518"/>
    <cellStyle name="Normal 66 6" xfId="968"/>
    <cellStyle name="Normal 66 7" xfId="1791"/>
    <cellStyle name="Normal 67" xfId="73"/>
    <cellStyle name="Normal 67 2" xfId="141"/>
    <cellStyle name="Normal 67 2 2" xfId="278"/>
    <cellStyle name="Normal 67 2 2 2" xfId="629"/>
    <cellStyle name="Normal 67 2 2 2 2" xfId="1451"/>
    <cellStyle name="Normal 67 2 2 3" xfId="901"/>
    <cellStyle name="Normal 67 2 2 3 2" xfId="1723"/>
    <cellStyle name="Normal 67 2 2 4" xfId="1173"/>
    <cellStyle name="Normal 67 2 2 5" xfId="1996"/>
    <cellStyle name="Normal 67 2 3" xfId="493"/>
    <cellStyle name="Normal 67 2 3 2" xfId="1315"/>
    <cellStyle name="Normal 67 2 4" xfId="765"/>
    <cellStyle name="Normal 67 2 4 2" xfId="1587"/>
    <cellStyle name="Normal 67 2 5" xfId="1037"/>
    <cellStyle name="Normal 67 2 6" xfId="1860"/>
    <cellStyle name="Normal 67 3" xfId="210"/>
    <cellStyle name="Normal 67 3 2" xfId="561"/>
    <cellStyle name="Normal 67 3 2 2" xfId="1383"/>
    <cellStyle name="Normal 67 3 3" xfId="833"/>
    <cellStyle name="Normal 67 3 3 2" xfId="1655"/>
    <cellStyle name="Normal 67 3 4" xfId="1105"/>
    <cellStyle name="Normal 67 3 5" xfId="1928"/>
    <cellStyle name="Normal 67 4" xfId="425"/>
    <cellStyle name="Normal 67 4 2" xfId="1247"/>
    <cellStyle name="Normal 67 5" xfId="697"/>
    <cellStyle name="Normal 67 5 2" xfId="1519"/>
    <cellStyle name="Normal 67 6" xfId="969"/>
    <cellStyle name="Normal 67 7" xfId="1792"/>
    <cellStyle name="Normal 68" xfId="74"/>
    <cellStyle name="Normal 68 2" xfId="142"/>
    <cellStyle name="Normal 68 2 2" xfId="279"/>
    <cellStyle name="Normal 68 2 2 2" xfId="630"/>
    <cellStyle name="Normal 68 2 2 2 2" xfId="1452"/>
    <cellStyle name="Normal 68 2 2 3" xfId="902"/>
    <cellStyle name="Normal 68 2 2 3 2" xfId="1724"/>
    <cellStyle name="Normal 68 2 2 4" xfId="1174"/>
    <cellStyle name="Normal 68 2 2 5" xfId="1997"/>
    <cellStyle name="Normal 68 2 3" xfId="494"/>
    <cellStyle name="Normal 68 2 3 2" xfId="1316"/>
    <cellStyle name="Normal 68 2 4" xfId="766"/>
    <cellStyle name="Normal 68 2 4 2" xfId="1588"/>
    <cellStyle name="Normal 68 2 5" xfId="1038"/>
    <cellStyle name="Normal 68 2 6" xfId="1861"/>
    <cellStyle name="Normal 68 3" xfId="211"/>
    <cellStyle name="Normal 68 3 2" xfId="562"/>
    <cellStyle name="Normal 68 3 2 2" xfId="1384"/>
    <cellStyle name="Normal 68 3 3" xfId="834"/>
    <cellStyle name="Normal 68 3 3 2" xfId="1656"/>
    <cellStyle name="Normal 68 3 4" xfId="1106"/>
    <cellStyle name="Normal 68 3 5" xfId="1929"/>
    <cellStyle name="Normal 68 4" xfId="426"/>
    <cellStyle name="Normal 68 4 2" xfId="1248"/>
    <cellStyle name="Normal 68 5" xfId="698"/>
    <cellStyle name="Normal 68 5 2" xfId="1520"/>
    <cellStyle name="Normal 68 6" xfId="970"/>
    <cellStyle name="Normal 68 7" xfId="1793"/>
    <cellStyle name="Normal 69" xfId="75"/>
    <cellStyle name="Normal 69 2" xfId="143"/>
    <cellStyle name="Normal 69 2 2" xfId="280"/>
    <cellStyle name="Normal 69 2 2 2" xfId="631"/>
    <cellStyle name="Normal 69 2 2 2 2" xfId="1453"/>
    <cellStyle name="Normal 69 2 2 3" xfId="903"/>
    <cellStyle name="Normal 69 2 2 3 2" xfId="1725"/>
    <cellStyle name="Normal 69 2 2 4" xfId="1175"/>
    <cellStyle name="Normal 69 2 2 5" xfId="1998"/>
    <cellStyle name="Normal 69 2 3" xfId="495"/>
    <cellStyle name="Normal 69 2 3 2" xfId="1317"/>
    <cellStyle name="Normal 69 2 4" xfId="767"/>
    <cellStyle name="Normal 69 2 4 2" xfId="1589"/>
    <cellStyle name="Normal 69 2 5" xfId="1039"/>
    <cellStyle name="Normal 69 2 6" xfId="1862"/>
    <cellStyle name="Normal 69 3" xfId="212"/>
    <cellStyle name="Normal 69 3 2" xfId="563"/>
    <cellStyle name="Normal 69 3 2 2" xfId="1385"/>
    <cellStyle name="Normal 69 3 3" xfId="835"/>
    <cellStyle name="Normal 69 3 3 2" xfId="1657"/>
    <cellStyle name="Normal 69 3 4" xfId="1107"/>
    <cellStyle name="Normal 69 3 5" xfId="1930"/>
    <cellStyle name="Normal 69 4" xfId="427"/>
    <cellStyle name="Normal 69 4 2" xfId="1249"/>
    <cellStyle name="Normal 69 5" xfId="699"/>
    <cellStyle name="Normal 69 5 2" xfId="1521"/>
    <cellStyle name="Normal 69 6" xfId="971"/>
    <cellStyle name="Normal 69 7" xfId="1794"/>
    <cellStyle name="Normal 7" xfId="10"/>
    <cellStyle name="Normal 70" xfId="57"/>
    <cellStyle name="Normal 70 2" xfId="125"/>
    <cellStyle name="Normal 70 2 2" xfId="262"/>
    <cellStyle name="Normal 70 2 2 2" xfId="613"/>
    <cellStyle name="Normal 70 2 2 2 2" xfId="1435"/>
    <cellStyle name="Normal 70 2 2 3" xfId="885"/>
    <cellStyle name="Normal 70 2 2 3 2" xfId="1707"/>
    <cellStyle name="Normal 70 2 2 4" xfId="1157"/>
    <cellStyle name="Normal 70 2 2 5" xfId="1980"/>
    <cellStyle name="Normal 70 2 3" xfId="477"/>
    <cellStyle name="Normal 70 2 3 2" xfId="1299"/>
    <cellStyle name="Normal 70 2 4" xfId="749"/>
    <cellStyle name="Normal 70 2 4 2" xfId="1571"/>
    <cellStyle name="Normal 70 2 5" xfId="1021"/>
    <cellStyle name="Normal 70 2 6" xfId="1844"/>
    <cellStyle name="Normal 70 3" xfId="194"/>
    <cellStyle name="Normal 70 3 2" xfId="545"/>
    <cellStyle name="Normal 70 3 2 2" xfId="1367"/>
    <cellStyle name="Normal 70 3 3" xfId="817"/>
    <cellStyle name="Normal 70 3 3 2" xfId="1639"/>
    <cellStyle name="Normal 70 3 4" xfId="1089"/>
    <cellStyle name="Normal 70 3 5" xfId="1912"/>
    <cellStyle name="Normal 70 4" xfId="409"/>
    <cellStyle name="Normal 70 4 2" xfId="1231"/>
    <cellStyle name="Normal 70 5" xfId="681"/>
    <cellStyle name="Normal 70 5 2" xfId="1503"/>
    <cellStyle name="Normal 70 6" xfId="953"/>
    <cellStyle name="Normal 70 7" xfId="1776"/>
    <cellStyle name="Normal 71" xfId="78"/>
    <cellStyle name="Normal 71 2" xfId="146"/>
    <cellStyle name="Normal 71 2 2" xfId="283"/>
    <cellStyle name="Normal 71 2 2 2" xfId="634"/>
    <cellStyle name="Normal 71 2 2 2 2" xfId="1456"/>
    <cellStyle name="Normal 71 2 2 3" xfId="906"/>
    <cellStyle name="Normal 71 2 2 3 2" xfId="1728"/>
    <cellStyle name="Normal 71 2 2 4" xfId="1178"/>
    <cellStyle name="Normal 71 2 2 5" xfId="2001"/>
    <cellStyle name="Normal 71 2 3" xfId="498"/>
    <cellStyle name="Normal 71 2 3 2" xfId="1320"/>
    <cellStyle name="Normal 71 2 4" xfId="770"/>
    <cellStyle name="Normal 71 2 4 2" xfId="1592"/>
    <cellStyle name="Normal 71 2 5" xfId="1042"/>
    <cellStyle name="Normal 71 2 6" xfId="1865"/>
    <cellStyle name="Normal 71 3" xfId="215"/>
    <cellStyle name="Normal 71 3 2" xfId="566"/>
    <cellStyle name="Normal 71 3 2 2" xfId="1388"/>
    <cellStyle name="Normal 71 3 3" xfId="838"/>
    <cellStyle name="Normal 71 3 3 2" xfId="1660"/>
    <cellStyle name="Normal 71 3 4" xfId="1110"/>
    <cellStyle name="Normal 71 3 5" xfId="1933"/>
    <cellStyle name="Normal 71 4" xfId="430"/>
    <cellStyle name="Normal 71 4 2" xfId="1252"/>
    <cellStyle name="Normal 71 5" xfId="702"/>
    <cellStyle name="Normal 71 5 2" xfId="1524"/>
    <cellStyle name="Normal 71 6" xfId="974"/>
    <cellStyle name="Normal 71 7" xfId="1797"/>
    <cellStyle name="Normal 72" xfId="76"/>
    <cellStyle name="Normal 72 2" xfId="144"/>
    <cellStyle name="Normal 72 2 2" xfId="281"/>
    <cellStyle name="Normal 72 2 2 2" xfId="632"/>
    <cellStyle name="Normal 72 2 2 2 2" xfId="1454"/>
    <cellStyle name="Normal 72 2 2 3" xfId="904"/>
    <cellStyle name="Normal 72 2 2 3 2" xfId="1726"/>
    <cellStyle name="Normal 72 2 2 4" xfId="1176"/>
    <cellStyle name="Normal 72 2 2 5" xfId="1999"/>
    <cellStyle name="Normal 72 2 3" xfId="496"/>
    <cellStyle name="Normal 72 2 3 2" xfId="1318"/>
    <cellStyle name="Normal 72 2 4" xfId="768"/>
    <cellStyle name="Normal 72 2 4 2" xfId="1590"/>
    <cellStyle name="Normal 72 2 5" xfId="1040"/>
    <cellStyle name="Normal 72 2 6" xfId="1863"/>
    <cellStyle name="Normal 72 3" xfId="213"/>
    <cellStyle name="Normal 72 3 2" xfId="564"/>
    <cellStyle name="Normal 72 3 2 2" xfId="1386"/>
    <cellStyle name="Normal 72 3 3" xfId="836"/>
    <cellStyle name="Normal 72 3 3 2" xfId="1658"/>
    <cellStyle name="Normal 72 3 4" xfId="1108"/>
    <cellStyle name="Normal 72 3 5" xfId="1931"/>
    <cellStyle name="Normal 72 4" xfId="428"/>
    <cellStyle name="Normal 72 4 2" xfId="1250"/>
    <cellStyle name="Normal 72 5" xfId="700"/>
    <cellStyle name="Normal 72 5 2" xfId="1522"/>
    <cellStyle name="Normal 72 6" xfId="972"/>
    <cellStyle name="Normal 72 7" xfId="1795"/>
    <cellStyle name="Normal 73" xfId="79"/>
    <cellStyle name="Normal 73 2" xfId="147"/>
    <cellStyle name="Normal 73 2 2" xfId="284"/>
    <cellStyle name="Normal 73 2 2 2" xfId="635"/>
    <cellStyle name="Normal 73 2 2 2 2" xfId="1457"/>
    <cellStyle name="Normal 73 2 2 3" xfId="907"/>
    <cellStyle name="Normal 73 2 2 3 2" xfId="1729"/>
    <cellStyle name="Normal 73 2 2 4" xfId="1179"/>
    <cellStyle name="Normal 73 2 2 5" xfId="2002"/>
    <cellStyle name="Normal 73 2 3" xfId="499"/>
    <cellStyle name="Normal 73 2 3 2" xfId="1321"/>
    <cellStyle name="Normal 73 2 4" xfId="771"/>
    <cellStyle name="Normal 73 2 4 2" xfId="1593"/>
    <cellStyle name="Normal 73 2 5" xfId="1043"/>
    <cellStyle name="Normal 73 2 6" xfId="1866"/>
    <cellStyle name="Normal 73 3" xfId="216"/>
    <cellStyle name="Normal 73 3 2" xfId="567"/>
    <cellStyle name="Normal 73 3 2 2" xfId="1389"/>
    <cellStyle name="Normal 73 3 3" xfId="839"/>
    <cellStyle name="Normal 73 3 3 2" xfId="1661"/>
    <cellStyle name="Normal 73 3 4" xfId="1111"/>
    <cellStyle name="Normal 73 3 5" xfId="1934"/>
    <cellStyle name="Normal 73 4" xfId="431"/>
    <cellStyle name="Normal 73 4 2" xfId="1253"/>
    <cellStyle name="Normal 73 5" xfId="703"/>
    <cellStyle name="Normal 73 5 2" xfId="1525"/>
    <cellStyle name="Normal 73 6" xfId="975"/>
    <cellStyle name="Normal 73 7" xfId="1798"/>
    <cellStyle name="Normal 74" xfId="77"/>
    <cellStyle name="Normal 74 2" xfId="145"/>
    <cellStyle name="Normal 74 2 2" xfId="282"/>
    <cellStyle name="Normal 74 2 2 2" xfId="633"/>
    <cellStyle name="Normal 74 2 2 2 2" xfId="1455"/>
    <cellStyle name="Normal 74 2 2 3" xfId="905"/>
    <cellStyle name="Normal 74 2 2 3 2" xfId="1727"/>
    <cellStyle name="Normal 74 2 2 4" xfId="1177"/>
    <cellStyle name="Normal 74 2 2 5" xfId="2000"/>
    <cellStyle name="Normal 74 2 3" xfId="497"/>
    <cellStyle name="Normal 74 2 3 2" xfId="1319"/>
    <cellStyle name="Normal 74 2 4" xfId="769"/>
    <cellStyle name="Normal 74 2 4 2" xfId="1591"/>
    <cellStyle name="Normal 74 2 5" xfId="1041"/>
    <cellStyle name="Normal 74 2 6" xfId="1864"/>
    <cellStyle name="Normal 74 3" xfId="214"/>
    <cellStyle name="Normal 74 3 2" xfId="565"/>
    <cellStyle name="Normal 74 3 2 2" xfId="1387"/>
    <cellStyle name="Normal 74 3 3" xfId="837"/>
    <cellStyle name="Normal 74 3 3 2" xfId="1659"/>
    <cellStyle name="Normal 74 3 4" xfId="1109"/>
    <cellStyle name="Normal 74 3 5" xfId="1932"/>
    <cellStyle name="Normal 74 4" xfId="429"/>
    <cellStyle name="Normal 74 4 2" xfId="1251"/>
    <cellStyle name="Normal 74 5" xfId="701"/>
    <cellStyle name="Normal 74 5 2" xfId="1523"/>
    <cellStyle name="Normal 74 6" xfId="973"/>
    <cellStyle name="Normal 74 7" xfId="1796"/>
    <cellStyle name="Normal 75" xfId="58"/>
    <cellStyle name="Normal 75 2" xfId="126"/>
    <cellStyle name="Normal 75 2 2" xfId="263"/>
    <cellStyle name="Normal 75 2 2 2" xfId="614"/>
    <cellStyle name="Normal 75 2 2 2 2" xfId="1436"/>
    <cellStyle name="Normal 75 2 2 3" xfId="886"/>
    <cellStyle name="Normal 75 2 2 3 2" xfId="1708"/>
    <cellStyle name="Normal 75 2 2 4" xfId="1158"/>
    <cellStyle name="Normal 75 2 2 5" xfId="1981"/>
    <cellStyle name="Normal 75 2 3" xfId="478"/>
    <cellStyle name="Normal 75 2 3 2" xfId="1300"/>
    <cellStyle name="Normal 75 2 4" xfId="750"/>
    <cellStyle name="Normal 75 2 4 2" xfId="1572"/>
    <cellStyle name="Normal 75 2 5" xfId="1022"/>
    <cellStyle name="Normal 75 2 6" xfId="1845"/>
    <cellStyle name="Normal 75 3" xfId="195"/>
    <cellStyle name="Normal 75 3 2" xfId="546"/>
    <cellStyle name="Normal 75 3 2 2" xfId="1368"/>
    <cellStyle name="Normal 75 3 3" xfId="818"/>
    <cellStyle name="Normal 75 3 3 2" xfId="1640"/>
    <cellStyle name="Normal 75 3 4" xfId="1090"/>
    <cellStyle name="Normal 75 3 5" xfId="1913"/>
    <cellStyle name="Normal 75 4" xfId="410"/>
    <cellStyle name="Normal 75 4 2" xfId="1232"/>
    <cellStyle name="Normal 75 5" xfId="682"/>
    <cellStyle name="Normal 75 5 2" xfId="1504"/>
    <cellStyle name="Normal 75 6" xfId="954"/>
    <cellStyle name="Normal 75 7" xfId="1777"/>
    <cellStyle name="Normal 76" xfId="80"/>
    <cellStyle name="Normal 76 2" xfId="148"/>
    <cellStyle name="Normal 76 2 2" xfId="285"/>
    <cellStyle name="Normal 76 2 2 2" xfId="636"/>
    <cellStyle name="Normal 76 2 2 2 2" xfId="1458"/>
    <cellStyle name="Normal 76 2 2 3" xfId="908"/>
    <cellStyle name="Normal 76 2 2 3 2" xfId="1730"/>
    <cellStyle name="Normal 76 2 2 4" xfId="1180"/>
    <cellStyle name="Normal 76 2 2 5" xfId="2003"/>
    <cellStyle name="Normal 76 2 3" xfId="500"/>
    <cellStyle name="Normal 76 2 3 2" xfId="1322"/>
    <cellStyle name="Normal 76 2 4" xfId="772"/>
    <cellStyle name="Normal 76 2 4 2" xfId="1594"/>
    <cellStyle name="Normal 76 2 5" xfId="1044"/>
    <cellStyle name="Normal 76 2 6" xfId="1867"/>
    <cellStyle name="Normal 76 3" xfId="217"/>
    <cellStyle name="Normal 76 3 2" xfId="568"/>
    <cellStyle name="Normal 76 3 2 2" xfId="1390"/>
    <cellStyle name="Normal 76 3 3" xfId="840"/>
    <cellStyle name="Normal 76 3 3 2" xfId="1662"/>
    <cellStyle name="Normal 76 3 4" xfId="1112"/>
    <cellStyle name="Normal 76 3 5" xfId="1935"/>
    <cellStyle name="Normal 76 4" xfId="432"/>
    <cellStyle name="Normal 76 4 2" xfId="1254"/>
    <cellStyle name="Normal 76 5" xfId="704"/>
    <cellStyle name="Normal 76 5 2" xfId="1526"/>
    <cellStyle name="Normal 76 6" xfId="976"/>
    <cellStyle name="Normal 76 7" xfId="1799"/>
    <cellStyle name="Normal 77" xfId="81"/>
    <cellStyle name="Normal 77 2" xfId="149"/>
    <cellStyle name="Normal 77 2 2" xfId="286"/>
    <cellStyle name="Normal 77 2 2 2" xfId="637"/>
    <cellStyle name="Normal 77 2 2 2 2" xfId="1459"/>
    <cellStyle name="Normal 77 2 2 3" xfId="909"/>
    <cellStyle name="Normal 77 2 2 3 2" xfId="1731"/>
    <cellStyle name="Normal 77 2 2 4" xfId="1181"/>
    <cellStyle name="Normal 77 2 2 5" xfId="2004"/>
    <cellStyle name="Normal 77 2 3" xfId="501"/>
    <cellStyle name="Normal 77 2 3 2" xfId="1323"/>
    <cellStyle name="Normal 77 2 4" xfId="773"/>
    <cellStyle name="Normal 77 2 4 2" xfId="1595"/>
    <cellStyle name="Normal 77 2 5" xfId="1045"/>
    <cellStyle name="Normal 77 2 6" xfId="1868"/>
    <cellStyle name="Normal 77 3" xfId="218"/>
    <cellStyle name="Normal 77 3 2" xfId="569"/>
    <cellStyle name="Normal 77 3 2 2" xfId="1391"/>
    <cellStyle name="Normal 77 3 3" xfId="841"/>
    <cellStyle name="Normal 77 3 3 2" xfId="1663"/>
    <cellStyle name="Normal 77 3 4" xfId="1113"/>
    <cellStyle name="Normal 77 3 5" xfId="1936"/>
    <cellStyle name="Normal 77 4" xfId="433"/>
    <cellStyle name="Normal 77 4 2" xfId="1255"/>
    <cellStyle name="Normal 77 5" xfId="705"/>
    <cellStyle name="Normal 77 5 2" xfId="1527"/>
    <cellStyle name="Normal 77 6" xfId="977"/>
    <cellStyle name="Normal 77 7" xfId="1800"/>
    <cellStyle name="Normal 78" xfId="82"/>
    <cellStyle name="Normal 78 2" xfId="150"/>
    <cellStyle name="Normal 78 2 2" xfId="287"/>
    <cellStyle name="Normal 78 2 2 2" xfId="638"/>
    <cellStyle name="Normal 78 2 2 2 2" xfId="1460"/>
    <cellStyle name="Normal 78 2 2 3" xfId="910"/>
    <cellStyle name="Normal 78 2 2 3 2" xfId="1732"/>
    <cellStyle name="Normal 78 2 2 4" xfId="1182"/>
    <cellStyle name="Normal 78 2 2 5" xfId="2005"/>
    <cellStyle name="Normal 78 2 3" xfId="502"/>
    <cellStyle name="Normal 78 2 3 2" xfId="1324"/>
    <cellStyle name="Normal 78 2 4" xfId="774"/>
    <cellStyle name="Normal 78 2 4 2" xfId="1596"/>
    <cellStyle name="Normal 78 2 5" xfId="1046"/>
    <cellStyle name="Normal 78 2 6" xfId="1869"/>
    <cellStyle name="Normal 78 3" xfId="219"/>
    <cellStyle name="Normal 78 3 2" xfId="570"/>
    <cellStyle name="Normal 78 3 2 2" xfId="1392"/>
    <cellStyle name="Normal 78 3 3" xfId="842"/>
    <cellStyle name="Normal 78 3 3 2" xfId="1664"/>
    <cellStyle name="Normal 78 3 4" xfId="1114"/>
    <cellStyle name="Normal 78 3 5" xfId="1937"/>
    <cellStyle name="Normal 78 4" xfId="434"/>
    <cellStyle name="Normal 78 4 2" xfId="1256"/>
    <cellStyle name="Normal 78 5" xfId="706"/>
    <cellStyle name="Normal 78 5 2" xfId="1528"/>
    <cellStyle name="Normal 78 6" xfId="978"/>
    <cellStyle name="Normal 78 7" xfId="1801"/>
    <cellStyle name="Normal 79" xfId="83"/>
    <cellStyle name="Normal 79 2" xfId="151"/>
    <cellStyle name="Normal 79 2 2" xfId="288"/>
    <cellStyle name="Normal 79 2 2 2" xfId="639"/>
    <cellStyle name="Normal 79 2 2 2 2" xfId="1461"/>
    <cellStyle name="Normal 79 2 2 3" xfId="911"/>
    <cellStyle name="Normal 79 2 2 3 2" xfId="1733"/>
    <cellStyle name="Normal 79 2 2 4" xfId="1183"/>
    <cellStyle name="Normal 79 2 2 5" xfId="2006"/>
    <cellStyle name="Normal 79 2 3" xfId="503"/>
    <cellStyle name="Normal 79 2 3 2" xfId="1325"/>
    <cellStyle name="Normal 79 2 4" xfId="775"/>
    <cellStyle name="Normal 79 2 4 2" xfId="1597"/>
    <cellStyle name="Normal 79 2 5" xfId="1047"/>
    <cellStyle name="Normal 79 2 6" xfId="1870"/>
    <cellStyle name="Normal 79 3" xfId="220"/>
    <cellStyle name="Normal 79 3 2" xfId="571"/>
    <cellStyle name="Normal 79 3 2 2" xfId="1393"/>
    <cellStyle name="Normal 79 3 3" xfId="843"/>
    <cellStyle name="Normal 79 3 3 2" xfId="1665"/>
    <cellStyle name="Normal 79 3 4" xfId="1115"/>
    <cellStyle name="Normal 79 3 5" xfId="1938"/>
    <cellStyle name="Normal 79 4" xfId="435"/>
    <cellStyle name="Normal 79 4 2" xfId="1257"/>
    <cellStyle name="Normal 79 5" xfId="707"/>
    <cellStyle name="Normal 79 5 2" xfId="1529"/>
    <cellStyle name="Normal 79 6" xfId="979"/>
    <cellStyle name="Normal 79 7" xfId="1802"/>
    <cellStyle name="Normal 8" xfId="11"/>
    <cellStyle name="Normal 80" xfId="84"/>
    <cellStyle name="Normal 80 2" xfId="152"/>
    <cellStyle name="Normal 80 2 2" xfId="289"/>
    <cellStyle name="Normal 80 2 2 2" xfId="640"/>
    <cellStyle name="Normal 80 2 2 2 2" xfId="1462"/>
    <cellStyle name="Normal 80 2 2 3" xfId="912"/>
    <cellStyle name="Normal 80 2 2 3 2" xfId="1734"/>
    <cellStyle name="Normal 80 2 2 4" xfId="1184"/>
    <cellStyle name="Normal 80 2 2 5" xfId="2007"/>
    <cellStyle name="Normal 80 2 3" xfId="504"/>
    <cellStyle name="Normal 80 2 3 2" xfId="1326"/>
    <cellStyle name="Normal 80 2 4" xfId="776"/>
    <cellStyle name="Normal 80 2 4 2" xfId="1598"/>
    <cellStyle name="Normal 80 2 5" xfId="1048"/>
    <cellStyle name="Normal 80 2 6" xfId="1871"/>
    <cellStyle name="Normal 80 3" xfId="221"/>
    <cellStyle name="Normal 80 3 2" xfId="572"/>
    <cellStyle name="Normal 80 3 2 2" xfId="1394"/>
    <cellStyle name="Normal 80 3 3" xfId="844"/>
    <cellStyle name="Normal 80 3 3 2" xfId="1666"/>
    <cellStyle name="Normal 80 3 4" xfId="1116"/>
    <cellStyle name="Normal 80 3 5" xfId="1939"/>
    <cellStyle name="Normal 80 4" xfId="436"/>
    <cellStyle name="Normal 80 4 2" xfId="1258"/>
    <cellStyle name="Normal 80 5" xfId="708"/>
    <cellStyle name="Normal 80 5 2" xfId="1530"/>
    <cellStyle name="Normal 80 6" xfId="980"/>
    <cellStyle name="Normal 80 7" xfId="1803"/>
    <cellStyle name="Normal 81" xfId="290"/>
    <cellStyle name="Normal 81 2" xfId="1185"/>
    <cellStyle name="Normal 82" xfId="291"/>
    <cellStyle name="Normal 82 2" xfId="1186"/>
    <cellStyle name="Normal 83" xfId="292"/>
    <cellStyle name="Normal 83 2" xfId="1187"/>
    <cellStyle name="Normal 84" xfId="293"/>
    <cellStyle name="Normal 84 2" xfId="1188"/>
    <cellStyle name="Normal 85" xfId="294"/>
    <cellStyle name="Normal 86" xfId="295"/>
    <cellStyle name="Normal 87" xfId="296"/>
    <cellStyle name="Normal 88" xfId="297"/>
    <cellStyle name="Normal 89" xfId="298"/>
    <cellStyle name="Normal 9" xfId="12"/>
    <cellStyle name="Normal 9 2" xfId="22"/>
    <cellStyle name="Normal 90" xfId="299"/>
    <cellStyle name="Normal 91" xfId="300"/>
    <cellStyle name="Normal 92" xfId="301"/>
    <cellStyle name="Normal 93" xfId="302"/>
    <cellStyle name="Normal 94" xfId="303"/>
    <cellStyle name="Normal 95" xfId="304"/>
    <cellStyle name="Normal 96" xfId="305"/>
    <cellStyle name="Normal 97" xfId="306"/>
    <cellStyle name="Normal 98" xfId="307"/>
    <cellStyle name="Normal 99" xfId="309"/>
    <cellStyle name="Normal 99 2" xfId="1189"/>
    <cellStyle name="Normal_Supplier evaluation model (06Dec04) 2" xfId="308"/>
    <cellStyle name="Percent" xfId="153" builtinId="5"/>
    <cellStyle name="Percent 2" xfId="6"/>
  </cellStyles>
  <dxfs count="0"/>
  <tableStyles count="0" defaultTableStyle="TableStyleMedium2" defaultPivotStyle="PivotStyleLight16"/>
  <colors>
    <mruColors>
      <color rgb="FF8DB4E2"/>
      <color rgb="FF993300"/>
      <color rgb="FF0000FF"/>
      <color rgb="FFFFFF99"/>
      <color rgb="FFCC3300"/>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rpharms.com/unsecure-support-resources/professional-standards-for-homecare-services.a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www.hse.gov.uk/msd/labellingloads.htm"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nww.igt.hscic.gov.uk/" TargetMode="External"/></Relationships>
</file>

<file path=xl/drawings/drawing1.xml><?xml version="1.0" encoding="utf-8"?>
<xdr:wsDr xmlns:xdr="http://schemas.openxmlformats.org/drawingml/2006/spreadsheetDrawing" xmlns:a="http://schemas.openxmlformats.org/drawingml/2006/main">
  <xdr:twoCellAnchor>
    <xdr:from>
      <xdr:col>3</xdr:col>
      <xdr:colOff>5910260</xdr:colOff>
      <xdr:row>1</xdr:row>
      <xdr:rowOff>756285</xdr:rowOff>
    </xdr:from>
    <xdr:to>
      <xdr:col>5</xdr:col>
      <xdr:colOff>122027</xdr:colOff>
      <xdr:row>2</xdr:row>
      <xdr:rowOff>28814</xdr:rowOff>
    </xdr:to>
    <xdr:sp macro="" textlink="">
      <xdr:nvSpPr>
        <xdr:cNvPr id="9" name="TextBox 8"/>
        <xdr:cNvSpPr txBox="1"/>
      </xdr:nvSpPr>
      <xdr:spPr bwMode="auto">
        <a:xfrm>
          <a:off x="7586660" y="923925"/>
          <a:ext cx="1847007" cy="2555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b="1" i="1">
              <a:solidFill>
                <a:srgbClr val="0070C0"/>
              </a:solidFill>
              <a:latin typeface="Arial" pitchFamily="34" charset="0"/>
              <a:cs typeface="Arial" pitchFamily="34" charset="0"/>
            </a:rPr>
            <a:t>Commercial Medicines Unit</a:t>
          </a:r>
        </a:p>
      </xdr:txBody>
    </xdr:sp>
    <xdr:clientData/>
  </xdr:twoCellAnchor>
  <xdr:twoCellAnchor>
    <xdr:from>
      <xdr:col>4</xdr:col>
      <xdr:colOff>53340</xdr:colOff>
      <xdr:row>1</xdr:row>
      <xdr:rowOff>114301</xdr:rowOff>
    </xdr:from>
    <xdr:to>
      <xdr:col>5</xdr:col>
      <xdr:colOff>62865</xdr:colOff>
      <xdr:row>1</xdr:row>
      <xdr:rowOff>746760</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18220" y="281941"/>
          <a:ext cx="756285" cy="632459"/>
        </a:xfrm>
        <a:prstGeom prst="rect">
          <a:avLst/>
        </a:prstGeom>
        <a:noFill/>
      </xdr:spPr>
    </xdr:pic>
    <xdr:clientData/>
  </xdr:twoCellAnchor>
  <xdr:twoCellAnchor>
    <xdr:from>
      <xdr:col>1</xdr:col>
      <xdr:colOff>861060</xdr:colOff>
      <xdr:row>27</xdr:row>
      <xdr:rowOff>68580</xdr:rowOff>
    </xdr:from>
    <xdr:to>
      <xdr:col>3</xdr:col>
      <xdr:colOff>5326380</xdr:colOff>
      <xdr:row>27</xdr:row>
      <xdr:rowOff>472440</xdr:rowOff>
    </xdr:to>
    <xdr:pic>
      <xdr:nvPicPr>
        <xdr:cNvPr id="6" name="Picture 3">
          <a:hlinkClick xmlns:r="http://schemas.openxmlformats.org/officeDocument/2006/relationships" r:id="rId2"/>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9680" y="10599420"/>
          <a:ext cx="5753100" cy="40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822959</xdr:colOff>
      <xdr:row>1</xdr:row>
      <xdr:rowOff>190500</xdr:rowOff>
    </xdr:from>
    <xdr:to>
      <xdr:col>2</xdr:col>
      <xdr:colOff>2781300</xdr:colOff>
      <xdr:row>1</xdr:row>
      <xdr:rowOff>1066800</xdr:rowOff>
    </xdr:to>
    <xdr:grpSp>
      <xdr:nvGrpSpPr>
        <xdr:cNvPr id="2" name="Group 1"/>
        <xdr:cNvGrpSpPr/>
      </xdr:nvGrpSpPr>
      <xdr:grpSpPr>
        <a:xfrm>
          <a:off x="5356859" y="371475"/>
          <a:ext cx="1958341" cy="876300"/>
          <a:chOff x="8701085" y="123825"/>
          <a:chExt cx="2022267" cy="887969"/>
        </a:xfrm>
      </xdr:grpSpPr>
      <xdr:sp macro="" textlink="">
        <xdr:nvSpPr>
          <xdr:cNvPr id="3" name="TextBox 2"/>
          <xdr:cNvSpPr txBox="1"/>
        </xdr:nvSpPr>
        <xdr:spPr bwMode="auto">
          <a:xfrm>
            <a:off x="8701085" y="762000"/>
            <a:ext cx="2022267" cy="24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b="1" i="1">
                <a:latin typeface="Arial" pitchFamily="34" charset="0"/>
                <a:cs typeface="Arial" pitchFamily="34" charset="0"/>
              </a:rPr>
              <a:t>Commercial Medicines Unit</a:t>
            </a:r>
          </a:p>
        </xdr:txBody>
      </xdr:sp>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10625" y="123825"/>
            <a:ext cx="809625" cy="626110"/>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11</xdr:row>
      <xdr:rowOff>352425</xdr:rowOff>
    </xdr:from>
    <xdr:ext cx="184731" cy="264560"/>
    <xdr:sp macro="" textlink="">
      <xdr:nvSpPr>
        <xdr:cNvPr id="2" name="TextBox 1"/>
        <xdr:cNvSpPr txBox="1"/>
      </xdr:nvSpPr>
      <xdr:spPr>
        <a:xfrm>
          <a:off x="7193280" y="4909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twoCellAnchor>
    <xdr:from>
      <xdr:col>2</xdr:col>
      <xdr:colOff>138906</xdr:colOff>
      <xdr:row>48</xdr:row>
      <xdr:rowOff>992188</xdr:rowOff>
    </xdr:from>
    <xdr:to>
      <xdr:col>2</xdr:col>
      <xdr:colOff>3105546</xdr:colOff>
      <xdr:row>48</xdr:row>
      <xdr:rowOff>1289844</xdr:rowOff>
    </xdr:to>
    <xdr:sp macro="" textlink="">
      <xdr:nvSpPr>
        <xdr:cNvPr id="3" name="TextBox 2">
          <a:hlinkClick xmlns:r="http://schemas.openxmlformats.org/officeDocument/2006/relationships" r:id="rId1"/>
        </xdr:cNvPr>
        <xdr:cNvSpPr txBox="1"/>
      </xdr:nvSpPr>
      <xdr:spPr>
        <a:xfrm>
          <a:off x="1807686" y="19013488"/>
          <a:ext cx="2966640" cy="297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60000"/>
                  <a:lumOff val="40000"/>
                </a:schemeClr>
              </a:solidFill>
            </a:rPr>
            <a:t>http://www.hse.gov.uk/msd/labellingloads.htm</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204106</xdr:colOff>
      <xdr:row>48</xdr:row>
      <xdr:rowOff>867453</xdr:rowOff>
    </xdr:from>
    <xdr:to>
      <xdr:col>2</xdr:col>
      <xdr:colOff>2143125</xdr:colOff>
      <xdr:row>48</xdr:row>
      <xdr:rowOff>1114084</xdr:rowOff>
    </xdr:to>
    <xdr:sp macro="" textlink="">
      <xdr:nvSpPr>
        <xdr:cNvPr id="2" name="TextBox 1">
          <a:hlinkClick xmlns:r="http://schemas.openxmlformats.org/officeDocument/2006/relationships" r:id="rId1"/>
        </xdr:cNvPr>
        <xdr:cNvSpPr txBox="1"/>
      </xdr:nvSpPr>
      <xdr:spPr>
        <a:xfrm>
          <a:off x="1910986" y="29632953"/>
          <a:ext cx="1939019" cy="246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60000"/>
                  <a:lumOff val="40000"/>
                </a:schemeClr>
              </a:solidFill>
            </a:rPr>
            <a:t>https://www.igt.hscic.gov.uk/</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20Document%205%20-%20Spec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20No.%2005%20-%20PH%20Specific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20No.%2005%20-%20BChd%20Specification%205480%20(vA36333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20No.%2005%20-%20BChd%20Specification%2054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20No.%2005%20-%20PH%20Specification%20v8%20-%20271015_%20DA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5a_General"/>
      <sheetName val="5b_Delivery"/>
      <sheetName val="5c_Prescribing"/>
      <sheetName val="5d_Training"/>
      <sheetName val="5e_Equipment"/>
      <sheetName val="5f_Nursing"/>
      <sheetName val="5g_Products"/>
    </sheetNames>
    <sheetDataSet>
      <sheetData sheetId="0"/>
      <sheetData sheetId="1" refreshError="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nstructions for Contractors"/>
      <sheetName val="Definitions"/>
      <sheetName val="Introduction"/>
      <sheetName val="5a_General"/>
      <sheetName val="5b_Prescribing&amp;Dispensing"/>
      <sheetName val="5c_Delivery"/>
      <sheetName val="5e_Equipment and Ancils"/>
      <sheetName val="5f_HomeAccess"/>
      <sheetName val="5g_Governance"/>
      <sheetName val="5h_Finance"/>
      <sheetName val="5i_Equipment List"/>
    </sheetNames>
    <sheetDataSet>
      <sheetData sheetId="0" refreshError="1">
        <row r="13">
          <cell r="A13" t="str">
            <v>Specification, Compliance or Adjudication</v>
          </cell>
        </row>
        <row r="14">
          <cell r="A14" t="str">
            <v>Specification</v>
          </cell>
        </row>
        <row r="15">
          <cell r="A15" t="str">
            <v>Compliance Yes/No</v>
          </cell>
        </row>
        <row r="16">
          <cell r="A16" t="str">
            <v>Adjudication Question</v>
          </cell>
        </row>
        <row r="35">
          <cell r="A35" t="str">
            <v>average</v>
          </cell>
          <cell r="B35">
            <v>4</v>
          </cell>
          <cell r="E35">
            <v>1E-4</v>
          </cell>
        </row>
        <row r="36">
          <cell r="A36" t="str">
            <v>below minimum</v>
          </cell>
          <cell r="B36">
            <v>0</v>
          </cell>
        </row>
        <row r="37">
          <cell r="A37" t="str">
            <v>enhanced</v>
          </cell>
          <cell r="B37">
            <v>6</v>
          </cell>
        </row>
        <row r="38">
          <cell r="A38" t="str">
            <v>good</v>
          </cell>
          <cell r="B38">
            <v>5</v>
          </cell>
        </row>
        <row r="39">
          <cell r="A39" t="str">
            <v>minimum</v>
          </cell>
          <cell r="B39">
            <v>1</v>
          </cell>
        </row>
        <row r="40">
          <cell r="A40" t="str">
            <v>n/a</v>
          </cell>
          <cell r="B40">
            <v>1E-4</v>
          </cell>
          <cell r="E40">
            <v>6</v>
          </cell>
        </row>
        <row r="45">
          <cell r="A45" t="str">
            <v>Average</v>
          </cell>
          <cell r="B45">
            <v>5</v>
          </cell>
        </row>
        <row r="46">
          <cell r="A46" t="str">
            <v>Critical</v>
          </cell>
          <cell r="B46">
            <v>10</v>
          </cell>
        </row>
        <row r="47">
          <cell r="A47" t="str">
            <v xml:space="preserve">Important </v>
          </cell>
          <cell r="B47">
            <v>8</v>
          </cell>
        </row>
        <row r="48">
          <cell r="A48" t="str">
            <v>Less important</v>
          </cell>
          <cell r="B48">
            <v>3</v>
          </cell>
        </row>
        <row r="49">
          <cell r="A49" t="str">
            <v>n/a</v>
          </cell>
          <cell r="B49">
            <v>1.0000000000000001E-5</v>
          </cell>
        </row>
        <row r="50">
          <cell r="A50" t="str">
            <v>Not important</v>
          </cell>
          <cell r="B5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nstructions for Contractors"/>
      <sheetName val="Definitions"/>
      <sheetName val="Introduction"/>
      <sheetName val="5a_General"/>
      <sheetName val="5b_Prescribing&amp;Dispensing"/>
      <sheetName val="5c_Delivery"/>
      <sheetName val="5e_Equipment and Ancils"/>
      <sheetName val="5f_HomeAccess"/>
      <sheetName val="5g_Governance"/>
      <sheetName val="5h_Finance"/>
      <sheetName val="5i_Equipment List"/>
    </sheetNames>
    <sheetDataSet>
      <sheetData sheetId="0" refreshError="1">
        <row r="12">
          <cell r="A12">
            <v>0</v>
          </cell>
        </row>
        <row r="14">
          <cell r="A14" t="str">
            <v>Specification</v>
          </cell>
        </row>
        <row r="15">
          <cell r="A15" t="str">
            <v>Compliance Yes/No</v>
          </cell>
        </row>
        <row r="16">
          <cell r="A16" t="str">
            <v>Adjudication Question</v>
          </cell>
        </row>
        <row r="35">
          <cell r="A35" t="str">
            <v>average</v>
          </cell>
          <cell r="B35">
            <v>4</v>
          </cell>
          <cell r="E35">
            <v>1E-4</v>
          </cell>
        </row>
        <row r="36">
          <cell r="A36" t="str">
            <v>below minimum</v>
          </cell>
          <cell r="B36">
            <v>0</v>
          </cell>
        </row>
        <row r="37">
          <cell r="A37" t="str">
            <v>enhanced</v>
          </cell>
          <cell r="B37">
            <v>6</v>
          </cell>
        </row>
        <row r="38">
          <cell r="A38" t="str">
            <v>good</v>
          </cell>
          <cell r="B38">
            <v>5</v>
          </cell>
        </row>
        <row r="39">
          <cell r="A39" t="str">
            <v>minimum</v>
          </cell>
          <cell r="B39">
            <v>1</v>
          </cell>
        </row>
        <row r="40">
          <cell r="A40" t="str">
            <v>n/a</v>
          </cell>
          <cell r="B40">
            <v>1E-4</v>
          </cell>
          <cell r="E40">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roduction"/>
      <sheetName val="Lists"/>
      <sheetName val="5a_General"/>
      <sheetName val="5b_Prescribing&amp;Dispensing"/>
      <sheetName val="5c_Delivery"/>
      <sheetName val="5d_Training"/>
      <sheetName val="5e_Equipment"/>
      <sheetName val="5f_HomeAccess"/>
      <sheetName val="5g_Governance"/>
      <sheetName val="5h_Finance"/>
    </sheetNames>
    <sheetDataSet>
      <sheetData sheetId="0"/>
      <sheetData sheetId="1"/>
      <sheetData sheetId="2">
        <row r="15">
          <cell r="A15" t="str">
            <v>Specification</v>
          </cell>
        </row>
        <row r="36">
          <cell r="A36" t="str">
            <v>average</v>
          </cell>
          <cell r="B36">
            <v>4</v>
          </cell>
        </row>
        <row r="37">
          <cell r="A37" t="str">
            <v>below minimum</v>
          </cell>
          <cell r="B37">
            <v>0</v>
          </cell>
        </row>
        <row r="38">
          <cell r="A38" t="str">
            <v>enhanced</v>
          </cell>
          <cell r="B38">
            <v>6</v>
          </cell>
        </row>
        <row r="39">
          <cell r="A39" t="str">
            <v>good</v>
          </cell>
          <cell r="B39">
            <v>5</v>
          </cell>
        </row>
        <row r="40">
          <cell r="A40" t="str">
            <v>minimum</v>
          </cell>
          <cell r="B40">
            <v>1</v>
          </cell>
        </row>
        <row r="41">
          <cell r="A41" t="str">
            <v>n/a</v>
          </cell>
          <cell r="B41">
            <v>1E-4</v>
          </cell>
        </row>
      </sheetData>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nstructions for Contractors"/>
      <sheetName val="Definitions"/>
      <sheetName val="Introduction"/>
      <sheetName val="5a_General"/>
      <sheetName val="5b_Prescribing&amp;Dispensing"/>
      <sheetName val="5c_Delivery"/>
      <sheetName val="5e_Equipment and Ancils"/>
      <sheetName val="5f_HomeAccess"/>
      <sheetName val="5g_Governance"/>
      <sheetName val="5h_Finance"/>
      <sheetName val="5i_Equipment"/>
    </sheetNames>
    <sheetDataSet>
      <sheetData sheetId="0">
        <row r="14">
          <cell r="A14" t="str">
            <v>Specification</v>
          </cell>
        </row>
        <row r="35">
          <cell r="A35" t="str">
            <v>average</v>
          </cell>
          <cell r="B35">
            <v>4</v>
          </cell>
        </row>
        <row r="36">
          <cell r="A36" t="str">
            <v>below minimum</v>
          </cell>
          <cell r="B36">
            <v>0</v>
          </cell>
        </row>
        <row r="37">
          <cell r="A37" t="str">
            <v>enhanced</v>
          </cell>
          <cell r="B37">
            <v>6</v>
          </cell>
        </row>
        <row r="38">
          <cell r="A38" t="str">
            <v>good</v>
          </cell>
          <cell r="B38">
            <v>5</v>
          </cell>
        </row>
        <row r="39">
          <cell r="A39" t="str">
            <v>minimum</v>
          </cell>
          <cell r="B39">
            <v>1</v>
          </cell>
        </row>
        <row r="40">
          <cell r="A40" t="str">
            <v>n/a</v>
          </cell>
          <cell r="B40">
            <v>1E-4</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34"/>
  <sheetViews>
    <sheetView showGridLines="0" showRuler="0" showWhiteSpace="0" zoomScaleNormal="100" workbookViewId="0">
      <selection sqref="A1:B1"/>
    </sheetView>
  </sheetViews>
  <sheetFormatPr defaultRowHeight="12.75" x14ac:dyDescent="0.2"/>
  <cols>
    <col min="1" max="1" width="4.6640625" style="132" customWidth="1"/>
    <col min="2" max="2" width="10.33203125" style="132" customWidth="1"/>
    <col min="3" max="3" width="5" style="132" customWidth="1"/>
    <col min="4" max="4" width="82.21875" style="130" customWidth="1"/>
    <col min="5" max="5" width="8.88671875" style="131"/>
    <col min="6" max="6" width="3.5546875" style="131" customWidth="1"/>
    <col min="7" max="7" width="26.33203125" style="130" customWidth="1"/>
    <col min="8" max="256" width="8.88671875" style="131"/>
    <col min="257" max="258" width="2.77734375" style="131" customWidth="1"/>
    <col min="259" max="259" width="5" style="131" customWidth="1"/>
    <col min="260" max="260" width="82.21875" style="131" customWidth="1"/>
    <col min="261" max="261" width="8.88671875" style="131"/>
    <col min="262" max="262" width="3.5546875" style="131" customWidth="1"/>
    <col min="263" max="263" width="26.33203125" style="131" customWidth="1"/>
    <col min="264" max="512" width="8.88671875" style="131"/>
    <col min="513" max="514" width="2.77734375" style="131" customWidth="1"/>
    <col min="515" max="515" width="5" style="131" customWidth="1"/>
    <col min="516" max="516" width="82.21875" style="131" customWidth="1"/>
    <col min="517" max="517" width="8.88671875" style="131"/>
    <col min="518" max="518" width="3.5546875" style="131" customWidth="1"/>
    <col min="519" max="519" width="26.33203125" style="131" customWidth="1"/>
    <col min="520" max="768" width="8.88671875" style="131"/>
    <col min="769" max="770" width="2.77734375" style="131" customWidth="1"/>
    <col min="771" max="771" width="5" style="131" customWidth="1"/>
    <col min="772" max="772" width="82.21875" style="131" customWidth="1"/>
    <col min="773" max="773" width="8.88671875" style="131"/>
    <col min="774" max="774" width="3.5546875" style="131" customWidth="1"/>
    <col min="775" max="775" width="26.33203125" style="131" customWidth="1"/>
    <col min="776" max="1024" width="8.88671875" style="131"/>
    <col min="1025" max="1026" width="2.77734375" style="131" customWidth="1"/>
    <col min="1027" max="1027" width="5" style="131" customWidth="1"/>
    <col min="1028" max="1028" width="82.21875" style="131" customWidth="1"/>
    <col min="1029" max="1029" width="8.88671875" style="131"/>
    <col min="1030" max="1030" width="3.5546875" style="131" customWidth="1"/>
    <col min="1031" max="1031" width="26.33203125" style="131" customWidth="1"/>
    <col min="1032" max="1280" width="8.88671875" style="131"/>
    <col min="1281" max="1282" width="2.77734375" style="131" customWidth="1"/>
    <col min="1283" max="1283" width="5" style="131" customWidth="1"/>
    <col min="1284" max="1284" width="82.21875" style="131" customWidth="1"/>
    <col min="1285" max="1285" width="8.88671875" style="131"/>
    <col min="1286" max="1286" width="3.5546875" style="131" customWidth="1"/>
    <col min="1287" max="1287" width="26.33203125" style="131" customWidth="1"/>
    <col min="1288" max="1536" width="8.88671875" style="131"/>
    <col min="1537" max="1538" width="2.77734375" style="131" customWidth="1"/>
    <col min="1539" max="1539" width="5" style="131" customWidth="1"/>
    <col min="1540" max="1540" width="82.21875" style="131" customWidth="1"/>
    <col min="1541" max="1541" width="8.88671875" style="131"/>
    <col min="1542" max="1542" width="3.5546875" style="131" customWidth="1"/>
    <col min="1543" max="1543" width="26.33203125" style="131" customWidth="1"/>
    <col min="1544" max="1792" width="8.88671875" style="131"/>
    <col min="1793" max="1794" width="2.77734375" style="131" customWidth="1"/>
    <col min="1795" max="1795" width="5" style="131" customWidth="1"/>
    <col min="1796" max="1796" width="82.21875" style="131" customWidth="1"/>
    <col min="1797" max="1797" width="8.88671875" style="131"/>
    <col min="1798" max="1798" width="3.5546875" style="131" customWidth="1"/>
    <col min="1799" max="1799" width="26.33203125" style="131" customWidth="1"/>
    <col min="1800" max="2048" width="8.88671875" style="131"/>
    <col min="2049" max="2050" width="2.77734375" style="131" customWidth="1"/>
    <col min="2051" max="2051" width="5" style="131" customWidth="1"/>
    <col min="2052" max="2052" width="82.21875" style="131" customWidth="1"/>
    <col min="2053" max="2053" width="8.88671875" style="131"/>
    <col min="2054" max="2054" width="3.5546875" style="131" customWidth="1"/>
    <col min="2055" max="2055" width="26.33203125" style="131" customWidth="1"/>
    <col min="2056" max="2304" width="8.88671875" style="131"/>
    <col min="2305" max="2306" width="2.77734375" style="131" customWidth="1"/>
    <col min="2307" max="2307" width="5" style="131" customWidth="1"/>
    <col min="2308" max="2308" width="82.21875" style="131" customWidth="1"/>
    <col min="2309" max="2309" width="8.88671875" style="131"/>
    <col min="2310" max="2310" width="3.5546875" style="131" customWidth="1"/>
    <col min="2311" max="2311" width="26.33203125" style="131" customWidth="1"/>
    <col min="2312" max="2560" width="8.88671875" style="131"/>
    <col min="2561" max="2562" width="2.77734375" style="131" customWidth="1"/>
    <col min="2563" max="2563" width="5" style="131" customWidth="1"/>
    <col min="2564" max="2564" width="82.21875" style="131" customWidth="1"/>
    <col min="2565" max="2565" width="8.88671875" style="131"/>
    <col min="2566" max="2566" width="3.5546875" style="131" customWidth="1"/>
    <col min="2567" max="2567" width="26.33203125" style="131" customWidth="1"/>
    <col min="2568" max="2816" width="8.88671875" style="131"/>
    <col min="2817" max="2818" width="2.77734375" style="131" customWidth="1"/>
    <col min="2819" max="2819" width="5" style="131" customWidth="1"/>
    <col min="2820" max="2820" width="82.21875" style="131" customWidth="1"/>
    <col min="2821" max="2821" width="8.88671875" style="131"/>
    <col min="2822" max="2822" width="3.5546875" style="131" customWidth="1"/>
    <col min="2823" max="2823" width="26.33203125" style="131" customWidth="1"/>
    <col min="2824" max="3072" width="8.88671875" style="131"/>
    <col min="3073" max="3074" width="2.77734375" style="131" customWidth="1"/>
    <col min="3075" max="3075" width="5" style="131" customWidth="1"/>
    <col min="3076" max="3076" width="82.21875" style="131" customWidth="1"/>
    <col min="3077" max="3077" width="8.88671875" style="131"/>
    <col min="3078" max="3078" width="3.5546875" style="131" customWidth="1"/>
    <col min="3079" max="3079" width="26.33203125" style="131" customWidth="1"/>
    <col min="3080" max="3328" width="8.88671875" style="131"/>
    <col min="3329" max="3330" width="2.77734375" style="131" customWidth="1"/>
    <col min="3331" max="3331" width="5" style="131" customWidth="1"/>
    <col min="3332" max="3332" width="82.21875" style="131" customWidth="1"/>
    <col min="3333" max="3333" width="8.88671875" style="131"/>
    <col min="3334" max="3334" width="3.5546875" style="131" customWidth="1"/>
    <col min="3335" max="3335" width="26.33203125" style="131" customWidth="1"/>
    <col min="3336" max="3584" width="8.88671875" style="131"/>
    <col min="3585" max="3586" width="2.77734375" style="131" customWidth="1"/>
    <col min="3587" max="3587" width="5" style="131" customWidth="1"/>
    <col min="3588" max="3588" width="82.21875" style="131" customWidth="1"/>
    <col min="3589" max="3589" width="8.88671875" style="131"/>
    <col min="3590" max="3590" width="3.5546875" style="131" customWidth="1"/>
    <col min="3591" max="3591" width="26.33203125" style="131" customWidth="1"/>
    <col min="3592" max="3840" width="8.88671875" style="131"/>
    <col min="3841" max="3842" width="2.77734375" style="131" customWidth="1"/>
    <col min="3843" max="3843" width="5" style="131" customWidth="1"/>
    <col min="3844" max="3844" width="82.21875" style="131" customWidth="1"/>
    <col min="3845" max="3845" width="8.88671875" style="131"/>
    <col min="3846" max="3846" width="3.5546875" style="131" customWidth="1"/>
    <col min="3847" max="3847" width="26.33203125" style="131" customWidth="1"/>
    <col min="3848" max="4096" width="8.88671875" style="131"/>
    <col min="4097" max="4098" width="2.77734375" style="131" customWidth="1"/>
    <col min="4099" max="4099" width="5" style="131" customWidth="1"/>
    <col min="4100" max="4100" width="82.21875" style="131" customWidth="1"/>
    <col min="4101" max="4101" width="8.88671875" style="131"/>
    <col min="4102" max="4102" width="3.5546875" style="131" customWidth="1"/>
    <col min="4103" max="4103" width="26.33203125" style="131" customWidth="1"/>
    <col min="4104" max="4352" width="8.88671875" style="131"/>
    <col min="4353" max="4354" width="2.77734375" style="131" customWidth="1"/>
    <col min="4355" max="4355" width="5" style="131" customWidth="1"/>
    <col min="4356" max="4356" width="82.21875" style="131" customWidth="1"/>
    <col min="4357" max="4357" width="8.88671875" style="131"/>
    <col min="4358" max="4358" width="3.5546875" style="131" customWidth="1"/>
    <col min="4359" max="4359" width="26.33203125" style="131" customWidth="1"/>
    <col min="4360" max="4608" width="8.88671875" style="131"/>
    <col min="4609" max="4610" width="2.77734375" style="131" customWidth="1"/>
    <col min="4611" max="4611" width="5" style="131" customWidth="1"/>
    <col min="4612" max="4612" width="82.21875" style="131" customWidth="1"/>
    <col min="4613" max="4613" width="8.88671875" style="131"/>
    <col min="4614" max="4614" width="3.5546875" style="131" customWidth="1"/>
    <col min="4615" max="4615" width="26.33203125" style="131" customWidth="1"/>
    <col min="4616" max="4864" width="8.88671875" style="131"/>
    <col min="4865" max="4866" width="2.77734375" style="131" customWidth="1"/>
    <col min="4867" max="4867" width="5" style="131" customWidth="1"/>
    <col min="4868" max="4868" width="82.21875" style="131" customWidth="1"/>
    <col min="4869" max="4869" width="8.88671875" style="131"/>
    <col min="4870" max="4870" width="3.5546875" style="131" customWidth="1"/>
    <col min="4871" max="4871" width="26.33203125" style="131" customWidth="1"/>
    <col min="4872" max="5120" width="8.88671875" style="131"/>
    <col min="5121" max="5122" width="2.77734375" style="131" customWidth="1"/>
    <col min="5123" max="5123" width="5" style="131" customWidth="1"/>
    <col min="5124" max="5124" width="82.21875" style="131" customWidth="1"/>
    <col min="5125" max="5125" width="8.88671875" style="131"/>
    <col min="5126" max="5126" width="3.5546875" style="131" customWidth="1"/>
    <col min="5127" max="5127" width="26.33203125" style="131" customWidth="1"/>
    <col min="5128" max="5376" width="8.88671875" style="131"/>
    <col min="5377" max="5378" width="2.77734375" style="131" customWidth="1"/>
    <col min="5379" max="5379" width="5" style="131" customWidth="1"/>
    <col min="5380" max="5380" width="82.21875" style="131" customWidth="1"/>
    <col min="5381" max="5381" width="8.88671875" style="131"/>
    <col min="5382" max="5382" width="3.5546875" style="131" customWidth="1"/>
    <col min="5383" max="5383" width="26.33203125" style="131" customWidth="1"/>
    <col min="5384" max="5632" width="8.88671875" style="131"/>
    <col min="5633" max="5634" width="2.77734375" style="131" customWidth="1"/>
    <col min="5635" max="5635" width="5" style="131" customWidth="1"/>
    <col min="5636" max="5636" width="82.21875" style="131" customWidth="1"/>
    <col min="5637" max="5637" width="8.88671875" style="131"/>
    <col min="5638" max="5638" width="3.5546875" style="131" customWidth="1"/>
    <col min="5639" max="5639" width="26.33203125" style="131" customWidth="1"/>
    <col min="5640" max="5888" width="8.88671875" style="131"/>
    <col min="5889" max="5890" width="2.77734375" style="131" customWidth="1"/>
    <col min="5891" max="5891" width="5" style="131" customWidth="1"/>
    <col min="5892" max="5892" width="82.21875" style="131" customWidth="1"/>
    <col min="5893" max="5893" width="8.88671875" style="131"/>
    <col min="5894" max="5894" width="3.5546875" style="131" customWidth="1"/>
    <col min="5895" max="5895" width="26.33203125" style="131" customWidth="1"/>
    <col min="5896" max="6144" width="8.88671875" style="131"/>
    <col min="6145" max="6146" width="2.77734375" style="131" customWidth="1"/>
    <col min="6147" max="6147" width="5" style="131" customWidth="1"/>
    <col min="6148" max="6148" width="82.21875" style="131" customWidth="1"/>
    <col min="6149" max="6149" width="8.88671875" style="131"/>
    <col min="6150" max="6150" width="3.5546875" style="131" customWidth="1"/>
    <col min="6151" max="6151" width="26.33203125" style="131" customWidth="1"/>
    <col min="6152" max="6400" width="8.88671875" style="131"/>
    <col min="6401" max="6402" width="2.77734375" style="131" customWidth="1"/>
    <col min="6403" max="6403" width="5" style="131" customWidth="1"/>
    <col min="6404" max="6404" width="82.21875" style="131" customWidth="1"/>
    <col min="6405" max="6405" width="8.88671875" style="131"/>
    <col min="6406" max="6406" width="3.5546875" style="131" customWidth="1"/>
    <col min="6407" max="6407" width="26.33203125" style="131" customWidth="1"/>
    <col min="6408" max="6656" width="8.88671875" style="131"/>
    <col min="6657" max="6658" width="2.77734375" style="131" customWidth="1"/>
    <col min="6659" max="6659" width="5" style="131" customWidth="1"/>
    <col min="6660" max="6660" width="82.21875" style="131" customWidth="1"/>
    <col min="6661" max="6661" width="8.88671875" style="131"/>
    <col min="6662" max="6662" width="3.5546875" style="131" customWidth="1"/>
    <col min="6663" max="6663" width="26.33203125" style="131" customWidth="1"/>
    <col min="6664" max="6912" width="8.88671875" style="131"/>
    <col min="6913" max="6914" width="2.77734375" style="131" customWidth="1"/>
    <col min="6915" max="6915" width="5" style="131" customWidth="1"/>
    <col min="6916" max="6916" width="82.21875" style="131" customWidth="1"/>
    <col min="6917" max="6917" width="8.88671875" style="131"/>
    <col min="6918" max="6918" width="3.5546875" style="131" customWidth="1"/>
    <col min="6919" max="6919" width="26.33203125" style="131" customWidth="1"/>
    <col min="6920" max="7168" width="8.88671875" style="131"/>
    <col min="7169" max="7170" width="2.77734375" style="131" customWidth="1"/>
    <col min="7171" max="7171" width="5" style="131" customWidth="1"/>
    <col min="7172" max="7172" width="82.21875" style="131" customWidth="1"/>
    <col min="7173" max="7173" width="8.88671875" style="131"/>
    <col min="7174" max="7174" width="3.5546875" style="131" customWidth="1"/>
    <col min="7175" max="7175" width="26.33203125" style="131" customWidth="1"/>
    <col min="7176" max="7424" width="8.88671875" style="131"/>
    <col min="7425" max="7426" width="2.77734375" style="131" customWidth="1"/>
    <col min="7427" max="7427" width="5" style="131" customWidth="1"/>
    <col min="7428" max="7428" width="82.21875" style="131" customWidth="1"/>
    <col min="7429" max="7429" width="8.88671875" style="131"/>
    <col min="7430" max="7430" width="3.5546875" style="131" customWidth="1"/>
    <col min="7431" max="7431" width="26.33203125" style="131" customWidth="1"/>
    <col min="7432" max="7680" width="8.88671875" style="131"/>
    <col min="7681" max="7682" width="2.77734375" style="131" customWidth="1"/>
    <col min="7683" max="7683" width="5" style="131" customWidth="1"/>
    <col min="7684" max="7684" width="82.21875" style="131" customWidth="1"/>
    <col min="7685" max="7685" width="8.88671875" style="131"/>
    <col min="7686" max="7686" width="3.5546875" style="131" customWidth="1"/>
    <col min="7687" max="7687" width="26.33203125" style="131" customWidth="1"/>
    <col min="7688" max="7936" width="8.88671875" style="131"/>
    <col min="7937" max="7938" width="2.77734375" style="131" customWidth="1"/>
    <col min="7939" max="7939" width="5" style="131" customWidth="1"/>
    <col min="7940" max="7940" width="82.21875" style="131" customWidth="1"/>
    <col min="7941" max="7941" width="8.88671875" style="131"/>
    <col min="7942" max="7942" width="3.5546875" style="131" customWidth="1"/>
    <col min="7943" max="7943" width="26.33203125" style="131" customWidth="1"/>
    <col min="7944" max="8192" width="8.88671875" style="131"/>
    <col min="8193" max="8194" width="2.77734375" style="131" customWidth="1"/>
    <col min="8195" max="8195" width="5" style="131" customWidth="1"/>
    <col min="8196" max="8196" width="82.21875" style="131" customWidth="1"/>
    <col min="8197" max="8197" width="8.88671875" style="131"/>
    <col min="8198" max="8198" width="3.5546875" style="131" customWidth="1"/>
    <col min="8199" max="8199" width="26.33203125" style="131" customWidth="1"/>
    <col min="8200" max="8448" width="8.88671875" style="131"/>
    <col min="8449" max="8450" width="2.77734375" style="131" customWidth="1"/>
    <col min="8451" max="8451" width="5" style="131" customWidth="1"/>
    <col min="8452" max="8452" width="82.21875" style="131" customWidth="1"/>
    <col min="8453" max="8453" width="8.88671875" style="131"/>
    <col min="8454" max="8454" width="3.5546875" style="131" customWidth="1"/>
    <col min="8455" max="8455" width="26.33203125" style="131" customWidth="1"/>
    <col min="8456" max="8704" width="8.88671875" style="131"/>
    <col min="8705" max="8706" width="2.77734375" style="131" customWidth="1"/>
    <col min="8707" max="8707" width="5" style="131" customWidth="1"/>
    <col min="8708" max="8708" width="82.21875" style="131" customWidth="1"/>
    <col min="8709" max="8709" width="8.88671875" style="131"/>
    <col min="8710" max="8710" width="3.5546875" style="131" customWidth="1"/>
    <col min="8711" max="8711" width="26.33203125" style="131" customWidth="1"/>
    <col min="8712" max="8960" width="8.88671875" style="131"/>
    <col min="8961" max="8962" width="2.77734375" style="131" customWidth="1"/>
    <col min="8963" max="8963" width="5" style="131" customWidth="1"/>
    <col min="8964" max="8964" width="82.21875" style="131" customWidth="1"/>
    <col min="8965" max="8965" width="8.88671875" style="131"/>
    <col min="8966" max="8966" width="3.5546875" style="131" customWidth="1"/>
    <col min="8967" max="8967" width="26.33203125" style="131" customWidth="1"/>
    <col min="8968" max="9216" width="8.88671875" style="131"/>
    <col min="9217" max="9218" width="2.77734375" style="131" customWidth="1"/>
    <col min="9219" max="9219" width="5" style="131" customWidth="1"/>
    <col min="9220" max="9220" width="82.21875" style="131" customWidth="1"/>
    <col min="9221" max="9221" width="8.88671875" style="131"/>
    <col min="9222" max="9222" width="3.5546875" style="131" customWidth="1"/>
    <col min="9223" max="9223" width="26.33203125" style="131" customWidth="1"/>
    <col min="9224" max="9472" width="8.88671875" style="131"/>
    <col min="9473" max="9474" width="2.77734375" style="131" customWidth="1"/>
    <col min="9475" max="9475" width="5" style="131" customWidth="1"/>
    <col min="9476" max="9476" width="82.21875" style="131" customWidth="1"/>
    <col min="9477" max="9477" width="8.88671875" style="131"/>
    <col min="9478" max="9478" width="3.5546875" style="131" customWidth="1"/>
    <col min="9479" max="9479" width="26.33203125" style="131" customWidth="1"/>
    <col min="9480" max="9728" width="8.88671875" style="131"/>
    <col min="9729" max="9730" width="2.77734375" style="131" customWidth="1"/>
    <col min="9731" max="9731" width="5" style="131" customWidth="1"/>
    <col min="9732" max="9732" width="82.21875" style="131" customWidth="1"/>
    <col min="9733" max="9733" width="8.88671875" style="131"/>
    <col min="9734" max="9734" width="3.5546875" style="131" customWidth="1"/>
    <col min="9735" max="9735" width="26.33203125" style="131" customWidth="1"/>
    <col min="9736" max="9984" width="8.88671875" style="131"/>
    <col min="9985" max="9986" width="2.77734375" style="131" customWidth="1"/>
    <col min="9987" max="9987" width="5" style="131" customWidth="1"/>
    <col min="9988" max="9988" width="82.21875" style="131" customWidth="1"/>
    <col min="9989" max="9989" width="8.88671875" style="131"/>
    <col min="9990" max="9990" width="3.5546875" style="131" customWidth="1"/>
    <col min="9991" max="9991" width="26.33203125" style="131" customWidth="1"/>
    <col min="9992" max="10240" width="8.88671875" style="131"/>
    <col min="10241" max="10242" width="2.77734375" style="131" customWidth="1"/>
    <col min="10243" max="10243" width="5" style="131" customWidth="1"/>
    <col min="10244" max="10244" width="82.21875" style="131" customWidth="1"/>
    <col min="10245" max="10245" width="8.88671875" style="131"/>
    <col min="10246" max="10246" width="3.5546875" style="131" customWidth="1"/>
    <col min="10247" max="10247" width="26.33203125" style="131" customWidth="1"/>
    <col min="10248" max="10496" width="8.88671875" style="131"/>
    <col min="10497" max="10498" width="2.77734375" style="131" customWidth="1"/>
    <col min="10499" max="10499" width="5" style="131" customWidth="1"/>
    <col min="10500" max="10500" width="82.21875" style="131" customWidth="1"/>
    <col min="10501" max="10501" width="8.88671875" style="131"/>
    <col min="10502" max="10502" width="3.5546875" style="131" customWidth="1"/>
    <col min="10503" max="10503" width="26.33203125" style="131" customWidth="1"/>
    <col min="10504" max="10752" width="8.88671875" style="131"/>
    <col min="10753" max="10754" width="2.77734375" style="131" customWidth="1"/>
    <col min="10755" max="10755" width="5" style="131" customWidth="1"/>
    <col min="10756" max="10756" width="82.21875" style="131" customWidth="1"/>
    <col min="10757" max="10757" width="8.88671875" style="131"/>
    <col min="10758" max="10758" width="3.5546875" style="131" customWidth="1"/>
    <col min="10759" max="10759" width="26.33203125" style="131" customWidth="1"/>
    <col min="10760" max="11008" width="8.88671875" style="131"/>
    <col min="11009" max="11010" width="2.77734375" style="131" customWidth="1"/>
    <col min="11011" max="11011" width="5" style="131" customWidth="1"/>
    <col min="11012" max="11012" width="82.21875" style="131" customWidth="1"/>
    <col min="11013" max="11013" width="8.88671875" style="131"/>
    <col min="11014" max="11014" width="3.5546875" style="131" customWidth="1"/>
    <col min="11015" max="11015" width="26.33203125" style="131" customWidth="1"/>
    <col min="11016" max="11264" width="8.88671875" style="131"/>
    <col min="11265" max="11266" width="2.77734375" style="131" customWidth="1"/>
    <col min="11267" max="11267" width="5" style="131" customWidth="1"/>
    <col min="11268" max="11268" width="82.21875" style="131" customWidth="1"/>
    <col min="11269" max="11269" width="8.88671875" style="131"/>
    <col min="11270" max="11270" width="3.5546875" style="131" customWidth="1"/>
    <col min="11271" max="11271" width="26.33203125" style="131" customWidth="1"/>
    <col min="11272" max="11520" width="8.88671875" style="131"/>
    <col min="11521" max="11522" width="2.77734375" style="131" customWidth="1"/>
    <col min="11523" max="11523" width="5" style="131" customWidth="1"/>
    <col min="11524" max="11524" width="82.21875" style="131" customWidth="1"/>
    <col min="11525" max="11525" width="8.88671875" style="131"/>
    <col min="11526" max="11526" width="3.5546875" style="131" customWidth="1"/>
    <col min="11527" max="11527" width="26.33203125" style="131" customWidth="1"/>
    <col min="11528" max="11776" width="8.88671875" style="131"/>
    <col min="11777" max="11778" width="2.77734375" style="131" customWidth="1"/>
    <col min="11779" max="11779" width="5" style="131" customWidth="1"/>
    <col min="11780" max="11780" width="82.21875" style="131" customWidth="1"/>
    <col min="11781" max="11781" width="8.88671875" style="131"/>
    <col min="11782" max="11782" width="3.5546875" style="131" customWidth="1"/>
    <col min="11783" max="11783" width="26.33203125" style="131" customWidth="1"/>
    <col min="11784" max="12032" width="8.88671875" style="131"/>
    <col min="12033" max="12034" width="2.77734375" style="131" customWidth="1"/>
    <col min="12035" max="12035" width="5" style="131" customWidth="1"/>
    <col min="12036" max="12036" width="82.21875" style="131" customWidth="1"/>
    <col min="12037" max="12037" width="8.88671875" style="131"/>
    <col min="12038" max="12038" width="3.5546875" style="131" customWidth="1"/>
    <col min="12039" max="12039" width="26.33203125" style="131" customWidth="1"/>
    <col min="12040" max="12288" width="8.88671875" style="131"/>
    <col min="12289" max="12290" width="2.77734375" style="131" customWidth="1"/>
    <col min="12291" max="12291" width="5" style="131" customWidth="1"/>
    <col min="12292" max="12292" width="82.21875" style="131" customWidth="1"/>
    <col min="12293" max="12293" width="8.88671875" style="131"/>
    <col min="12294" max="12294" width="3.5546875" style="131" customWidth="1"/>
    <col min="12295" max="12295" width="26.33203125" style="131" customWidth="1"/>
    <col min="12296" max="12544" width="8.88671875" style="131"/>
    <col min="12545" max="12546" width="2.77734375" style="131" customWidth="1"/>
    <col min="12547" max="12547" width="5" style="131" customWidth="1"/>
    <col min="12548" max="12548" width="82.21875" style="131" customWidth="1"/>
    <col min="12549" max="12549" width="8.88671875" style="131"/>
    <col min="12550" max="12550" width="3.5546875" style="131" customWidth="1"/>
    <col min="12551" max="12551" width="26.33203125" style="131" customWidth="1"/>
    <col min="12552" max="12800" width="8.88671875" style="131"/>
    <col min="12801" max="12802" width="2.77734375" style="131" customWidth="1"/>
    <col min="12803" max="12803" width="5" style="131" customWidth="1"/>
    <col min="12804" max="12804" width="82.21875" style="131" customWidth="1"/>
    <col min="12805" max="12805" width="8.88671875" style="131"/>
    <col min="12806" max="12806" width="3.5546875" style="131" customWidth="1"/>
    <col min="12807" max="12807" width="26.33203125" style="131" customWidth="1"/>
    <col min="12808" max="13056" width="8.88671875" style="131"/>
    <col min="13057" max="13058" width="2.77734375" style="131" customWidth="1"/>
    <col min="13059" max="13059" width="5" style="131" customWidth="1"/>
    <col min="13060" max="13060" width="82.21875" style="131" customWidth="1"/>
    <col min="13061" max="13061" width="8.88671875" style="131"/>
    <col min="13062" max="13062" width="3.5546875" style="131" customWidth="1"/>
    <col min="13063" max="13063" width="26.33203125" style="131" customWidth="1"/>
    <col min="13064" max="13312" width="8.88671875" style="131"/>
    <col min="13313" max="13314" width="2.77734375" style="131" customWidth="1"/>
    <col min="13315" max="13315" width="5" style="131" customWidth="1"/>
    <col min="13316" max="13316" width="82.21875" style="131" customWidth="1"/>
    <col min="13317" max="13317" width="8.88671875" style="131"/>
    <col min="13318" max="13318" width="3.5546875" style="131" customWidth="1"/>
    <col min="13319" max="13319" width="26.33203125" style="131" customWidth="1"/>
    <col min="13320" max="13568" width="8.88671875" style="131"/>
    <col min="13569" max="13570" width="2.77734375" style="131" customWidth="1"/>
    <col min="13571" max="13571" width="5" style="131" customWidth="1"/>
    <col min="13572" max="13572" width="82.21875" style="131" customWidth="1"/>
    <col min="13573" max="13573" width="8.88671875" style="131"/>
    <col min="13574" max="13574" width="3.5546875" style="131" customWidth="1"/>
    <col min="13575" max="13575" width="26.33203125" style="131" customWidth="1"/>
    <col min="13576" max="13824" width="8.88671875" style="131"/>
    <col min="13825" max="13826" width="2.77734375" style="131" customWidth="1"/>
    <col min="13827" max="13827" width="5" style="131" customWidth="1"/>
    <col min="13828" max="13828" width="82.21875" style="131" customWidth="1"/>
    <col min="13829" max="13829" width="8.88671875" style="131"/>
    <col min="13830" max="13830" width="3.5546875" style="131" customWidth="1"/>
    <col min="13831" max="13831" width="26.33203125" style="131" customWidth="1"/>
    <col min="13832" max="14080" width="8.88671875" style="131"/>
    <col min="14081" max="14082" width="2.77734375" style="131" customWidth="1"/>
    <col min="14083" max="14083" width="5" style="131" customWidth="1"/>
    <col min="14084" max="14084" width="82.21875" style="131" customWidth="1"/>
    <col min="14085" max="14085" width="8.88671875" style="131"/>
    <col min="14086" max="14086" width="3.5546875" style="131" customWidth="1"/>
    <col min="14087" max="14087" width="26.33203125" style="131" customWidth="1"/>
    <col min="14088" max="14336" width="8.88671875" style="131"/>
    <col min="14337" max="14338" width="2.77734375" style="131" customWidth="1"/>
    <col min="14339" max="14339" width="5" style="131" customWidth="1"/>
    <col min="14340" max="14340" width="82.21875" style="131" customWidth="1"/>
    <col min="14341" max="14341" width="8.88671875" style="131"/>
    <col min="14342" max="14342" width="3.5546875" style="131" customWidth="1"/>
    <col min="14343" max="14343" width="26.33203125" style="131" customWidth="1"/>
    <col min="14344" max="14592" width="8.88671875" style="131"/>
    <col min="14593" max="14594" width="2.77734375" style="131" customWidth="1"/>
    <col min="14595" max="14595" width="5" style="131" customWidth="1"/>
    <col min="14596" max="14596" width="82.21875" style="131" customWidth="1"/>
    <col min="14597" max="14597" width="8.88671875" style="131"/>
    <col min="14598" max="14598" width="3.5546875" style="131" customWidth="1"/>
    <col min="14599" max="14599" width="26.33203125" style="131" customWidth="1"/>
    <col min="14600" max="14848" width="8.88671875" style="131"/>
    <col min="14849" max="14850" width="2.77734375" style="131" customWidth="1"/>
    <col min="14851" max="14851" width="5" style="131" customWidth="1"/>
    <col min="14852" max="14852" width="82.21875" style="131" customWidth="1"/>
    <col min="14853" max="14853" width="8.88671875" style="131"/>
    <col min="14854" max="14854" width="3.5546875" style="131" customWidth="1"/>
    <col min="14855" max="14855" width="26.33203125" style="131" customWidth="1"/>
    <col min="14856" max="15104" width="8.88671875" style="131"/>
    <col min="15105" max="15106" width="2.77734375" style="131" customWidth="1"/>
    <col min="15107" max="15107" width="5" style="131" customWidth="1"/>
    <col min="15108" max="15108" width="82.21875" style="131" customWidth="1"/>
    <col min="15109" max="15109" width="8.88671875" style="131"/>
    <col min="15110" max="15110" width="3.5546875" style="131" customWidth="1"/>
    <col min="15111" max="15111" width="26.33203125" style="131" customWidth="1"/>
    <col min="15112" max="15360" width="8.88671875" style="131"/>
    <col min="15361" max="15362" width="2.77734375" style="131" customWidth="1"/>
    <col min="15363" max="15363" width="5" style="131" customWidth="1"/>
    <col min="15364" max="15364" width="82.21875" style="131" customWidth="1"/>
    <col min="15365" max="15365" width="8.88671875" style="131"/>
    <col min="15366" max="15366" width="3.5546875" style="131" customWidth="1"/>
    <col min="15367" max="15367" width="26.33203125" style="131" customWidth="1"/>
    <col min="15368" max="15616" width="8.88671875" style="131"/>
    <col min="15617" max="15618" width="2.77734375" style="131" customWidth="1"/>
    <col min="15619" max="15619" width="5" style="131" customWidth="1"/>
    <col min="15620" max="15620" width="82.21875" style="131" customWidth="1"/>
    <col min="15621" max="15621" width="8.88671875" style="131"/>
    <col min="15622" max="15622" width="3.5546875" style="131" customWidth="1"/>
    <col min="15623" max="15623" width="26.33203125" style="131" customWidth="1"/>
    <col min="15624" max="15872" width="8.88671875" style="131"/>
    <col min="15873" max="15874" width="2.77734375" style="131" customWidth="1"/>
    <col min="15875" max="15875" width="5" style="131" customWidth="1"/>
    <col min="15876" max="15876" width="82.21875" style="131" customWidth="1"/>
    <col min="15877" max="15877" width="8.88671875" style="131"/>
    <col min="15878" max="15878" width="3.5546875" style="131" customWidth="1"/>
    <col min="15879" max="15879" width="26.33203125" style="131" customWidth="1"/>
    <col min="15880" max="16128" width="8.88671875" style="131"/>
    <col min="16129" max="16130" width="2.77734375" style="131" customWidth="1"/>
    <col min="16131" max="16131" width="5" style="131" customWidth="1"/>
    <col min="16132" max="16132" width="82.21875" style="131" customWidth="1"/>
    <col min="16133" max="16133" width="8.88671875" style="131"/>
    <col min="16134" max="16134" width="3.5546875" style="131" customWidth="1"/>
    <col min="16135" max="16135" width="26.33203125" style="131" customWidth="1"/>
    <col min="16136" max="16384" width="8.88671875" style="131"/>
  </cols>
  <sheetData>
    <row r="1" spans="1:10" x14ac:dyDescent="0.2">
      <c r="A1" s="340" t="s">
        <v>747</v>
      </c>
      <c r="B1" s="340"/>
    </row>
    <row r="2" spans="1:10" ht="77.45" customHeight="1" x14ac:dyDescent="0.25">
      <c r="A2" s="341" t="s">
        <v>269</v>
      </c>
      <c r="B2" s="341"/>
      <c r="C2" s="341"/>
      <c r="D2" s="341"/>
      <c r="E2" s="341"/>
      <c r="F2" s="341"/>
    </row>
    <row r="3" spans="1:10" x14ac:dyDescent="0.2">
      <c r="D3" s="133"/>
    </row>
    <row r="4" spans="1:10" s="136" customFormat="1" ht="27" customHeight="1" x14ac:dyDescent="0.25">
      <c r="A4" s="342" t="str">
        <f>Introduction!B3</f>
        <v>NHS National Framework agreement for the supply of Homecare Delivery Service – Products for the treatment of bleeding disorders in England, Wales and Northern Ireland</v>
      </c>
      <c r="B4" s="342"/>
      <c r="C4" s="342"/>
      <c r="D4" s="342"/>
      <c r="E4" s="342"/>
      <c r="F4" s="342"/>
      <c r="G4" s="134"/>
      <c r="H4" s="135"/>
    </row>
    <row r="5" spans="1:10" s="136" customFormat="1" ht="15" x14ac:dyDescent="0.25">
      <c r="A5" s="343" t="str">
        <f>Introduction!B4</f>
        <v>Offer reference number: CM/MSR/15/5480</v>
      </c>
      <c r="B5" s="343"/>
      <c r="C5" s="343"/>
      <c r="D5" s="343"/>
      <c r="E5" s="343"/>
      <c r="F5" s="343"/>
      <c r="G5" s="134"/>
      <c r="H5" s="135"/>
    </row>
    <row r="6" spans="1:10" s="136" customFormat="1" ht="15" x14ac:dyDescent="0.25">
      <c r="A6" s="343" t="str">
        <f>Introduction!B5</f>
        <v>Period of contract: 1st July 2018 to 30th June 2020 with an option to extend for up to a further 24 months</v>
      </c>
      <c r="B6" s="343"/>
      <c r="C6" s="343"/>
      <c r="D6" s="343"/>
      <c r="E6" s="343"/>
      <c r="F6" s="343"/>
      <c r="G6" s="134"/>
      <c r="H6" s="135"/>
    </row>
    <row r="7" spans="1:10" s="139" customFormat="1" ht="22.15" customHeight="1" x14ac:dyDescent="0.2">
      <c r="A7" s="339" t="str">
        <f>Introduction!B6</f>
        <v>Official Journal of the European Union reference: To be provided at award</v>
      </c>
      <c r="B7" s="339"/>
      <c r="C7" s="339"/>
      <c r="D7" s="339"/>
      <c r="E7" s="339"/>
      <c r="F7" s="339"/>
      <c r="G7" s="137"/>
      <c r="H7" s="138"/>
      <c r="J7" s="140"/>
    </row>
    <row r="8" spans="1:10" s="282" customFormat="1" ht="30" customHeight="1" x14ac:dyDescent="0.3">
      <c r="A8" s="280"/>
      <c r="B8" s="280"/>
      <c r="C8" s="281"/>
      <c r="D8" s="283" t="s">
        <v>173</v>
      </c>
      <c r="E8" s="141"/>
      <c r="F8" s="141"/>
      <c r="G8" s="142"/>
      <c r="H8" s="141"/>
      <c r="I8" s="141"/>
      <c r="J8" s="281"/>
    </row>
    <row r="9" spans="1:10" ht="90.75" customHeight="1" x14ac:dyDescent="0.2">
      <c r="C9" s="143"/>
      <c r="D9" s="144" t="s">
        <v>192</v>
      </c>
      <c r="E9" s="145"/>
      <c r="G9" s="146"/>
    </row>
    <row r="10" spans="1:10" s="150" customFormat="1" ht="36.6" customHeight="1" x14ac:dyDescent="0.2">
      <c r="A10" s="147"/>
      <c r="B10" s="147"/>
      <c r="C10" s="148"/>
      <c r="D10" s="302" t="s">
        <v>193</v>
      </c>
      <c r="E10" s="149"/>
      <c r="G10" s="151"/>
    </row>
    <row r="11" spans="1:10" ht="36.75" customHeight="1" x14ac:dyDescent="0.2">
      <c r="C11" s="152"/>
      <c r="D11" s="198" t="s">
        <v>748</v>
      </c>
      <c r="E11" s="154"/>
    </row>
    <row r="12" spans="1:10" ht="1.9" customHeight="1" x14ac:dyDescent="0.25">
      <c r="C12" s="155"/>
      <c r="D12" s="156"/>
      <c r="E12" s="157"/>
    </row>
    <row r="13" spans="1:10" ht="33.6" customHeight="1" x14ac:dyDescent="0.25">
      <c r="C13" s="284" t="s">
        <v>194</v>
      </c>
      <c r="D13" s="158"/>
    </row>
    <row r="14" spans="1:10" ht="66" customHeight="1" x14ac:dyDescent="0.2">
      <c r="C14" s="143"/>
      <c r="D14" s="144" t="s">
        <v>195</v>
      </c>
      <c r="E14" s="145"/>
    </row>
    <row r="15" spans="1:10" ht="38.25" customHeight="1" x14ac:dyDescent="0.2">
      <c r="C15" s="152"/>
      <c r="D15" s="153" t="s">
        <v>196</v>
      </c>
      <c r="E15" s="154"/>
    </row>
    <row r="16" spans="1:10" ht="60.75" customHeight="1" x14ac:dyDescent="0.2">
      <c r="C16" s="152"/>
      <c r="D16" s="153" t="s">
        <v>197</v>
      </c>
      <c r="E16" s="154"/>
    </row>
    <row r="17" spans="1:7" ht="117" customHeight="1" x14ac:dyDescent="0.2">
      <c r="C17" s="152"/>
      <c r="D17" s="159" t="s">
        <v>840</v>
      </c>
      <c r="E17" s="154"/>
    </row>
    <row r="18" spans="1:7" ht="44.25" customHeight="1" x14ac:dyDescent="0.2">
      <c r="C18" s="152"/>
      <c r="D18" s="198" t="s">
        <v>198</v>
      </c>
      <c r="E18" s="154"/>
      <c r="G18" s="160"/>
    </row>
    <row r="19" spans="1:7" ht="4.1500000000000004" customHeight="1" x14ac:dyDescent="0.2">
      <c r="C19" s="155"/>
      <c r="D19" s="161"/>
      <c r="E19" s="157"/>
      <c r="G19" s="162"/>
    </row>
    <row r="20" spans="1:7" x14ac:dyDescent="0.2">
      <c r="D20" s="131"/>
      <c r="G20" s="162"/>
    </row>
    <row r="21" spans="1:7" ht="16.149999999999999" customHeight="1" x14ac:dyDescent="0.2">
      <c r="C21" s="310" t="s">
        <v>822</v>
      </c>
      <c r="D21" s="311"/>
      <c r="E21" s="312"/>
      <c r="G21" s="162"/>
    </row>
    <row r="22" spans="1:7" ht="16.149999999999999" customHeight="1" x14ac:dyDescent="0.2">
      <c r="C22" s="313"/>
      <c r="D22" s="314"/>
      <c r="E22" s="315"/>
      <c r="G22" s="162"/>
    </row>
    <row r="23" spans="1:7" x14ac:dyDescent="0.2">
      <c r="C23" s="316" t="s">
        <v>823</v>
      </c>
      <c r="E23" s="154"/>
    </row>
    <row r="24" spans="1:7" x14ac:dyDescent="0.2">
      <c r="C24" s="316" t="s">
        <v>824</v>
      </c>
      <c r="E24" s="154"/>
    </row>
    <row r="25" spans="1:7" x14ac:dyDescent="0.2">
      <c r="C25" s="317" t="s">
        <v>825</v>
      </c>
      <c r="E25" s="154"/>
    </row>
    <row r="26" spans="1:7" x14ac:dyDescent="0.2">
      <c r="C26" s="316" t="s">
        <v>826</v>
      </c>
      <c r="E26" s="154"/>
    </row>
    <row r="27" spans="1:7" x14ac:dyDescent="0.2">
      <c r="C27" s="320" t="s">
        <v>841</v>
      </c>
      <c r="E27" s="154"/>
    </row>
    <row r="28" spans="1:7" ht="49.15" customHeight="1" x14ac:dyDescent="0.2">
      <c r="C28" s="318"/>
      <c r="D28" s="166"/>
      <c r="E28" s="157"/>
    </row>
    <row r="29" spans="1:7" x14ac:dyDescent="0.2">
      <c r="C29" s="309"/>
    </row>
    <row r="30" spans="1:7" s="150" customFormat="1" ht="29.45" customHeight="1" x14ac:dyDescent="0.2">
      <c r="A30" s="147"/>
      <c r="B30" s="147"/>
      <c r="C30" s="284" t="s">
        <v>199</v>
      </c>
      <c r="D30" s="151"/>
      <c r="G30" s="151"/>
    </row>
    <row r="31" spans="1:7" x14ac:dyDescent="0.2">
      <c r="C31" s="143"/>
      <c r="D31" s="163"/>
      <c r="E31" s="145"/>
    </row>
    <row r="32" spans="1:7" ht="54.75" customHeight="1" x14ac:dyDescent="0.2">
      <c r="C32" s="152"/>
      <c r="D32" s="164" t="s">
        <v>200</v>
      </c>
      <c r="E32" s="154"/>
    </row>
    <row r="33" spans="3:5" ht="90" customHeight="1" x14ac:dyDescent="0.2">
      <c r="C33" s="152"/>
      <c r="D33" s="165"/>
      <c r="E33" s="154"/>
    </row>
    <row r="34" spans="3:5" x14ac:dyDescent="0.2">
      <c r="C34" s="155"/>
      <c r="D34" s="166"/>
      <c r="E34" s="157"/>
    </row>
  </sheetData>
  <sheetProtection password="ED47" sheet="1" objects="1" scenarios="1"/>
  <mergeCells count="6">
    <mergeCell ref="A7:F7"/>
    <mergeCell ref="A1:B1"/>
    <mergeCell ref="A2:F2"/>
    <mergeCell ref="A4:F4"/>
    <mergeCell ref="A5:F5"/>
    <mergeCell ref="A6:F6"/>
  </mergeCells>
  <pageMargins left="0.74803149606299213" right="0.74803149606299213" top="0.98425196850393704" bottom="0.98425196850393704" header="0.51181102362204722" footer="0.51181102362204722"/>
  <pageSetup paperSize="9" scale="63" orientation="portrait" horizontalDpi="4294967292" verticalDpi="300" r:id="rId1"/>
  <headerFooter alignWithMargins="0">
    <oddFooter>&amp;L&amp;F
OFFICIAL&amp;R&amp;A
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85"/>
  <sheetViews>
    <sheetView zoomScaleNormal="100" workbookViewId="0">
      <pane ySplit="5" topLeftCell="A6" activePane="bottomLeft" state="frozen"/>
      <selection activeCell="C5" sqref="C5"/>
      <selection pane="bottomLeft" activeCell="A6" sqref="A6"/>
    </sheetView>
  </sheetViews>
  <sheetFormatPr defaultColWidth="8.88671875" defaultRowHeight="12.75" x14ac:dyDescent="0.2"/>
  <cols>
    <col min="1" max="1" width="8.44140625" style="324" customWidth="1"/>
    <col min="2" max="2" width="11.88671875" style="324" bestFit="1" customWidth="1"/>
    <col min="3" max="3" width="55" style="324" customWidth="1"/>
    <col min="4" max="4" width="15" style="324" customWidth="1"/>
    <col min="5" max="5" width="55.77734375" style="324" customWidth="1"/>
    <col min="6" max="6" width="9.77734375" style="324" customWidth="1"/>
    <col min="7" max="7" width="11" style="324" hidden="1" customWidth="1"/>
    <col min="8" max="8" width="8.88671875" style="324" customWidth="1"/>
    <col min="9" max="9" width="11.88671875" style="324" hidden="1" customWidth="1"/>
    <col min="10" max="11" width="13.109375" style="324" hidden="1" customWidth="1"/>
    <col min="12" max="14" width="11" style="324" hidden="1" customWidth="1"/>
    <col min="15" max="15" width="8.33203125" style="324" customWidth="1"/>
    <col min="16" max="16" width="8.21875" style="324" customWidth="1"/>
    <col min="17" max="16384" width="8.88671875" style="324"/>
  </cols>
  <sheetData>
    <row r="1" spans="1:16" ht="20.45" customHeight="1" x14ac:dyDescent="0.25">
      <c r="A1" s="340" t="s">
        <v>747</v>
      </c>
      <c r="B1" s="340"/>
      <c r="D1" s="327">
        <f>COUNTIF(D5:D81,"NO")</f>
        <v>0</v>
      </c>
      <c r="E1" s="341" t="s">
        <v>269</v>
      </c>
      <c r="F1" s="341"/>
      <c r="G1" s="341"/>
      <c r="H1" s="341"/>
      <c r="I1" s="341"/>
      <c r="J1" s="341"/>
    </row>
    <row r="2" spans="1:16" ht="13.15" customHeight="1" x14ac:dyDescent="0.2">
      <c r="B2" s="327">
        <f>COUNTIF(B5:B81,"Compliance Yes/No")+COUNTIF(B5:B81,"Specification")</f>
        <v>50</v>
      </c>
      <c r="C2" s="128" t="s">
        <v>175</v>
      </c>
      <c r="D2" s="327">
        <f>COUNTIF(D5:D81,"YES")</f>
        <v>0</v>
      </c>
      <c r="F2" s="261"/>
      <c r="G2" s="262"/>
      <c r="H2" s="261"/>
      <c r="I2" s="53" t="s">
        <v>82</v>
      </c>
      <c r="J2" s="44"/>
      <c r="K2" s="45">
        <f>SUM(K7:K81)</f>
        <v>792.00000004699973</v>
      </c>
      <c r="L2" s="68">
        <f>K2/N2</f>
        <v>0.92957746479261727</v>
      </c>
      <c r="M2" s="45" t="s">
        <v>175</v>
      </c>
      <c r="N2" s="45">
        <f>SUM(N7:N81)</f>
        <v>852.00000004699962</v>
      </c>
      <c r="O2" s="69">
        <f>SUM(O7:O81)</f>
        <v>1.0000000000000011</v>
      </c>
      <c r="P2" s="92">
        <f>SUM(P7:P81)</f>
        <v>0.12500000000000014</v>
      </c>
    </row>
    <row r="3" spans="1:16" ht="15.75" x14ac:dyDescent="0.2">
      <c r="A3" s="98" t="s">
        <v>776</v>
      </c>
      <c r="B3" s="98"/>
      <c r="C3" s="98"/>
      <c r="D3" s="66"/>
      <c r="E3" s="66"/>
      <c r="F3" s="66"/>
      <c r="G3" s="66"/>
      <c r="H3" s="66"/>
      <c r="I3" s="66"/>
      <c r="J3" s="66"/>
      <c r="K3" s="66"/>
      <c r="L3" s="66"/>
      <c r="M3" s="66"/>
      <c r="N3" s="66"/>
      <c r="O3" s="66"/>
      <c r="P3" s="66"/>
    </row>
    <row r="4" spans="1:16" s="50" customFormat="1" ht="15.75" x14ac:dyDescent="0.2">
      <c r="A4" s="98" t="s">
        <v>282</v>
      </c>
      <c r="B4" s="98"/>
      <c r="C4" s="98"/>
      <c r="D4" s="98"/>
      <c r="E4" s="67">
        <f>Introduction!B10</f>
        <v>0</v>
      </c>
      <c r="F4" s="67"/>
      <c r="G4" s="67"/>
      <c r="H4" s="67"/>
      <c r="I4" s="67"/>
      <c r="J4" s="67"/>
      <c r="K4" s="67"/>
      <c r="L4" s="67"/>
      <c r="M4" s="108" t="s">
        <v>175</v>
      </c>
      <c r="N4" s="67"/>
      <c r="O4" s="71"/>
      <c r="P4" s="71"/>
    </row>
    <row r="5" spans="1:16" s="129" customFormat="1" ht="77.25" thickBot="1" x14ac:dyDescent="0.25">
      <c r="A5" s="222"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323"/>
      <c r="C6" s="322" t="s">
        <v>146</v>
      </c>
      <c r="D6" s="322"/>
      <c r="E6" s="322"/>
      <c r="F6" s="322"/>
      <c r="G6" s="322"/>
      <c r="H6" s="322"/>
      <c r="I6" s="322"/>
      <c r="J6" s="322"/>
      <c r="K6" s="322"/>
      <c r="L6" s="322"/>
      <c r="M6" s="322"/>
      <c r="N6" s="322"/>
      <c r="O6" s="272"/>
      <c r="P6" s="272"/>
    </row>
    <row r="7" spans="1:16" s="129" customFormat="1" ht="45.75" customHeight="1" x14ac:dyDescent="0.2">
      <c r="A7" s="222" t="s">
        <v>283</v>
      </c>
      <c r="B7" s="261" t="s">
        <v>7</v>
      </c>
      <c r="C7" s="112" t="s">
        <v>187</v>
      </c>
      <c r="D7" s="275">
        <f>ROUND(COUNTIF(D9:D81,"Yes")/(B2-1),2)</f>
        <v>0</v>
      </c>
      <c r="E7" s="271"/>
      <c r="F7" s="261" t="s">
        <v>44</v>
      </c>
      <c r="G7" s="262">
        <f>VLOOKUP(F7,Weightings!$A$46:$B$51,2,FALSE)</f>
        <v>10</v>
      </c>
      <c r="H7" s="274"/>
      <c r="I7" s="263" t="s">
        <v>836</v>
      </c>
      <c r="J7" s="264">
        <f>IF(D7&gt;=0.97,6,IF(D7&gt;=0.9,4,IF(D7&gt;=0.8,2,IF(D7&gt;=0.7,1,0))))</f>
        <v>0</v>
      </c>
      <c r="K7" s="321">
        <f t="shared" ref="K7:K69" si="0">J7*G7</f>
        <v>0</v>
      </c>
      <c r="L7" s="265">
        <f t="shared" ref="K7:L69" si="1">IF(ISERROR(K7/N7),"n/a",K7/N7)</f>
        <v>0</v>
      </c>
      <c r="M7" s="321">
        <f>IF(B7=Weightings!$A$15,Weightings!$E$36)+IF(B7=Weightings!$A$16,Weightings!$E$41)+IF(B7=Weightings!$A$17,Weightings!$E$41)</f>
        <v>6</v>
      </c>
      <c r="N7" s="321">
        <f>G7*M7</f>
        <v>60</v>
      </c>
      <c r="O7" s="269">
        <f>IF((N7/$N$2)&gt;0,N7/$N$2,"n/a")</f>
        <v>7.0422535207382828E-2</v>
      </c>
      <c r="P7" s="270">
        <f>IF(ISERROR(O7*0.125),"n/a",O7*0.125)</f>
        <v>8.8028169009228534E-3</v>
      </c>
    </row>
    <row r="8" spans="1:16" s="55" customFormat="1" x14ac:dyDescent="0.2">
      <c r="A8" s="323" t="s">
        <v>284</v>
      </c>
      <c r="B8" s="323"/>
      <c r="C8" s="322" t="s">
        <v>285</v>
      </c>
      <c r="D8" s="272"/>
      <c r="E8" s="272"/>
      <c r="F8" s="272"/>
      <c r="G8" s="272"/>
      <c r="H8" s="272"/>
      <c r="I8" s="272"/>
      <c r="J8" s="272"/>
      <c r="K8" s="272" t="str">
        <f t="shared" si="1"/>
        <v>n/a</v>
      </c>
      <c r="L8" s="272" t="str">
        <f t="shared" si="1"/>
        <v>n/a</v>
      </c>
      <c r="M8" s="272">
        <f>IF(B8=Weightings!$A$15,Weightings!$E$36)+IF(B8=Weightings!$A$16,Weightings!$E$41)+IF(B8=Weightings!$A$17,Weightings!$E$41)</f>
        <v>0</v>
      </c>
      <c r="N8" s="272">
        <f t="shared" ref="N8:N71" si="2">G8*M8</f>
        <v>0</v>
      </c>
      <c r="O8" s="272" t="str">
        <f t="shared" ref="O8:O71" si="3">IF((N8/$N$2)&gt;0,N8/$N$2,"n/a")</f>
        <v>n/a</v>
      </c>
      <c r="P8" s="272" t="str">
        <f t="shared" ref="P8:P71" si="4">IF(ISERROR(O8*0.125),"n/a",O8*0.125)</f>
        <v>n/a</v>
      </c>
    </row>
    <row r="9" spans="1:16" s="82" customFormat="1" ht="25.5" x14ac:dyDescent="0.2">
      <c r="A9" s="222" t="s">
        <v>286</v>
      </c>
      <c r="B9" s="261" t="s">
        <v>6</v>
      </c>
      <c r="C9" s="236" t="s">
        <v>287</v>
      </c>
      <c r="D9" s="363"/>
      <c r="E9" s="276" t="s">
        <v>63</v>
      </c>
      <c r="F9" s="261" t="s">
        <v>15</v>
      </c>
      <c r="G9" s="262">
        <f>VLOOKUP(F9,Weightings!$A$46:$B$51,2,FALSE)</f>
        <v>1.0000000000000001E-5</v>
      </c>
      <c r="H9" s="261" t="s">
        <v>15</v>
      </c>
      <c r="I9" s="261" t="s">
        <v>15</v>
      </c>
      <c r="J9" s="264">
        <f>VLOOKUP(I9,Weightings!$A$36:$B$41,2,FALSE)</f>
        <v>1E-4</v>
      </c>
      <c r="K9" s="321">
        <f t="shared" si="0"/>
        <v>1.0000000000000001E-9</v>
      </c>
      <c r="L9" s="265">
        <f t="shared" si="1"/>
        <v>1</v>
      </c>
      <c r="M9" s="321">
        <f>IF(B9=Weightings!$A$15,Weightings!$E$36)+IF(B9=Weightings!$A$16,Weightings!$E$41)+IF(B9=Weightings!$A$17,Weightings!$E$41)</f>
        <v>1E-4</v>
      </c>
      <c r="N9" s="321">
        <f t="shared" si="2"/>
        <v>1.0000000000000001E-9</v>
      </c>
      <c r="O9" s="258">
        <f t="shared" si="3"/>
        <v>1.1737089201230472E-12</v>
      </c>
      <c r="P9" s="258">
        <f t="shared" si="4"/>
        <v>1.4671361501538089E-13</v>
      </c>
    </row>
    <row r="10" spans="1:16" s="82" customFormat="1" ht="43.9" customHeight="1" x14ac:dyDescent="0.2">
      <c r="A10" s="222" t="s">
        <v>288</v>
      </c>
      <c r="B10" s="261" t="s">
        <v>6</v>
      </c>
      <c r="C10" s="229" t="s">
        <v>289</v>
      </c>
      <c r="D10" s="363"/>
      <c r="E10" s="276" t="s">
        <v>63</v>
      </c>
      <c r="F10" s="261" t="s">
        <v>15</v>
      </c>
      <c r="G10" s="262">
        <f>VLOOKUP(F10,Weightings!$A$46:$B$51,2,FALSE)</f>
        <v>1.0000000000000001E-5</v>
      </c>
      <c r="H10" s="261" t="s">
        <v>15</v>
      </c>
      <c r="I10" s="261" t="s">
        <v>15</v>
      </c>
      <c r="J10" s="264">
        <f>VLOOKUP(I10,Weightings!$A$36:$B$41,2,FALSE)</f>
        <v>1E-4</v>
      </c>
      <c r="K10" s="321">
        <f t="shared" si="0"/>
        <v>1.0000000000000001E-9</v>
      </c>
      <c r="L10" s="265">
        <f t="shared" si="1"/>
        <v>1</v>
      </c>
      <c r="M10" s="321">
        <f>IF(B10=Weightings!$A$15,Weightings!$E$36)+IF(B10=Weightings!$A$16,Weightings!$E$41)+IF(B10=Weightings!$A$17,Weightings!$E$41)</f>
        <v>1E-4</v>
      </c>
      <c r="N10" s="321">
        <f t="shared" si="2"/>
        <v>1.0000000000000001E-9</v>
      </c>
      <c r="O10" s="258">
        <f t="shared" si="3"/>
        <v>1.1737089201230472E-12</v>
      </c>
      <c r="P10" s="258">
        <f t="shared" si="4"/>
        <v>1.4671361501538089E-13</v>
      </c>
    </row>
    <row r="11" spans="1:16" s="82" customFormat="1" ht="51" x14ac:dyDescent="0.2">
      <c r="A11" s="222" t="s">
        <v>290</v>
      </c>
      <c r="B11" s="261" t="s">
        <v>6</v>
      </c>
      <c r="C11" s="236" t="s">
        <v>291</v>
      </c>
      <c r="D11" s="363"/>
      <c r="E11" s="276" t="s">
        <v>63</v>
      </c>
      <c r="F11" s="261" t="s">
        <v>15</v>
      </c>
      <c r="G11" s="262">
        <f>VLOOKUP(F11,Weightings!$A$46:$B$51,2,FALSE)</f>
        <v>1.0000000000000001E-5</v>
      </c>
      <c r="H11" s="261" t="s">
        <v>15</v>
      </c>
      <c r="I11" s="261" t="s">
        <v>15</v>
      </c>
      <c r="J11" s="264">
        <f>VLOOKUP(I11,Weightings!$A$36:$B$41,2,FALSE)</f>
        <v>1E-4</v>
      </c>
      <c r="K11" s="321">
        <f t="shared" si="0"/>
        <v>1.0000000000000001E-9</v>
      </c>
      <c r="L11" s="265">
        <f t="shared" si="1"/>
        <v>1</v>
      </c>
      <c r="M11" s="321">
        <f>IF(B11=Weightings!$A$15,Weightings!$E$36)+IF(B11=Weightings!$A$16,Weightings!$E$41)+IF(B11=Weightings!$A$17,Weightings!$E$41)</f>
        <v>1E-4</v>
      </c>
      <c r="N11" s="321">
        <f t="shared" si="2"/>
        <v>1.0000000000000001E-9</v>
      </c>
      <c r="O11" s="258">
        <f t="shared" si="3"/>
        <v>1.1737089201230472E-12</v>
      </c>
      <c r="P11" s="258">
        <f t="shared" si="4"/>
        <v>1.4671361501538089E-13</v>
      </c>
    </row>
    <row r="12" spans="1:16" s="82" customFormat="1" ht="45" customHeight="1" x14ac:dyDescent="0.2">
      <c r="A12" s="222" t="s">
        <v>292</v>
      </c>
      <c r="B12" s="261" t="s">
        <v>6</v>
      </c>
      <c r="C12" s="237" t="s">
        <v>293</v>
      </c>
      <c r="D12" s="363"/>
      <c r="E12" s="276" t="s">
        <v>63</v>
      </c>
      <c r="F12" s="261" t="s">
        <v>15</v>
      </c>
      <c r="G12" s="262">
        <f>VLOOKUP(F12,Weightings!$A$46:$B$51,2,FALSE)</f>
        <v>1.0000000000000001E-5</v>
      </c>
      <c r="H12" s="261" t="s">
        <v>15</v>
      </c>
      <c r="I12" s="261" t="s">
        <v>15</v>
      </c>
      <c r="J12" s="264">
        <f>VLOOKUP(I12,Weightings!$A$36:$B$41,2,FALSE)</f>
        <v>1E-4</v>
      </c>
      <c r="K12" s="321">
        <f t="shared" si="0"/>
        <v>1.0000000000000001E-9</v>
      </c>
      <c r="L12" s="265">
        <f t="shared" si="1"/>
        <v>1</v>
      </c>
      <c r="M12" s="321">
        <f>IF(B12=Weightings!$A$15,Weightings!$E$36)+IF(B12=Weightings!$A$16,Weightings!$E$41)+IF(B12=Weightings!$A$17,Weightings!$E$41)</f>
        <v>1E-4</v>
      </c>
      <c r="N12" s="321">
        <f t="shared" si="2"/>
        <v>1.0000000000000001E-9</v>
      </c>
      <c r="O12" s="258">
        <f t="shared" si="3"/>
        <v>1.1737089201230472E-12</v>
      </c>
      <c r="P12" s="258">
        <f t="shared" si="4"/>
        <v>1.4671361501538089E-13</v>
      </c>
    </row>
    <row r="13" spans="1:16" s="56" customFormat="1" ht="51" x14ac:dyDescent="0.2">
      <c r="A13" s="222" t="s">
        <v>294</v>
      </c>
      <c r="B13" s="261" t="s">
        <v>6</v>
      </c>
      <c r="C13" s="230" t="s">
        <v>295</v>
      </c>
      <c r="D13" s="363"/>
      <c r="E13" s="276" t="s">
        <v>63</v>
      </c>
      <c r="F13" s="261" t="s">
        <v>15</v>
      </c>
      <c r="G13" s="262">
        <f>VLOOKUP(F13,Weightings!$A$46:$B$51,2,FALSE)</f>
        <v>1.0000000000000001E-5</v>
      </c>
      <c r="H13" s="261" t="s">
        <v>15</v>
      </c>
      <c r="I13" s="261" t="s">
        <v>15</v>
      </c>
      <c r="J13" s="264">
        <f>VLOOKUP(I13,Weightings!$A$36:$B$41,2,FALSE)</f>
        <v>1E-4</v>
      </c>
      <c r="K13" s="321">
        <f t="shared" si="0"/>
        <v>1.0000000000000001E-9</v>
      </c>
      <c r="L13" s="265">
        <f t="shared" si="1"/>
        <v>1</v>
      </c>
      <c r="M13" s="321">
        <f>IF(B13=Weightings!$A$15,Weightings!$E$36)+IF(B13=Weightings!$A$16,Weightings!$E$41)+IF(B13=Weightings!$A$17,Weightings!$E$41)</f>
        <v>1E-4</v>
      </c>
      <c r="N13" s="321">
        <f t="shared" si="2"/>
        <v>1.0000000000000001E-9</v>
      </c>
      <c r="O13" s="258">
        <f t="shared" si="3"/>
        <v>1.1737089201230472E-12</v>
      </c>
      <c r="P13" s="258">
        <f t="shared" si="4"/>
        <v>1.4671361501538089E-13</v>
      </c>
    </row>
    <row r="14" spans="1:16" s="56" customFormat="1" ht="48.75" customHeight="1" x14ac:dyDescent="0.2">
      <c r="A14" s="222" t="s">
        <v>296</v>
      </c>
      <c r="B14" s="261" t="s">
        <v>6</v>
      </c>
      <c r="C14" s="229" t="s">
        <v>297</v>
      </c>
      <c r="D14" s="363"/>
      <c r="E14" s="276" t="s">
        <v>63</v>
      </c>
      <c r="F14" s="261" t="s">
        <v>15</v>
      </c>
      <c r="G14" s="262">
        <f>VLOOKUP(F14,Weightings!$A$46:$B$51,2,FALSE)</f>
        <v>1.0000000000000001E-5</v>
      </c>
      <c r="H14" s="261" t="s">
        <v>15</v>
      </c>
      <c r="I14" s="261" t="s">
        <v>15</v>
      </c>
      <c r="J14" s="264">
        <f>VLOOKUP(I14,Weightings!$A$36:$B$41,2,FALSE)</f>
        <v>1E-4</v>
      </c>
      <c r="K14" s="321">
        <f t="shared" si="0"/>
        <v>1.0000000000000001E-9</v>
      </c>
      <c r="L14" s="265">
        <f t="shared" si="1"/>
        <v>1</v>
      </c>
      <c r="M14" s="321">
        <f>IF(B14=Weightings!$A$15,Weightings!$E$36)+IF(B14=Weightings!$A$16,Weightings!$E$41)+IF(B14=Weightings!$A$17,Weightings!$E$41)</f>
        <v>1E-4</v>
      </c>
      <c r="N14" s="321">
        <f t="shared" si="2"/>
        <v>1.0000000000000001E-9</v>
      </c>
      <c r="O14" s="258">
        <f t="shared" si="3"/>
        <v>1.1737089201230472E-12</v>
      </c>
      <c r="P14" s="258">
        <f t="shared" si="4"/>
        <v>1.4671361501538089E-13</v>
      </c>
    </row>
    <row r="15" spans="1:16" s="56" customFormat="1" ht="63.75" x14ac:dyDescent="0.2">
      <c r="A15" s="222" t="s">
        <v>298</v>
      </c>
      <c r="B15" s="261" t="s">
        <v>6</v>
      </c>
      <c r="C15" s="117" t="s">
        <v>299</v>
      </c>
      <c r="D15" s="363"/>
      <c r="E15" s="276" t="s">
        <v>63</v>
      </c>
      <c r="F15" s="261" t="s">
        <v>15</v>
      </c>
      <c r="G15" s="262">
        <f>VLOOKUP(F15,Weightings!$A$46:$B$51,2,FALSE)</f>
        <v>1.0000000000000001E-5</v>
      </c>
      <c r="H15" s="261" t="s">
        <v>15</v>
      </c>
      <c r="I15" s="261" t="s">
        <v>15</v>
      </c>
      <c r="J15" s="264">
        <f>VLOOKUP(I15,Weightings!$A$36:$B$41,2,FALSE)</f>
        <v>1E-4</v>
      </c>
      <c r="K15" s="321">
        <f t="shared" si="0"/>
        <v>1.0000000000000001E-9</v>
      </c>
      <c r="L15" s="265">
        <f t="shared" si="1"/>
        <v>1</v>
      </c>
      <c r="M15" s="321">
        <f>IF(B15=Weightings!$A$15,Weightings!$E$36)+IF(B15=Weightings!$A$16,Weightings!$E$41)+IF(B15=Weightings!$A$17,Weightings!$E$41)</f>
        <v>1E-4</v>
      </c>
      <c r="N15" s="321">
        <f t="shared" si="2"/>
        <v>1.0000000000000001E-9</v>
      </c>
      <c r="O15" s="258">
        <f t="shared" si="3"/>
        <v>1.1737089201230472E-12</v>
      </c>
      <c r="P15" s="258">
        <f t="shared" si="4"/>
        <v>1.4671361501538089E-13</v>
      </c>
    </row>
    <row r="16" spans="1:16" s="55" customFormat="1" x14ac:dyDescent="0.2">
      <c r="A16" s="323" t="s">
        <v>300</v>
      </c>
      <c r="B16" s="323"/>
      <c r="C16" s="322" t="s">
        <v>301</v>
      </c>
      <c r="D16" s="322"/>
      <c r="E16" s="322"/>
      <c r="F16" s="322"/>
      <c r="G16" s="322"/>
      <c r="H16" s="322"/>
      <c r="I16" s="322"/>
      <c r="J16" s="322"/>
      <c r="K16" s="322"/>
      <c r="L16" s="322"/>
      <c r="M16" s="322"/>
      <c r="N16" s="322"/>
      <c r="O16" s="322"/>
      <c r="P16" s="272">
        <f t="shared" si="4"/>
        <v>0</v>
      </c>
    </row>
    <row r="17" spans="1:16" s="82" customFormat="1" ht="38.25" x14ac:dyDescent="0.2">
      <c r="A17" s="222" t="s">
        <v>302</v>
      </c>
      <c r="B17" s="261" t="s">
        <v>6</v>
      </c>
      <c r="C17" s="115" t="s">
        <v>303</v>
      </c>
      <c r="D17" s="363"/>
      <c r="E17" s="276" t="s">
        <v>63</v>
      </c>
      <c r="F17" s="261" t="s">
        <v>15</v>
      </c>
      <c r="G17" s="262">
        <f>VLOOKUP(F17,Weightings!$A$46:$B$51,2,FALSE)</f>
        <v>1.0000000000000001E-5</v>
      </c>
      <c r="H17" s="261" t="s">
        <v>15</v>
      </c>
      <c r="I17" s="261" t="s">
        <v>15</v>
      </c>
      <c r="J17" s="264">
        <f>VLOOKUP(I17,Weightings!$A$36:$B$41,2,FALSE)</f>
        <v>1E-4</v>
      </c>
      <c r="K17" s="321">
        <f t="shared" si="0"/>
        <v>1.0000000000000001E-9</v>
      </c>
      <c r="L17" s="265">
        <f t="shared" si="1"/>
        <v>1</v>
      </c>
      <c r="M17" s="321">
        <f>IF(B17=Weightings!$A$15,Weightings!$E$36)+IF(B17=Weightings!$A$16,Weightings!$E$41)+IF(B17=Weightings!$A$17,Weightings!$E$41)</f>
        <v>1E-4</v>
      </c>
      <c r="N17" s="321">
        <f t="shared" si="2"/>
        <v>1.0000000000000001E-9</v>
      </c>
      <c r="O17" s="258">
        <f t="shared" si="3"/>
        <v>1.1737089201230472E-12</v>
      </c>
      <c r="P17" s="258">
        <f t="shared" si="4"/>
        <v>1.4671361501538089E-13</v>
      </c>
    </row>
    <row r="18" spans="1:16" s="82" customFormat="1" ht="25.5" x14ac:dyDescent="0.2">
      <c r="A18" s="222" t="s">
        <v>304</v>
      </c>
      <c r="B18" s="261" t="s">
        <v>6</v>
      </c>
      <c r="C18" s="238" t="s">
        <v>305</v>
      </c>
      <c r="D18" s="363"/>
      <c r="E18" s="276" t="s">
        <v>63</v>
      </c>
      <c r="F18" s="261" t="s">
        <v>15</v>
      </c>
      <c r="G18" s="262">
        <f>VLOOKUP(F18,Weightings!$A$46:$B$51,2,FALSE)</f>
        <v>1.0000000000000001E-5</v>
      </c>
      <c r="H18" s="261" t="s">
        <v>15</v>
      </c>
      <c r="I18" s="261" t="s">
        <v>15</v>
      </c>
      <c r="J18" s="264">
        <f>VLOOKUP(I18,Weightings!$A$36:$B$41,2,FALSE)</f>
        <v>1E-4</v>
      </c>
      <c r="K18" s="321">
        <f t="shared" si="0"/>
        <v>1.0000000000000001E-9</v>
      </c>
      <c r="L18" s="265">
        <f t="shared" si="1"/>
        <v>1</v>
      </c>
      <c r="M18" s="321">
        <f>IF(B18=Weightings!$A$15,Weightings!$E$36)+IF(B18=Weightings!$A$16,Weightings!$E$41)+IF(B18=Weightings!$A$17,Weightings!$E$41)</f>
        <v>1E-4</v>
      </c>
      <c r="N18" s="321">
        <f t="shared" si="2"/>
        <v>1.0000000000000001E-9</v>
      </c>
      <c r="O18" s="258">
        <f t="shared" si="3"/>
        <v>1.1737089201230472E-12</v>
      </c>
      <c r="P18" s="258">
        <f t="shared" si="4"/>
        <v>1.4671361501538089E-13</v>
      </c>
    </row>
    <row r="19" spans="1:16" s="82" customFormat="1" ht="76.5" x14ac:dyDescent="0.2">
      <c r="A19" s="222" t="s">
        <v>306</v>
      </c>
      <c r="B19" s="261" t="s">
        <v>6</v>
      </c>
      <c r="C19" s="112" t="s">
        <v>307</v>
      </c>
      <c r="D19" s="363"/>
      <c r="E19" s="276" t="s">
        <v>63</v>
      </c>
      <c r="F19" s="261" t="s">
        <v>15</v>
      </c>
      <c r="G19" s="262">
        <f>VLOOKUP(F19,Weightings!$A$46:$B$51,2,FALSE)</f>
        <v>1.0000000000000001E-5</v>
      </c>
      <c r="H19" s="261" t="s">
        <v>15</v>
      </c>
      <c r="I19" s="261" t="s">
        <v>15</v>
      </c>
      <c r="J19" s="264">
        <f>VLOOKUP(I19,Weightings!$A$36:$B$41,2,FALSE)</f>
        <v>1E-4</v>
      </c>
      <c r="K19" s="321">
        <f t="shared" si="0"/>
        <v>1.0000000000000001E-9</v>
      </c>
      <c r="L19" s="265">
        <f t="shared" si="1"/>
        <v>1</v>
      </c>
      <c r="M19" s="321">
        <f>IF(B19=Weightings!$A$15,Weightings!$E$36)+IF(B19=Weightings!$A$16,Weightings!$E$41)+IF(B19=Weightings!$A$17,Weightings!$E$41)</f>
        <v>1E-4</v>
      </c>
      <c r="N19" s="321">
        <f t="shared" si="2"/>
        <v>1.0000000000000001E-9</v>
      </c>
      <c r="O19" s="258">
        <f t="shared" si="3"/>
        <v>1.1737089201230472E-12</v>
      </c>
      <c r="P19" s="258">
        <f t="shared" si="4"/>
        <v>1.4671361501538089E-13</v>
      </c>
    </row>
    <row r="20" spans="1:16" s="82" customFormat="1" ht="89.25" x14ac:dyDescent="0.2">
      <c r="A20" s="222" t="s">
        <v>308</v>
      </c>
      <c r="B20" s="261" t="s">
        <v>6</v>
      </c>
      <c r="C20" s="112" t="s">
        <v>309</v>
      </c>
      <c r="D20" s="363"/>
      <c r="E20" s="276" t="s">
        <v>63</v>
      </c>
      <c r="F20" s="261" t="s">
        <v>15</v>
      </c>
      <c r="G20" s="262">
        <f>VLOOKUP(F20,Weightings!$A$46:$B$51,2,FALSE)</f>
        <v>1.0000000000000001E-5</v>
      </c>
      <c r="H20" s="261" t="s">
        <v>15</v>
      </c>
      <c r="I20" s="261" t="s">
        <v>15</v>
      </c>
      <c r="J20" s="264">
        <f>VLOOKUP(I20,Weightings!$A$36:$B$41,2,FALSE)</f>
        <v>1E-4</v>
      </c>
      <c r="K20" s="321">
        <f t="shared" si="0"/>
        <v>1.0000000000000001E-9</v>
      </c>
      <c r="L20" s="265">
        <f t="shared" si="1"/>
        <v>1</v>
      </c>
      <c r="M20" s="321">
        <f>IF(B20=Weightings!$A$15,Weightings!$E$36)+IF(B20=Weightings!$A$16,Weightings!$E$41)+IF(B20=Weightings!$A$17,Weightings!$E$41)</f>
        <v>1E-4</v>
      </c>
      <c r="N20" s="321">
        <f t="shared" si="2"/>
        <v>1.0000000000000001E-9</v>
      </c>
      <c r="O20" s="258">
        <f t="shared" si="3"/>
        <v>1.1737089201230472E-12</v>
      </c>
      <c r="P20" s="258">
        <f t="shared" si="4"/>
        <v>1.4671361501538089E-13</v>
      </c>
    </row>
    <row r="21" spans="1:16" s="82" customFormat="1" ht="48.75" customHeight="1" x14ac:dyDescent="0.2">
      <c r="A21" s="222" t="s">
        <v>310</v>
      </c>
      <c r="B21" s="261" t="s">
        <v>6</v>
      </c>
      <c r="C21" s="115" t="s">
        <v>311</v>
      </c>
      <c r="D21" s="363"/>
      <c r="E21" s="276" t="s">
        <v>63</v>
      </c>
      <c r="F21" s="261" t="s">
        <v>15</v>
      </c>
      <c r="G21" s="262">
        <f>VLOOKUP(F21,Weightings!$A$46:$B$51,2,FALSE)</f>
        <v>1.0000000000000001E-5</v>
      </c>
      <c r="H21" s="261" t="s">
        <v>15</v>
      </c>
      <c r="I21" s="261" t="s">
        <v>15</v>
      </c>
      <c r="J21" s="264">
        <f>VLOOKUP(I21,Weightings!$A$36:$B$41,2,FALSE)</f>
        <v>1E-4</v>
      </c>
      <c r="K21" s="321">
        <f t="shared" si="0"/>
        <v>1.0000000000000001E-9</v>
      </c>
      <c r="L21" s="265">
        <f t="shared" si="1"/>
        <v>1</v>
      </c>
      <c r="M21" s="321">
        <f>IF(B21=Weightings!$A$15,Weightings!$E$36)+IF(B21=Weightings!$A$16,Weightings!$E$41)+IF(B21=Weightings!$A$17,Weightings!$E$41)</f>
        <v>1E-4</v>
      </c>
      <c r="N21" s="321">
        <f t="shared" si="2"/>
        <v>1.0000000000000001E-9</v>
      </c>
      <c r="O21" s="258">
        <f t="shared" si="3"/>
        <v>1.1737089201230472E-12</v>
      </c>
      <c r="P21" s="258">
        <f t="shared" si="4"/>
        <v>1.4671361501538089E-13</v>
      </c>
    </row>
    <row r="22" spans="1:16" s="82" customFormat="1" ht="25.5" x14ac:dyDescent="0.2">
      <c r="A22" s="222" t="s">
        <v>312</v>
      </c>
      <c r="B22" s="261" t="s">
        <v>8</v>
      </c>
      <c r="C22" s="239" t="s">
        <v>313</v>
      </c>
      <c r="D22" s="273"/>
      <c r="E22" s="266"/>
      <c r="F22" s="261" t="s">
        <v>47</v>
      </c>
      <c r="G22" s="262">
        <f>VLOOKUP(F22,Weightings!$A$46:$B$51,2,FALSE)</f>
        <v>8</v>
      </c>
      <c r="H22" s="261" t="s">
        <v>20</v>
      </c>
      <c r="I22" s="263" t="s">
        <v>34</v>
      </c>
      <c r="J22" s="264">
        <f>VLOOKUP(I22,Weightings!$A$36:$B$41,2,FALSE)</f>
        <v>6</v>
      </c>
      <c r="K22" s="321">
        <f t="shared" si="0"/>
        <v>48</v>
      </c>
      <c r="L22" s="265">
        <f t="shared" si="1"/>
        <v>1</v>
      </c>
      <c r="M22" s="321">
        <f>IF(B22=Weightings!$A$15,Weightings!$E$36)+IF(B22=Weightings!$A$16,Weightings!$E$41)+IF(B22=Weightings!$A$17,Weightings!$E$41)</f>
        <v>6</v>
      </c>
      <c r="N22" s="321">
        <f t="shared" si="2"/>
        <v>48</v>
      </c>
      <c r="O22" s="267">
        <f t="shared" si="3"/>
        <v>5.6338028165906259E-2</v>
      </c>
      <c r="P22" s="268">
        <f t="shared" si="4"/>
        <v>7.0422535207382824E-3</v>
      </c>
    </row>
    <row r="23" spans="1:16" s="55" customFormat="1" x14ac:dyDescent="0.2">
      <c r="A23" s="323" t="s">
        <v>314</v>
      </c>
      <c r="B23" s="323"/>
      <c r="C23" s="322" t="s">
        <v>315</v>
      </c>
      <c r="D23" s="322"/>
      <c r="E23" s="322"/>
      <c r="F23" s="322"/>
      <c r="G23" s="322"/>
      <c r="H23" s="322"/>
      <c r="I23" s="322"/>
      <c r="J23" s="322"/>
      <c r="K23" s="322"/>
      <c r="L23" s="322"/>
      <c r="M23" s="322"/>
      <c r="N23" s="322"/>
      <c r="O23" s="322"/>
      <c r="P23" s="272">
        <f t="shared" si="4"/>
        <v>0</v>
      </c>
    </row>
    <row r="24" spans="1:16" s="56" customFormat="1" ht="55.15" customHeight="1" x14ac:dyDescent="0.2">
      <c r="A24" s="222" t="s">
        <v>316</v>
      </c>
      <c r="B24" s="261" t="s">
        <v>7</v>
      </c>
      <c r="C24" s="240" t="s">
        <v>839</v>
      </c>
      <c r="D24" s="363"/>
      <c r="E24" s="271"/>
      <c r="F24" s="261" t="s">
        <v>44</v>
      </c>
      <c r="G24" s="262">
        <f>VLOOKUP(F24,Weightings!$A$46:$B$51,2,FALSE)</f>
        <v>10</v>
      </c>
      <c r="H24" s="261" t="s">
        <v>14</v>
      </c>
      <c r="I24" s="263" t="s">
        <v>34</v>
      </c>
      <c r="J24" s="264">
        <f>VLOOKUP(I24,Weightings!$A$36:$B$41,2,FALSE)</f>
        <v>6</v>
      </c>
      <c r="K24" s="321">
        <f t="shared" si="0"/>
        <v>60</v>
      </c>
      <c r="L24" s="265">
        <f t="shared" si="1"/>
        <v>1</v>
      </c>
      <c r="M24" s="321">
        <f>IF(B24=Weightings!$A$15,Weightings!$E$36)+IF(B24=Weightings!$A$16,Weightings!$E$41)+IF(B24=Weightings!$A$17,Weightings!$E$41)</f>
        <v>6</v>
      </c>
      <c r="N24" s="321">
        <f t="shared" si="2"/>
        <v>60</v>
      </c>
      <c r="O24" s="269">
        <f t="shared" si="3"/>
        <v>7.0422535207382828E-2</v>
      </c>
      <c r="P24" s="270">
        <f t="shared" si="4"/>
        <v>8.8028169009228534E-3</v>
      </c>
    </row>
    <row r="25" spans="1:16" s="56" customFormat="1" ht="76.5" x14ac:dyDescent="0.2">
      <c r="A25" s="222" t="s">
        <v>317</v>
      </c>
      <c r="B25" s="261" t="s">
        <v>6</v>
      </c>
      <c r="C25" s="112" t="s">
        <v>318</v>
      </c>
      <c r="D25" s="363"/>
      <c r="E25" s="276" t="s">
        <v>63</v>
      </c>
      <c r="F25" s="261" t="s">
        <v>15</v>
      </c>
      <c r="G25" s="262">
        <f>VLOOKUP(F25,Weightings!$A$46:$B$51,2,FALSE)</f>
        <v>1.0000000000000001E-5</v>
      </c>
      <c r="H25" s="261" t="s">
        <v>15</v>
      </c>
      <c r="I25" s="261" t="s">
        <v>15</v>
      </c>
      <c r="J25" s="264">
        <f>VLOOKUP(I25,Weightings!$A$36:$B$41,2,FALSE)</f>
        <v>1E-4</v>
      </c>
      <c r="K25" s="321">
        <f t="shared" si="0"/>
        <v>1.0000000000000001E-9</v>
      </c>
      <c r="L25" s="265">
        <f t="shared" si="1"/>
        <v>1</v>
      </c>
      <c r="M25" s="321">
        <f>IF(B25=Weightings!$A$15,Weightings!$E$36)+IF(B25=Weightings!$A$16,Weightings!$E$41)+IF(B25=Weightings!$A$17,Weightings!$E$41)</f>
        <v>1E-4</v>
      </c>
      <c r="N25" s="321">
        <f t="shared" si="2"/>
        <v>1.0000000000000001E-9</v>
      </c>
      <c r="O25" s="258">
        <f t="shared" si="3"/>
        <v>1.1737089201230472E-12</v>
      </c>
      <c r="P25" s="258">
        <f t="shared" si="4"/>
        <v>1.4671361501538089E-13</v>
      </c>
    </row>
    <row r="26" spans="1:16" s="56" customFormat="1" ht="89.25" x14ac:dyDescent="0.2">
      <c r="A26" s="222" t="s">
        <v>319</v>
      </c>
      <c r="B26" s="261" t="s">
        <v>6</v>
      </c>
      <c r="C26" s="115" t="s">
        <v>320</v>
      </c>
      <c r="D26" s="363"/>
      <c r="E26" s="276" t="s">
        <v>63</v>
      </c>
      <c r="F26" s="261" t="s">
        <v>15</v>
      </c>
      <c r="G26" s="262">
        <f>VLOOKUP(F26,Weightings!$A$46:$B$51,2,FALSE)</f>
        <v>1.0000000000000001E-5</v>
      </c>
      <c r="H26" s="261" t="s">
        <v>15</v>
      </c>
      <c r="I26" s="261" t="s">
        <v>15</v>
      </c>
      <c r="J26" s="264">
        <f>VLOOKUP(I26,Weightings!$A$36:$B$41,2,FALSE)</f>
        <v>1E-4</v>
      </c>
      <c r="K26" s="321">
        <f t="shared" si="0"/>
        <v>1.0000000000000001E-9</v>
      </c>
      <c r="L26" s="265">
        <f t="shared" si="1"/>
        <v>1</v>
      </c>
      <c r="M26" s="321">
        <f>IF(B26=Weightings!$A$15,Weightings!$E$36)+IF(B26=Weightings!$A$16,Weightings!$E$41)+IF(B26=Weightings!$A$17,Weightings!$E$41)</f>
        <v>1E-4</v>
      </c>
      <c r="N26" s="321">
        <f t="shared" si="2"/>
        <v>1.0000000000000001E-9</v>
      </c>
      <c r="O26" s="258">
        <f t="shared" si="3"/>
        <v>1.1737089201230472E-12</v>
      </c>
      <c r="P26" s="258">
        <f t="shared" si="4"/>
        <v>1.4671361501538089E-13</v>
      </c>
    </row>
    <row r="27" spans="1:16" s="56" customFormat="1" ht="30.6" customHeight="1" x14ac:dyDescent="0.2">
      <c r="A27" s="222" t="s">
        <v>321</v>
      </c>
      <c r="B27" s="261" t="s">
        <v>6</v>
      </c>
      <c r="C27" s="240" t="s">
        <v>322</v>
      </c>
      <c r="D27" s="363"/>
      <c r="E27" s="276" t="s">
        <v>63</v>
      </c>
      <c r="F27" s="261" t="s">
        <v>15</v>
      </c>
      <c r="G27" s="262">
        <f>VLOOKUP(F27,Weightings!$A$46:$B$51,2,FALSE)</f>
        <v>1.0000000000000001E-5</v>
      </c>
      <c r="H27" s="261" t="s">
        <v>15</v>
      </c>
      <c r="I27" s="261" t="s">
        <v>15</v>
      </c>
      <c r="J27" s="264">
        <f>VLOOKUP(I27,Weightings!$A$36:$B$41,2,FALSE)</f>
        <v>1E-4</v>
      </c>
      <c r="K27" s="321">
        <f t="shared" si="0"/>
        <v>1.0000000000000001E-9</v>
      </c>
      <c r="L27" s="265">
        <f t="shared" si="1"/>
        <v>1</v>
      </c>
      <c r="M27" s="321">
        <f>IF(B27=Weightings!$A$15,Weightings!$E$36)+IF(B27=Weightings!$A$16,Weightings!$E$41)+IF(B27=Weightings!$A$17,Weightings!$E$41)</f>
        <v>1E-4</v>
      </c>
      <c r="N27" s="321">
        <f t="shared" si="2"/>
        <v>1.0000000000000001E-9</v>
      </c>
      <c r="O27" s="258">
        <f t="shared" si="3"/>
        <v>1.1737089201230472E-12</v>
      </c>
      <c r="P27" s="258">
        <f t="shared" si="4"/>
        <v>1.4671361501538089E-13</v>
      </c>
    </row>
    <row r="28" spans="1:16" s="56" customFormat="1" ht="28.15" customHeight="1" x14ac:dyDescent="0.2">
      <c r="A28" s="222" t="s">
        <v>323</v>
      </c>
      <c r="B28" s="261" t="s">
        <v>6</v>
      </c>
      <c r="C28" s="237" t="s">
        <v>324</v>
      </c>
      <c r="D28" s="363"/>
      <c r="E28" s="276" t="s">
        <v>63</v>
      </c>
      <c r="F28" s="261" t="s">
        <v>15</v>
      </c>
      <c r="G28" s="262">
        <f>VLOOKUP(F28,Weightings!$A$46:$B$51,2,FALSE)</f>
        <v>1.0000000000000001E-5</v>
      </c>
      <c r="H28" s="261" t="s">
        <v>15</v>
      </c>
      <c r="I28" s="261" t="s">
        <v>15</v>
      </c>
      <c r="J28" s="264">
        <f>VLOOKUP(I28,Weightings!$A$36:$B$41,2,FALSE)</f>
        <v>1E-4</v>
      </c>
      <c r="K28" s="321">
        <f t="shared" si="0"/>
        <v>1.0000000000000001E-9</v>
      </c>
      <c r="L28" s="265">
        <f t="shared" si="1"/>
        <v>1</v>
      </c>
      <c r="M28" s="321">
        <f>IF(B28=Weightings!$A$15,Weightings!$E$36)+IF(B28=Weightings!$A$16,Weightings!$E$41)+IF(B28=Weightings!$A$17,Weightings!$E$41)</f>
        <v>1E-4</v>
      </c>
      <c r="N28" s="321">
        <f t="shared" si="2"/>
        <v>1.0000000000000001E-9</v>
      </c>
      <c r="O28" s="258">
        <f t="shared" si="3"/>
        <v>1.1737089201230472E-12</v>
      </c>
      <c r="P28" s="258">
        <f t="shared" si="4"/>
        <v>1.4671361501538089E-13</v>
      </c>
    </row>
    <row r="29" spans="1:16" s="56" customFormat="1" ht="25.5" x14ac:dyDescent="0.2">
      <c r="A29" s="222" t="s">
        <v>325</v>
      </c>
      <c r="B29" s="261" t="s">
        <v>6</v>
      </c>
      <c r="C29" s="237" t="s">
        <v>326</v>
      </c>
      <c r="D29" s="363"/>
      <c r="E29" s="276" t="s">
        <v>63</v>
      </c>
      <c r="F29" s="261" t="s">
        <v>15</v>
      </c>
      <c r="G29" s="262">
        <f>VLOOKUP(F29,Weightings!$A$46:$B$51,2,FALSE)</f>
        <v>1.0000000000000001E-5</v>
      </c>
      <c r="H29" s="261" t="s">
        <v>15</v>
      </c>
      <c r="I29" s="261" t="s">
        <v>15</v>
      </c>
      <c r="J29" s="264">
        <f>VLOOKUP(I29,Weightings!$A$36:$B$41,2,FALSE)</f>
        <v>1E-4</v>
      </c>
      <c r="K29" s="321">
        <f t="shared" si="0"/>
        <v>1.0000000000000001E-9</v>
      </c>
      <c r="L29" s="265">
        <f t="shared" si="1"/>
        <v>1</v>
      </c>
      <c r="M29" s="321">
        <f>IF(B29=Weightings!$A$15,Weightings!$E$36)+IF(B29=Weightings!$A$16,Weightings!$E$41)+IF(B29=Weightings!$A$17,Weightings!$E$41)</f>
        <v>1E-4</v>
      </c>
      <c r="N29" s="321">
        <f t="shared" si="2"/>
        <v>1.0000000000000001E-9</v>
      </c>
      <c r="O29" s="258">
        <f t="shared" si="3"/>
        <v>1.1737089201230472E-12</v>
      </c>
      <c r="P29" s="258">
        <f t="shared" si="4"/>
        <v>1.4671361501538089E-13</v>
      </c>
    </row>
    <row r="30" spans="1:16" s="56" customFormat="1" ht="31.9" customHeight="1" x14ac:dyDescent="0.2">
      <c r="A30" s="222" t="s">
        <v>327</v>
      </c>
      <c r="B30" s="261" t="s">
        <v>8</v>
      </c>
      <c r="C30" s="241" t="s">
        <v>328</v>
      </c>
      <c r="D30" s="273"/>
      <c r="E30" s="266"/>
      <c r="F30" s="261" t="s">
        <v>47</v>
      </c>
      <c r="G30" s="262">
        <f>VLOOKUP(F30,Weightings!$A$46:$B$51,2,FALSE)</f>
        <v>8</v>
      </c>
      <c r="H30" s="261" t="s">
        <v>20</v>
      </c>
      <c r="I30" s="263" t="s">
        <v>34</v>
      </c>
      <c r="J30" s="264">
        <f>VLOOKUP(I30,Weightings!$A$36:$B$41,2,FALSE)</f>
        <v>6</v>
      </c>
      <c r="K30" s="321">
        <f t="shared" ref="K30" si="5">J30*G30</f>
        <v>48</v>
      </c>
      <c r="L30" s="265">
        <f t="shared" ref="L30" si="6">IF(ISERROR(K30/N30),"n/a",K30/N30)</f>
        <v>1</v>
      </c>
      <c r="M30" s="321">
        <f>IF(B30=Weightings!$A$15,Weightings!$E$36)+IF(B30=Weightings!$A$16,Weightings!$E$41)+IF(B30=Weightings!$A$17,Weightings!$E$41)</f>
        <v>6</v>
      </c>
      <c r="N30" s="321">
        <f t="shared" ref="N30" si="7">G30*M30</f>
        <v>48</v>
      </c>
      <c r="O30" s="267">
        <f t="shared" ref="O30" si="8">IF((N30/$N$2)&gt;0,N30/$N$2,"n/a")</f>
        <v>5.6338028165906259E-2</v>
      </c>
      <c r="P30" s="268">
        <f t="shared" si="4"/>
        <v>7.0422535207382824E-3</v>
      </c>
    </row>
    <row r="31" spans="1:16" s="56" customFormat="1" ht="51" x14ac:dyDescent="0.2">
      <c r="A31" s="222" t="s">
        <v>329</v>
      </c>
      <c r="B31" s="261" t="s">
        <v>6</v>
      </c>
      <c r="C31" s="115" t="s">
        <v>330</v>
      </c>
      <c r="D31" s="363"/>
      <c r="E31" s="276" t="s">
        <v>63</v>
      </c>
      <c r="F31" s="261" t="s">
        <v>15</v>
      </c>
      <c r="G31" s="262">
        <f>VLOOKUP(F31,Weightings!$A$46:$B$51,2,FALSE)</f>
        <v>1.0000000000000001E-5</v>
      </c>
      <c r="H31" s="261" t="s">
        <v>15</v>
      </c>
      <c r="I31" s="261" t="s">
        <v>15</v>
      </c>
      <c r="J31" s="264">
        <f>VLOOKUP(I31,Weightings!$A$36:$B$41,2,FALSE)</f>
        <v>1E-4</v>
      </c>
      <c r="K31" s="321">
        <f t="shared" si="0"/>
        <v>1.0000000000000001E-9</v>
      </c>
      <c r="L31" s="265">
        <f t="shared" si="1"/>
        <v>1</v>
      </c>
      <c r="M31" s="321">
        <f>IF(B31=Weightings!$A$15,Weightings!$E$36)+IF(B31=Weightings!$A$16,Weightings!$E$41)+IF(B31=Weightings!$A$17,Weightings!$E$41)</f>
        <v>1E-4</v>
      </c>
      <c r="N31" s="321">
        <f t="shared" si="2"/>
        <v>1.0000000000000001E-9</v>
      </c>
      <c r="O31" s="258">
        <f t="shared" si="3"/>
        <v>1.1737089201230472E-12</v>
      </c>
      <c r="P31" s="258">
        <f t="shared" si="4"/>
        <v>1.4671361501538089E-13</v>
      </c>
    </row>
    <row r="32" spans="1:16" s="56" customFormat="1" ht="31.9" customHeight="1" x14ac:dyDescent="0.2">
      <c r="A32" s="222" t="s">
        <v>331</v>
      </c>
      <c r="B32" s="261" t="s">
        <v>8</v>
      </c>
      <c r="C32" s="241" t="s">
        <v>328</v>
      </c>
      <c r="D32" s="273"/>
      <c r="E32" s="266"/>
      <c r="F32" s="261" t="s">
        <v>47</v>
      </c>
      <c r="G32" s="262">
        <f>VLOOKUP(F32,Weightings!$A$46:$B$51,2,FALSE)</f>
        <v>8</v>
      </c>
      <c r="H32" s="261" t="s">
        <v>20</v>
      </c>
      <c r="I32" s="263" t="s">
        <v>34</v>
      </c>
      <c r="J32" s="264">
        <f>VLOOKUP(I32,Weightings!$A$36:$B$41,2,FALSE)</f>
        <v>6</v>
      </c>
      <c r="K32" s="321">
        <f t="shared" ref="K32" si="9">J32*G32</f>
        <v>48</v>
      </c>
      <c r="L32" s="265">
        <f t="shared" ref="L32" si="10">IF(ISERROR(K32/N32),"n/a",K32/N32)</f>
        <v>1</v>
      </c>
      <c r="M32" s="321">
        <f>IF(B32=Weightings!$A$15,Weightings!$E$36)+IF(B32=Weightings!$A$16,Weightings!$E$41)+IF(B32=Weightings!$A$17,Weightings!$E$41)</f>
        <v>6</v>
      </c>
      <c r="N32" s="321">
        <f t="shared" ref="N32" si="11">G32*M32</f>
        <v>48</v>
      </c>
      <c r="O32" s="267">
        <f t="shared" ref="O32" si="12">IF((N32/$N$2)&gt;0,N32/$N$2,"n/a")</f>
        <v>5.6338028165906259E-2</v>
      </c>
      <c r="P32" s="268">
        <f t="shared" si="4"/>
        <v>7.0422535207382824E-3</v>
      </c>
    </row>
    <row r="33" spans="1:16" s="55" customFormat="1" x14ac:dyDescent="0.2">
      <c r="A33" s="323" t="s">
        <v>332</v>
      </c>
      <c r="B33" s="242"/>
      <c r="C33" s="322" t="s">
        <v>333</v>
      </c>
      <c r="D33" s="322"/>
      <c r="E33" s="322"/>
      <c r="F33" s="322"/>
      <c r="G33" s="322"/>
      <c r="H33" s="322"/>
      <c r="I33" s="322"/>
      <c r="J33" s="322"/>
      <c r="K33" s="322"/>
      <c r="L33" s="322"/>
      <c r="M33" s="322"/>
      <c r="N33" s="322"/>
      <c r="O33" s="322"/>
      <c r="P33" s="272">
        <f t="shared" si="4"/>
        <v>0</v>
      </c>
    </row>
    <row r="34" spans="1:16" s="56" customFormat="1" ht="57.6" customHeight="1" x14ac:dyDescent="0.2">
      <c r="A34" s="222" t="s">
        <v>334</v>
      </c>
      <c r="B34" s="261" t="s">
        <v>6</v>
      </c>
      <c r="C34" s="112" t="s">
        <v>335</v>
      </c>
      <c r="D34" s="363"/>
      <c r="E34" s="276" t="s">
        <v>63</v>
      </c>
      <c r="F34" s="261" t="s">
        <v>15</v>
      </c>
      <c r="G34" s="262">
        <f>VLOOKUP(F34,Weightings!$A$46:$B$51,2,FALSE)</f>
        <v>1.0000000000000001E-5</v>
      </c>
      <c r="H34" s="261" t="s">
        <v>15</v>
      </c>
      <c r="I34" s="261" t="s">
        <v>15</v>
      </c>
      <c r="J34" s="264">
        <f>VLOOKUP(I34,Weightings!$A$36:$B$41,2,FALSE)</f>
        <v>1E-4</v>
      </c>
      <c r="K34" s="321">
        <f t="shared" si="0"/>
        <v>1.0000000000000001E-9</v>
      </c>
      <c r="L34" s="265">
        <f t="shared" si="1"/>
        <v>1</v>
      </c>
      <c r="M34" s="321">
        <f>IF(B34=Weightings!$A$15,Weightings!$E$36)+IF(B34=Weightings!$A$16,Weightings!$E$41)+IF(B34=Weightings!$A$17,Weightings!$E$41)</f>
        <v>1E-4</v>
      </c>
      <c r="N34" s="321">
        <f t="shared" si="2"/>
        <v>1.0000000000000001E-9</v>
      </c>
      <c r="O34" s="258">
        <f t="shared" si="3"/>
        <v>1.1737089201230472E-12</v>
      </c>
      <c r="P34" s="258">
        <f t="shared" si="4"/>
        <v>1.4671361501538089E-13</v>
      </c>
    </row>
    <row r="35" spans="1:16" s="56" customFormat="1" ht="102" x14ac:dyDescent="0.2">
      <c r="A35" s="222" t="s">
        <v>336</v>
      </c>
      <c r="B35" s="261" t="s">
        <v>6</v>
      </c>
      <c r="C35" s="115" t="s">
        <v>815</v>
      </c>
      <c r="D35" s="363"/>
      <c r="E35" s="276" t="s">
        <v>63</v>
      </c>
      <c r="F35" s="261" t="s">
        <v>15</v>
      </c>
      <c r="G35" s="262">
        <f>VLOOKUP(F35,Weightings!$A$46:$B$51,2,FALSE)</f>
        <v>1.0000000000000001E-5</v>
      </c>
      <c r="H35" s="261" t="s">
        <v>15</v>
      </c>
      <c r="I35" s="261" t="s">
        <v>15</v>
      </c>
      <c r="J35" s="264">
        <f>VLOOKUP(I35,Weightings!$A$36:$B$41,2,FALSE)</f>
        <v>1E-4</v>
      </c>
      <c r="K35" s="321">
        <f t="shared" si="0"/>
        <v>1.0000000000000001E-9</v>
      </c>
      <c r="L35" s="265">
        <f t="shared" si="1"/>
        <v>1</v>
      </c>
      <c r="M35" s="321">
        <f>IF(B35=Weightings!$A$15,Weightings!$E$36)+IF(B35=Weightings!$A$16,Weightings!$E$41)+IF(B35=Weightings!$A$17,Weightings!$E$41)</f>
        <v>1E-4</v>
      </c>
      <c r="N35" s="321">
        <f t="shared" si="2"/>
        <v>1.0000000000000001E-9</v>
      </c>
      <c r="O35" s="258">
        <f t="shared" si="3"/>
        <v>1.1737089201230472E-12</v>
      </c>
      <c r="P35" s="258">
        <f t="shared" si="4"/>
        <v>1.4671361501538089E-13</v>
      </c>
    </row>
    <row r="36" spans="1:16" s="56" customFormat="1" ht="33" customHeight="1" x14ac:dyDescent="0.2">
      <c r="A36" s="222" t="s">
        <v>337</v>
      </c>
      <c r="B36" s="261" t="s">
        <v>6</v>
      </c>
      <c r="C36" s="237" t="s">
        <v>338</v>
      </c>
      <c r="D36" s="363"/>
      <c r="E36" s="276" t="s">
        <v>63</v>
      </c>
      <c r="F36" s="261" t="s">
        <v>15</v>
      </c>
      <c r="G36" s="262">
        <f>VLOOKUP(F36,Weightings!$A$46:$B$51,2,FALSE)</f>
        <v>1.0000000000000001E-5</v>
      </c>
      <c r="H36" s="261" t="s">
        <v>15</v>
      </c>
      <c r="I36" s="261" t="s">
        <v>15</v>
      </c>
      <c r="J36" s="264">
        <f>VLOOKUP(I36,Weightings!$A$36:$B$41,2,FALSE)</f>
        <v>1E-4</v>
      </c>
      <c r="K36" s="321">
        <f t="shared" si="0"/>
        <v>1.0000000000000001E-9</v>
      </c>
      <c r="L36" s="265">
        <f t="shared" si="1"/>
        <v>1</v>
      </c>
      <c r="M36" s="321">
        <f>IF(B36=Weightings!$A$15,Weightings!$E$36)+IF(B36=Weightings!$A$16,Weightings!$E$41)+IF(B36=Weightings!$A$17,Weightings!$E$41)</f>
        <v>1E-4</v>
      </c>
      <c r="N36" s="321">
        <f t="shared" si="2"/>
        <v>1.0000000000000001E-9</v>
      </c>
      <c r="O36" s="258">
        <f t="shared" si="3"/>
        <v>1.1737089201230472E-12</v>
      </c>
      <c r="P36" s="258">
        <f t="shared" si="4"/>
        <v>1.4671361501538089E-13</v>
      </c>
    </row>
    <row r="37" spans="1:16" s="56" customFormat="1" ht="44.45" customHeight="1" x14ac:dyDescent="0.2">
      <c r="A37" s="222" t="s">
        <v>339</v>
      </c>
      <c r="B37" s="261" t="s">
        <v>6</v>
      </c>
      <c r="C37" s="237" t="s">
        <v>340</v>
      </c>
      <c r="D37" s="363"/>
      <c r="E37" s="276" t="s">
        <v>63</v>
      </c>
      <c r="F37" s="261" t="s">
        <v>15</v>
      </c>
      <c r="G37" s="262">
        <f>VLOOKUP(F37,Weightings!$A$46:$B$51,2,FALSE)</f>
        <v>1.0000000000000001E-5</v>
      </c>
      <c r="H37" s="261" t="s">
        <v>15</v>
      </c>
      <c r="I37" s="261" t="s">
        <v>15</v>
      </c>
      <c r="J37" s="264">
        <f>VLOOKUP(I37,Weightings!$A$36:$B$41,2,FALSE)</f>
        <v>1E-4</v>
      </c>
      <c r="K37" s="321">
        <f t="shared" si="0"/>
        <v>1.0000000000000001E-9</v>
      </c>
      <c r="L37" s="265">
        <f t="shared" si="1"/>
        <v>1</v>
      </c>
      <c r="M37" s="321">
        <f>IF(B37=Weightings!$A$15,Weightings!$E$36)+IF(B37=Weightings!$A$16,Weightings!$E$41)+IF(B37=Weightings!$A$17,Weightings!$E$41)</f>
        <v>1E-4</v>
      </c>
      <c r="N37" s="321">
        <f t="shared" si="2"/>
        <v>1.0000000000000001E-9</v>
      </c>
      <c r="O37" s="258">
        <f t="shared" si="3"/>
        <v>1.1737089201230472E-12</v>
      </c>
      <c r="P37" s="258">
        <f t="shared" si="4"/>
        <v>1.4671361501538089E-13</v>
      </c>
    </row>
    <row r="38" spans="1:16" s="56" customFormat="1" ht="30" customHeight="1" x14ac:dyDescent="0.2">
      <c r="A38" s="222" t="s">
        <v>341</v>
      </c>
      <c r="B38" s="261" t="s">
        <v>8</v>
      </c>
      <c r="C38" s="241" t="s">
        <v>328</v>
      </c>
      <c r="D38" s="273"/>
      <c r="E38" s="266"/>
      <c r="F38" s="261" t="s">
        <v>47</v>
      </c>
      <c r="G38" s="262">
        <f>VLOOKUP(F38,Weightings!$A$46:$B$51,2,FALSE)</f>
        <v>8</v>
      </c>
      <c r="H38" s="261" t="s">
        <v>20</v>
      </c>
      <c r="I38" s="263" t="s">
        <v>34</v>
      </c>
      <c r="J38" s="264">
        <f>VLOOKUP(I38,Weightings!$A$36:$B$41,2,FALSE)</f>
        <v>6</v>
      </c>
      <c r="K38" s="321">
        <f t="shared" ref="K38" si="13">J38*G38</f>
        <v>48</v>
      </c>
      <c r="L38" s="265">
        <f t="shared" ref="L38" si="14">IF(ISERROR(K38/N38),"n/a",K38/N38)</f>
        <v>1</v>
      </c>
      <c r="M38" s="321">
        <f>IF(B38=Weightings!$A$15,Weightings!$E$36)+IF(B38=Weightings!$A$16,Weightings!$E$41)+IF(B38=Weightings!$A$17,Weightings!$E$41)</f>
        <v>6</v>
      </c>
      <c r="N38" s="321">
        <f t="shared" ref="N38" si="15">G38*M38</f>
        <v>48</v>
      </c>
      <c r="O38" s="267">
        <f t="shared" ref="O38" si="16">IF((N38/$N$2)&gt;0,N38/$N$2,"n/a")</f>
        <v>5.6338028165906259E-2</v>
      </c>
      <c r="P38" s="268">
        <f t="shared" si="4"/>
        <v>7.0422535207382824E-3</v>
      </c>
    </row>
    <row r="39" spans="1:16" s="55" customFormat="1" x14ac:dyDescent="0.2">
      <c r="A39" s="323" t="s">
        <v>342</v>
      </c>
      <c r="B39" s="323"/>
      <c r="C39" s="322" t="s">
        <v>343</v>
      </c>
      <c r="D39" s="322"/>
      <c r="E39" s="322"/>
      <c r="F39" s="322"/>
      <c r="G39" s="322"/>
      <c r="H39" s="322"/>
      <c r="I39" s="322"/>
      <c r="J39" s="322"/>
      <c r="K39" s="322"/>
      <c r="L39" s="322"/>
      <c r="M39" s="322"/>
      <c r="N39" s="322"/>
      <c r="O39" s="322"/>
      <c r="P39" s="272">
        <f t="shared" si="4"/>
        <v>0</v>
      </c>
    </row>
    <row r="40" spans="1:16" s="56" customFormat="1" ht="63.75" x14ac:dyDescent="0.2">
      <c r="A40" s="222" t="s">
        <v>344</v>
      </c>
      <c r="B40" s="261" t="s">
        <v>6</v>
      </c>
      <c r="C40" s="243" t="s">
        <v>345</v>
      </c>
      <c r="D40" s="363"/>
      <c r="E40" s="276" t="s">
        <v>63</v>
      </c>
      <c r="F40" s="261" t="s">
        <v>15</v>
      </c>
      <c r="G40" s="262">
        <f>VLOOKUP(F40,Weightings!$A$46:$B$51,2,FALSE)</f>
        <v>1.0000000000000001E-5</v>
      </c>
      <c r="H40" s="261" t="s">
        <v>15</v>
      </c>
      <c r="I40" s="261" t="s">
        <v>15</v>
      </c>
      <c r="J40" s="264">
        <f>VLOOKUP(I40,Weightings!$A$36:$B$41,2,FALSE)</f>
        <v>1E-4</v>
      </c>
      <c r="K40" s="321">
        <f t="shared" si="0"/>
        <v>1.0000000000000001E-9</v>
      </c>
      <c r="L40" s="265">
        <f t="shared" si="1"/>
        <v>1</v>
      </c>
      <c r="M40" s="321">
        <f>IF(B40=Weightings!$A$15,Weightings!$E$36)+IF(B40=Weightings!$A$16,Weightings!$E$41)+IF(B40=Weightings!$A$17,Weightings!$E$41)</f>
        <v>1E-4</v>
      </c>
      <c r="N40" s="321">
        <f t="shared" si="2"/>
        <v>1.0000000000000001E-9</v>
      </c>
      <c r="O40" s="258">
        <f t="shared" si="3"/>
        <v>1.1737089201230472E-12</v>
      </c>
      <c r="P40" s="258">
        <f t="shared" si="4"/>
        <v>1.4671361501538089E-13</v>
      </c>
    </row>
    <row r="41" spans="1:16" s="56" customFormat="1" ht="38.25" x14ac:dyDescent="0.2">
      <c r="A41" s="222" t="s">
        <v>346</v>
      </c>
      <c r="B41" s="261" t="s">
        <v>6</v>
      </c>
      <c r="C41" s="110" t="s">
        <v>347</v>
      </c>
      <c r="D41" s="363"/>
      <c r="E41" s="276" t="s">
        <v>63</v>
      </c>
      <c r="F41" s="261" t="s">
        <v>15</v>
      </c>
      <c r="G41" s="262">
        <f>VLOOKUP(F41,Weightings!$A$46:$B$51,2,FALSE)</f>
        <v>1.0000000000000001E-5</v>
      </c>
      <c r="H41" s="261" t="s">
        <v>15</v>
      </c>
      <c r="I41" s="261" t="s">
        <v>15</v>
      </c>
      <c r="J41" s="264">
        <f>VLOOKUP(I41,Weightings!$A$36:$B$41,2,FALSE)</f>
        <v>1E-4</v>
      </c>
      <c r="K41" s="321">
        <f t="shared" si="0"/>
        <v>1.0000000000000001E-9</v>
      </c>
      <c r="L41" s="265">
        <f t="shared" si="1"/>
        <v>1</v>
      </c>
      <c r="M41" s="321">
        <f>IF(B41=Weightings!$A$15,Weightings!$E$36)+IF(B41=Weightings!$A$16,Weightings!$E$41)+IF(B41=Weightings!$A$17,Weightings!$E$41)</f>
        <v>1E-4</v>
      </c>
      <c r="N41" s="321">
        <f t="shared" si="2"/>
        <v>1.0000000000000001E-9</v>
      </c>
      <c r="O41" s="258">
        <f t="shared" si="3"/>
        <v>1.1737089201230472E-12</v>
      </c>
      <c r="P41" s="258">
        <f t="shared" si="4"/>
        <v>1.4671361501538089E-13</v>
      </c>
    </row>
    <row r="42" spans="1:16" s="56" customFormat="1" ht="70.900000000000006" customHeight="1" x14ac:dyDescent="0.2">
      <c r="A42" s="222" t="s">
        <v>348</v>
      </c>
      <c r="B42" s="261" t="s">
        <v>6</v>
      </c>
      <c r="C42" s="240" t="s">
        <v>349</v>
      </c>
      <c r="D42" s="363"/>
      <c r="E42" s="276" t="s">
        <v>63</v>
      </c>
      <c r="F42" s="261" t="s">
        <v>15</v>
      </c>
      <c r="G42" s="262">
        <f>VLOOKUP(F42,Weightings!$A$46:$B$51,2,FALSE)</f>
        <v>1.0000000000000001E-5</v>
      </c>
      <c r="H42" s="261" t="s">
        <v>15</v>
      </c>
      <c r="I42" s="261" t="s">
        <v>15</v>
      </c>
      <c r="J42" s="264">
        <f>VLOOKUP(I42,Weightings!$A$36:$B$41,2,FALSE)</f>
        <v>1E-4</v>
      </c>
      <c r="K42" s="321">
        <f t="shared" si="0"/>
        <v>1.0000000000000001E-9</v>
      </c>
      <c r="L42" s="265">
        <f t="shared" si="1"/>
        <v>1</v>
      </c>
      <c r="M42" s="321">
        <f>IF(B42=Weightings!$A$15,Weightings!$E$36)+IF(B42=Weightings!$A$16,Weightings!$E$41)+IF(B42=Weightings!$A$17,Weightings!$E$41)</f>
        <v>1E-4</v>
      </c>
      <c r="N42" s="321">
        <f t="shared" si="2"/>
        <v>1.0000000000000001E-9</v>
      </c>
      <c r="O42" s="258">
        <f t="shared" si="3"/>
        <v>1.1737089201230472E-12</v>
      </c>
      <c r="P42" s="258">
        <f t="shared" si="4"/>
        <v>1.4671361501538089E-13</v>
      </c>
    </row>
    <row r="43" spans="1:16" s="56" customFormat="1" ht="47.45" customHeight="1" x14ac:dyDescent="0.2">
      <c r="A43" s="222" t="s">
        <v>350</v>
      </c>
      <c r="B43" s="261" t="s">
        <v>8</v>
      </c>
      <c r="C43" s="244" t="s">
        <v>351</v>
      </c>
      <c r="D43" s="273"/>
      <c r="E43" s="266"/>
      <c r="F43" s="261" t="s">
        <v>47</v>
      </c>
      <c r="G43" s="262">
        <f>VLOOKUP(F43,Weightings!$A$46:$B$51,2,FALSE)</f>
        <v>8</v>
      </c>
      <c r="H43" s="261" t="s">
        <v>20</v>
      </c>
      <c r="I43" s="263" t="s">
        <v>34</v>
      </c>
      <c r="J43" s="264">
        <f>VLOOKUP(I43,Weightings!$A$36:$B$41,2,FALSE)</f>
        <v>6</v>
      </c>
      <c r="K43" s="321">
        <f t="shared" ref="K43" si="17">J43*G43</f>
        <v>48</v>
      </c>
      <c r="L43" s="265">
        <f t="shared" ref="L43" si="18">IF(ISERROR(K43/N43),"n/a",K43/N43)</f>
        <v>1</v>
      </c>
      <c r="M43" s="321">
        <f>IF(B43=Weightings!$A$15,Weightings!$E$36)+IF(B43=Weightings!$A$16,Weightings!$E$41)+IF(B43=Weightings!$A$17,Weightings!$E$41)</f>
        <v>6</v>
      </c>
      <c r="N43" s="321">
        <f t="shared" ref="N43" si="19">G43*M43</f>
        <v>48</v>
      </c>
      <c r="O43" s="267">
        <f t="shared" ref="O43" si="20">IF((N43/$N$2)&gt;0,N43/$N$2,"n/a")</f>
        <v>5.6338028165906259E-2</v>
      </c>
      <c r="P43" s="268">
        <f t="shared" si="4"/>
        <v>7.0422535207382824E-3</v>
      </c>
    </row>
    <row r="44" spans="1:16" s="56" customFormat="1" ht="42" customHeight="1" x14ac:dyDescent="0.2">
      <c r="A44" s="222" t="s">
        <v>352</v>
      </c>
      <c r="B44" s="261" t="s">
        <v>6</v>
      </c>
      <c r="C44" s="245" t="s">
        <v>353</v>
      </c>
      <c r="D44" s="363"/>
      <c r="E44" s="276" t="s">
        <v>63</v>
      </c>
      <c r="F44" s="261" t="s">
        <v>15</v>
      </c>
      <c r="G44" s="262">
        <f>VLOOKUP(F44,Weightings!$A$46:$B$51,2,FALSE)</f>
        <v>1.0000000000000001E-5</v>
      </c>
      <c r="H44" s="261" t="s">
        <v>15</v>
      </c>
      <c r="I44" s="261" t="s">
        <v>15</v>
      </c>
      <c r="J44" s="264">
        <f>VLOOKUP(I44,Weightings!$A$36:$B$41,2,FALSE)</f>
        <v>1E-4</v>
      </c>
      <c r="K44" s="321">
        <f t="shared" si="0"/>
        <v>1.0000000000000001E-9</v>
      </c>
      <c r="L44" s="265">
        <f t="shared" si="1"/>
        <v>1</v>
      </c>
      <c r="M44" s="321">
        <f>IF(B44=Weightings!$A$15,Weightings!$E$36)+IF(B44=Weightings!$A$16,Weightings!$E$41)+IF(B44=Weightings!$A$17,Weightings!$E$41)</f>
        <v>1E-4</v>
      </c>
      <c r="N44" s="321">
        <f t="shared" si="2"/>
        <v>1.0000000000000001E-9</v>
      </c>
      <c r="O44" s="258">
        <f t="shared" si="3"/>
        <v>1.1737089201230472E-12</v>
      </c>
      <c r="P44" s="258">
        <f t="shared" si="4"/>
        <v>1.4671361501538089E-13</v>
      </c>
    </row>
    <row r="45" spans="1:16" s="56" customFormat="1" ht="45.6" customHeight="1" x14ac:dyDescent="0.2">
      <c r="A45" s="222" t="s">
        <v>354</v>
      </c>
      <c r="B45" s="261" t="s">
        <v>6</v>
      </c>
      <c r="C45" s="238" t="s">
        <v>355</v>
      </c>
      <c r="D45" s="363"/>
      <c r="E45" s="276" t="s">
        <v>63</v>
      </c>
      <c r="F45" s="261" t="s">
        <v>15</v>
      </c>
      <c r="G45" s="262">
        <f>VLOOKUP(F45,Weightings!$A$46:$B$51,2,FALSE)</f>
        <v>1.0000000000000001E-5</v>
      </c>
      <c r="H45" s="261" t="s">
        <v>15</v>
      </c>
      <c r="I45" s="261" t="s">
        <v>15</v>
      </c>
      <c r="J45" s="264">
        <f>VLOOKUP(I45,Weightings!$A$36:$B$41,2,FALSE)</f>
        <v>1E-4</v>
      </c>
      <c r="K45" s="321">
        <f t="shared" si="0"/>
        <v>1.0000000000000001E-9</v>
      </c>
      <c r="L45" s="265">
        <f t="shared" si="1"/>
        <v>1</v>
      </c>
      <c r="M45" s="321">
        <f>IF(B45=Weightings!$A$15,Weightings!$E$36)+IF(B45=Weightings!$A$16,Weightings!$E$41)+IF(B45=Weightings!$A$17,Weightings!$E$41)</f>
        <v>1E-4</v>
      </c>
      <c r="N45" s="321">
        <f t="shared" si="2"/>
        <v>1.0000000000000001E-9</v>
      </c>
      <c r="O45" s="258">
        <f t="shared" si="3"/>
        <v>1.1737089201230472E-12</v>
      </c>
      <c r="P45" s="258">
        <f t="shared" si="4"/>
        <v>1.4671361501538089E-13</v>
      </c>
    </row>
    <row r="46" spans="1:16" s="55" customFormat="1" x14ac:dyDescent="0.2">
      <c r="A46" s="323" t="s">
        <v>356</v>
      </c>
      <c r="B46" s="323"/>
      <c r="C46" s="322" t="s">
        <v>357</v>
      </c>
      <c r="D46" s="322"/>
      <c r="E46" s="322"/>
      <c r="F46" s="322"/>
      <c r="G46" s="322"/>
      <c r="H46" s="322"/>
      <c r="I46" s="322"/>
      <c r="J46" s="322"/>
      <c r="K46" s="322"/>
      <c r="L46" s="322"/>
      <c r="M46" s="322"/>
      <c r="N46" s="322"/>
      <c r="O46" s="322"/>
      <c r="P46" s="272">
        <f t="shared" si="4"/>
        <v>0</v>
      </c>
    </row>
    <row r="47" spans="1:16" s="82" customFormat="1" ht="72.599999999999994" customHeight="1" x14ac:dyDescent="0.2">
      <c r="A47" s="222" t="s">
        <v>358</v>
      </c>
      <c r="B47" s="261" t="s">
        <v>6</v>
      </c>
      <c r="C47" s="228" t="s">
        <v>359</v>
      </c>
      <c r="D47" s="363"/>
      <c r="E47" s="276" t="s">
        <v>63</v>
      </c>
      <c r="F47" s="261" t="s">
        <v>15</v>
      </c>
      <c r="G47" s="262">
        <f>VLOOKUP(F47,Weightings!$A$46:$B$51,2,FALSE)</f>
        <v>1.0000000000000001E-5</v>
      </c>
      <c r="H47" s="261" t="s">
        <v>15</v>
      </c>
      <c r="I47" s="261" t="s">
        <v>15</v>
      </c>
      <c r="J47" s="264">
        <f>VLOOKUP(I47,Weightings!$A$36:$B$41,2,FALSE)</f>
        <v>1E-4</v>
      </c>
      <c r="K47" s="321">
        <f t="shared" si="0"/>
        <v>1.0000000000000001E-9</v>
      </c>
      <c r="L47" s="265">
        <f t="shared" si="1"/>
        <v>1</v>
      </c>
      <c r="M47" s="321">
        <f>IF(B47=Weightings!$A$15,Weightings!$E$36)+IF(B47=Weightings!$A$16,Weightings!$E$41)+IF(B47=Weightings!$A$17,Weightings!$E$41)</f>
        <v>1E-4</v>
      </c>
      <c r="N47" s="321">
        <f t="shared" si="2"/>
        <v>1.0000000000000001E-9</v>
      </c>
      <c r="O47" s="258">
        <f t="shared" si="3"/>
        <v>1.1737089201230472E-12</v>
      </c>
      <c r="P47" s="258">
        <f t="shared" si="4"/>
        <v>1.4671361501538089E-13</v>
      </c>
    </row>
    <row r="48" spans="1:16" s="83" customFormat="1" ht="29.25" customHeight="1" x14ac:dyDescent="0.2">
      <c r="A48" s="222" t="s">
        <v>360</v>
      </c>
      <c r="B48" s="261" t="s">
        <v>6</v>
      </c>
      <c r="C48" s="115" t="s">
        <v>361</v>
      </c>
      <c r="D48" s="363"/>
      <c r="E48" s="276" t="s">
        <v>63</v>
      </c>
      <c r="F48" s="261" t="s">
        <v>15</v>
      </c>
      <c r="G48" s="262">
        <f>VLOOKUP(F48,Weightings!$A$46:$B$51,2,FALSE)</f>
        <v>1.0000000000000001E-5</v>
      </c>
      <c r="H48" s="261" t="s">
        <v>15</v>
      </c>
      <c r="I48" s="261" t="s">
        <v>15</v>
      </c>
      <c r="J48" s="264">
        <f>VLOOKUP(I48,Weightings!$A$36:$B$41,2,FALSE)</f>
        <v>1E-4</v>
      </c>
      <c r="K48" s="321">
        <f t="shared" si="0"/>
        <v>1.0000000000000001E-9</v>
      </c>
      <c r="L48" s="265">
        <f t="shared" si="1"/>
        <v>1</v>
      </c>
      <c r="M48" s="321">
        <f>IF(B48=Weightings!$A$15,Weightings!$E$36)+IF(B48=Weightings!$A$16,Weightings!$E$41)+IF(B48=Weightings!$A$17,Weightings!$E$41)</f>
        <v>1E-4</v>
      </c>
      <c r="N48" s="321">
        <f t="shared" si="2"/>
        <v>1.0000000000000001E-9</v>
      </c>
      <c r="O48" s="258">
        <f t="shared" si="3"/>
        <v>1.1737089201230472E-12</v>
      </c>
      <c r="P48" s="258">
        <f t="shared" si="4"/>
        <v>1.4671361501538089E-13</v>
      </c>
    </row>
    <row r="49" spans="1:16" s="82" customFormat="1" ht="129.6" customHeight="1" x14ac:dyDescent="0.2">
      <c r="A49" s="222" t="s">
        <v>362</v>
      </c>
      <c r="B49" s="261" t="s">
        <v>7</v>
      </c>
      <c r="C49" s="230" t="s">
        <v>529</v>
      </c>
      <c r="D49" s="363"/>
      <c r="E49" s="271"/>
      <c r="F49" s="261" t="s">
        <v>44</v>
      </c>
      <c r="G49" s="262">
        <f>VLOOKUP(F49,Weightings!$A$46:$B$51,2,FALSE)</f>
        <v>10</v>
      </c>
      <c r="H49" s="261" t="s">
        <v>14</v>
      </c>
      <c r="I49" s="263" t="s">
        <v>34</v>
      </c>
      <c r="J49" s="264">
        <f>VLOOKUP(I49,Weightings!$A$36:$B$41,2,FALSE)</f>
        <v>6</v>
      </c>
      <c r="K49" s="321">
        <f t="shared" si="0"/>
        <v>60</v>
      </c>
      <c r="L49" s="265">
        <f t="shared" si="1"/>
        <v>1</v>
      </c>
      <c r="M49" s="321">
        <f>IF(B49=Weightings!$A$15,Weightings!$E$36)+IF(B49=Weightings!$A$16,Weightings!$E$41)+IF(B49=Weightings!$A$17,Weightings!$E$41)</f>
        <v>6</v>
      </c>
      <c r="N49" s="321">
        <f t="shared" si="2"/>
        <v>60</v>
      </c>
      <c r="O49" s="269">
        <f t="shared" si="3"/>
        <v>7.0422535207382828E-2</v>
      </c>
      <c r="P49" s="270">
        <f t="shared" si="4"/>
        <v>8.8028169009228534E-3</v>
      </c>
    </row>
    <row r="50" spans="1:16" s="82" customFormat="1" ht="55.9" customHeight="1" x14ac:dyDescent="0.2">
      <c r="A50" s="222" t="s">
        <v>363</v>
      </c>
      <c r="B50" s="261" t="s">
        <v>6</v>
      </c>
      <c r="C50" s="230" t="s">
        <v>364</v>
      </c>
      <c r="D50" s="363"/>
      <c r="E50" s="276" t="s">
        <v>63</v>
      </c>
      <c r="F50" s="261" t="s">
        <v>15</v>
      </c>
      <c r="G50" s="262">
        <f>VLOOKUP(F50,Weightings!$A$46:$B$51,2,FALSE)</f>
        <v>1.0000000000000001E-5</v>
      </c>
      <c r="H50" s="261" t="s">
        <v>15</v>
      </c>
      <c r="I50" s="261" t="s">
        <v>15</v>
      </c>
      <c r="J50" s="264">
        <f>VLOOKUP(I50,Weightings!$A$36:$B$41,2,FALSE)</f>
        <v>1E-4</v>
      </c>
      <c r="K50" s="321">
        <f t="shared" si="0"/>
        <v>1.0000000000000001E-9</v>
      </c>
      <c r="L50" s="265">
        <f t="shared" si="1"/>
        <v>1</v>
      </c>
      <c r="M50" s="321">
        <f>IF(B50=Weightings!$A$15,Weightings!$E$36)+IF(B50=Weightings!$A$16,Weightings!$E$41)+IF(B50=Weightings!$A$17,Weightings!$E$41)</f>
        <v>1E-4</v>
      </c>
      <c r="N50" s="321">
        <f t="shared" si="2"/>
        <v>1.0000000000000001E-9</v>
      </c>
      <c r="O50" s="258">
        <f t="shared" si="3"/>
        <v>1.1737089201230472E-12</v>
      </c>
      <c r="P50" s="258">
        <f t="shared" si="4"/>
        <v>1.4671361501538089E-13</v>
      </c>
    </row>
    <row r="51" spans="1:16" s="82" customFormat="1" ht="28.9" customHeight="1" x14ac:dyDescent="0.2">
      <c r="A51" s="222" t="s">
        <v>365</v>
      </c>
      <c r="B51" s="261" t="s">
        <v>6</v>
      </c>
      <c r="C51" s="246" t="s">
        <v>366</v>
      </c>
      <c r="D51" s="363"/>
      <c r="E51" s="276" t="s">
        <v>63</v>
      </c>
      <c r="F51" s="261" t="s">
        <v>15</v>
      </c>
      <c r="G51" s="262">
        <f>VLOOKUP(F51,Weightings!$A$46:$B$51,2,FALSE)</f>
        <v>1.0000000000000001E-5</v>
      </c>
      <c r="H51" s="261" t="s">
        <v>15</v>
      </c>
      <c r="I51" s="261" t="s">
        <v>15</v>
      </c>
      <c r="J51" s="264">
        <f>VLOOKUP(I51,Weightings!$A$36:$B$41,2,FALSE)</f>
        <v>1E-4</v>
      </c>
      <c r="K51" s="321">
        <f t="shared" si="0"/>
        <v>1.0000000000000001E-9</v>
      </c>
      <c r="L51" s="265">
        <f t="shared" si="1"/>
        <v>1</v>
      </c>
      <c r="M51" s="321">
        <f>IF(B51=Weightings!$A$15,Weightings!$E$36)+IF(B51=Weightings!$A$16,Weightings!$E$41)+IF(B51=Weightings!$A$17,Weightings!$E$41)</f>
        <v>1E-4</v>
      </c>
      <c r="N51" s="321">
        <f t="shared" si="2"/>
        <v>1.0000000000000001E-9</v>
      </c>
      <c r="O51" s="258">
        <f t="shared" si="3"/>
        <v>1.1737089201230472E-12</v>
      </c>
      <c r="P51" s="258">
        <f t="shared" si="4"/>
        <v>1.4671361501538089E-13</v>
      </c>
    </row>
    <row r="52" spans="1:16" s="83" customFormat="1" ht="83.45" customHeight="1" x14ac:dyDescent="0.2">
      <c r="A52" s="222" t="s">
        <v>367</v>
      </c>
      <c r="B52" s="261" t="s">
        <v>6</v>
      </c>
      <c r="C52" s="114" t="s">
        <v>368</v>
      </c>
      <c r="D52" s="363"/>
      <c r="E52" s="276" t="s">
        <v>63</v>
      </c>
      <c r="F52" s="261" t="s">
        <v>15</v>
      </c>
      <c r="G52" s="262">
        <f>VLOOKUP(F52,Weightings!$A$46:$B$51,2,FALSE)</f>
        <v>1.0000000000000001E-5</v>
      </c>
      <c r="H52" s="261" t="s">
        <v>15</v>
      </c>
      <c r="I52" s="261" t="s">
        <v>15</v>
      </c>
      <c r="J52" s="264">
        <f>VLOOKUP(I52,Weightings!$A$36:$B$41,2,FALSE)</f>
        <v>1E-4</v>
      </c>
      <c r="K52" s="321">
        <f t="shared" si="0"/>
        <v>1.0000000000000001E-9</v>
      </c>
      <c r="L52" s="265">
        <f t="shared" si="1"/>
        <v>1</v>
      </c>
      <c r="M52" s="321">
        <f>IF(B52=Weightings!$A$15,Weightings!$E$36)+IF(B52=Weightings!$A$16,Weightings!$E$41)+IF(B52=Weightings!$A$17,Weightings!$E$41)</f>
        <v>1E-4</v>
      </c>
      <c r="N52" s="321">
        <f t="shared" si="2"/>
        <v>1.0000000000000001E-9</v>
      </c>
      <c r="O52" s="258">
        <f t="shared" si="3"/>
        <v>1.1737089201230472E-12</v>
      </c>
      <c r="P52" s="258">
        <f t="shared" si="4"/>
        <v>1.4671361501538089E-13</v>
      </c>
    </row>
    <row r="53" spans="1:16" s="56" customFormat="1" ht="57.75" customHeight="1" x14ac:dyDescent="0.2">
      <c r="A53" s="222" t="s">
        <v>369</v>
      </c>
      <c r="B53" s="261" t="s">
        <v>8</v>
      </c>
      <c r="C53" s="225" t="s">
        <v>850</v>
      </c>
      <c r="D53" s="273"/>
      <c r="E53" s="266"/>
      <c r="F53" s="261" t="s">
        <v>47</v>
      </c>
      <c r="G53" s="262">
        <f>VLOOKUP(F53,Weightings!$A$46:$B$51,2,FALSE)</f>
        <v>8</v>
      </c>
      <c r="H53" s="261" t="s">
        <v>20</v>
      </c>
      <c r="I53" s="263" t="s">
        <v>34</v>
      </c>
      <c r="J53" s="264">
        <f>VLOOKUP(I53,Weightings!$A$36:$B$41,2,FALSE)</f>
        <v>6</v>
      </c>
      <c r="K53" s="321">
        <f t="shared" ref="K53" si="21">J53*G53</f>
        <v>48</v>
      </c>
      <c r="L53" s="265">
        <f t="shared" ref="L53" si="22">IF(ISERROR(K53/N53),"n/a",K53/N53)</f>
        <v>1</v>
      </c>
      <c r="M53" s="321">
        <f>IF(B53=Weightings!$A$15,Weightings!$E$36)+IF(B53=Weightings!$A$16,Weightings!$E$41)+IF(B53=Weightings!$A$17,Weightings!$E$41)</f>
        <v>6</v>
      </c>
      <c r="N53" s="321">
        <f t="shared" ref="N53" si="23">G53*M53</f>
        <v>48</v>
      </c>
      <c r="O53" s="267">
        <f t="shared" ref="O53" si="24">IF((N53/$N$2)&gt;0,N53/$N$2,"n/a")</f>
        <v>5.6338028165906259E-2</v>
      </c>
      <c r="P53" s="268">
        <f t="shared" si="4"/>
        <v>7.0422535207382824E-3</v>
      </c>
    </row>
    <row r="54" spans="1:16" s="82" customFormat="1" ht="63.75" x14ac:dyDescent="0.2">
      <c r="A54" s="222" t="s">
        <v>370</v>
      </c>
      <c r="B54" s="261" t="s">
        <v>6</v>
      </c>
      <c r="C54" s="246" t="s">
        <v>371</v>
      </c>
      <c r="D54" s="363"/>
      <c r="E54" s="276" t="s">
        <v>63</v>
      </c>
      <c r="F54" s="261" t="s">
        <v>15</v>
      </c>
      <c r="G54" s="262">
        <f>VLOOKUP(F54,Weightings!$A$46:$B$51,2,FALSE)</f>
        <v>1.0000000000000001E-5</v>
      </c>
      <c r="H54" s="261" t="s">
        <v>15</v>
      </c>
      <c r="I54" s="261" t="s">
        <v>15</v>
      </c>
      <c r="J54" s="264">
        <f>VLOOKUP(I54,Weightings!$A$36:$B$41,2,FALSE)</f>
        <v>1E-4</v>
      </c>
      <c r="K54" s="321">
        <f t="shared" si="0"/>
        <v>1.0000000000000001E-9</v>
      </c>
      <c r="L54" s="265">
        <f t="shared" si="1"/>
        <v>1</v>
      </c>
      <c r="M54" s="321">
        <f>IF(B54=Weightings!$A$15,Weightings!$E$36)+IF(B54=Weightings!$A$16,Weightings!$E$41)+IF(B54=Weightings!$A$17,Weightings!$E$41)</f>
        <v>1E-4</v>
      </c>
      <c r="N54" s="321">
        <f t="shared" si="2"/>
        <v>1.0000000000000001E-9</v>
      </c>
      <c r="O54" s="258">
        <f t="shared" si="3"/>
        <v>1.1737089201230472E-12</v>
      </c>
      <c r="P54" s="258">
        <f t="shared" si="4"/>
        <v>1.4671361501538089E-13</v>
      </c>
    </row>
    <row r="55" spans="1:16" s="56" customFormat="1" ht="112.15" customHeight="1" x14ac:dyDescent="0.2">
      <c r="A55" s="222" t="s">
        <v>372</v>
      </c>
      <c r="B55" s="261" t="s">
        <v>6</v>
      </c>
      <c r="C55" s="114" t="s">
        <v>373</v>
      </c>
      <c r="D55" s="363"/>
      <c r="E55" s="276" t="s">
        <v>63</v>
      </c>
      <c r="F55" s="261" t="s">
        <v>15</v>
      </c>
      <c r="G55" s="262">
        <f>VLOOKUP(F55,Weightings!$A$46:$B$51,2,FALSE)</f>
        <v>1.0000000000000001E-5</v>
      </c>
      <c r="H55" s="261" t="s">
        <v>15</v>
      </c>
      <c r="I55" s="261" t="s">
        <v>15</v>
      </c>
      <c r="J55" s="264">
        <f>VLOOKUP(I55,Weightings!$A$36:$B$41,2,FALSE)</f>
        <v>1E-4</v>
      </c>
      <c r="K55" s="321">
        <f t="shared" si="0"/>
        <v>1.0000000000000001E-9</v>
      </c>
      <c r="L55" s="265">
        <f t="shared" si="1"/>
        <v>1</v>
      </c>
      <c r="M55" s="321">
        <f>IF(B55=Weightings!$A$15,Weightings!$E$36)+IF(B55=Weightings!$A$16,Weightings!$E$41)+IF(B55=Weightings!$A$17,Weightings!$E$41)</f>
        <v>1E-4</v>
      </c>
      <c r="N55" s="321">
        <f t="shared" si="2"/>
        <v>1.0000000000000001E-9</v>
      </c>
      <c r="O55" s="258">
        <f t="shared" si="3"/>
        <v>1.1737089201230472E-12</v>
      </c>
      <c r="P55" s="258">
        <f t="shared" si="4"/>
        <v>1.4671361501538089E-13</v>
      </c>
    </row>
    <row r="56" spans="1:16" s="55" customFormat="1" x14ac:dyDescent="0.2">
      <c r="A56" s="323" t="s">
        <v>374</v>
      </c>
      <c r="B56" s="247"/>
      <c r="C56" s="322" t="s">
        <v>375</v>
      </c>
      <c r="D56" s="322"/>
      <c r="E56" s="322"/>
      <c r="F56" s="322"/>
      <c r="G56" s="322"/>
      <c r="H56" s="322"/>
      <c r="I56" s="322"/>
      <c r="J56" s="322"/>
      <c r="K56" s="322"/>
      <c r="L56" s="322"/>
      <c r="M56" s="322"/>
      <c r="N56" s="322"/>
      <c r="O56" s="322"/>
      <c r="P56" s="272">
        <f t="shared" si="4"/>
        <v>0</v>
      </c>
    </row>
    <row r="57" spans="1:16" s="56" customFormat="1" ht="72" customHeight="1" x14ac:dyDescent="0.2">
      <c r="A57" s="222" t="s">
        <v>376</v>
      </c>
      <c r="B57" s="261" t="s">
        <v>6</v>
      </c>
      <c r="C57" s="240" t="s">
        <v>377</v>
      </c>
      <c r="D57" s="363"/>
      <c r="E57" s="276" t="s">
        <v>63</v>
      </c>
      <c r="F57" s="261" t="s">
        <v>15</v>
      </c>
      <c r="G57" s="262">
        <f>VLOOKUP(F57,Weightings!$A$46:$B$51,2,FALSE)</f>
        <v>1.0000000000000001E-5</v>
      </c>
      <c r="H57" s="261" t="s">
        <v>15</v>
      </c>
      <c r="I57" s="261" t="s">
        <v>15</v>
      </c>
      <c r="J57" s="264">
        <f>VLOOKUP(I57,Weightings!$A$36:$B$41,2,FALSE)</f>
        <v>1E-4</v>
      </c>
      <c r="K57" s="321">
        <f t="shared" si="0"/>
        <v>1.0000000000000001E-9</v>
      </c>
      <c r="L57" s="265">
        <f t="shared" si="1"/>
        <v>1</v>
      </c>
      <c r="M57" s="321">
        <f>IF(B57=Weightings!$A$15,Weightings!$E$36)+IF(B57=Weightings!$A$16,Weightings!$E$41)+IF(B57=Weightings!$A$17,Weightings!$E$41)</f>
        <v>1E-4</v>
      </c>
      <c r="N57" s="321">
        <f t="shared" si="2"/>
        <v>1.0000000000000001E-9</v>
      </c>
      <c r="O57" s="258">
        <f t="shared" si="3"/>
        <v>1.1737089201230472E-12</v>
      </c>
      <c r="P57" s="258">
        <f t="shared" si="4"/>
        <v>1.4671361501538089E-13</v>
      </c>
    </row>
    <row r="58" spans="1:16" s="56" customFormat="1" ht="75.599999999999994" customHeight="1" x14ac:dyDescent="0.2">
      <c r="A58" s="222" t="s">
        <v>378</v>
      </c>
      <c r="B58" s="261" t="s">
        <v>6</v>
      </c>
      <c r="C58" s="240" t="s">
        <v>379</v>
      </c>
      <c r="D58" s="363"/>
      <c r="E58" s="276" t="s">
        <v>63</v>
      </c>
      <c r="F58" s="261" t="s">
        <v>15</v>
      </c>
      <c r="G58" s="262">
        <f>VLOOKUP(F58,Weightings!$A$46:$B$51,2,FALSE)</f>
        <v>1.0000000000000001E-5</v>
      </c>
      <c r="H58" s="261" t="s">
        <v>15</v>
      </c>
      <c r="I58" s="261" t="s">
        <v>15</v>
      </c>
      <c r="J58" s="264">
        <f>VLOOKUP(I58,Weightings!$A$36:$B$41,2,FALSE)</f>
        <v>1E-4</v>
      </c>
      <c r="K58" s="321">
        <f t="shared" si="0"/>
        <v>1.0000000000000001E-9</v>
      </c>
      <c r="L58" s="265">
        <f t="shared" si="1"/>
        <v>1</v>
      </c>
      <c r="M58" s="321">
        <f>IF(B58=Weightings!$A$15,Weightings!$E$36)+IF(B58=Weightings!$A$16,Weightings!$E$41)+IF(B58=Weightings!$A$17,Weightings!$E$41)</f>
        <v>1E-4</v>
      </c>
      <c r="N58" s="321">
        <f t="shared" si="2"/>
        <v>1.0000000000000001E-9</v>
      </c>
      <c r="O58" s="258">
        <f t="shared" si="3"/>
        <v>1.1737089201230472E-12</v>
      </c>
      <c r="P58" s="258">
        <f t="shared" si="4"/>
        <v>1.4671361501538089E-13</v>
      </c>
    </row>
    <row r="59" spans="1:16" s="56" customFormat="1" ht="63.75" x14ac:dyDescent="0.2">
      <c r="A59" s="222" t="s">
        <v>380</v>
      </c>
      <c r="B59" s="261" t="s">
        <v>8</v>
      </c>
      <c r="C59" s="248" t="s">
        <v>851</v>
      </c>
      <c r="D59" s="273"/>
      <c r="E59" s="266"/>
      <c r="F59" s="261" t="s">
        <v>47</v>
      </c>
      <c r="G59" s="262">
        <f>VLOOKUP(F59,Weightings!$A$46:$B$51,2,FALSE)</f>
        <v>8</v>
      </c>
      <c r="H59" s="261" t="s">
        <v>20</v>
      </c>
      <c r="I59" s="263" t="s">
        <v>34</v>
      </c>
      <c r="J59" s="264">
        <f>VLOOKUP(I59,Weightings!$A$36:$B$41,2,FALSE)</f>
        <v>6</v>
      </c>
      <c r="K59" s="321">
        <f t="shared" ref="K59" si="25">J59*G59</f>
        <v>48</v>
      </c>
      <c r="L59" s="265">
        <f t="shared" ref="L59" si="26">IF(ISERROR(K59/N59),"n/a",K59/N59)</f>
        <v>1</v>
      </c>
      <c r="M59" s="321">
        <f>IF(B59=Weightings!$A$15,Weightings!$E$36)+IF(B59=Weightings!$A$16,Weightings!$E$41)+IF(B59=Weightings!$A$17,Weightings!$E$41)</f>
        <v>6</v>
      </c>
      <c r="N59" s="321">
        <f t="shared" ref="N59" si="27">G59*M59</f>
        <v>48</v>
      </c>
      <c r="O59" s="267">
        <f t="shared" ref="O59" si="28">IF((N59/$N$2)&gt;0,N59/$N$2,"n/a")</f>
        <v>5.6338028165906259E-2</v>
      </c>
      <c r="P59" s="268">
        <f t="shared" si="4"/>
        <v>7.0422535207382824E-3</v>
      </c>
    </row>
    <row r="60" spans="1:16" s="55" customFormat="1" x14ac:dyDescent="0.2">
      <c r="A60" s="323" t="s">
        <v>381</v>
      </c>
      <c r="B60" s="323"/>
      <c r="C60" s="322" t="s">
        <v>382</v>
      </c>
      <c r="D60" s="322"/>
      <c r="E60" s="322"/>
      <c r="F60" s="322"/>
      <c r="G60" s="322"/>
      <c r="H60" s="322"/>
      <c r="I60" s="322"/>
      <c r="J60" s="322"/>
      <c r="K60" s="322"/>
      <c r="L60" s="322"/>
      <c r="M60" s="322"/>
      <c r="N60" s="322"/>
      <c r="O60" s="322"/>
      <c r="P60" s="272">
        <f t="shared" si="4"/>
        <v>0</v>
      </c>
    </row>
    <row r="61" spans="1:16" s="83" customFormat="1" ht="100.9" customHeight="1" x14ac:dyDescent="0.2">
      <c r="A61" s="222" t="s">
        <v>383</v>
      </c>
      <c r="B61" s="261" t="s">
        <v>6</v>
      </c>
      <c r="C61" s="116" t="s">
        <v>858</v>
      </c>
      <c r="D61" s="363"/>
      <c r="E61" s="276" t="s">
        <v>63</v>
      </c>
      <c r="F61" s="261" t="s">
        <v>15</v>
      </c>
      <c r="G61" s="262">
        <f>VLOOKUP(F61,Weightings!$A$46:$B$51,2,FALSE)</f>
        <v>1.0000000000000001E-5</v>
      </c>
      <c r="H61" s="261" t="s">
        <v>15</v>
      </c>
      <c r="I61" s="261" t="s">
        <v>15</v>
      </c>
      <c r="J61" s="264">
        <f>VLOOKUP(I61,Weightings!$A$36:$B$41,2,FALSE)</f>
        <v>1E-4</v>
      </c>
      <c r="K61" s="321">
        <f t="shared" si="0"/>
        <v>1.0000000000000001E-9</v>
      </c>
      <c r="L61" s="265">
        <f t="shared" si="1"/>
        <v>1</v>
      </c>
      <c r="M61" s="321">
        <f>IF(B61=Weightings!$A$15,Weightings!$E$36)+IF(B61=Weightings!$A$16,Weightings!$E$41)+IF(B61=Weightings!$A$17,Weightings!$E$41)</f>
        <v>1E-4</v>
      </c>
      <c r="N61" s="321">
        <f t="shared" si="2"/>
        <v>1.0000000000000001E-9</v>
      </c>
      <c r="O61" s="258">
        <f t="shared" si="3"/>
        <v>1.1737089201230472E-12</v>
      </c>
      <c r="P61" s="258">
        <f t="shared" si="4"/>
        <v>1.4671361501538089E-13</v>
      </c>
    </row>
    <row r="62" spans="1:16" s="83" customFormat="1" ht="58.9" customHeight="1" x14ac:dyDescent="0.2">
      <c r="A62" s="222" t="s">
        <v>384</v>
      </c>
      <c r="B62" s="261" t="s">
        <v>6</v>
      </c>
      <c r="C62" s="117" t="s">
        <v>385</v>
      </c>
      <c r="D62" s="363"/>
      <c r="E62" s="276" t="s">
        <v>63</v>
      </c>
      <c r="F62" s="261" t="s">
        <v>15</v>
      </c>
      <c r="G62" s="262">
        <f>VLOOKUP(F62,Weightings!$A$46:$B$51,2,FALSE)</f>
        <v>1.0000000000000001E-5</v>
      </c>
      <c r="H62" s="261" t="s">
        <v>15</v>
      </c>
      <c r="I62" s="261" t="s">
        <v>15</v>
      </c>
      <c r="J62" s="264">
        <f>VLOOKUP(I62,Weightings!$A$36:$B$41,2,FALSE)</f>
        <v>1E-4</v>
      </c>
      <c r="K62" s="321">
        <f t="shared" si="0"/>
        <v>1.0000000000000001E-9</v>
      </c>
      <c r="L62" s="265">
        <f t="shared" si="1"/>
        <v>1</v>
      </c>
      <c r="M62" s="321">
        <f>IF(B62=Weightings!$A$15,Weightings!$E$36)+IF(B62=Weightings!$A$16,Weightings!$E$41)+IF(B62=Weightings!$A$17,Weightings!$E$41)</f>
        <v>1E-4</v>
      </c>
      <c r="N62" s="321">
        <f t="shared" si="2"/>
        <v>1.0000000000000001E-9</v>
      </c>
      <c r="O62" s="258">
        <f t="shared" si="3"/>
        <v>1.1737089201230472E-12</v>
      </c>
      <c r="P62" s="258">
        <f t="shared" si="4"/>
        <v>1.4671361501538089E-13</v>
      </c>
    </row>
    <row r="63" spans="1:16" s="56" customFormat="1" ht="38.25" x14ac:dyDescent="0.2">
      <c r="A63" s="222" t="s">
        <v>386</v>
      </c>
      <c r="B63" s="261" t="s">
        <v>8</v>
      </c>
      <c r="C63" s="109" t="s">
        <v>387</v>
      </c>
      <c r="D63" s="273"/>
      <c r="E63" s="266"/>
      <c r="F63" s="261" t="s">
        <v>47</v>
      </c>
      <c r="G63" s="262">
        <f>VLOOKUP(F63,Weightings!$A$46:$B$51,2,FALSE)</f>
        <v>8</v>
      </c>
      <c r="H63" s="261" t="s">
        <v>20</v>
      </c>
      <c r="I63" s="263" t="s">
        <v>34</v>
      </c>
      <c r="J63" s="264">
        <f>VLOOKUP(I63,Weightings!$A$36:$B$41,2,FALSE)</f>
        <v>6</v>
      </c>
      <c r="K63" s="321">
        <f t="shared" ref="K63" si="29">J63*G63</f>
        <v>48</v>
      </c>
      <c r="L63" s="265">
        <f t="shared" ref="L63" si="30">IF(ISERROR(K63/N63),"n/a",K63/N63)</f>
        <v>1</v>
      </c>
      <c r="M63" s="321">
        <f>IF(B63=Weightings!$A$15,Weightings!$E$36)+IF(B63=Weightings!$A$16,Weightings!$E$41)+IF(B63=Weightings!$A$17,Weightings!$E$41)</f>
        <v>6</v>
      </c>
      <c r="N63" s="321">
        <f t="shared" ref="N63" si="31">G63*M63</f>
        <v>48</v>
      </c>
      <c r="O63" s="267">
        <f t="shared" ref="O63" si="32">IF((N63/$N$2)&gt;0,N63/$N$2,"n/a")</f>
        <v>5.6338028165906259E-2</v>
      </c>
      <c r="P63" s="268">
        <f t="shared" si="4"/>
        <v>7.0422535207382824E-3</v>
      </c>
    </row>
    <row r="64" spans="1:16" s="55" customFormat="1" x14ac:dyDescent="0.2">
      <c r="A64" s="323" t="s">
        <v>388</v>
      </c>
      <c r="B64" s="323"/>
      <c r="C64" s="322" t="s">
        <v>389</v>
      </c>
      <c r="D64" s="322"/>
      <c r="E64" s="322"/>
      <c r="F64" s="322"/>
      <c r="G64" s="322"/>
      <c r="H64" s="322"/>
      <c r="I64" s="322"/>
      <c r="J64" s="322"/>
      <c r="K64" s="322"/>
      <c r="L64" s="322"/>
      <c r="M64" s="322"/>
      <c r="N64" s="322"/>
      <c r="O64" s="322"/>
      <c r="P64" s="272">
        <f t="shared" si="4"/>
        <v>0</v>
      </c>
    </row>
    <row r="65" spans="1:16" s="83" customFormat="1" ht="66" customHeight="1" x14ac:dyDescent="0.2">
      <c r="A65" s="222" t="s">
        <v>390</v>
      </c>
      <c r="B65" s="261" t="s">
        <v>6</v>
      </c>
      <c r="C65" s="117" t="s">
        <v>816</v>
      </c>
      <c r="D65" s="363"/>
      <c r="E65" s="276" t="s">
        <v>63</v>
      </c>
      <c r="F65" s="261" t="s">
        <v>15</v>
      </c>
      <c r="G65" s="262">
        <f>VLOOKUP(F65,Weightings!$A$46:$B$51,2,FALSE)</f>
        <v>1.0000000000000001E-5</v>
      </c>
      <c r="H65" s="261" t="s">
        <v>15</v>
      </c>
      <c r="I65" s="261" t="s">
        <v>15</v>
      </c>
      <c r="J65" s="264">
        <f>VLOOKUP(I65,Weightings!$A$36:$B$41,2,FALSE)</f>
        <v>1E-4</v>
      </c>
      <c r="K65" s="321">
        <f t="shared" si="0"/>
        <v>1.0000000000000001E-9</v>
      </c>
      <c r="L65" s="265">
        <f t="shared" si="1"/>
        <v>1</v>
      </c>
      <c r="M65" s="321">
        <f>IF(B65=Weightings!$A$15,Weightings!$E$36)+IF(B65=Weightings!$A$16,Weightings!$E$41)+IF(B65=Weightings!$A$17,Weightings!$E$41)</f>
        <v>1E-4</v>
      </c>
      <c r="N65" s="321">
        <f t="shared" si="2"/>
        <v>1.0000000000000001E-9</v>
      </c>
      <c r="O65" s="258">
        <f t="shared" si="3"/>
        <v>1.1737089201230472E-12</v>
      </c>
      <c r="P65" s="258">
        <f t="shared" si="4"/>
        <v>1.4671361501538089E-13</v>
      </c>
    </row>
    <row r="66" spans="1:16" s="56" customFormat="1" ht="124.15" customHeight="1" x14ac:dyDescent="0.2">
      <c r="A66" s="222" t="s">
        <v>391</v>
      </c>
      <c r="B66" s="261" t="s">
        <v>6</v>
      </c>
      <c r="C66" s="246" t="s">
        <v>392</v>
      </c>
      <c r="D66" s="363"/>
      <c r="E66" s="276" t="s">
        <v>63</v>
      </c>
      <c r="F66" s="261" t="s">
        <v>15</v>
      </c>
      <c r="G66" s="262">
        <f>VLOOKUP(F66,Weightings!$A$46:$B$51,2,FALSE)</f>
        <v>1.0000000000000001E-5</v>
      </c>
      <c r="H66" s="261" t="s">
        <v>15</v>
      </c>
      <c r="I66" s="261" t="s">
        <v>15</v>
      </c>
      <c r="J66" s="264">
        <f>VLOOKUP(I66,Weightings!$A$36:$B$41,2,FALSE)</f>
        <v>1E-4</v>
      </c>
      <c r="K66" s="321">
        <f t="shared" si="0"/>
        <v>1.0000000000000001E-9</v>
      </c>
      <c r="L66" s="265">
        <f t="shared" si="1"/>
        <v>1</v>
      </c>
      <c r="M66" s="321">
        <f>IF(B66=Weightings!$A$15,Weightings!$E$36)+IF(B66=Weightings!$A$16,Weightings!$E$41)+IF(B66=Weightings!$A$17,Weightings!$E$41)</f>
        <v>1E-4</v>
      </c>
      <c r="N66" s="321">
        <f t="shared" si="2"/>
        <v>1.0000000000000001E-9</v>
      </c>
      <c r="O66" s="258">
        <f t="shared" si="3"/>
        <v>1.1737089201230472E-12</v>
      </c>
      <c r="P66" s="258">
        <f t="shared" si="4"/>
        <v>1.4671361501538089E-13</v>
      </c>
    </row>
    <row r="67" spans="1:16" s="55" customFormat="1" ht="25.5" x14ac:dyDescent="0.2">
      <c r="A67" s="323" t="s">
        <v>393</v>
      </c>
      <c r="B67" s="323"/>
      <c r="C67" s="322" t="s">
        <v>394</v>
      </c>
      <c r="D67" s="322"/>
      <c r="E67" s="322"/>
      <c r="F67" s="322"/>
      <c r="G67" s="322"/>
      <c r="H67" s="322"/>
      <c r="I67" s="322"/>
      <c r="J67" s="322"/>
      <c r="K67" s="322"/>
      <c r="L67" s="322"/>
      <c r="M67" s="322"/>
      <c r="N67" s="322"/>
      <c r="O67" s="322"/>
      <c r="P67" s="272">
        <f t="shared" si="4"/>
        <v>0</v>
      </c>
    </row>
    <row r="68" spans="1:16" s="56" customFormat="1" ht="114.75" x14ac:dyDescent="0.2">
      <c r="A68" s="222" t="s">
        <v>395</v>
      </c>
      <c r="B68" s="261" t="s">
        <v>6</v>
      </c>
      <c r="C68" s="114" t="s">
        <v>396</v>
      </c>
      <c r="D68" s="363"/>
      <c r="E68" s="276" t="s">
        <v>63</v>
      </c>
      <c r="F68" s="261" t="s">
        <v>15</v>
      </c>
      <c r="G68" s="262">
        <f>VLOOKUP(F68,Weightings!$A$46:$B$51,2,FALSE)</f>
        <v>1.0000000000000001E-5</v>
      </c>
      <c r="H68" s="261" t="s">
        <v>15</v>
      </c>
      <c r="I68" s="261" t="s">
        <v>15</v>
      </c>
      <c r="J68" s="264">
        <f>VLOOKUP(I68,Weightings!$A$36:$B$41,2,FALSE)</f>
        <v>1E-4</v>
      </c>
      <c r="K68" s="321">
        <f t="shared" si="0"/>
        <v>1.0000000000000001E-9</v>
      </c>
      <c r="L68" s="265">
        <f t="shared" si="1"/>
        <v>1</v>
      </c>
      <c r="M68" s="321">
        <f>IF(B68=Weightings!$A$15,Weightings!$E$36)+IF(B68=Weightings!$A$16,Weightings!$E$41)+IF(B68=Weightings!$A$17,Weightings!$E$41)</f>
        <v>1E-4</v>
      </c>
      <c r="N68" s="321">
        <f t="shared" si="2"/>
        <v>1.0000000000000001E-9</v>
      </c>
      <c r="O68" s="258">
        <f t="shared" si="3"/>
        <v>1.1737089201230472E-12</v>
      </c>
      <c r="P68" s="258">
        <f t="shared" si="4"/>
        <v>1.4671361501538089E-13</v>
      </c>
    </row>
    <row r="69" spans="1:16" s="56" customFormat="1" ht="165.75" x14ac:dyDescent="0.2">
      <c r="A69" s="222" t="s">
        <v>397</v>
      </c>
      <c r="B69" s="261" t="s">
        <v>6</v>
      </c>
      <c r="C69" s="115" t="s">
        <v>398</v>
      </c>
      <c r="D69" s="363"/>
      <c r="E69" s="276" t="s">
        <v>63</v>
      </c>
      <c r="F69" s="261" t="s">
        <v>15</v>
      </c>
      <c r="G69" s="262">
        <f>VLOOKUP(F69,Weightings!$A$46:$B$51,2,FALSE)</f>
        <v>1.0000000000000001E-5</v>
      </c>
      <c r="H69" s="261" t="s">
        <v>15</v>
      </c>
      <c r="I69" s="261" t="s">
        <v>15</v>
      </c>
      <c r="J69" s="264">
        <f>VLOOKUP(I69,Weightings!$A$36:$B$41,2,FALSE)</f>
        <v>1E-4</v>
      </c>
      <c r="K69" s="321">
        <f t="shared" si="0"/>
        <v>1.0000000000000001E-9</v>
      </c>
      <c r="L69" s="265">
        <f t="shared" si="1"/>
        <v>1</v>
      </c>
      <c r="M69" s="321">
        <f>IF(B69=Weightings!$A$15,Weightings!$E$36)+IF(B69=Weightings!$A$16,Weightings!$E$41)+IF(B69=Weightings!$A$17,Weightings!$E$41)</f>
        <v>1E-4</v>
      </c>
      <c r="N69" s="321">
        <f t="shared" si="2"/>
        <v>1.0000000000000001E-9</v>
      </c>
      <c r="O69" s="258">
        <f t="shared" si="3"/>
        <v>1.1737089201230472E-12</v>
      </c>
      <c r="P69" s="258">
        <f t="shared" si="4"/>
        <v>1.4671361501538089E-13</v>
      </c>
    </row>
    <row r="70" spans="1:16" s="56" customFormat="1" ht="54" customHeight="1" x14ac:dyDescent="0.2">
      <c r="A70" s="222" t="s">
        <v>399</v>
      </c>
      <c r="B70" s="261" t="s">
        <v>8</v>
      </c>
      <c r="C70" s="240" t="s">
        <v>852</v>
      </c>
      <c r="D70" s="273"/>
      <c r="E70" s="266"/>
      <c r="F70" s="261" t="s">
        <v>47</v>
      </c>
      <c r="G70" s="262">
        <f>VLOOKUP(F70,Weightings!$A$46:$B$51,2,FALSE)</f>
        <v>8</v>
      </c>
      <c r="H70" s="261" t="s">
        <v>20</v>
      </c>
      <c r="I70" s="263" t="s">
        <v>34</v>
      </c>
      <c r="J70" s="264">
        <f>VLOOKUP(I70,Weightings!$A$36:$B$41,2,FALSE)</f>
        <v>6</v>
      </c>
      <c r="K70" s="321">
        <f t="shared" ref="K70" si="33">J70*G70</f>
        <v>48</v>
      </c>
      <c r="L70" s="265">
        <f t="shared" ref="L70" si="34">IF(ISERROR(K70/N70),"n/a",K70/N70)</f>
        <v>1</v>
      </c>
      <c r="M70" s="321">
        <f>IF(B70=Weightings!$A$15,Weightings!$E$36)+IF(B70=Weightings!$A$16,Weightings!$E$41)+IF(B70=Weightings!$A$17,Weightings!$E$41)</f>
        <v>6</v>
      </c>
      <c r="N70" s="321">
        <f t="shared" ref="N70" si="35">G70*M70</f>
        <v>48</v>
      </c>
      <c r="O70" s="267">
        <f t="shared" ref="O70" si="36">IF((N70/$N$2)&gt;0,N70/$N$2,"n/a")</f>
        <v>5.6338028165906259E-2</v>
      </c>
      <c r="P70" s="268">
        <f t="shared" si="4"/>
        <v>7.0422535207382824E-3</v>
      </c>
    </row>
    <row r="71" spans="1:16" s="56" customFormat="1" ht="46.15" customHeight="1" x14ac:dyDescent="0.2">
      <c r="A71" s="222" t="s">
        <v>400</v>
      </c>
      <c r="B71" s="261" t="s">
        <v>6</v>
      </c>
      <c r="C71" s="115" t="s">
        <v>401</v>
      </c>
      <c r="D71" s="363"/>
      <c r="E71" s="276" t="s">
        <v>63</v>
      </c>
      <c r="F71" s="261" t="s">
        <v>15</v>
      </c>
      <c r="G71" s="262">
        <f>VLOOKUP(F71,Weightings!$A$46:$B$51,2,FALSE)</f>
        <v>1.0000000000000001E-5</v>
      </c>
      <c r="H71" s="261" t="s">
        <v>15</v>
      </c>
      <c r="I71" s="261" t="s">
        <v>15</v>
      </c>
      <c r="J71" s="264">
        <f>VLOOKUP(I71,Weightings!$A$36:$B$41,2,FALSE)</f>
        <v>1E-4</v>
      </c>
      <c r="K71" s="321">
        <f t="shared" ref="K71:K81" si="37">J71*G71</f>
        <v>1.0000000000000001E-9</v>
      </c>
      <c r="L71" s="265">
        <f t="shared" ref="L71:L81" si="38">IF(ISERROR(K71/N71),"n/a",K71/N71)</f>
        <v>1</v>
      </c>
      <c r="M71" s="321">
        <f>IF(B71=Weightings!$A$15,Weightings!$E$36)+IF(B71=Weightings!$A$16,Weightings!$E$41)+IF(B71=Weightings!$A$17,Weightings!$E$41)</f>
        <v>1E-4</v>
      </c>
      <c r="N71" s="321">
        <f t="shared" si="2"/>
        <v>1.0000000000000001E-9</v>
      </c>
      <c r="O71" s="258">
        <f t="shared" si="3"/>
        <v>1.1737089201230472E-12</v>
      </c>
      <c r="P71" s="258">
        <f t="shared" si="4"/>
        <v>1.4671361501538089E-13</v>
      </c>
    </row>
    <row r="72" spans="1:16" s="56" customFormat="1" ht="30" customHeight="1" x14ac:dyDescent="0.2">
      <c r="A72" s="222" t="s">
        <v>402</v>
      </c>
      <c r="B72" s="261" t="s">
        <v>8</v>
      </c>
      <c r="C72" s="225" t="s">
        <v>403</v>
      </c>
      <c r="D72" s="273"/>
      <c r="E72" s="266"/>
      <c r="F72" s="261" t="s">
        <v>47</v>
      </c>
      <c r="G72" s="262">
        <f>VLOOKUP(F72,Weightings!$A$46:$B$51,2,FALSE)</f>
        <v>8</v>
      </c>
      <c r="H72" s="261" t="s">
        <v>20</v>
      </c>
      <c r="I72" s="263" t="s">
        <v>34</v>
      </c>
      <c r="J72" s="264">
        <f>VLOOKUP(I72,Weightings!$A$36:$B$41,2,FALSE)</f>
        <v>6</v>
      </c>
      <c r="K72" s="321">
        <f t="shared" si="37"/>
        <v>48</v>
      </c>
      <c r="L72" s="265">
        <f t="shared" si="38"/>
        <v>1</v>
      </c>
      <c r="M72" s="321">
        <f>IF(B72=Weightings!$A$15,Weightings!$E$36)+IF(B72=Weightings!$A$16,Weightings!$E$41)+IF(B72=Weightings!$A$17,Weightings!$E$41)</f>
        <v>6</v>
      </c>
      <c r="N72" s="321">
        <f t="shared" ref="N72" si="39">G72*M72</f>
        <v>48</v>
      </c>
      <c r="O72" s="267">
        <f t="shared" ref="O72" si="40">IF((N72/$N$2)&gt;0,N72/$N$2,"n/a")</f>
        <v>5.6338028165906259E-2</v>
      </c>
      <c r="P72" s="268">
        <f t="shared" ref="P72:P81" si="41">IF(ISERROR(O72*0.125),"n/a",O72*0.125)</f>
        <v>7.0422535207382824E-3</v>
      </c>
    </row>
    <row r="73" spans="1:16" s="55" customFormat="1" ht="18" customHeight="1" x14ac:dyDescent="0.2">
      <c r="A73" s="323" t="s">
        <v>404</v>
      </c>
      <c r="B73" s="323"/>
      <c r="C73" s="322" t="s">
        <v>405</v>
      </c>
      <c r="D73" s="322"/>
      <c r="E73" s="322"/>
      <c r="F73" s="322"/>
      <c r="G73" s="322"/>
      <c r="H73" s="322"/>
      <c r="I73" s="322"/>
      <c r="J73" s="322"/>
      <c r="K73" s="322"/>
      <c r="L73" s="322"/>
      <c r="M73" s="322"/>
      <c r="N73" s="322"/>
      <c r="O73" s="322"/>
      <c r="P73" s="272">
        <f t="shared" si="41"/>
        <v>0</v>
      </c>
    </row>
    <row r="74" spans="1:16" s="56" customFormat="1" ht="44.45" customHeight="1" x14ac:dyDescent="0.2">
      <c r="A74" s="222" t="s">
        <v>406</v>
      </c>
      <c r="B74" s="261" t="s">
        <v>6</v>
      </c>
      <c r="C74" s="114" t="s">
        <v>407</v>
      </c>
      <c r="D74" s="363"/>
      <c r="E74" s="276" t="s">
        <v>63</v>
      </c>
      <c r="F74" s="261" t="s">
        <v>15</v>
      </c>
      <c r="G74" s="262">
        <f>VLOOKUP(F74,Weightings!$A$46:$B$51,2,FALSE)</f>
        <v>1.0000000000000001E-5</v>
      </c>
      <c r="H74" s="261" t="s">
        <v>15</v>
      </c>
      <c r="I74" s="261" t="s">
        <v>15</v>
      </c>
      <c r="J74" s="264">
        <f>VLOOKUP(I74,Weightings!$A$36:$B$41,2,FALSE)</f>
        <v>1E-4</v>
      </c>
      <c r="K74" s="321">
        <f t="shared" si="37"/>
        <v>1.0000000000000001E-9</v>
      </c>
      <c r="L74" s="265">
        <f t="shared" si="38"/>
        <v>1</v>
      </c>
      <c r="M74" s="321">
        <f>IF(B74=Weightings!$A$15,Weightings!$E$36)+IF(B74=Weightings!$A$16,Weightings!$E$41)+IF(B74=Weightings!$A$17,Weightings!$E$41)</f>
        <v>1E-4</v>
      </c>
      <c r="N74" s="321">
        <f t="shared" ref="N74:N81" si="42">G74*M74</f>
        <v>1.0000000000000001E-9</v>
      </c>
      <c r="O74" s="258">
        <f t="shared" ref="O74:O81" si="43">IF((N74/$N$2)&gt;0,N74/$N$2,"n/a")</f>
        <v>1.1737089201230472E-12</v>
      </c>
      <c r="P74" s="258">
        <f t="shared" si="41"/>
        <v>1.4671361501538089E-13</v>
      </c>
    </row>
    <row r="75" spans="1:16" s="56" customFormat="1" ht="57" customHeight="1" x14ac:dyDescent="0.2">
      <c r="A75" s="222" t="s">
        <v>408</v>
      </c>
      <c r="B75" s="261" t="s">
        <v>8</v>
      </c>
      <c r="C75" s="249" t="s">
        <v>853</v>
      </c>
      <c r="D75" s="273"/>
      <c r="E75" s="266"/>
      <c r="F75" s="261" t="s">
        <v>47</v>
      </c>
      <c r="G75" s="262">
        <f>VLOOKUP(F75,Weightings!$A$46:$B$51,2,FALSE)</f>
        <v>8</v>
      </c>
      <c r="H75" s="261" t="s">
        <v>20</v>
      </c>
      <c r="I75" s="263" t="s">
        <v>34</v>
      </c>
      <c r="J75" s="264">
        <f>VLOOKUP(I75,Weightings!$A$36:$B$41,2,FALSE)</f>
        <v>6</v>
      </c>
      <c r="K75" s="321">
        <f t="shared" si="37"/>
        <v>48</v>
      </c>
      <c r="L75" s="265">
        <f t="shared" si="38"/>
        <v>1</v>
      </c>
      <c r="M75" s="321">
        <f>IF(B75=Weightings!$A$15,Weightings!$E$36)+IF(B75=Weightings!$A$16,Weightings!$E$41)+IF(B75=Weightings!$A$17,Weightings!$E$41)</f>
        <v>6</v>
      </c>
      <c r="N75" s="321">
        <f t="shared" si="42"/>
        <v>48</v>
      </c>
      <c r="O75" s="267">
        <f t="shared" si="43"/>
        <v>5.6338028165906259E-2</v>
      </c>
      <c r="P75" s="268">
        <f t="shared" si="41"/>
        <v>7.0422535207382824E-3</v>
      </c>
    </row>
    <row r="76" spans="1:16" s="56" customFormat="1" ht="160.9" customHeight="1" x14ac:dyDescent="0.2">
      <c r="A76" s="222" t="s">
        <v>409</v>
      </c>
      <c r="B76" s="261" t="s">
        <v>6</v>
      </c>
      <c r="C76" s="114" t="s">
        <v>410</v>
      </c>
      <c r="D76" s="363"/>
      <c r="E76" s="276" t="s">
        <v>63</v>
      </c>
      <c r="F76" s="261" t="s">
        <v>15</v>
      </c>
      <c r="G76" s="262">
        <f>VLOOKUP(F76,Weightings!$A$46:$B$51,2,FALSE)</f>
        <v>1.0000000000000001E-5</v>
      </c>
      <c r="H76" s="261" t="s">
        <v>15</v>
      </c>
      <c r="I76" s="261" t="s">
        <v>15</v>
      </c>
      <c r="J76" s="264">
        <f>VLOOKUP(I76,Weightings!$A$36:$B$41,2,FALSE)</f>
        <v>1E-4</v>
      </c>
      <c r="K76" s="321">
        <f t="shared" si="37"/>
        <v>1.0000000000000001E-9</v>
      </c>
      <c r="L76" s="265">
        <f t="shared" si="38"/>
        <v>1</v>
      </c>
      <c r="M76" s="321">
        <f>IF(B76=Weightings!$A$15,Weightings!$E$36)+IF(B76=Weightings!$A$16,Weightings!$E$41)+IF(B76=Weightings!$A$17,Weightings!$E$41)</f>
        <v>1E-4</v>
      </c>
      <c r="N76" s="321">
        <f t="shared" si="42"/>
        <v>1.0000000000000001E-9</v>
      </c>
      <c r="O76" s="258">
        <f t="shared" si="43"/>
        <v>1.1737089201230472E-12</v>
      </c>
      <c r="P76" s="258">
        <f t="shared" si="41"/>
        <v>1.4671361501538089E-13</v>
      </c>
    </row>
    <row r="77" spans="1:16" s="56" customFormat="1" ht="25.5" x14ac:dyDescent="0.2">
      <c r="A77" s="222" t="s">
        <v>411</v>
      </c>
      <c r="B77" s="261" t="s">
        <v>8</v>
      </c>
      <c r="C77" s="250" t="s">
        <v>412</v>
      </c>
      <c r="D77" s="273"/>
      <c r="E77" s="266"/>
      <c r="F77" s="261" t="s">
        <v>47</v>
      </c>
      <c r="G77" s="262">
        <f>VLOOKUP(F77,Weightings!$A$46:$B$51,2,FALSE)</f>
        <v>8</v>
      </c>
      <c r="H77" s="261" t="s">
        <v>20</v>
      </c>
      <c r="I77" s="263" t="s">
        <v>34</v>
      </c>
      <c r="J77" s="264">
        <f>VLOOKUP(I77,Weightings!$A$36:$B$41,2,FALSE)</f>
        <v>6</v>
      </c>
      <c r="K77" s="321">
        <f t="shared" si="37"/>
        <v>48</v>
      </c>
      <c r="L77" s="265">
        <f t="shared" si="38"/>
        <v>1</v>
      </c>
      <c r="M77" s="321">
        <f>IF(B77=Weightings!$A$15,Weightings!$E$36)+IF(B77=Weightings!$A$16,Weightings!$E$41)+IF(B77=Weightings!$A$17,Weightings!$E$41)</f>
        <v>6</v>
      </c>
      <c r="N77" s="321">
        <f t="shared" si="42"/>
        <v>48</v>
      </c>
      <c r="O77" s="267">
        <f t="shared" si="43"/>
        <v>5.6338028165906259E-2</v>
      </c>
      <c r="P77" s="268">
        <f t="shared" si="41"/>
        <v>7.0422535207382824E-3</v>
      </c>
    </row>
    <row r="78" spans="1:16" s="56" customFormat="1" ht="70.900000000000006" customHeight="1" x14ac:dyDescent="0.2">
      <c r="A78" s="222" t="s">
        <v>413</v>
      </c>
      <c r="B78" s="261" t="s">
        <v>6</v>
      </c>
      <c r="C78" s="114" t="s">
        <v>414</v>
      </c>
      <c r="D78" s="363"/>
      <c r="E78" s="276" t="s">
        <v>63</v>
      </c>
      <c r="F78" s="261" t="s">
        <v>15</v>
      </c>
      <c r="G78" s="262">
        <f>VLOOKUP(F78,Weightings!$A$46:$B$51,2,FALSE)</f>
        <v>1.0000000000000001E-5</v>
      </c>
      <c r="H78" s="261" t="s">
        <v>15</v>
      </c>
      <c r="I78" s="261" t="s">
        <v>15</v>
      </c>
      <c r="J78" s="264">
        <f>VLOOKUP(I78,Weightings!$A$36:$B$41,2,FALSE)</f>
        <v>1E-4</v>
      </c>
      <c r="K78" s="321">
        <f t="shared" si="37"/>
        <v>1.0000000000000001E-9</v>
      </c>
      <c r="L78" s="265">
        <f t="shared" si="38"/>
        <v>1</v>
      </c>
      <c r="M78" s="321">
        <f>IF(B78=Weightings!$A$15,Weightings!$E$36)+IF(B78=Weightings!$A$16,Weightings!$E$41)+IF(B78=Weightings!$A$17,Weightings!$E$41)</f>
        <v>1E-4</v>
      </c>
      <c r="N78" s="321">
        <f t="shared" si="42"/>
        <v>1.0000000000000001E-9</v>
      </c>
      <c r="O78" s="258">
        <f t="shared" si="43"/>
        <v>1.1737089201230472E-12</v>
      </c>
      <c r="P78" s="258">
        <f t="shared" si="41"/>
        <v>1.4671361501538089E-13</v>
      </c>
    </row>
    <row r="79" spans="1:16" s="56" customFormat="1" ht="25.5" x14ac:dyDescent="0.2">
      <c r="A79" s="222" t="s">
        <v>415</v>
      </c>
      <c r="B79" s="261" t="s">
        <v>8</v>
      </c>
      <c r="C79" s="250" t="s">
        <v>412</v>
      </c>
      <c r="D79" s="273"/>
      <c r="E79" s="266"/>
      <c r="F79" s="261" t="s">
        <v>47</v>
      </c>
      <c r="G79" s="262">
        <f>VLOOKUP(F79,Weightings!$A$46:$B$51,2,FALSE)</f>
        <v>8</v>
      </c>
      <c r="H79" s="261" t="s">
        <v>20</v>
      </c>
      <c r="I79" s="263" t="s">
        <v>34</v>
      </c>
      <c r="J79" s="264">
        <f>VLOOKUP(I79,Weightings!$A$36:$B$41,2,FALSE)</f>
        <v>6</v>
      </c>
      <c r="K79" s="321">
        <f t="shared" si="37"/>
        <v>48</v>
      </c>
      <c r="L79" s="265">
        <f t="shared" si="38"/>
        <v>1</v>
      </c>
      <c r="M79" s="321">
        <f>IF(B79=Weightings!$A$15,Weightings!$E$36)+IF(B79=Weightings!$A$16,Weightings!$E$41)+IF(B79=Weightings!$A$17,Weightings!$E$41)</f>
        <v>6</v>
      </c>
      <c r="N79" s="321">
        <f t="shared" si="42"/>
        <v>48</v>
      </c>
      <c r="O79" s="267">
        <f t="shared" si="43"/>
        <v>5.6338028165906259E-2</v>
      </c>
      <c r="P79" s="268">
        <f t="shared" si="41"/>
        <v>7.0422535207382824E-3</v>
      </c>
    </row>
    <row r="80" spans="1:16" s="56" customFormat="1" ht="58.9" customHeight="1" x14ac:dyDescent="0.2">
      <c r="A80" s="222" t="s">
        <v>416</v>
      </c>
      <c r="B80" s="261" t="s">
        <v>6</v>
      </c>
      <c r="C80" s="114" t="s">
        <v>835</v>
      </c>
      <c r="D80" s="363"/>
      <c r="E80" s="276" t="s">
        <v>63</v>
      </c>
      <c r="F80" s="261" t="s">
        <v>15</v>
      </c>
      <c r="G80" s="262">
        <f>VLOOKUP(F80,Weightings!$A$46:$B$51,2,FALSE)</f>
        <v>1.0000000000000001E-5</v>
      </c>
      <c r="H80" s="261" t="s">
        <v>15</v>
      </c>
      <c r="I80" s="261" t="s">
        <v>15</v>
      </c>
      <c r="J80" s="264">
        <f>VLOOKUP(I80,Weightings!$A$36:$B$41,2,FALSE)</f>
        <v>1E-4</v>
      </c>
      <c r="K80" s="321">
        <f t="shared" si="37"/>
        <v>1.0000000000000001E-9</v>
      </c>
      <c r="L80" s="265">
        <f t="shared" si="38"/>
        <v>1</v>
      </c>
      <c r="M80" s="321">
        <f>IF(B80=Weightings!$A$15,Weightings!$E$36)+IF(B80=Weightings!$A$16,Weightings!$E$41)+IF(B80=Weightings!$A$17,Weightings!$E$41)</f>
        <v>1E-4</v>
      </c>
      <c r="N80" s="321">
        <f t="shared" si="42"/>
        <v>1.0000000000000001E-9</v>
      </c>
      <c r="O80" s="258">
        <f t="shared" si="43"/>
        <v>1.1737089201230472E-12</v>
      </c>
      <c r="P80" s="258">
        <f t="shared" si="41"/>
        <v>1.4671361501538089E-13</v>
      </c>
    </row>
    <row r="81" spans="1:16" s="56" customFormat="1" ht="57" customHeight="1" x14ac:dyDescent="0.2">
      <c r="A81" s="222" t="s">
        <v>417</v>
      </c>
      <c r="B81" s="261" t="s">
        <v>8</v>
      </c>
      <c r="C81" s="111" t="s">
        <v>854</v>
      </c>
      <c r="D81" s="273"/>
      <c r="E81" s="266"/>
      <c r="F81" s="261" t="s">
        <v>47</v>
      </c>
      <c r="G81" s="262">
        <f>VLOOKUP(F81,Weightings!$A$46:$B$51,2,FALSE)</f>
        <v>8</v>
      </c>
      <c r="H81" s="261" t="s">
        <v>20</v>
      </c>
      <c r="I81" s="263" t="s">
        <v>34</v>
      </c>
      <c r="J81" s="264">
        <f>VLOOKUP(I81,Weightings!$A$36:$B$41,2,FALSE)</f>
        <v>6</v>
      </c>
      <c r="K81" s="321">
        <f t="shared" si="37"/>
        <v>48</v>
      </c>
      <c r="L81" s="265">
        <f t="shared" si="38"/>
        <v>1</v>
      </c>
      <c r="M81" s="321">
        <f>IF(B81=Weightings!$A$15,Weightings!$E$36)+IF(B81=Weightings!$A$16,Weightings!$E$41)+IF(B81=Weightings!$A$17,Weightings!$E$41)</f>
        <v>6</v>
      </c>
      <c r="N81" s="321">
        <f t="shared" si="42"/>
        <v>48</v>
      </c>
      <c r="O81" s="267">
        <f t="shared" si="43"/>
        <v>5.6338028165906259E-2</v>
      </c>
      <c r="P81" s="268">
        <f t="shared" si="41"/>
        <v>7.0422535207382824E-3</v>
      </c>
    </row>
    <row r="82" spans="1:16" s="56" customFormat="1" x14ac:dyDescent="0.2">
      <c r="A82" s="232"/>
      <c r="B82" s="232"/>
      <c r="C82" s="232"/>
      <c r="D82" s="51"/>
      <c r="E82" s="251"/>
      <c r="F82" s="251"/>
      <c r="G82" s="251"/>
      <c r="H82" s="251"/>
      <c r="I82" s="251"/>
      <c r="J82" s="251"/>
      <c r="K82" s="251"/>
      <c r="L82" s="251"/>
      <c r="M82" s="251"/>
      <c r="N82" s="251"/>
    </row>
    <row r="83" spans="1:16" s="56" customFormat="1" x14ac:dyDescent="0.2">
      <c r="A83" s="232"/>
      <c r="B83" s="232"/>
      <c r="C83" s="232"/>
      <c r="D83" s="51"/>
      <c r="E83" s="251"/>
      <c r="F83" s="251"/>
      <c r="G83" s="251"/>
      <c r="H83" s="251"/>
      <c r="I83" s="251"/>
      <c r="J83" s="251"/>
      <c r="K83" s="251"/>
      <c r="L83" s="251"/>
      <c r="M83" s="251"/>
      <c r="N83" s="251"/>
    </row>
    <row r="84" spans="1:16" s="56" customFormat="1" x14ac:dyDescent="0.2">
      <c r="A84" s="232"/>
      <c r="B84" s="232"/>
      <c r="C84" s="232"/>
      <c r="D84" s="51"/>
      <c r="E84" s="251"/>
      <c r="F84" s="251"/>
      <c r="G84" s="251"/>
      <c r="H84" s="251"/>
      <c r="I84" s="251"/>
      <c r="J84" s="251"/>
      <c r="K84" s="251"/>
      <c r="L84" s="251"/>
      <c r="M84" s="251"/>
      <c r="N84" s="251"/>
    </row>
    <row r="85" spans="1:16" s="56" customFormat="1" x14ac:dyDescent="0.2">
      <c r="A85" s="232"/>
      <c r="B85" s="232"/>
      <c r="C85" s="232"/>
      <c r="D85" s="51"/>
      <c r="E85" s="251"/>
      <c r="F85" s="251"/>
      <c r="G85" s="251"/>
      <c r="H85" s="251"/>
      <c r="I85" s="251"/>
      <c r="J85" s="251"/>
      <c r="K85" s="251"/>
      <c r="L85" s="251"/>
      <c r="M85" s="251"/>
      <c r="N85" s="251"/>
    </row>
  </sheetData>
  <sheetProtection password="ED47" sheet="1" objects="1" scenarios="1" formatCells="0" formatColumns="0" formatRows="0" autoFilter="0"/>
  <autoFilter ref="A5:N81"/>
  <mergeCells count="2">
    <mergeCell ref="A1:B1"/>
    <mergeCell ref="E1:J1"/>
  </mergeCells>
  <dataValidations count="6">
    <dataValidation allowBlank="1" showDropDown="1" showInputMessage="1" showErrorMessage="1" sqref="I7 I24 I49"/>
    <dataValidation type="list" allowBlank="1" showInputMessage="1" showErrorMessage="1" sqref="D2 B5 C7 B1">
      <formula1>Spec_Compl_Adj</formula1>
    </dataValidation>
    <dataValidation type="list" allowBlank="1" showInputMessage="1" showErrorMessage="1" sqref="I77 I72 I79 I53 I70 I22 I30 I32 I75 I38 I59 I43 I63 I81">
      <formula1>Adj_Service</formula1>
    </dataValidation>
    <dataValidation type="list" allowBlank="1" showInputMessage="1" showErrorMessage="1" sqref="F77 F7 F79 F5 F49 F24 F30 F32 F70 F38 F22 F43 F75 F53 F63 F59 F72 F81">
      <formula1>Adj_Weight</formula1>
    </dataValidation>
    <dataValidation type="list" allowBlank="1" showInputMessage="1" showErrorMessage="1" sqref="H77 H7 H79 H75 H49 H24 H30 H32 H70 H38 H22 H43 H72 H53 H63 H59 H81">
      <formula1>Adj_Evidence</formula1>
    </dataValidation>
    <dataValidation type="list" allowBlank="1" showInputMessage="1" showErrorMessage="1" sqref="D68:D69 D74 D65:D66 D71 D9:D15 D17:D21 D31 D57:D58 D76 D24:D29 D34:D37 D40:D42 D44:D45 D47:D52 D61:D62 D54:D55 D78 D80">
      <formula1>"Yes,No"</formula1>
    </dataValidation>
  </dataValidations>
  <printOptions headings="1"/>
  <pageMargins left="0.70866141732283472" right="0.70866141732283472" top="0.74803149606299213" bottom="0.74803149606299213" header="0.31496062992125984" footer="0.31496062992125984"/>
  <pageSetup paperSize="9" scale="87" fitToHeight="0" orientation="landscape" r:id="rId1"/>
  <headerFooter>
    <oddHeader>&amp;A&amp;RPage &amp;P</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[2]Lists!#REF!</xm:f>
          </x14:formula1>
          <xm:sqref>B7 B9:B15 B17:B22 B68:B72 B74:B81 B24:B32 B40:B45 B47:B59 B61:B63 B65:B66 B34:B38</xm:sqref>
        </x14:dataValidation>
        <x14:dataValidation type="list" allowBlank="1" showDropDown="1" showInputMessage="1" showErrorMessage="1">
          <x14:formula1>
            <xm:f>[3]Lists!#REF!</xm:f>
          </x14:formula1>
          <xm:sqref>D22 D79 D30 D32 D81 D43 D63 D53 D59 D70 D72 D75 D77 D38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5"/>
  <sheetViews>
    <sheetView zoomScaleNormal="100" workbookViewId="0">
      <pane ySplit="5" topLeftCell="A6" activePane="bottomLeft" state="frozen"/>
      <selection activeCell="C5" sqref="C5"/>
      <selection pane="bottomLeft" activeCell="A6" sqref="A6"/>
    </sheetView>
  </sheetViews>
  <sheetFormatPr defaultColWidth="8.88671875" defaultRowHeight="12.75" x14ac:dyDescent="0.2"/>
  <cols>
    <col min="1" max="1" width="9.77734375" style="324" customWidth="1"/>
    <col min="2" max="2" width="11.109375" style="324" customWidth="1"/>
    <col min="3" max="3" width="64.109375" style="324" customWidth="1"/>
    <col min="4" max="4" width="14.77734375" style="324" customWidth="1"/>
    <col min="5" max="5" width="50.88671875" style="324" customWidth="1"/>
    <col min="6" max="6" width="9.5546875" style="324" customWidth="1"/>
    <col min="7" max="7" width="11" style="324" hidden="1" customWidth="1"/>
    <col min="8" max="8" width="9.77734375" style="324" customWidth="1"/>
    <col min="9" max="9" width="11.88671875" style="324" hidden="1" customWidth="1"/>
    <col min="10" max="11" width="13.109375" style="324" hidden="1" customWidth="1"/>
    <col min="12" max="14" width="11" style="324" hidden="1" customWidth="1"/>
    <col min="15" max="15" width="8.21875" style="324" customWidth="1"/>
    <col min="16" max="16" width="8.33203125" style="324" customWidth="1"/>
    <col min="17" max="16384" width="8.88671875" style="324"/>
  </cols>
  <sheetData>
    <row r="1" spans="1:16" ht="18" customHeight="1" x14ac:dyDescent="0.25">
      <c r="A1" s="340" t="s">
        <v>747</v>
      </c>
      <c r="B1" s="340"/>
      <c r="D1" s="327">
        <f>COUNTIF(D5:D31,"NO")</f>
        <v>0</v>
      </c>
      <c r="E1" s="341" t="s">
        <v>269</v>
      </c>
      <c r="F1" s="341"/>
      <c r="G1" s="341"/>
      <c r="H1" s="341"/>
      <c r="I1" s="341"/>
      <c r="J1" s="341"/>
    </row>
    <row r="2" spans="1:16" ht="16.149999999999999" customHeight="1" x14ac:dyDescent="0.2">
      <c r="B2" s="327">
        <f>COUNTIF(B5:B31,"Compliance Yes/No")+COUNTIF(B5:B31,"Specification")</f>
        <v>15</v>
      </c>
      <c r="D2" s="327">
        <f>COUNTIF(D5:D31,"YES")</f>
        <v>0</v>
      </c>
      <c r="F2" s="261"/>
      <c r="G2" s="262"/>
      <c r="H2" s="261"/>
      <c r="I2" s="53" t="s">
        <v>82</v>
      </c>
      <c r="J2" s="44"/>
      <c r="K2" s="45">
        <f>SUM($K$7:$K$31)</f>
        <v>144.00000001399994</v>
      </c>
      <c r="L2" s="68">
        <f>$K$2/$N$2</f>
        <v>0.70588235296136104</v>
      </c>
      <c r="M2" s="45"/>
      <c r="N2" s="45">
        <f>SUM($N$7:$N$31)</f>
        <v>204.00000001399991</v>
      </c>
      <c r="O2" s="69">
        <f>SUM($O$7:$O$31)</f>
        <v>1.0000000000000004</v>
      </c>
      <c r="P2" s="92">
        <f>SUM($P$7:$P$31)</f>
        <v>0.12500000000000006</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418</v>
      </c>
      <c r="B4" s="100"/>
      <c r="C4" s="100"/>
      <c r="D4" s="98"/>
      <c r="E4" s="67">
        <f>Introduction!B10</f>
        <v>0</v>
      </c>
      <c r="F4" s="67"/>
      <c r="G4" s="67"/>
      <c r="H4" s="67"/>
      <c r="I4" s="67"/>
      <c r="J4" s="67"/>
      <c r="K4" s="67"/>
      <c r="L4" s="67"/>
      <c r="M4" s="67"/>
      <c r="N4" s="67"/>
      <c r="O4" s="71"/>
      <c r="P4" s="71"/>
    </row>
    <row r="5" spans="1:16" s="97" customFormat="1" ht="77.25" thickBot="1" x14ac:dyDescent="0.25">
      <c r="A5" s="222"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323"/>
      <c r="C6" s="322" t="s">
        <v>146</v>
      </c>
      <c r="D6" s="323"/>
      <c r="E6" s="323"/>
      <c r="F6" s="323"/>
      <c r="G6" s="323"/>
      <c r="H6" s="323"/>
      <c r="I6" s="323"/>
      <c r="J6" s="323"/>
      <c r="K6" s="323"/>
      <c r="L6" s="323"/>
      <c r="M6" s="323"/>
      <c r="N6" s="323"/>
      <c r="O6" s="323"/>
      <c r="P6" s="326"/>
    </row>
    <row r="7" spans="1:16" s="47" customFormat="1" ht="49.9" customHeight="1" x14ac:dyDescent="0.2">
      <c r="A7" s="222" t="s">
        <v>419</v>
      </c>
      <c r="B7" s="261" t="s">
        <v>7</v>
      </c>
      <c r="C7" s="112" t="s">
        <v>187</v>
      </c>
      <c r="D7" s="275">
        <f>ROUND(COUNTIF(D9:D31,"Yes")/(B2-1),2)</f>
        <v>0</v>
      </c>
      <c r="E7" s="271"/>
      <c r="F7" s="261" t="s">
        <v>44</v>
      </c>
      <c r="G7" s="262">
        <f>VLOOKUP(F7,Weightings!$A$46:$B$51,2,FALSE)</f>
        <v>10</v>
      </c>
      <c r="H7" s="274"/>
      <c r="I7" s="263" t="s">
        <v>186</v>
      </c>
      <c r="J7" s="264">
        <f>IF(D7&gt;=0.97,6,IF(D7&gt;=0.9,4,IF(D7&gt;=0.8,2,IF(D7&gt;=0.7,1,0))))</f>
        <v>0</v>
      </c>
      <c r="K7" s="321">
        <f t="shared" ref="K7" si="0">J7*G7</f>
        <v>0</v>
      </c>
      <c r="L7" s="265">
        <f t="shared" ref="L7" si="1">IF(ISERROR(K7/N7),"n/a",K7/N7)</f>
        <v>0</v>
      </c>
      <c r="M7" s="321">
        <f>IF(B7=Weightings!$A$15,Weightings!$E$36)+IF(B7=Weightings!$A$16,Weightings!$E$41)+IF(B7=Weightings!$A$17,Weightings!$E$41)</f>
        <v>6</v>
      </c>
      <c r="N7" s="321">
        <f>G7*M7</f>
        <v>60</v>
      </c>
      <c r="O7" s="269">
        <f>IF((N7/$N$2)&gt;0,N7/$N$2,"n/a")</f>
        <v>0.29411764703863913</v>
      </c>
      <c r="P7" s="270">
        <f>IF(ISERROR(O7*0.125),"n/a",O7*0.125)</f>
        <v>3.6764705879829891E-2</v>
      </c>
    </row>
    <row r="8" spans="1:16" s="55" customFormat="1" x14ac:dyDescent="0.2">
      <c r="A8" s="323" t="s">
        <v>420</v>
      </c>
      <c r="B8" s="323"/>
      <c r="C8" s="322" t="s">
        <v>421</v>
      </c>
      <c r="D8" s="323"/>
      <c r="E8" s="323"/>
      <c r="F8" s="323"/>
      <c r="G8" s="323"/>
      <c r="H8" s="323"/>
      <c r="I8" s="323"/>
      <c r="J8" s="323"/>
      <c r="K8" s="323"/>
      <c r="L8" s="323"/>
      <c r="M8" s="323"/>
      <c r="N8" s="323"/>
      <c r="O8" s="323"/>
      <c r="P8" s="326">
        <f t="shared" ref="P8:P31" si="2">IF(ISERROR(O8*0.125),"n/a",O8*0.125)</f>
        <v>0</v>
      </c>
    </row>
    <row r="9" spans="1:16" s="224" customFormat="1" ht="55.5" customHeight="1" x14ac:dyDescent="0.2">
      <c r="A9" s="222" t="s">
        <v>422</v>
      </c>
      <c r="B9" s="261" t="s">
        <v>6</v>
      </c>
      <c r="C9" s="115" t="s">
        <v>423</v>
      </c>
      <c r="D9" s="363"/>
      <c r="E9" s="276" t="s">
        <v>63</v>
      </c>
      <c r="F9" s="261" t="s">
        <v>15</v>
      </c>
      <c r="G9" s="262">
        <f>VLOOKUP(F9,Weightings!$A$46:$B$51,2,FALSE)</f>
        <v>1.0000000000000001E-5</v>
      </c>
      <c r="H9" s="261" t="s">
        <v>15</v>
      </c>
      <c r="I9" s="261" t="s">
        <v>15</v>
      </c>
      <c r="J9" s="264">
        <f>VLOOKUP(I9,Weightings!$A$36:$B$41,2,FALSE)</f>
        <v>1E-4</v>
      </c>
      <c r="K9" s="321">
        <f t="shared" ref="K9:K31" si="3">J9*G9</f>
        <v>1.0000000000000001E-9</v>
      </c>
      <c r="L9" s="265">
        <f t="shared" ref="L9:L31" si="4">IF(ISERROR(K9/N9),"n/a",K9/N9)</f>
        <v>1</v>
      </c>
      <c r="M9" s="321">
        <f>IF(B9=Weightings!$A$15,Weightings!$E$36)+IF(B9=Weightings!$A$16,Weightings!$E$41)+IF(B9=Weightings!$A$17,Weightings!$E$41)</f>
        <v>1E-4</v>
      </c>
      <c r="N9" s="321">
        <f t="shared" ref="N9:N31" si="5">G9*M9</f>
        <v>1.0000000000000001E-9</v>
      </c>
      <c r="O9" s="258">
        <f t="shared" ref="O9:O31" si="6">IF((N9/$N$2)&gt;0,N9/$N$2,"n/a")</f>
        <v>4.9019607839773192E-12</v>
      </c>
      <c r="P9" s="258">
        <f t="shared" si="2"/>
        <v>6.127450979971649E-13</v>
      </c>
    </row>
    <row r="10" spans="1:16" s="55" customFormat="1" x14ac:dyDescent="0.2">
      <c r="A10" s="323" t="s">
        <v>424</v>
      </c>
      <c r="B10" s="323"/>
      <c r="C10" s="322" t="s">
        <v>425</v>
      </c>
      <c r="D10" s="323"/>
      <c r="E10" s="323"/>
      <c r="F10" s="323"/>
      <c r="G10" s="323"/>
      <c r="H10" s="323"/>
      <c r="I10" s="323"/>
      <c r="J10" s="323"/>
      <c r="K10" s="323"/>
      <c r="L10" s="323"/>
      <c r="M10" s="323"/>
      <c r="N10" s="323"/>
      <c r="O10" s="323"/>
      <c r="P10" s="326">
        <f t="shared" si="2"/>
        <v>0</v>
      </c>
    </row>
    <row r="11" spans="1:16" s="224" customFormat="1" ht="28.5" customHeight="1" x14ac:dyDescent="0.2">
      <c r="A11" s="222" t="s">
        <v>426</v>
      </c>
      <c r="B11" s="261" t="s">
        <v>6</v>
      </c>
      <c r="C11" s="112" t="s">
        <v>427</v>
      </c>
      <c r="D11" s="363"/>
      <c r="E11" s="276" t="s">
        <v>63</v>
      </c>
      <c r="F11" s="261" t="s">
        <v>15</v>
      </c>
      <c r="G11" s="262">
        <f>VLOOKUP(F11,Weightings!$A$46:$B$51,2,FALSE)</f>
        <v>1.0000000000000001E-5</v>
      </c>
      <c r="H11" s="261" t="s">
        <v>15</v>
      </c>
      <c r="I11" s="261" t="s">
        <v>15</v>
      </c>
      <c r="J11" s="264">
        <f>VLOOKUP(I11,Weightings!$A$36:$B$41,2,FALSE)</f>
        <v>1E-4</v>
      </c>
      <c r="K11" s="321">
        <f t="shared" si="3"/>
        <v>1.0000000000000001E-9</v>
      </c>
      <c r="L11" s="265">
        <f t="shared" si="4"/>
        <v>1</v>
      </c>
      <c r="M11" s="321">
        <f>IF(B11=Weightings!$A$15,Weightings!$E$36)+IF(B11=Weightings!$A$16,Weightings!$E$41)+IF(B11=Weightings!$A$17,Weightings!$E$41)</f>
        <v>1E-4</v>
      </c>
      <c r="N11" s="321">
        <f t="shared" si="5"/>
        <v>1.0000000000000001E-9</v>
      </c>
      <c r="O11" s="258">
        <f t="shared" si="6"/>
        <v>4.9019607839773192E-12</v>
      </c>
      <c r="P11" s="258">
        <f t="shared" si="2"/>
        <v>6.127450979971649E-13</v>
      </c>
    </row>
    <row r="12" spans="1:16" s="224" customFormat="1" ht="38.25" x14ac:dyDescent="0.2">
      <c r="A12" s="222" t="s">
        <v>428</v>
      </c>
      <c r="B12" s="222" t="s">
        <v>8</v>
      </c>
      <c r="C12" s="115" t="s">
        <v>429</v>
      </c>
      <c r="D12" s="273"/>
      <c r="E12" s="266"/>
      <c r="F12" s="261" t="s">
        <v>47</v>
      </c>
      <c r="G12" s="262">
        <f>VLOOKUP(F12,Weightings!$A$46:$B$51,2,FALSE)</f>
        <v>8</v>
      </c>
      <c r="H12" s="261" t="s">
        <v>20</v>
      </c>
      <c r="I12" s="263" t="s">
        <v>34</v>
      </c>
      <c r="J12" s="264">
        <f>VLOOKUP(I12,Weightings!$A$36:$B$41,2,FALSE)</f>
        <v>6</v>
      </c>
      <c r="K12" s="321">
        <f t="shared" si="3"/>
        <v>48</v>
      </c>
      <c r="L12" s="265">
        <f t="shared" si="4"/>
        <v>1</v>
      </c>
      <c r="M12" s="321">
        <f>IF(B12=Weightings!$A$15,Weightings!$E$36)+IF(B12=Weightings!$A$16,Weightings!$E$41)+IF(B12=Weightings!$A$17,Weightings!$E$41)</f>
        <v>6</v>
      </c>
      <c r="N12" s="321">
        <f t="shared" si="5"/>
        <v>48</v>
      </c>
      <c r="O12" s="267">
        <f t="shared" si="6"/>
        <v>0.23529411763091129</v>
      </c>
      <c r="P12" s="268">
        <f t="shared" si="2"/>
        <v>2.9411764703863912E-2</v>
      </c>
    </row>
    <row r="13" spans="1:16" s="55" customFormat="1" x14ac:dyDescent="0.2">
      <c r="A13" s="323" t="s">
        <v>430</v>
      </c>
      <c r="B13" s="323"/>
      <c r="C13" s="322" t="s">
        <v>431</v>
      </c>
      <c r="D13" s="323"/>
      <c r="E13" s="323"/>
      <c r="F13" s="323"/>
      <c r="G13" s="323"/>
      <c r="H13" s="323"/>
      <c r="I13" s="323"/>
      <c r="J13" s="323"/>
      <c r="K13" s="323"/>
      <c r="L13" s="323"/>
      <c r="M13" s="323"/>
      <c r="N13" s="323"/>
      <c r="O13" s="323"/>
      <c r="P13" s="326">
        <f t="shared" si="2"/>
        <v>0</v>
      </c>
    </row>
    <row r="14" spans="1:16" s="224" customFormat="1" ht="102" x14ac:dyDescent="0.2">
      <c r="A14" s="222" t="s">
        <v>432</v>
      </c>
      <c r="B14" s="261" t="s">
        <v>6</v>
      </c>
      <c r="C14" s="112" t="s">
        <v>433</v>
      </c>
      <c r="D14" s="363"/>
      <c r="E14" s="276" t="s">
        <v>63</v>
      </c>
      <c r="F14" s="261" t="s">
        <v>15</v>
      </c>
      <c r="G14" s="262">
        <f>VLOOKUP(F14,Weightings!$A$46:$B$51,2,FALSE)</f>
        <v>1.0000000000000001E-5</v>
      </c>
      <c r="H14" s="261" t="s">
        <v>15</v>
      </c>
      <c r="I14" s="261" t="s">
        <v>15</v>
      </c>
      <c r="J14" s="264">
        <f>VLOOKUP(I14,Weightings!$A$36:$B$41,2,FALSE)</f>
        <v>1E-4</v>
      </c>
      <c r="K14" s="321">
        <f t="shared" si="3"/>
        <v>1.0000000000000001E-9</v>
      </c>
      <c r="L14" s="265">
        <f t="shared" si="4"/>
        <v>1</v>
      </c>
      <c r="M14" s="321">
        <f>IF(B14=Weightings!$A$15,Weightings!$E$36)+IF(B14=Weightings!$A$16,Weightings!$E$41)+IF(B14=Weightings!$A$17,Weightings!$E$41)</f>
        <v>1E-4</v>
      </c>
      <c r="N14" s="321">
        <f t="shared" si="5"/>
        <v>1.0000000000000001E-9</v>
      </c>
      <c r="O14" s="258">
        <f t="shared" si="6"/>
        <v>4.9019607839773192E-12</v>
      </c>
      <c r="P14" s="258">
        <f t="shared" si="2"/>
        <v>6.127450979971649E-13</v>
      </c>
    </row>
    <row r="15" spans="1:16" s="224" customFormat="1" ht="48" customHeight="1" x14ac:dyDescent="0.2">
      <c r="A15" s="222" t="s">
        <v>434</v>
      </c>
      <c r="B15" s="261" t="s">
        <v>6</v>
      </c>
      <c r="C15" s="113" t="s">
        <v>435</v>
      </c>
      <c r="D15" s="363"/>
      <c r="E15" s="276" t="s">
        <v>63</v>
      </c>
      <c r="F15" s="261" t="s">
        <v>15</v>
      </c>
      <c r="G15" s="262">
        <f>VLOOKUP(F15,Weightings!$A$46:$B$51,2,FALSE)</f>
        <v>1.0000000000000001E-5</v>
      </c>
      <c r="H15" s="261" t="s">
        <v>15</v>
      </c>
      <c r="I15" s="261" t="s">
        <v>15</v>
      </c>
      <c r="J15" s="264">
        <f>VLOOKUP(I15,Weightings!$A$36:$B$41,2,FALSE)</f>
        <v>1E-4</v>
      </c>
      <c r="K15" s="321">
        <f t="shared" si="3"/>
        <v>1.0000000000000001E-9</v>
      </c>
      <c r="L15" s="265">
        <f t="shared" si="4"/>
        <v>1</v>
      </c>
      <c r="M15" s="321">
        <f>IF(B15=Weightings!$A$15,Weightings!$E$36)+IF(B15=Weightings!$A$16,Weightings!$E$41)+IF(B15=Weightings!$A$17,Weightings!$E$41)</f>
        <v>1E-4</v>
      </c>
      <c r="N15" s="321">
        <f t="shared" si="5"/>
        <v>1.0000000000000001E-9</v>
      </c>
      <c r="O15" s="258">
        <f t="shared" si="6"/>
        <v>4.9019607839773192E-12</v>
      </c>
      <c r="P15" s="258">
        <f t="shared" si="2"/>
        <v>6.127450979971649E-13</v>
      </c>
    </row>
    <row r="16" spans="1:16" s="224" customFormat="1" ht="51" x14ac:dyDescent="0.2">
      <c r="A16" s="222" t="s">
        <v>436</v>
      </c>
      <c r="B16" s="261" t="s">
        <v>6</v>
      </c>
      <c r="C16" s="112" t="s">
        <v>437</v>
      </c>
      <c r="D16" s="363"/>
      <c r="E16" s="276" t="s">
        <v>63</v>
      </c>
      <c r="F16" s="261" t="s">
        <v>15</v>
      </c>
      <c r="G16" s="262">
        <f>VLOOKUP(F16,Weightings!$A$46:$B$51,2,FALSE)</f>
        <v>1.0000000000000001E-5</v>
      </c>
      <c r="H16" s="261" t="s">
        <v>15</v>
      </c>
      <c r="I16" s="261" t="s">
        <v>15</v>
      </c>
      <c r="J16" s="264">
        <f>VLOOKUP(I16,Weightings!$A$36:$B$41,2,FALSE)</f>
        <v>1E-4</v>
      </c>
      <c r="K16" s="321">
        <f t="shared" si="3"/>
        <v>1.0000000000000001E-9</v>
      </c>
      <c r="L16" s="265">
        <f t="shared" si="4"/>
        <v>1</v>
      </c>
      <c r="M16" s="321">
        <f>IF(B16=Weightings!$A$15,Weightings!$E$36)+IF(B16=Weightings!$A$16,Weightings!$E$41)+IF(B16=Weightings!$A$17,Weightings!$E$41)</f>
        <v>1E-4</v>
      </c>
      <c r="N16" s="321">
        <f t="shared" si="5"/>
        <v>1.0000000000000001E-9</v>
      </c>
      <c r="O16" s="258">
        <f t="shared" si="6"/>
        <v>4.9019607839773192E-12</v>
      </c>
      <c r="P16" s="258">
        <f t="shared" si="2"/>
        <v>6.127450979971649E-13</v>
      </c>
    </row>
    <row r="17" spans="1:16" s="224" customFormat="1" ht="30" customHeight="1" x14ac:dyDescent="0.2">
      <c r="A17" s="222" t="s">
        <v>438</v>
      </c>
      <c r="B17" s="222" t="s">
        <v>8</v>
      </c>
      <c r="C17" s="223" t="s">
        <v>439</v>
      </c>
      <c r="D17" s="273"/>
      <c r="E17" s="266"/>
      <c r="F17" s="261" t="s">
        <v>47</v>
      </c>
      <c r="G17" s="262">
        <f>VLOOKUP(F17,Weightings!$A$46:$B$51,2,FALSE)</f>
        <v>8</v>
      </c>
      <c r="H17" s="261" t="s">
        <v>20</v>
      </c>
      <c r="I17" s="263" t="s">
        <v>34</v>
      </c>
      <c r="J17" s="264">
        <f>VLOOKUP(I17,Weightings!$A$36:$B$41,2,FALSE)</f>
        <v>6</v>
      </c>
      <c r="K17" s="321">
        <f t="shared" ref="K17" si="7">J17*G17</f>
        <v>48</v>
      </c>
      <c r="L17" s="265">
        <f t="shared" ref="L17" si="8">IF(ISERROR(K17/N17),"n/a",K17/N17)</f>
        <v>1</v>
      </c>
      <c r="M17" s="321">
        <f>IF(B17=Weightings!$A$15,Weightings!$E$36)+IF(B17=Weightings!$A$16,Weightings!$E$41)+IF(B17=Weightings!$A$17,Weightings!$E$41)</f>
        <v>6</v>
      </c>
      <c r="N17" s="321">
        <f t="shared" ref="N17" si="9">G17*M17</f>
        <v>48</v>
      </c>
      <c r="O17" s="267">
        <f t="shared" ref="O17" si="10">IF((N17/$N$2)&gt;0,N17/$N$2,"n/a")</f>
        <v>0.23529411763091129</v>
      </c>
      <c r="P17" s="268">
        <f t="shared" si="2"/>
        <v>2.9411764703863912E-2</v>
      </c>
    </row>
    <row r="18" spans="1:16" s="83" customFormat="1" ht="43.15" customHeight="1" x14ac:dyDescent="0.2">
      <c r="A18" s="222" t="s">
        <v>440</v>
      </c>
      <c r="B18" s="261" t="s">
        <v>6</v>
      </c>
      <c r="C18" s="112" t="s">
        <v>441</v>
      </c>
      <c r="D18" s="363"/>
      <c r="E18" s="276" t="s">
        <v>63</v>
      </c>
      <c r="F18" s="261" t="s">
        <v>15</v>
      </c>
      <c r="G18" s="262">
        <f>VLOOKUP(F18,Weightings!$A$46:$B$51,2,FALSE)</f>
        <v>1.0000000000000001E-5</v>
      </c>
      <c r="H18" s="261" t="s">
        <v>15</v>
      </c>
      <c r="I18" s="261" t="s">
        <v>15</v>
      </c>
      <c r="J18" s="264">
        <f>VLOOKUP(I18,Weightings!$A$36:$B$41,2,FALSE)</f>
        <v>1E-4</v>
      </c>
      <c r="K18" s="321">
        <f t="shared" si="3"/>
        <v>1.0000000000000001E-9</v>
      </c>
      <c r="L18" s="265">
        <f t="shared" si="4"/>
        <v>1</v>
      </c>
      <c r="M18" s="321">
        <f>IF(B18=Weightings!$A$15,Weightings!$E$36)+IF(B18=Weightings!$A$16,Weightings!$E$41)+IF(B18=Weightings!$A$17,Weightings!$E$41)</f>
        <v>1E-4</v>
      </c>
      <c r="N18" s="321">
        <f t="shared" si="5"/>
        <v>1.0000000000000001E-9</v>
      </c>
      <c r="O18" s="258">
        <f t="shared" si="6"/>
        <v>4.9019607839773192E-12</v>
      </c>
      <c r="P18" s="258">
        <f t="shared" si="2"/>
        <v>6.127450979971649E-13</v>
      </c>
    </row>
    <row r="19" spans="1:16" s="224" customFormat="1" ht="46.9" customHeight="1" x14ac:dyDescent="0.2">
      <c r="A19" s="222" t="s">
        <v>442</v>
      </c>
      <c r="B19" s="261" t="s">
        <v>6</v>
      </c>
      <c r="C19" s="119" t="s">
        <v>532</v>
      </c>
      <c r="D19" s="363"/>
      <c r="E19" s="276" t="s">
        <v>63</v>
      </c>
      <c r="F19" s="261" t="s">
        <v>15</v>
      </c>
      <c r="G19" s="262">
        <f>VLOOKUP(F19,Weightings!$A$46:$B$51,2,FALSE)</f>
        <v>1.0000000000000001E-5</v>
      </c>
      <c r="H19" s="261" t="s">
        <v>15</v>
      </c>
      <c r="I19" s="261" t="s">
        <v>15</v>
      </c>
      <c r="J19" s="264">
        <f>VLOOKUP(I19,Weightings!$A$36:$B$41,2,FALSE)</f>
        <v>1E-4</v>
      </c>
      <c r="K19" s="321">
        <f t="shared" si="3"/>
        <v>1.0000000000000001E-9</v>
      </c>
      <c r="L19" s="265">
        <f t="shared" si="4"/>
        <v>1</v>
      </c>
      <c r="M19" s="321">
        <f>IF(B19=Weightings!$A$15,Weightings!$E$36)+IF(B19=Weightings!$A$16,Weightings!$E$41)+IF(B19=Weightings!$A$17,Weightings!$E$41)</f>
        <v>1E-4</v>
      </c>
      <c r="N19" s="321">
        <f t="shared" si="5"/>
        <v>1.0000000000000001E-9</v>
      </c>
      <c r="O19" s="258">
        <f t="shared" si="6"/>
        <v>4.9019607839773192E-12</v>
      </c>
      <c r="P19" s="258">
        <f t="shared" si="2"/>
        <v>6.127450979971649E-13</v>
      </c>
    </row>
    <row r="20" spans="1:16" s="55" customFormat="1" x14ac:dyDescent="0.2">
      <c r="A20" s="323" t="s">
        <v>443</v>
      </c>
      <c r="B20" s="48"/>
      <c r="C20" s="322" t="s">
        <v>444</v>
      </c>
      <c r="D20" s="323"/>
      <c r="E20" s="323"/>
      <c r="F20" s="323"/>
      <c r="G20" s="323"/>
      <c r="H20" s="323"/>
      <c r="I20" s="323"/>
      <c r="J20" s="323"/>
      <c r="K20" s="323"/>
      <c r="L20" s="323"/>
      <c r="M20" s="323"/>
      <c r="N20" s="323"/>
      <c r="O20" s="323"/>
      <c r="P20" s="326">
        <f t="shared" si="2"/>
        <v>0</v>
      </c>
    </row>
    <row r="21" spans="1:16" s="224" customFormat="1" ht="56.45" customHeight="1" x14ac:dyDescent="0.2">
      <c r="A21" s="222" t="s">
        <v>445</v>
      </c>
      <c r="B21" s="261" t="s">
        <v>6</v>
      </c>
      <c r="C21" s="118" t="s">
        <v>446</v>
      </c>
      <c r="D21" s="363"/>
      <c r="E21" s="276" t="s">
        <v>63</v>
      </c>
      <c r="F21" s="261" t="s">
        <v>15</v>
      </c>
      <c r="G21" s="262">
        <f>VLOOKUP(F21,Weightings!$A$46:$B$51,2,FALSE)</f>
        <v>1.0000000000000001E-5</v>
      </c>
      <c r="H21" s="261" t="s">
        <v>15</v>
      </c>
      <c r="I21" s="261" t="s">
        <v>15</v>
      </c>
      <c r="J21" s="264">
        <f>VLOOKUP(I21,Weightings!$A$36:$B$41,2,FALSE)</f>
        <v>1E-4</v>
      </c>
      <c r="K21" s="321">
        <f t="shared" si="3"/>
        <v>1.0000000000000001E-9</v>
      </c>
      <c r="L21" s="265">
        <f t="shared" si="4"/>
        <v>1</v>
      </c>
      <c r="M21" s="321">
        <f>IF(B21=Weightings!$A$15,Weightings!$E$36)+IF(B21=Weightings!$A$16,Weightings!$E$41)+IF(B21=Weightings!$A$17,Weightings!$E$41)</f>
        <v>1E-4</v>
      </c>
      <c r="N21" s="321">
        <f t="shared" si="5"/>
        <v>1.0000000000000001E-9</v>
      </c>
      <c r="O21" s="258">
        <f t="shared" si="6"/>
        <v>4.9019607839773192E-12</v>
      </c>
      <c r="P21" s="258">
        <f t="shared" si="2"/>
        <v>6.127450979971649E-13</v>
      </c>
    </row>
    <row r="22" spans="1:16" s="224" customFormat="1" ht="28.15" customHeight="1" x14ac:dyDescent="0.2">
      <c r="A22" s="222" t="s">
        <v>447</v>
      </c>
      <c r="B22" s="222" t="s">
        <v>8</v>
      </c>
      <c r="C22" s="252" t="s">
        <v>448</v>
      </c>
      <c r="D22" s="273"/>
      <c r="E22" s="266"/>
      <c r="F22" s="261" t="s">
        <v>47</v>
      </c>
      <c r="G22" s="262">
        <f>VLOOKUP(F22,Weightings!$A$46:$B$51,2,FALSE)</f>
        <v>8</v>
      </c>
      <c r="H22" s="261" t="s">
        <v>20</v>
      </c>
      <c r="I22" s="263" t="s">
        <v>34</v>
      </c>
      <c r="J22" s="264">
        <f>VLOOKUP(I22,Weightings!$A$36:$B$41,2,FALSE)</f>
        <v>6</v>
      </c>
      <c r="K22" s="321">
        <f t="shared" ref="K22" si="11">J22*G22</f>
        <v>48</v>
      </c>
      <c r="L22" s="265">
        <f t="shared" ref="L22" si="12">IF(ISERROR(K22/N22),"n/a",K22/N22)</f>
        <v>1</v>
      </c>
      <c r="M22" s="321">
        <f>IF(B22=Weightings!$A$15,Weightings!$E$36)+IF(B22=Weightings!$A$16,Weightings!$E$41)+IF(B22=Weightings!$A$17,Weightings!$E$41)</f>
        <v>6</v>
      </c>
      <c r="N22" s="321">
        <f t="shared" ref="N22" si="13">G22*M22</f>
        <v>48</v>
      </c>
      <c r="O22" s="267">
        <f t="shared" ref="O22" si="14">IF((N22/$N$2)&gt;0,N22/$N$2,"n/a")</f>
        <v>0.23529411763091129</v>
      </c>
      <c r="P22" s="268">
        <f t="shared" si="2"/>
        <v>2.9411764703863912E-2</v>
      </c>
    </row>
    <row r="23" spans="1:16" s="56" customFormat="1" ht="43.9" customHeight="1" x14ac:dyDescent="0.2">
      <c r="A23" s="222" t="s">
        <v>449</v>
      </c>
      <c r="B23" s="261" t="s">
        <v>6</v>
      </c>
      <c r="C23" s="114" t="s">
        <v>450</v>
      </c>
      <c r="D23" s="363"/>
      <c r="E23" s="276" t="s">
        <v>63</v>
      </c>
      <c r="F23" s="261" t="s">
        <v>15</v>
      </c>
      <c r="G23" s="262">
        <f>VLOOKUP(F23,Weightings!$A$46:$B$51,2,FALSE)</f>
        <v>1.0000000000000001E-5</v>
      </c>
      <c r="H23" s="261" t="s">
        <v>15</v>
      </c>
      <c r="I23" s="261" t="s">
        <v>15</v>
      </c>
      <c r="J23" s="264">
        <f>VLOOKUP(I23,Weightings!$A$36:$B$41,2,FALSE)</f>
        <v>1E-4</v>
      </c>
      <c r="K23" s="321">
        <f t="shared" si="3"/>
        <v>1.0000000000000001E-9</v>
      </c>
      <c r="L23" s="265">
        <f t="shared" si="4"/>
        <v>1</v>
      </c>
      <c r="M23" s="321">
        <f>IF(B23=Weightings!$A$15,Weightings!$E$36)+IF(B23=Weightings!$A$16,Weightings!$E$41)+IF(B23=Weightings!$A$17,Weightings!$E$41)</f>
        <v>1E-4</v>
      </c>
      <c r="N23" s="321">
        <f t="shared" si="5"/>
        <v>1.0000000000000001E-9</v>
      </c>
      <c r="O23" s="258">
        <f t="shared" si="6"/>
        <v>4.9019607839773192E-12</v>
      </c>
      <c r="P23" s="258">
        <f t="shared" si="2"/>
        <v>6.127450979971649E-13</v>
      </c>
    </row>
    <row r="24" spans="1:16" s="224" customFormat="1" ht="99" customHeight="1" x14ac:dyDescent="0.2">
      <c r="A24" s="222" t="s">
        <v>451</v>
      </c>
      <c r="B24" s="261" t="s">
        <v>6</v>
      </c>
      <c r="C24" s="117" t="s">
        <v>817</v>
      </c>
      <c r="D24" s="363"/>
      <c r="E24" s="276" t="s">
        <v>63</v>
      </c>
      <c r="F24" s="261" t="s">
        <v>15</v>
      </c>
      <c r="G24" s="262">
        <f>VLOOKUP(F24,Weightings!$A$46:$B$51,2,FALSE)</f>
        <v>1.0000000000000001E-5</v>
      </c>
      <c r="H24" s="261" t="s">
        <v>15</v>
      </c>
      <c r="I24" s="261" t="s">
        <v>15</v>
      </c>
      <c r="J24" s="264">
        <f>VLOOKUP(I24,Weightings!$A$36:$B$41,2,FALSE)</f>
        <v>1E-4</v>
      </c>
      <c r="K24" s="321">
        <f t="shared" si="3"/>
        <v>1.0000000000000001E-9</v>
      </c>
      <c r="L24" s="265">
        <f t="shared" si="4"/>
        <v>1</v>
      </c>
      <c r="M24" s="321">
        <f>IF(B24=Weightings!$A$15,Weightings!$E$36)+IF(B24=Weightings!$A$16,Weightings!$E$41)+IF(B24=Weightings!$A$17,Weightings!$E$41)</f>
        <v>1E-4</v>
      </c>
      <c r="N24" s="321">
        <f t="shared" si="5"/>
        <v>1.0000000000000001E-9</v>
      </c>
      <c r="O24" s="258">
        <f t="shared" si="6"/>
        <v>4.9019607839773192E-12</v>
      </c>
      <c r="P24" s="258">
        <f t="shared" si="2"/>
        <v>6.127450979971649E-13</v>
      </c>
    </row>
    <row r="25" spans="1:16" s="56" customFormat="1" ht="111.6" customHeight="1" x14ac:dyDescent="0.2">
      <c r="A25" s="222" t="s">
        <v>452</v>
      </c>
      <c r="B25" s="261" t="s">
        <v>6</v>
      </c>
      <c r="C25" s="117" t="s">
        <v>453</v>
      </c>
      <c r="D25" s="363"/>
      <c r="E25" s="276" t="s">
        <v>63</v>
      </c>
      <c r="F25" s="261" t="s">
        <v>15</v>
      </c>
      <c r="G25" s="262">
        <f>VLOOKUP(F25,Weightings!$A$46:$B$51,2,FALSE)</f>
        <v>1.0000000000000001E-5</v>
      </c>
      <c r="H25" s="261" t="s">
        <v>15</v>
      </c>
      <c r="I25" s="261" t="s">
        <v>15</v>
      </c>
      <c r="J25" s="264">
        <f>VLOOKUP(I25,Weightings!$A$36:$B$41,2,FALSE)</f>
        <v>1E-4</v>
      </c>
      <c r="K25" s="321">
        <f t="shared" si="3"/>
        <v>1.0000000000000001E-9</v>
      </c>
      <c r="L25" s="265">
        <f t="shared" si="4"/>
        <v>1</v>
      </c>
      <c r="M25" s="321">
        <f>IF(B25=Weightings!$A$15,Weightings!$E$36)+IF(B25=Weightings!$A$16,Weightings!$E$41)+IF(B25=Weightings!$A$17,Weightings!$E$41)</f>
        <v>1E-4</v>
      </c>
      <c r="N25" s="321">
        <f t="shared" si="5"/>
        <v>1.0000000000000001E-9</v>
      </c>
      <c r="O25" s="258">
        <f t="shared" si="6"/>
        <v>4.9019607839773192E-12</v>
      </c>
      <c r="P25" s="258">
        <f t="shared" si="2"/>
        <v>6.127450979971649E-13</v>
      </c>
    </row>
    <row r="26" spans="1:16" s="55" customFormat="1" x14ac:dyDescent="0.2">
      <c r="A26" s="323" t="s">
        <v>533</v>
      </c>
      <c r="B26" s="48"/>
      <c r="C26" s="322" t="s">
        <v>454</v>
      </c>
      <c r="D26" s="323"/>
      <c r="E26" s="323"/>
      <c r="F26" s="323"/>
      <c r="G26" s="323"/>
      <c r="H26" s="323"/>
      <c r="I26" s="323"/>
      <c r="J26" s="323"/>
      <c r="K26" s="323"/>
      <c r="L26" s="323"/>
      <c r="M26" s="323"/>
      <c r="N26" s="323"/>
      <c r="O26" s="323"/>
      <c r="P26" s="326">
        <f t="shared" si="2"/>
        <v>0</v>
      </c>
    </row>
    <row r="27" spans="1:16" s="224" customFormat="1" ht="45.6" customHeight="1" x14ac:dyDescent="0.2">
      <c r="A27" s="222" t="s">
        <v>455</v>
      </c>
      <c r="B27" s="261" t="s">
        <v>6</v>
      </c>
      <c r="C27" s="116" t="s">
        <v>456</v>
      </c>
      <c r="D27" s="363"/>
      <c r="E27" s="276" t="s">
        <v>63</v>
      </c>
      <c r="F27" s="261" t="s">
        <v>15</v>
      </c>
      <c r="G27" s="262">
        <f>VLOOKUP(F27,Weightings!$A$46:$B$51,2,FALSE)</f>
        <v>1.0000000000000001E-5</v>
      </c>
      <c r="H27" s="261" t="s">
        <v>15</v>
      </c>
      <c r="I27" s="261" t="s">
        <v>15</v>
      </c>
      <c r="J27" s="264">
        <f>VLOOKUP(I27,Weightings!$A$36:$B$41,2,FALSE)</f>
        <v>1E-4</v>
      </c>
      <c r="K27" s="321">
        <f t="shared" si="3"/>
        <v>1.0000000000000001E-9</v>
      </c>
      <c r="L27" s="265">
        <f t="shared" si="4"/>
        <v>1</v>
      </c>
      <c r="M27" s="321">
        <f>IF(B27=Weightings!$A$15,Weightings!$E$36)+IF(B27=Weightings!$A$16,Weightings!$E$41)+IF(B27=Weightings!$A$17,Weightings!$E$41)</f>
        <v>1E-4</v>
      </c>
      <c r="N27" s="321">
        <f t="shared" si="5"/>
        <v>1.0000000000000001E-9</v>
      </c>
      <c r="O27" s="258">
        <f t="shared" si="6"/>
        <v>4.9019607839773192E-12</v>
      </c>
      <c r="P27" s="258">
        <f t="shared" si="2"/>
        <v>6.127450979971649E-13</v>
      </c>
    </row>
    <row r="28" spans="1:16" s="55" customFormat="1" x14ac:dyDescent="0.2">
      <c r="A28" s="323" t="s">
        <v>534</v>
      </c>
      <c r="B28" s="48"/>
      <c r="C28" s="322" t="s">
        <v>457</v>
      </c>
      <c r="D28" s="323"/>
      <c r="E28" s="323"/>
      <c r="F28" s="323"/>
      <c r="G28" s="323"/>
      <c r="H28" s="323"/>
      <c r="I28" s="323"/>
      <c r="J28" s="323"/>
      <c r="K28" s="323"/>
      <c r="L28" s="323"/>
      <c r="M28" s="323"/>
      <c r="N28" s="323"/>
      <c r="O28" s="323"/>
      <c r="P28" s="323"/>
    </row>
    <row r="29" spans="1:16" s="224" customFormat="1" ht="178.15" customHeight="1" x14ac:dyDescent="0.2">
      <c r="A29" s="222" t="s">
        <v>458</v>
      </c>
      <c r="B29" s="263" t="s">
        <v>6</v>
      </c>
      <c r="C29" s="117" t="s">
        <v>459</v>
      </c>
      <c r="D29" s="363"/>
      <c r="E29" s="276" t="s">
        <v>63</v>
      </c>
      <c r="F29" s="261" t="s">
        <v>15</v>
      </c>
      <c r="G29" s="262">
        <f>VLOOKUP(F29,Weightings!$A$46:$B$51,2,FALSE)</f>
        <v>1.0000000000000001E-5</v>
      </c>
      <c r="H29" s="261" t="s">
        <v>15</v>
      </c>
      <c r="I29" s="261" t="s">
        <v>15</v>
      </c>
      <c r="J29" s="264">
        <f>VLOOKUP(I29,Weightings!$A$36:$B$41,2,FALSE)</f>
        <v>1E-4</v>
      </c>
      <c r="K29" s="321">
        <f t="shared" si="3"/>
        <v>1.0000000000000001E-9</v>
      </c>
      <c r="L29" s="265">
        <f t="shared" si="4"/>
        <v>1</v>
      </c>
      <c r="M29" s="321">
        <f>IF(B29=Weightings!$A$15,Weightings!$E$36)+IF(B29=Weightings!$A$16,Weightings!$E$41)+IF(B29=Weightings!$A$17,Weightings!$E$41)</f>
        <v>1E-4</v>
      </c>
      <c r="N29" s="321">
        <f t="shared" si="5"/>
        <v>1.0000000000000001E-9</v>
      </c>
      <c r="O29" s="258">
        <f t="shared" si="6"/>
        <v>4.9019607839773192E-12</v>
      </c>
      <c r="P29" s="258">
        <f t="shared" si="2"/>
        <v>6.127450979971649E-13</v>
      </c>
    </row>
    <row r="30" spans="1:16" s="55" customFormat="1" x14ac:dyDescent="0.2">
      <c r="A30" s="323" t="s">
        <v>535</v>
      </c>
      <c r="B30" s="48"/>
      <c r="C30" s="322" t="s">
        <v>460</v>
      </c>
      <c r="D30" s="323"/>
      <c r="E30" s="323"/>
      <c r="F30" s="323"/>
      <c r="G30" s="323"/>
      <c r="H30" s="323"/>
      <c r="I30" s="323"/>
      <c r="J30" s="323"/>
      <c r="K30" s="323"/>
      <c r="L30" s="323"/>
      <c r="M30" s="323"/>
      <c r="N30" s="323"/>
      <c r="O30" s="323"/>
      <c r="P30" s="326">
        <f t="shared" si="2"/>
        <v>0</v>
      </c>
    </row>
    <row r="31" spans="1:16" s="254" customFormat="1" ht="28.9" customHeight="1" x14ac:dyDescent="0.2">
      <c r="A31" s="222" t="s">
        <v>461</v>
      </c>
      <c r="B31" s="261" t="s">
        <v>6</v>
      </c>
      <c r="C31" s="253" t="s">
        <v>462</v>
      </c>
      <c r="D31" s="363"/>
      <c r="E31" s="276" t="s">
        <v>63</v>
      </c>
      <c r="F31" s="261" t="s">
        <v>15</v>
      </c>
      <c r="G31" s="262">
        <f>VLOOKUP(F31,Weightings!$A$46:$B$51,2,FALSE)</f>
        <v>1.0000000000000001E-5</v>
      </c>
      <c r="H31" s="261" t="s">
        <v>15</v>
      </c>
      <c r="I31" s="261" t="s">
        <v>15</v>
      </c>
      <c r="J31" s="264">
        <f>VLOOKUP(I31,Weightings!$A$36:$B$41,2,FALSE)</f>
        <v>1E-4</v>
      </c>
      <c r="K31" s="321">
        <f t="shared" si="3"/>
        <v>1.0000000000000001E-9</v>
      </c>
      <c r="L31" s="265">
        <f t="shared" si="4"/>
        <v>1</v>
      </c>
      <c r="M31" s="321">
        <f>IF(B31=Weightings!$A$15,Weightings!$E$36)+IF(B31=Weightings!$A$16,Weightings!$E$41)+IF(B31=Weightings!$A$17,Weightings!$E$41)</f>
        <v>1E-4</v>
      </c>
      <c r="N31" s="321">
        <f t="shared" si="5"/>
        <v>1.0000000000000001E-9</v>
      </c>
      <c r="O31" s="258">
        <f t="shared" si="6"/>
        <v>4.9019607839773192E-12</v>
      </c>
      <c r="P31" s="258">
        <f t="shared" si="2"/>
        <v>6.127450979971649E-13</v>
      </c>
    </row>
    <row r="32" spans="1:16" s="97" customFormat="1" x14ac:dyDescent="0.2">
      <c r="A32" s="129"/>
      <c r="B32" s="96"/>
      <c r="C32" s="96"/>
      <c r="D32" s="51"/>
      <c r="E32" s="251"/>
      <c r="F32" s="251"/>
      <c r="G32" s="251"/>
      <c r="H32" s="251"/>
      <c r="I32" s="251"/>
      <c r="J32" s="251"/>
      <c r="K32" s="251"/>
      <c r="L32" s="251"/>
      <c r="M32" s="251"/>
      <c r="N32" s="251"/>
    </row>
    <row r="33" spans="1:14" s="97" customFormat="1" x14ac:dyDescent="0.2">
      <c r="A33" s="129"/>
      <c r="B33" s="96"/>
      <c r="C33" s="96"/>
      <c r="D33" s="51"/>
      <c r="E33" s="251"/>
      <c r="F33" s="251"/>
      <c r="G33" s="251"/>
      <c r="H33" s="251"/>
      <c r="I33" s="251"/>
      <c r="J33" s="251"/>
      <c r="K33" s="251"/>
      <c r="L33" s="251"/>
      <c r="M33" s="251"/>
      <c r="N33" s="251"/>
    </row>
    <row r="34" spans="1:14" s="97" customFormat="1" x14ac:dyDescent="0.2">
      <c r="A34" s="129"/>
      <c r="B34" s="96"/>
      <c r="C34" s="96"/>
      <c r="D34" s="51"/>
      <c r="E34" s="251"/>
      <c r="F34" s="251"/>
      <c r="G34" s="251"/>
      <c r="H34" s="251"/>
      <c r="I34" s="251"/>
      <c r="J34" s="251"/>
      <c r="K34" s="251"/>
      <c r="L34" s="251"/>
      <c r="M34" s="251"/>
      <c r="N34" s="251"/>
    </row>
    <row r="35" spans="1:14" s="97" customFormat="1" x14ac:dyDescent="0.2">
      <c r="A35" s="129"/>
      <c r="B35" s="96"/>
      <c r="C35" s="96"/>
      <c r="D35" s="51"/>
      <c r="E35" s="251"/>
      <c r="F35" s="251"/>
      <c r="G35" s="251"/>
      <c r="H35" s="251"/>
      <c r="I35" s="251"/>
      <c r="J35" s="251"/>
      <c r="K35" s="251"/>
      <c r="L35" s="251"/>
      <c r="M35" s="251"/>
      <c r="N35" s="251"/>
    </row>
  </sheetData>
  <sheetProtection password="ED47" sheet="1" objects="1" scenarios="1" formatCells="0" formatColumns="0" formatRows="0" autoFilter="0"/>
  <autoFilter ref="A5:P31"/>
  <mergeCells count="2">
    <mergeCell ref="A1:B1"/>
    <mergeCell ref="E1:J1"/>
  </mergeCells>
  <dataValidations disablePrompts="1" count="6">
    <dataValidation allowBlank="1" showDropDown="1" showInputMessage="1" showErrorMessage="1" sqref="I7"/>
    <dataValidation type="list" allowBlank="1" showInputMessage="1" showErrorMessage="1" sqref="I17 I12 I22">
      <formula1>Adj_Service</formula1>
    </dataValidation>
    <dataValidation type="list" allowBlank="1" showInputMessage="1" showErrorMessage="1" sqref="F17 F7 F22 F5 F12">
      <formula1>Adj_Weight</formula1>
    </dataValidation>
    <dataValidation type="list" allowBlank="1" showInputMessage="1" showErrorMessage="1" sqref="H12 H7 H22 H17">
      <formula1>Adj_Evidence</formula1>
    </dataValidation>
    <dataValidation type="list" allowBlank="1" showInputMessage="1" showErrorMessage="1" sqref="C3:C4 D2 C6:C1048576 B1:B5 B14:B1048576 B11:B12 B7 B9">
      <formula1>Spec_Compl_Adj</formula1>
    </dataValidation>
    <dataValidation type="list" allowBlank="1" showInputMessage="1" showErrorMessage="1" sqref="D9 D29 D11 D14:D16 D18:D19 D21 D23:D25 D27 D31">
      <formula1>"Yes,No"</formula1>
    </dataValidation>
  </dataValidations>
  <printOptions headings="1"/>
  <pageMargins left="0.70866141732283472" right="0.70866141732283472" top="0.74803149606299213" bottom="0.74803149606299213" header="0.31496062992125984" footer="0.31496062992125984"/>
  <pageSetup paperSize="9" fitToHeight="0" orientation="landscape" r:id="rId1"/>
  <headerFooter>
    <oddHeader>&amp;A&amp;RPage &amp;P</oddHeader>
    <oddFooter>&amp;F</oddFooter>
  </headerFooter>
  <extLst>
    <ext xmlns:x14="http://schemas.microsoft.com/office/spreadsheetml/2009/9/main" uri="{CCE6A557-97BC-4b89-ADB6-D9C93CAAB3DF}">
      <x14:dataValidations xmlns:xm="http://schemas.microsoft.com/office/excel/2006/main" disablePrompts="1" count="1">
        <x14:dataValidation type="list" allowBlank="1" showDropDown="1" showInputMessage="1" showErrorMessage="1">
          <x14:formula1>
            <xm:f>[3]Lists!#REF!</xm:f>
          </x14:formula1>
          <xm:sqref>D12 D17 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tabSelected="1" zoomScaleNormal="100" workbookViewId="0">
      <selection sqref="A1:B1"/>
    </sheetView>
  </sheetViews>
  <sheetFormatPr defaultRowHeight="14.25" x14ac:dyDescent="0.2"/>
  <cols>
    <col min="1" max="1" width="3.88671875" style="191" customWidth="1"/>
    <col min="2" max="2" width="49" style="133" customWidth="1"/>
    <col min="3" max="3" width="34.6640625" style="199" customWidth="1"/>
    <col min="4" max="4" width="3" style="192" customWidth="1"/>
    <col min="5" max="5" width="15.6640625" style="173" hidden="1" customWidth="1"/>
    <col min="6" max="256" width="8.88671875" style="133"/>
    <col min="257" max="257" width="3.88671875" style="133" customWidth="1"/>
    <col min="258" max="258" width="49" style="133" customWidth="1"/>
    <col min="259" max="259" width="19.33203125" style="133" customWidth="1"/>
    <col min="260" max="260" width="2" style="133" customWidth="1"/>
    <col min="261" max="261" width="15.6640625" style="133" customWidth="1"/>
    <col min="262" max="512" width="8.88671875" style="133"/>
    <col min="513" max="513" width="3.88671875" style="133" customWidth="1"/>
    <col min="514" max="514" width="49" style="133" customWidth="1"/>
    <col min="515" max="515" width="19.33203125" style="133" customWidth="1"/>
    <col min="516" max="516" width="2" style="133" customWidth="1"/>
    <col min="517" max="517" width="15.6640625" style="133" customWidth="1"/>
    <col min="518" max="768" width="8.88671875" style="133"/>
    <col min="769" max="769" width="3.88671875" style="133" customWidth="1"/>
    <col min="770" max="770" width="49" style="133" customWidth="1"/>
    <col min="771" max="771" width="19.33203125" style="133" customWidth="1"/>
    <col min="772" max="772" width="2" style="133" customWidth="1"/>
    <col min="773" max="773" width="15.6640625" style="133" customWidth="1"/>
    <col min="774" max="1024" width="8.88671875" style="133"/>
    <col min="1025" max="1025" width="3.88671875" style="133" customWidth="1"/>
    <col min="1026" max="1026" width="49" style="133" customWidth="1"/>
    <col min="1027" max="1027" width="19.33203125" style="133" customWidth="1"/>
    <col min="1028" max="1028" width="2" style="133" customWidth="1"/>
    <col min="1029" max="1029" width="15.6640625" style="133" customWidth="1"/>
    <col min="1030" max="1280" width="8.88671875" style="133"/>
    <col min="1281" max="1281" width="3.88671875" style="133" customWidth="1"/>
    <col min="1282" max="1282" width="49" style="133" customWidth="1"/>
    <col min="1283" max="1283" width="19.33203125" style="133" customWidth="1"/>
    <col min="1284" max="1284" width="2" style="133" customWidth="1"/>
    <col min="1285" max="1285" width="15.6640625" style="133" customWidth="1"/>
    <col min="1286" max="1536" width="8.88671875" style="133"/>
    <col min="1537" max="1537" width="3.88671875" style="133" customWidth="1"/>
    <col min="1538" max="1538" width="49" style="133" customWidth="1"/>
    <col min="1539" max="1539" width="19.33203125" style="133" customWidth="1"/>
    <col min="1540" max="1540" width="2" style="133" customWidth="1"/>
    <col min="1541" max="1541" width="15.6640625" style="133" customWidth="1"/>
    <col min="1542" max="1792" width="8.88671875" style="133"/>
    <col min="1793" max="1793" width="3.88671875" style="133" customWidth="1"/>
    <col min="1794" max="1794" width="49" style="133" customWidth="1"/>
    <col min="1795" max="1795" width="19.33203125" style="133" customWidth="1"/>
    <col min="1796" max="1796" width="2" style="133" customWidth="1"/>
    <col min="1797" max="1797" width="15.6640625" style="133" customWidth="1"/>
    <col min="1798" max="2048" width="8.88671875" style="133"/>
    <col min="2049" max="2049" width="3.88671875" style="133" customWidth="1"/>
    <col min="2050" max="2050" width="49" style="133" customWidth="1"/>
    <col min="2051" max="2051" width="19.33203125" style="133" customWidth="1"/>
    <col min="2052" max="2052" width="2" style="133" customWidth="1"/>
    <col min="2053" max="2053" width="15.6640625" style="133" customWidth="1"/>
    <col min="2054" max="2304" width="8.88671875" style="133"/>
    <col min="2305" max="2305" width="3.88671875" style="133" customWidth="1"/>
    <col min="2306" max="2306" width="49" style="133" customWidth="1"/>
    <col min="2307" max="2307" width="19.33203125" style="133" customWidth="1"/>
    <col min="2308" max="2308" width="2" style="133" customWidth="1"/>
    <col min="2309" max="2309" width="15.6640625" style="133" customWidth="1"/>
    <col min="2310" max="2560" width="8.88671875" style="133"/>
    <col min="2561" max="2561" width="3.88671875" style="133" customWidth="1"/>
    <col min="2562" max="2562" width="49" style="133" customWidth="1"/>
    <col min="2563" max="2563" width="19.33203125" style="133" customWidth="1"/>
    <col min="2564" max="2564" width="2" style="133" customWidth="1"/>
    <col min="2565" max="2565" width="15.6640625" style="133" customWidth="1"/>
    <col min="2566" max="2816" width="8.88671875" style="133"/>
    <col min="2817" max="2817" width="3.88671875" style="133" customWidth="1"/>
    <col min="2818" max="2818" width="49" style="133" customWidth="1"/>
    <col min="2819" max="2819" width="19.33203125" style="133" customWidth="1"/>
    <col min="2820" max="2820" width="2" style="133" customWidth="1"/>
    <col min="2821" max="2821" width="15.6640625" style="133" customWidth="1"/>
    <col min="2822" max="3072" width="8.88671875" style="133"/>
    <col min="3073" max="3073" width="3.88671875" style="133" customWidth="1"/>
    <col min="3074" max="3074" width="49" style="133" customWidth="1"/>
    <col min="3075" max="3075" width="19.33203125" style="133" customWidth="1"/>
    <col min="3076" max="3076" width="2" style="133" customWidth="1"/>
    <col min="3077" max="3077" width="15.6640625" style="133" customWidth="1"/>
    <col min="3078" max="3328" width="8.88671875" style="133"/>
    <col min="3329" max="3329" width="3.88671875" style="133" customWidth="1"/>
    <col min="3330" max="3330" width="49" style="133" customWidth="1"/>
    <col min="3331" max="3331" width="19.33203125" style="133" customWidth="1"/>
    <col min="3332" max="3332" width="2" style="133" customWidth="1"/>
    <col min="3333" max="3333" width="15.6640625" style="133" customWidth="1"/>
    <col min="3334" max="3584" width="8.88671875" style="133"/>
    <col min="3585" max="3585" width="3.88671875" style="133" customWidth="1"/>
    <col min="3586" max="3586" width="49" style="133" customWidth="1"/>
    <col min="3587" max="3587" width="19.33203125" style="133" customWidth="1"/>
    <col min="3588" max="3588" width="2" style="133" customWidth="1"/>
    <col min="3589" max="3589" width="15.6640625" style="133" customWidth="1"/>
    <col min="3590" max="3840" width="8.88671875" style="133"/>
    <col min="3841" max="3841" width="3.88671875" style="133" customWidth="1"/>
    <col min="3842" max="3842" width="49" style="133" customWidth="1"/>
    <col min="3843" max="3843" width="19.33203125" style="133" customWidth="1"/>
    <col min="3844" max="3844" width="2" style="133" customWidth="1"/>
    <col min="3845" max="3845" width="15.6640625" style="133" customWidth="1"/>
    <col min="3846" max="4096" width="8.88671875" style="133"/>
    <col min="4097" max="4097" width="3.88671875" style="133" customWidth="1"/>
    <col min="4098" max="4098" width="49" style="133" customWidth="1"/>
    <col min="4099" max="4099" width="19.33203125" style="133" customWidth="1"/>
    <col min="4100" max="4100" width="2" style="133" customWidth="1"/>
    <col min="4101" max="4101" width="15.6640625" style="133" customWidth="1"/>
    <col min="4102" max="4352" width="8.88671875" style="133"/>
    <col min="4353" max="4353" width="3.88671875" style="133" customWidth="1"/>
    <col min="4354" max="4354" width="49" style="133" customWidth="1"/>
    <col min="4355" max="4355" width="19.33203125" style="133" customWidth="1"/>
    <col min="4356" max="4356" width="2" style="133" customWidth="1"/>
    <col min="4357" max="4357" width="15.6640625" style="133" customWidth="1"/>
    <col min="4358" max="4608" width="8.88671875" style="133"/>
    <col min="4609" max="4609" width="3.88671875" style="133" customWidth="1"/>
    <col min="4610" max="4610" width="49" style="133" customWidth="1"/>
    <col min="4611" max="4611" width="19.33203125" style="133" customWidth="1"/>
    <col min="4612" max="4612" width="2" style="133" customWidth="1"/>
    <col min="4613" max="4613" width="15.6640625" style="133" customWidth="1"/>
    <col min="4614" max="4864" width="8.88671875" style="133"/>
    <col min="4865" max="4865" width="3.88671875" style="133" customWidth="1"/>
    <col min="4866" max="4866" width="49" style="133" customWidth="1"/>
    <col min="4867" max="4867" width="19.33203125" style="133" customWidth="1"/>
    <col min="4868" max="4868" width="2" style="133" customWidth="1"/>
    <col min="4869" max="4869" width="15.6640625" style="133" customWidth="1"/>
    <col min="4870" max="5120" width="8.88671875" style="133"/>
    <col min="5121" max="5121" width="3.88671875" style="133" customWidth="1"/>
    <col min="5122" max="5122" width="49" style="133" customWidth="1"/>
    <col min="5123" max="5123" width="19.33203125" style="133" customWidth="1"/>
    <col min="5124" max="5124" width="2" style="133" customWidth="1"/>
    <col min="5125" max="5125" width="15.6640625" style="133" customWidth="1"/>
    <col min="5126" max="5376" width="8.88671875" style="133"/>
    <col min="5377" max="5377" width="3.88671875" style="133" customWidth="1"/>
    <col min="5378" max="5378" width="49" style="133" customWidth="1"/>
    <col min="5379" max="5379" width="19.33203125" style="133" customWidth="1"/>
    <col min="5380" max="5380" width="2" style="133" customWidth="1"/>
    <col min="5381" max="5381" width="15.6640625" style="133" customWidth="1"/>
    <col min="5382" max="5632" width="8.88671875" style="133"/>
    <col min="5633" max="5633" width="3.88671875" style="133" customWidth="1"/>
    <col min="5634" max="5634" width="49" style="133" customWidth="1"/>
    <col min="5635" max="5635" width="19.33203125" style="133" customWidth="1"/>
    <col min="5636" max="5636" width="2" style="133" customWidth="1"/>
    <col min="5637" max="5637" width="15.6640625" style="133" customWidth="1"/>
    <col min="5638" max="5888" width="8.88671875" style="133"/>
    <col min="5889" max="5889" width="3.88671875" style="133" customWidth="1"/>
    <col min="5890" max="5890" width="49" style="133" customWidth="1"/>
    <col min="5891" max="5891" width="19.33203125" style="133" customWidth="1"/>
    <col min="5892" max="5892" width="2" style="133" customWidth="1"/>
    <col min="5893" max="5893" width="15.6640625" style="133" customWidth="1"/>
    <col min="5894" max="6144" width="8.88671875" style="133"/>
    <col min="6145" max="6145" width="3.88671875" style="133" customWidth="1"/>
    <col min="6146" max="6146" width="49" style="133" customWidth="1"/>
    <col min="6147" max="6147" width="19.33203125" style="133" customWidth="1"/>
    <col min="6148" max="6148" width="2" style="133" customWidth="1"/>
    <col min="6149" max="6149" width="15.6640625" style="133" customWidth="1"/>
    <col min="6150" max="6400" width="8.88671875" style="133"/>
    <col min="6401" max="6401" width="3.88671875" style="133" customWidth="1"/>
    <col min="6402" max="6402" width="49" style="133" customWidth="1"/>
    <col min="6403" max="6403" width="19.33203125" style="133" customWidth="1"/>
    <col min="6404" max="6404" width="2" style="133" customWidth="1"/>
    <col min="6405" max="6405" width="15.6640625" style="133" customWidth="1"/>
    <col min="6406" max="6656" width="8.88671875" style="133"/>
    <col min="6657" max="6657" width="3.88671875" style="133" customWidth="1"/>
    <col min="6658" max="6658" width="49" style="133" customWidth="1"/>
    <col min="6659" max="6659" width="19.33203125" style="133" customWidth="1"/>
    <col min="6660" max="6660" width="2" style="133" customWidth="1"/>
    <col min="6661" max="6661" width="15.6640625" style="133" customWidth="1"/>
    <col min="6662" max="6912" width="8.88671875" style="133"/>
    <col min="6913" max="6913" width="3.88671875" style="133" customWidth="1"/>
    <col min="6914" max="6914" width="49" style="133" customWidth="1"/>
    <col min="6915" max="6915" width="19.33203125" style="133" customWidth="1"/>
    <col min="6916" max="6916" width="2" style="133" customWidth="1"/>
    <col min="6917" max="6917" width="15.6640625" style="133" customWidth="1"/>
    <col min="6918" max="7168" width="8.88671875" style="133"/>
    <col min="7169" max="7169" width="3.88671875" style="133" customWidth="1"/>
    <col min="7170" max="7170" width="49" style="133" customWidth="1"/>
    <col min="7171" max="7171" width="19.33203125" style="133" customWidth="1"/>
    <col min="7172" max="7172" width="2" style="133" customWidth="1"/>
    <col min="7173" max="7173" width="15.6640625" style="133" customWidth="1"/>
    <col min="7174" max="7424" width="8.88671875" style="133"/>
    <col min="7425" max="7425" width="3.88671875" style="133" customWidth="1"/>
    <col min="7426" max="7426" width="49" style="133" customWidth="1"/>
    <col min="7427" max="7427" width="19.33203125" style="133" customWidth="1"/>
    <col min="7428" max="7428" width="2" style="133" customWidth="1"/>
    <col min="7429" max="7429" width="15.6640625" style="133" customWidth="1"/>
    <col min="7430" max="7680" width="8.88671875" style="133"/>
    <col min="7681" max="7681" width="3.88671875" style="133" customWidth="1"/>
    <col min="7682" max="7682" width="49" style="133" customWidth="1"/>
    <col min="7683" max="7683" width="19.33203125" style="133" customWidth="1"/>
    <col min="7684" max="7684" width="2" style="133" customWidth="1"/>
    <col min="7685" max="7685" width="15.6640625" style="133" customWidth="1"/>
    <col min="7686" max="7936" width="8.88671875" style="133"/>
    <col min="7937" max="7937" width="3.88671875" style="133" customWidth="1"/>
    <col min="7938" max="7938" width="49" style="133" customWidth="1"/>
    <col min="7939" max="7939" width="19.33203125" style="133" customWidth="1"/>
    <col min="7940" max="7940" width="2" style="133" customWidth="1"/>
    <col min="7941" max="7941" width="15.6640625" style="133" customWidth="1"/>
    <col min="7942" max="8192" width="8.88671875" style="133"/>
    <col min="8193" max="8193" width="3.88671875" style="133" customWidth="1"/>
    <col min="8194" max="8194" width="49" style="133" customWidth="1"/>
    <col min="8195" max="8195" width="19.33203125" style="133" customWidth="1"/>
    <col min="8196" max="8196" width="2" style="133" customWidth="1"/>
    <col min="8197" max="8197" width="15.6640625" style="133" customWidth="1"/>
    <col min="8198" max="8448" width="8.88671875" style="133"/>
    <col min="8449" max="8449" width="3.88671875" style="133" customWidth="1"/>
    <col min="8450" max="8450" width="49" style="133" customWidth="1"/>
    <col min="8451" max="8451" width="19.33203125" style="133" customWidth="1"/>
    <col min="8452" max="8452" width="2" style="133" customWidth="1"/>
    <col min="8453" max="8453" width="15.6640625" style="133" customWidth="1"/>
    <col min="8454" max="8704" width="8.88671875" style="133"/>
    <col min="8705" max="8705" width="3.88671875" style="133" customWidth="1"/>
    <col min="8706" max="8706" width="49" style="133" customWidth="1"/>
    <col min="8707" max="8707" width="19.33203125" style="133" customWidth="1"/>
    <col min="8708" max="8708" width="2" style="133" customWidth="1"/>
    <col min="8709" max="8709" width="15.6640625" style="133" customWidth="1"/>
    <col min="8710" max="8960" width="8.88671875" style="133"/>
    <col min="8961" max="8961" width="3.88671875" style="133" customWidth="1"/>
    <col min="8962" max="8962" width="49" style="133" customWidth="1"/>
    <col min="8963" max="8963" width="19.33203125" style="133" customWidth="1"/>
    <col min="8964" max="8964" width="2" style="133" customWidth="1"/>
    <col min="8965" max="8965" width="15.6640625" style="133" customWidth="1"/>
    <col min="8966" max="9216" width="8.88671875" style="133"/>
    <col min="9217" max="9217" width="3.88671875" style="133" customWidth="1"/>
    <col min="9218" max="9218" width="49" style="133" customWidth="1"/>
    <col min="9219" max="9219" width="19.33203125" style="133" customWidth="1"/>
    <col min="9220" max="9220" width="2" style="133" customWidth="1"/>
    <col min="9221" max="9221" width="15.6640625" style="133" customWidth="1"/>
    <col min="9222" max="9472" width="8.88671875" style="133"/>
    <col min="9473" max="9473" width="3.88671875" style="133" customWidth="1"/>
    <col min="9474" max="9474" width="49" style="133" customWidth="1"/>
    <col min="9475" max="9475" width="19.33203125" style="133" customWidth="1"/>
    <col min="9476" max="9476" width="2" style="133" customWidth="1"/>
    <col min="9477" max="9477" width="15.6640625" style="133" customWidth="1"/>
    <col min="9478" max="9728" width="8.88671875" style="133"/>
    <col min="9729" max="9729" width="3.88671875" style="133" customWidth="1"/>
    <col min="9730" max="9730" width="49" style="133" customWidth="1"/>
    <col min="9731" max="9731" width="19.33203125" style="133" customWidth="1"/>
    <col min="9732" max="9732" width="2" style="133" customWidth="1"/>
    <col min="9733" max="9733" width="15.6640625" style="133" customWidth="1"/>
    <col min="9734" max="9984" width="8.88671875" style="133"/>
    <col min="9985" max="9985" width="3.88671875" style="133" customWidth="1"/>
    <col min="9986" max="9986" width="49" style="133" customWidth="1"/>
    <col min="9987" max="9987" width="19.33203125" style="133" customWidth="1"/>
    <col min="9988" max="9988" width="2" style="133" customWidth="1"/>
    <col min="9989" max="9989" width="15.6640625" style="133" customWidth="1"/>
    <col min="9990" max="10240" width="8.88671875" style="133"/>
    <col min="10241" max="10241" width="3.88671875" style="133" customWidth="1"/>
    <col min="10242" max="10242" width="49" style="133" customWidth="1"/>
    <col min="10243" max="10243" width="19.33203125" style="133" customWidth="1"/>
    <col min="10244" max="10244" width="2" style="133" customWidth="1"/>
    <col min="10245" max="10245" width="15.6640625" style="133" customWidth="1"/>
    <col min="10246" max="10496" width="8.88671875" style="133"/>
    <col min="10497" max="10497" width="3.88671875" style="133" customWidth="1"/>
    <col min="10498" max="10498" width="49" style="133" customWidth="1"/>
    <col min="10499" max="10499" width="19.33203125" style="133" customWidth="1"/>
    <col min="10500" max="10500" width="2" style="133" customWidth="1"/>
    <col min="10501" max="10501" width="15.6640625" style="133" customWidth="1"/>
    <col min="10502" max="10752" width="8.88671875" style="133"/>
    <col min="10753" max="10753" width="3.88671875" style="133" customWidth="1"/>
    <col min="10754" max="10754" width="49" style="133" customWidth="1"/>
    <col min="10755" max="10755" width="19.33203125" style="133" customWidth="1"/>
    <col min="10756" max="10756" width="2" style="133" customWidth="1"/>
    <col min="10757" max="10757" width="15.6640625" style="133" customWidth="1"/>
    <col min="10758" max="11008" width="8.88671875" style="133"/>
    <col min="11009" max="11009" width="3.88671875" style="133" customWidth="1"/>
    <col min="11010" max="11010" width="49" style="133" customWidth="1"/>
    <col min="11011" max="11011" width="19.33203125" style="133" customWidth="1"/>
    <col min="11012" max="11012" width="2" style="133" customWidth="1"/>
    <col min="11013" max="11013" width="15.6640625" style="133" customWidth="1"/>
    <col min="11014" max="11264" width="8.88671875" style="133"/>
    <col min="11265" max="11265" width="3.88671875" style="133" customWidth="1"/>
    <col min="11266" max="11266" width="49" style="133" customWidth="1"/>
    <col min="11267" max="11267" width="19.33203125" style="133" customWidth="1"/>
    <col min="11268" max="11268" width="2" style="133" customWidth="1"/>
    <col min="11269" max="11269" width="15.6640625" style="133" customWidth="1"/>
    <col min="11270" max="11520" width="8.88671875" style="133"/>
    <col min="11521" max="11521" width="3.88671875" style="133" customWidth="1"/>
    <col min="11522" max="11522" width="49" style="133" customWidth="1"/>
    <col min="11523" max="11523" width="19.33203125" style="133" customWidth="1"/>
    <col min="11524" max="11524" width="2" style="133" customWidth="1"/>
    <col min="11525" max="11525" width="15.6640625" style="133" customWidth="1"/>
    <col min="11526" max="11776" width="8.88671875" style="133"/>
    <col min="11777" max="11777" width="3.88671875" style="133" customWidth="1"/>
    <col min="11778" max="11778" width="49" style="133" customWidth="1"/>
    <col min="11779" max="11779" width="19.33203125" style="133" customWidth="1"/>
    <col min="11780" max="11780" width="2" style="133" customWidth="1"/>
    <col min="11781" max="11781" width="15.6640625" style="133" customWidth="1"/>
    <col min="11782" max="12032" width="8.88671875" style="133"/>
    <col min="12033" max="12033" width="3.88671875" style="133" customWidth="1"/>
    <col min="12034" max="12034" width="49" style="133" customWidth="1"/>
    <col min="12035" max="12035" width="19.33203125" style="133" customWidth="1"/>
    <col min="12036" max="12036" width="2" style="133" customWidth="1"/>
    <col min="12037" max="12037" width="15.6640625" style="133" customWidth="1"/>
    <col min="12038" max="12288" width="8.88671875" style="133"/>
    <col min="12289" max="12289" width="3.88671875" style="133" customWidth="1"/>
    <col min="12290" max="12290" width="49" style="133" customWidth="1"/>
    <col min="12291" max="12291" width="19.33203125" style="133" customWidth="1"/>
    <col min="12292" max="12292" width="2" style="133" customWidth="1"/>
    <col min="12293" max="12293" width="15.6640625" style="133" customWidth="1"/>
    <col min="12294" max="12544" width="8.88671875" style="133"/>
    <col min="12545" max="12545" width="3.88671875" style="133" customWidth="1"/>
    <col min="12546" max="12546" width="49" style="133" customWidth="1"/>
    <col min="12547" max="12547" width="19.33203125" style="133" customWidth="1"/>
    <col min="12548" max="12548" width="2" style="133" customWidth="1"/>
    <col min="12549" max="12549" width="15.6640625" style="133" customWidth="1"/>
    <col min="12550" max="12800" width="8.88671875" style="133"/>
    <col min="12801" max="12801" width="3.88671875" style="133" customWidth="1"/>
    <col min="12802" max="12802" width="49" style="133" customWidth="1"/>
    <col min="12803" max="12803" width="19.33203125" style="133" customWidth="1"/>
    <col min="12804" max="12804" width="2" style="133" customWidth="1"/>
    <col min="12805" max="12805" width="15.6640625" style="133" customWidth="1"/>
    <col min="12806" max="13056" width="8.88671875" style="133"/>
    <col min="13057" max="13057" width="3.88671875" style="133" customWidth="1"/>
    <col min="13058" max="13058" width="49" style="133" customWidth="1"/>
    <col min="13059" max="13059" width="19.33203125" style="133" customWidth="1"/>
    <col min="13060" max="13060" width="2" style="133" customWidth="1"/>
    <col min="13061" max="13061" width="15.6640625" style="133" customWidth="1"/>
    <col min="13062" max="13312" width="8.88671875" style="133"/>
    <col min="13313" max="13313" width="3.88671875" style="133" customWidth="1"/>
    <col min="13314" max="13314" width="49" style="133" customWidth="1"/>
    <col min="13315" max="13315" width="19.33203125" style="133" customWidth="1"/>
    <col min="13316" max="13316" width="2" style="133" customWidth="1"/>
    <col min="13317" max="13317" width="15.6640625" style="133" customWidth="1"/>
    <col min="13318" max="13568" width="8.88671875" style="133"/>
    <col min="13569" max="13569" width="3.88671875" style="133" customWidth="1"/>
    <col min="13570" max="13570" width="49" style="133" customWidth="1"/>
    <col min="13571" max="13571" width="19.33203125" style="133" customWidth="1"/>
    <col min="13572" max="13572" width="2" style="133" customWidth="1"/>
    <col min="13573" max="13573" width="15.6640625" style="133" customWidth="1"/>
    <col min="13574" max="13824" width="8.88671875" style="133"/>
    <col min="13825" max="13825" width="3.88671875" style="133" customWidth="1"/>
    <col min="13826" max="13826" width="49" style="133" customWidth="1"/>
    <col min="13827" max="13827" width="19.33203125" style="133" customWidth="1"/>
    <col min="13828" max="13828" width="2" style="133" customWidth="1"/>
    <col min="13829" max="13829" width="15.6640625" style="133" customWidth="1"/>
    <col min="13830" max="14080" width="8.88671875" style="133"/>
    <col min="14081" max="14081" width="3.88671875" style="133" customWidth="1"/>
    <col min="14082" max="14082" width="49" style="133" customWidth="1"/>
    <col min="14083" max="14083" width="19.33203125" style="133" customWidth="1"/>
    <col min="14084" max="14084" width="2" style="133" customWidth="1"/>
    <col min="14085" max="14085" width="15.6640625" style="133" customWidth="1"/>
    <col min="14086" max="14336" width="8.88671875" style="133"/>
    <col min="14337" max="14337" width="3.88671875" style="133" customWidth="1"/>
    <col min="14338" max="14338" width="49" style="133" customWidth="1"/>
    <col min="14339" max="14339" width="19.33203125" style="133" customWidth="1"/>
    <col min="14340" max="14340" width="2" style="133" customWidth="1"/>
    <col min="14341" max="14341" width="15.6640625" style="133" customWidth="1"/>
    <col min="14342" max="14592" width="8.88671875" style="133"/>
    <col min="14593" max="14593" width="3.88671875" style="133" customWidth="1"/>
    <col min="14594" max="14594" width="49" style="133" customWidth="1"/>
    <col min="14595" max="14595" width="19.33203125" style="133" customWidth="1"/>
    <col min="14596" max="14596" width="2" style="133" customWidth="1"/>
    <col min="14597" max="14597" width="15.6640625" style="133" customWidth="1"/>
    <col min="14598" max="14848" width="8.88671875" style="133"/>
    <col min="14849" max="14849" width="3.88671875" style="133" customWidth="1"/>
    <col min="14850" max="14850" width="49" style="133" customWidth="1"/>
    <col min="14851" max="14851" width="19.33203125" style="133" customWidth="1"/>
    <col min="14852" max="14852" width="2" style="133" customWidth="1"/>
    <col min="14853" max="14853" width="15.6640625" style="133" customWidth="1"/>
    <col min="14854" max="15104" width="8.88671875" style="133"/>
    <col min="15105" max="15105" width="3.88671875" style="133" customWidth="1"/>
    <col min="15106" max="15106" width="49" style="133" customWidth="1"/>
    <col min="15107" max="15107" width="19.33203125" style="133" customWidth="1"/>
    <col min="15108" max="15108" width="2" style="133" customWidth="1"/>
    <col min="15109" max="15109" width="15.6640625" style="133" customWidth="1"/>
    <col min="15110" max="15360" width="8.88671875" style="133"/>
    <col min="15361" max="15361" width="3.88671875" style="133" customWidth="1"/>
    <col min="15362" max="15362" width="49" style="133" customWidth="1"/>
    <col min="15363" max="15363" width="19.33203125" style="133" customWidth="1"/>
    <col min="15364" max="15364" width="2" style="133" customWidth="1"/>
    <col min="15365" max="15365" width="15.6640625" style="133" customWidth="1"/>
    <col min="15366" max="15616" width="8.88671875" style="133"/>
    <col min="15617" max="15617" width="3.88671875" style="133" customWidth="1"/>
    <col min="15618" max="15618" width="49" style="133" customWidth="1"/>
    <col min="15619" max="15619" width="19.33203125" style="133" customWidth="1"/>
    <col min="15620" max="15620" width="2" style="133" customWidth="1"/>
    <col min="15621" max="15621" width="15.6640625" style="133" customWidth="1"/>
    <col min="15622" max="15872" width="8.88671875" style="133"/>
    <col min="15873" max="15873" width="3.88671875" style="133" customWidth="1"/>
    <col min="15874" max="15874" width="49" style="133" customWidth="1"/>
    <col min="15875" max="15875" width="19.33203125" style="133" customWidth="1"/>
    <col min="15876" max="15876" width="2" style="133" customWidth="1"/>
    <col min="15877" max="15877" width="15.6640625" style="133" customWidth="1"/>
    <col min="15878" max="16128" width="8.88671875" style="133"/>
    <col min="16129" max="16129" width="3.88671875" style="133" customWidth="1"/>
    <col min="16130" max="16130" width="49" style="133" customWidth="1"/>
    <col min="16131" max="16131" width="19.33203125" style="133" customWidth="1"/>
    <col min="16132" max="16132" width="2" style="133" customWidth="1"/>
    <col min="16133" max="16133" width="15.6640625" style="133" customWidth="1"/>
    <col min="16134" max="16384" width="8.88671875" style="133"/>
  </cols>
  <sheetData>
    <row r="1" spans="1:6" x14ac:dyDescent="0.2">
      <c r="A1" s="340" t="s">
        <v>747</v>
      </c>
      <c r="B1" s="340"/>
    </row>
    <row r="2" spans="1:6" ht="106.9" customHeight="1" x14ac:dyDescent="0.25">
      <c r="A2" s="341" t="s">
        <v>269</v>
      </c>
      <c r="B2" s="341"/>
      <c r="C2" s="341"/>
      <c r="D2" s="341"/>
      <c r="E2" s="341"/>
      <c r="F2" s="341"/>
    </row>
    <row r="3" spans="1:6" s="168" customFormat="1" ht="40.5" customHeight="1" x14ac:dyDescent="0.2">
      <c r="A3" s="167"/>
      <c r="B3" s="344" t="s">
        <v>763</v>
      </c>
      <c r="C3" s="344"/>
      <c r="D3" s="135"/>
    </row>
    <row r="4" spans="1:6" s="168" customFormat="1" ht="12.75" x14ac:dyDescent="0.2">
      <c r="A4" s="169"/>
      <c r="B4" s="345" t="s">
        <v>267</v>
      </c>
      <c r="C4" s="345"/>
      <c r="D4" s="135"/>
    </row>
    <row r="5" spans="1:6" s="168" customFormat="1" ht="18.600000000000001" customHeight="1" x14ac:dyDescent="0.2">
      <c r="A5" s="169"/>
      <c r="B5" s="346" t="s">
        <v>268</v>
      </c>
      <c r="C5" s="346"/>
      <c r="D5" s="135"/>
    </row>
    <row r="6" spans="1:6" s="136" customFormat="1" ht="15" x14ac:dyDescent="0.25">
      <c r="A6" s="170"/>
      <c r="B6" s="345" t="s">
        <v>859</v>
      </c>
      <c r="C6" s="345"/>
      <c r="D6" s="134"/>
      <c r="E6" s="171"/>
    </row>
    <row r="7" spans="1:6" s="172" customFormat="1" ht="40.9" customHeight="1" x14ac:dyDescent="0.2">
      <c r="B7" s="348" t="s">
        <v>201</v>
      </c>
      <c r="C7" s="348"/>
      <c r="D7" s="303"/>
      <c r="E7" s="304"/>
    </row>
    <row r="8" spans="1:6" s="174" customFormat="1" ht="30" customHeight="1" x14ac:dyDescent="0.2">
      <c r="B8" s="351" t="s">
        <v>145</v>
      </c>
      <c r="C8" s="351"/>
      <c r="D8" s="176"/>
      <c r="E8" s="178"/>
    </row>
    <row r="9" spans="1:6" s="179" customFormat="1" ht="21.75" customHeight="1" x14ac:dyDescent="0.2">
      <c r="B9" s="180" t="s">
        <v>138</v>
      </c>
      <c r="D9" s="181"/>
      <c r="E9" s="178"/>
    </row>
    <row r="10" spans="1:6" s="184" customFormat="1" ht="26.25" customHeight="1" x14ac:dyDescent="0.2">
      <c r="A10" s="182" t="s">
        <v>202</v>
      </c>
      <c r="B10" s="183"/>
      <c r="D10" s="185"/>
      <c r="E10" s="186"/>
    </row>
    <row r="11" spans="1:6" s="174" customFormat="1" x14ac:dyDescent="0.2">
      <c r="B11" s="176" t="s">
        <v>139</v>
      </c>
      <c r="D11" s="176"/>
      <c r="E11" s="178"/>
    </row>
    <row r="12" spans="1:6" s="179" customFormat="1" ht="22.5" customHeight="1" x14ac:dyDescent="0.2">
      <c r="B12" s="180" t="s">
        <v>140</v>
      </c>
      <c r="D12" s="181"/>
      <c r="E12" s="178"/>
    </row>
    <row r="13" spans="1:6" s="184" customFormat="1" ht="24.75" customHeight="1" x14ac:dyDescent="0.2">
      <c r="B13" s="183"/>
      <c r="D13" s="185"/>
      <c r="E13" s="186"/>
    </row>
    <row r="14" spans="1:6" s="179" customFormat="1" x14ac:dyDescent="0.2">
      <c r="B14" s="180" t="s">
        <v>141</v>
      </c>
      <c r="D14" s="181"/>
      <c r="E14" s="178"/>
    </row>
    <row r="15" spans="1:6" s="184" customFormat="1" ht="22.5" customHeight="1" x14ac:dyDescent="0.2">
      <c r="B15" s="183"/>
      <c r="D15" s="185"/>
      <c r="E15" s="186"/>
    </row>
    <row r="16" spans="1:6" s="179" customFormat="1" x14ac:dyDescent="0.2">
      <c r="B16" s="180" t="s">
        <v>142</v>
      </c>
      <c r="D16" s="181"/>
      <c r="E16" s="178"/>
    </row>
    <row r="17" spans="1:5" s="184" customFormat="1" ht="21" customHeight="1" x14ac:dyDescent="0.2">
      <c r="B17" s="183"/>
      <c r="D17" s="185"/>
      <c r="E17" s="186"/>
    </row>
    <row r="18" spans="1:5" s="179" customFormat="1" x14ac:dyDescent="0.2">
      <c r="B18" s="180" t="s">
        <v>143</v>
      </c>
      <c r="D18" s="181"/>
      <c r="E18" s="178"/>
    </row>
    <row r="19" spans="1:5" s="184" customFormat="1" ht="19.5" customHeight="1" x14ac:dyDescent="0.2">
      <c r="B19" s="183"/>
      <c r="D19" s="185"/>
      <c r="E19" s="186"/>
    </row>
    <row r="20" spans="1:5" s="179" customFormat="1" x14ac:dyDescent="0.2">
      <c r="B20" s="180" t="s">
        <v>144</v>
      </c>
      <c r="D20" s="181"/>
      <c r="E20" s="178"/>
    </row>
    <row r="21" spans="1:5" s="184" customFormat="1" ht="21.75" customHeight="1" x14ac:dyDescent="0.2">
      <c r="B21" s="183"/>
      <c r="D21" s="185"/>
      <c r="E21" s="186"/>
    </row>
    <row r="22" spans="1:5" s="174" customFormat="1" ht="15" x14ac:dyDescent="0.2">
      <c r="B22" s="175"/>
      <c r="D22" s="176"/>
      <c r="E22" s="177"/>
    </row>
    <row r="23" spans="1:5" s="190" customFormat="1" ht="15.75" x14ac:dyDescent="0.2">
      <c r="A23" s="187"/>
      <c r="B23" s="349" t="s">
        <v>772</v>
      </c>
      <c r="C23" s="349"/>
      <c r="D23" s="188"/>
      <c r="E23" s="189"/>
    </row>
    <row r="24" spans="1:5" ht="66.75" customHeight="1" x14ac:dyDescent="0.2">
      <c r="B24" s="347" t="s">
        <v>764</v>
      </c>
      <c r="C24" s="347"/>
      <c r="E24" s="193"/>
    </row>
    <row r="25" spans="1:5" ht="110.45" customHeight="1" x14ac:dyDescent="0.2">
      <c r="B25" s="347" t="s">
        <v>765</v>
      </c>
      <c r="C25" s="347"/>
    </row>
    <row r="26" spans="1:5" ht="15" x14ac:dyDescent="0.2">
      <c r="B26" s="331"/>
      <c r="C26" s="194"/>
    </row>
    <row r="27" spans="1:5" s="190" customFormat="1" ht="15.75" x14ac:dyDescent="0.2">
      <c r="A27" s="187"/>
      <c r="B27" s="349" t="s">
        <v>773</v>
      </c>
      <c r="C27" s="349"/>
      <c r="D27" s="188"/>
      <c r="E27" s="195"/>
    </row>
    <row r="28" spans="1:5" ht="64.900000000000006" customHeight="1" x14ac:dyDescent="0.2">
      <c r="B28" s="347" t="s">
        <v>766</v>
      </c>
      <c r="C28" s="347"/>
    </row>
    <row r="29" spans="1:5" ht="15" x14ac:dyDescent="0.2">
      <c r="B29" s="306" t="s">
        <v>204</v>
      </c>
      <c r="C29" s="305"/>
      <c r="E29" s="196"/>
    </row>
    <row r="30" spans="1:5" ht="15" x14ac:dyDescent="0.2">
      <c r="B30" s="307" t="s">
        <v>203</v>
      </c>
      <c r="C30" s="305"/>
    </row>
    <row r="31" spans="1:5" ht="15" x14ac:dyDescent="0.2">
      <c r="B31" s="307" t="s">
        <v>767</v>
      </c>
      <c r="C31" s="305"/>
    </row>
    <row r="32" spans="1:5" ht="15" x14ac:dyDescent="0.2">
      <c r="B32" s="307" t="s">
        <v>205</v>
      </c>
      <c r="C32" s="305"/>
    </row>
    <row r="33" spans="1:5" ht="15" x14ac:dyDescent="0.2">
      <c r="B33" s="307" t="s">
        <v>206</v>
      </c>
      <c r="C33" s="305"/>
    </row>
    <row r="34" spans="1:5" ht="13.15" customHeight="1" x14ac:dyDescent="0.2">
      <c r="B34" s="308" t="s">
        <v>207</v>
      </c>
      <c r="C34" s="305"/>
    </row>
    <row r="35" spans="1:5" ht="15" x14ac:dyDescent="0.2">
      <c r="B35" s="308" t="s">
        <v>768</v>
      </c>
      <c r="C35" s="305"/>
    </row>
    <row r="36" spans="1:5" ht="15" x14ac:dyDescent="0.2">
      <c r="B36" s="308" t="s">
        <v>208</v>
      </c>
      <c r="C36" s="305"/>
    </row>
    <row r="37" spans="1:5" s="192" customFormat="1" ht="19.149999999999999" customHeight="1" x14ac:dyDescent="0.2">
      <c r="A37" s="197"/>
      <c r="B37" s="308" t="s">
        <v>769</v>
      </c>
      <c r="C37" s="305"/>
      <c r="E37" s="173"/>
    </row>
    <row r="38" spans="1:5" ht="15" x14ac:dyDescent="0.2">
      <c r="B38" s="198"/>
    </row>
    <row r="39" spans="1:5" ht="36.75" customHeight="1" x14ac:dyDescent="0.2">
      <c r="B39" s="347" t="s">
        <v>209</v>
      </c>
      <c r="C39" s="347"/>
      <c r="E39" s="133"/>
    </row>
    <row r="40" spans="1:5" ht="93.75" customHeight="1" x14ac:dyDescent="0.2">
      <c r="B40" s="347" t="s">
        <v>770</v>
      </c>
      <c r="C40" s="347"/>
      <c r="E40" s="133"/>
    </row>
    <row r="41" spans="1:5" ht="24.6" customHeight="1" x14ac:dyDescent="0.2">
      <c r="B41" s="347" t="s">
        <v>210</v>
      </c>
      <c r="C41" s="347"/>
      <c r="E41" s="133"/>
    </row>
    <row r="42" spans="1:5" ht="129.6" customHeight="1" x14ac:dyDescent="0.2">
      <c r="B42" s="347" t="s">
        <v>821</v>
      </c>
      <c r="C42" s="347"/>
      <c r="E42" s="133"/>
    </row>
    <row r="43" spans="1:5" ht="117.6" customHeight="1" x14ac:dyDescent="0.2">
      <c r="B43" s="347" t="s">
        <v>855</v>
      </c>
      <c r="C43" s="347"/>
      <c r="E43" s="133"/>
    </row>
    <row r="44" spans="1:5" ht="85.9" customHeight="1" x14ac:dyDescent="0.2">
      <c r="B44" s="347" t="s">
        <v>211</v>
      </c>
      <c r="C44" s="347"/>
      <c r="E44" s="133"/>
    </row>
    <row r="45" spans="1:5" ht="38.450000000000003" customHeight="1" x14ac:dyDescent="0.2">
      <c r="B45" s="347" t="s">
        <v>212</v>
      </c>
      <c r="C45" s="347"/>
      <c r="E45" s="133"/>
    </row>
    <row r="46" spans="1:5" ht="42" customHeight="1" x14ac:dyDescent="0.2">
      <c r="B46" s="347" t="s">
        <v>771</v>
      </c>
      <c r="C46" s="347"/>
      <c r="E46" s="133"/>
    </row>
    <row r="47" spans="1:5" ht="28.15" customHeight="1" x14ac:dyDescent="0.2">
      <c r="B47" s="347" t="s">
        <v>213</v>
      </c>
      <c r="C47" s="347"/>
    </row>
    <row r="48" spans="1:5" ht="172.15" customHeight="1" x14ac:dyDescent="0.25">
      <c r="B48" s="347" t="s">
        <v>856</v>
      </c>
      <c r="C48" s="347"/>
      <c r="E48" s="200"/>
    </row>
    <row r="49" spans="1:5" ht="15" x14ac:dyDescent="0.2">
      <c r="B49" s="201"/>
    </row>
    <row r="50" spans="1:5" s="190" customFormat="1" ht="15.75" x14ac:dyDescent="0.2">
      <c r="A50" s="187"/>
      <c r="B50" s="349" t="s">
        <v>774</v>
      </c>
      <c r="C50" s="349"/>
      <c r="D50" s="188"/>
      <c r="E50" s="195"/>
    </row>
    <row r="51" spans="1:5" ht="38.25" customHeight="1" x14ac:dyDescent="0.2">
      <c r="B51" s="347" t="s">
        <v>214</v>
      </c>
      <c r="C51" s="347"/>
    </row>
    <row r="52" spans="1:5" ht="49.5" customHeight="1" x14ac:dyDescent="0.2">
      <c r="A52" s="202"/>
      <c r="B52" s="350" t="s">
        <v>215</v>
      </c>
      <c r="C52" s="350"/>
      <c r="E52" s="203"/>
    </row>
    <row r="53" spans="1:5" ht="33.75" customHeight="1" x14ac:dyDescent="0.2">
      <c r="B53" s="350" t="s">
        <v>216</v>
      </c>
      <c r="C53" s="350"/>
    </row>
    <row r="54" spans="1:5" ht="32.25" customHeight="1" x14ac:dyDescent="0.2">
      <c r="B54" s="350" t="s">
        <v>217</v>
      </c>
      <c r="C54" s="350"/>
    </row>
    <row r="55" spans="1:5" ht="29.25" customHeight="1" x14ac:dyDescent="0.2">
      <c r="B55" s="350" t="s">
        <v>218</v>
      </c>
      <c r="C55" s="350"/>
    </row>
    <row r="56" spans="1:5" ht="15" x14ac:dyDescent="0.2">
      <c r="B56" s="331"/>
      <c r="C56" s="194"/>
    </row>
    <row r="57" spans="1:5" ht="15.75" x14ac:dyDescent="0.2">
      <c r="B57" s="349" t="s">
        <v>775</v>
      </c>
      <c r="C57" s="349"/>
    </row>
    <row r="58" spans="1:5" ht="66.75" customHeight="1" x14ac:dyDescent="0.2">
      <c r="B58" s="347" t="s">
        <v>536</v>
      </c>
      <c r="C58" s="347"/>
    </row>
    <row r="59" spans="1:5" x14ac:dyDescent="0.2">
      <c r="A59" s="132"/>
    </row>
  </sheetData>
  <sheetProtection password="ED47" sheet="1" objects="1" scenarios="1" formatCells="0" formatColumns="0" formatRows="0"/>
  <mergeCells count="31">
    <mergeCell ref="A1:B1"/>
    <mergeCell ref="B58:C58"/>
    <mergeCell ref="B45:C45"/>
    <mergeCell ref="B46:C46"/>
    <mergeCell ref="B47:C47"/>
    <mergeCell ref="B48:C48"/>
    <mergeCell ref="B50:C50"/>
    <mergeCell ref="B51:C51"/>
    <mergeCell ref="B52:C52"/>
    <mergeCell ref="B53:C53"/>
    <mergeCell ref="B54:C54"/>
    <mergeCell ref="B55:C55"/>
    <mergeCell ref="B57:C57"/>
    <mergeCell ref="B44:C44"/>
    <mergeCell ref="B8:C8"/>
    <mergeCell ref="B23:C23"/>
    <mergeCell ref="B40:C40"/>
    <mergeCell ref="B41:C41"/>
    <mergeCell ref="B42:C42"/>
    <mergeCell ref="B43:C43"/>
    <mergeCell ref="B7:C7"/>
    <mergeCell ref="B24:C24"/>
    <mergeCell ref="B25:C25"/>
    <mergeCell ref="B27:C27"/>
    <mergeCell ref="B28:C28"/>
    <mergeCell ref="B39:C39"/>
    <mergeCell ref="B3:C3"/>
    <mergeCell ref="B4:C4"/>
    <mergeCell ref="B5:C5"/>
    <mergeCell ref="B6:C6"/>
    <mergeCell ref="A2:F2"/>
  </mergeCells>
  <pageMargins left="0.51181102362204722" right="0.43307086614173229" top="0.55118110236220474" bottom="0.62992125984251968" header="0.39370078740157483" footer="0.31496062992125984"/>
  <pageSetup paperSize="9" scale="82" fitToHeight="5" orientation="portrait" verticalDpi="300" r:id="rId1"/>
  <headerFooter alignWithMargins="0">
    <oddFooter>&amp;L&amp;F
OFFICIAL&amp;R&amp;A
Page &amp;P of &amp;N</oddFooter>
  </headerFooter>
  <rowBreaks count="1" manualBreakCount="1">
    <brk id="49"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61"/>
  <sheetViews>
    <sheetView topLeftCell="A28" workbookViewId="0">
      <selection activeCell="G41" sqref="G41"/>
    </sheetView>
  </sheetViews>
  <sheetFormatPr defaultColWidth="8.88671875" defaultRowHeight="15" x14ac:dyDescent="0.2"/>
  <cols>
    <col min="1" max="1" width="15.44140625" style="2" customWidth="1"/>
    <col min="2" max="2" width="21.33203125" style="2" customWidth="1"/>
    <col min="3" max="3" width="11.44140625" style="2" customWidth="1"/>
    <col min="4" max="4" width="16.6640625" style="2" customWidth="1"/>
    <col min="5" max="5" width="15.6640625" style="2" customWidth="1"/>
    <col min="6" max="6" width="34.6640625" style="2" customWidth="1"/>
    <col min="7" max="7" width="11.77734375" style="2" customWidth="1"/>
    <col min="8" max="8" width="2.44140625" style="2" customWidth="1"/>
    <col min="9" max="9" width="23.109375" style="2" customWidth="1"/>
    <col min="10" max="16384" width="8.88671875" style="2"/>
  </cols>
  <sheetData>
    <row r="1" spans="1:9" x14ac:dyDescent="0.2">
      <c r="A1" s="340" t="s">
        <v>747</v>
      </c>
      <c r="B1" s="340"/>
    </row>
    <row r="2" spans="1:9" ht="15.75" x14ac:dyDescent="0.25">
      <c r="A2" s="354" t="s">
        <v>0</v>
      </c>
      <c r="B2" s="354"/>
      <c r="C2" s="354"/>
      <c r="D2" s="354"/>
      <c r="E2" s="354"/>
      <c r="F2" s="354"/>
      <c r="G2" s="1"/>
    </row>
    <row r="3" spans="1:9" ht="16.5" thickBot="1" x14ac:dyDescent="0.3">
      <c r="A3" s="332"/>
      <c r="B3" s="332"/>
      <c r="C3" s="332"/>
      <c r="D3" s="332"/>
      <c r="E3" s="332"/>
      <c r="F3" s="332"/>
      <c r="G3" s="1"/>
    </row>
    <row r="4" spans="1:9" ht="64.5" customHeight="1" thickBot="1" x14ac:dyDescent="0.25">
      <c r="A4" s="355" t="s">
        <v>1</v>
      </c>
      <c r="B4" s="356"/>
      <c r="C4" s="356"/>
      <c r="D4" s="356"/>
      <c r="E4" s="356"/>
      <c r="F4" s="357"/>
      <c r="G4" s="1"/>
    </row>
    <row r="5" spans="1:9" ht="15.75" x14ac:dyDescent="0.25">
      <c r="A5" s="332"/>
      <c r="B5" s="332"/>
      <c r="C5" s="332"/>
      <c r="D5" s="332"/>
      <c r="E5" s="332"/>
      <c r="F5" s="332"/>
      <c r="G5" s="1"/>
    </row>
    <row r="6" spans="1:9" ht="15.75" x14ac:dyDescent="0.25">
      <c r="A6" s="3" t="s">
        <v>833</v>
      </c>
      <c r="B6" s="332"/>
      <c r="C6" s="332"/>
      <c r="D6" s="332"/>
      <c r="E6" s="332"/>
      <c r="F6" s="332"/>
      <c r="G6" s="1"/>
    </row>
    <row r="7" spans="1:9" ht="15.75" x14ac:dyDescent="0.25">
      <c r="A7" s="3" t="s">
        <v>834</v>
      </c>
      <c r="B7" s="332"/>
      <c r="C7" s="332"/>
      <c r="D7" s="332"/>
      <c r="E7" s="332"/>
      <c r="F7" s="332"/>
      <c r="G7" s="1"/>
    </row>
    <row r="8" spans="1:9" ht="15.75" x14ac:dyDescent="0.25">
      <c r="A8" s="3" t="s">
        <v>2</v>
      </c>
      <c r="B8" s="332"/>
      <c r="C8" s="332"/>
      <c r="D8" s="332"/>
      <c r="E8" s="332"/>
      <c r="F8" s="332"/>
      <c r="G8" s="1"/>
    </row>
    <row r="9" spans="1:9" ht="15.75" x14ac:dyDescent="0.25">
      <c r="A9" s="3"/>
      <c r="B9" s="332"/>
      <c r="C9" s="332"/>
      <c r="D9" s="332"/>
      <c r="E9" s="332"/>
      <c r="F9" s="332"/>
      <c r="G9" s="1"/>
    </row>
    <row r="10" spans="1:9" s="4" customFormat="1" ht="52.15" customHeight="1" x14ac:dyDescent="0.2">
      <c r="A10" s="358" t="s">
        <v>3</v>
      </c>
      <c r="B10" s="358"/>
      <c r="C10" s="358"/>
      <c r="D10" s="358"/>
      <c r="E10" s="358"/>
      <c r="F10" s="358"/>
      <c r="G10" s="1"/>
      <c r="H10" s="2"/>
    </row>
    <row r="11" spans="1:9" s="4" customFormat="1" ht="15.75" x14ac:dyDescent="0.2">
      <c r="A11" s="358" t="s">
        <v>4</v>
      </c>
      <c r="B11" s="358"/>
      <c r="C11" s="358"/>
      <c r="D11" s="358"/>
      <c r="E11" s="358"/>
      <c r="F11" s="358"/>
      <c r="G11" s="5"/>
      <c r="H11" s="2"/>
    </row>
    <row r="12" spans="1:9" s="7" customFormat="1" ht="34.5" customHeight="1" x14ac:dyDescent="0.2">
      <c r="A12" s="359" t="s">
        <v>832</v>
      </c>
      <c r="B12" s="359"/>
      <c r="C12" s="359"/>
      <c r="D12" s="359"/>
      <c r="E12" s="359"/>
      <c r="F12" s="359"/>
      <c r="G12" s="1"/>
      <c r="H12" s="2"/>
      <c r="I12" s="6"/>
    </row>
    <row r="13" spans="1:9" s="4" customFormat="1" ht="16.5" thickBot="1" x14ac:dyDescent="0.3">
      <c r="A13" s="8"/>
      <c r="B13" s="2"/>
      <c r="C13" s="9"/>
      <c r="D13" s="9"/>
      <c r="E13" s="2"/>
      <c r="F13" s="2"/>
      <c r="G13" s="2"/>
      <c r="H13" s="2"/>
      <c r="I13" s="10"/>
    </row>
    <row r="14" spans="1:9" s="4" customFormat="1" ht="38.25" x14ac:dyDescent="0.2">
      <c r="A14" s="11" t="s">
        <v>5</v>
      </c>
      <c r="B14" s="352"/>
      <c r="C14" s="353"/>
      <c r="D14" s="353"/>
      <c r="E14" s="353"/>
      <c r="F14" s="12"/>
      <c r="G14" s="12"/>
      <c r="H14" s="12"/>
    </row>
    <row r="15" spans="1:9" s="4" customFormat="1" x14ac:dyDescent="0.2">
      <c r="A15" s="13" t="s">
        <v>6</v>
      </c>
      <c r="B15" s="2"/>
      <c r="C15" s="2"/>
      <c r="D15" s="2"/>
      <c r="E15" s="2"/>
      <c r="F15" s="2"/>
      <c r="G15" s="2"/>
      <c r="H15" s="2"/>
    </row>
    <row r="16" spans="1:9" s="4" customFormat="1" x14ac:dyDescent="0.2">
      <c r="A16" s="14" t="s">
        <v>7</v>
      </c>
      <c r="B16" s="2"/>
      <c r="C16" s="2"/>
      <c r="D16" s="2"/>
      <c r="E16" s="2"/>
      <c r="F16" s="2"/>
      <c r="G16" s="2"/>
      <c r="H16" s="2"/>
    </row>
    <row r="17" spans="1:8" s="4" customFormat="1" ht="15.75" thickBot="1" x14ac:dyDescent="0.25">
      <c r="A17" s="15" t="s">
        <v>8</v>
      </c>
      <c r="B17" s="2"/>
      <c r="C17" s="16"/>
      <c r="D17" s="16"/>
      <c r="E17" s="16"/>
      <c r="F17" s="16"/>
      <c r="G17" s="16"/>
      <c r="H17" s="2"/>
    </row>
    <row r="21" spans="1:8" s="17" customFormat="1" ht="13.5" thickBot="1" x14ac:dyDescent="0.25">
      <c r="A21" s="17" t="s">
        <v>9</v>
      </c>
      <c r="D21" s="17" t="s">
        <v>10</v>
      </c>
    </row>
    <row r="22" spans="1:8" ht="26.25" thickBot="1" x14ac:dyDescent="0.25">
      <c r="A22" s="18" t="s">
        <v>11</v>
      </c>
      <c r="B22" s="19" t="s">
        <v>12</v>
      </c>
      <c r="D22" s="18" t="s">
        <v>11</v>
      </c>
      <c r="E22" s="19" t="s">
        <v>12</v>
      </c>
      <c r="F22" s="19" t="s">
        <v>13</v>
      </c>
    </row>
    <row r="23" spans="1:8" ht="22.5" x14ac:dyDescent="0.2">
      <c r="A23" s="20" t="s">
        <v>14</v>
      </c>
      <c r="B23" s="61">
        <v>2</v>
      </c>
      <c r="D23" s="20" t="s">
        <v>15</v>
      </c>
      <c r="E23" s="21">
        <v>0</v>
      </c>
      <c r="F23" s="21" t="s">
        <v>16</v>
      </c>
    </row>
    <row r="24" spans="1:8" ht="22.5" x14ac:dyDescent="0.2">
      <c r="A24" s="22" t="s">
        <v>17</v>
      </c>
      <c r="B24" s="23">
        <v>2</v>
      </c>
      <c r="D24" s="22" t="s">
        <v>18</v>
      </c>
      <c r="E24" s="23">
        <v>1</v>
      </c>
      <c r="F24" s="23" t="s">
        <v>19</v>
      </c>
    </row>
    <row r="25" spans="1:8" ht="22.5" x14ac:dyDescent="0.2">
      <c r="A25" s="22" t="s">
        <v>20</v>
      </c>
      <c r="B25" s="23">
        <v>4</v>
      </c>
      <c r="D25" s="22" t="s">
        <v>14</v>
      </c>
      <c r="E25" s="23">
        <v>2</v>
      </c>
      <c r="F25" s="23" t="s">
        <v>21</v>
      </c>
    </row>
    <row r="26" spans="1:8" ht="33.75" x14ac:dyDescent="0.2">
      <c r="A26" s="22" t="s">
        <v>22</v>
      </c>
      <c r="B26" s="23">
        <v>6</v>
      </c>
      <c r="D26" s="22" t="s">
        <v>23</v>
      </c>
      <c r="E26" s="23">
        <v>2</v>
      </c>
      <c r="F26" s="319" t="s">
        <v>827</v>
      </c>
    </row>
    <row r="27" spans="1:8" ht="22.5" x14ac:dyDescent="0.2">
      <c r="A27" s="22" t="s">
        <v>24</v>
      </c>
      <c r="B27" s="23">
        <v>5</v>
      </c>
      <c r="D27" s="22" t="s">
        <v>17</v>
      </c>
      <c r="E27" s="23">
        <v>2</v>
      </c>
      <c r="F27" s="23" t="s">
        <v>828</v>
      </c>
    </row>
    <row r="28" spans="1:8" ht="56.25" x14ac:dyDescent="0.2">
      <c r="A28" s="22" t="s">
        <v>15</v>
      </c>
      <c r="B28" s="23">
        <v>0</v>
      </c>
      <c r="D28" s="22" t="s">
        <v>25</v>
      </c>
      <c r="E28" s="23">
        <v>3</v>
      </c>
      <c r="F28" s="23" t="s">
        <v>829</v>
      </c>
    </row>
    <row r="29" spans="1:8" ht="45" x14ac:dyDescent="0.2">
      <c r="A29" s="22" t="s">
        <v>18</v>
      </c>
      <c r="B29" s="23">
        <v>1</v>
      </c>
      <c r="D29" s="22" t="s">
        <v>20</v>
      </c>
      <c r="E29" s="23">
        <v>4</v>
      </c>
      <c r="F29" s="23" t="s">
        <v>26</v>
      </c>
    </row>
    <row r="30" spans="1:8" ht="33.75" x14ac:dyDescent="0.2">
      <c r="A30" s="22" t="s">
        <v>23</v>
      </c>
      <c r="B30" s="23">
        <v>2</v>
      </c>
      <c r="D30" s="22" t="s">
        <v>24</v>
      </c>
      <c r="E30" s="23">
        <v>5</v>
      </c>
      <c r="F30" s="23" t="s">
        <v>27</v>
      </c>
    </row>
    <row r="31" spans="1:8" ht="34.5" thickBot="1" x14ac:dyDescent="0.25">
      <c r="A31" s="24" t="s">
        <v>25</v>
      </c>
      <c r="B31" s="25">
        <v>3</v>
      </c>
      <c r="D31" s="24" t="s">
        <v>22</v>
      </c>
      <c r="E31" s="25">
        <v>6</v>
      </c>
      <c r="F31" s="25" t="s">
        <v>28</v>
      </c>
    </row>
    <row r="34" spans="1:9" s="17" customFormat="1" ht="13.5" thickBot="1" x14ac:dyDescent="0.25">
      <c r="A34" s="17" t="s">
        <v>9</v>
      </c>
      <c r="D34" s="17" t="s">
        <v>10</v>
      </c>
    </row>
    <row r="35" spans="1:9" ht="26.25" thickBot="1" x14ac:dyDescent="0.25">
      <c r="A35" s="26" t="s">
        <v>29</v>
      </c>
      <c r="B35" s="27" t="s">
        <v>30</v>
      </c>
      <c r="D35" s="26" t="s">
        <v>29</v>
      </c>
      <c r="E35" s="27" t="s">
        <v>30</v>
      </c>
      <c r="F35" s="27" t="s">
        <v>13</v>
      </c>
      <c r="I35" s="93" t="s">
        <v>178</v>
      </c>
    </row>
    <row r="36" spans="1:9" x14ac:dyDescent="0.2">
      <c r="A36" s="28" t="s">
        <v>31</v>
      </c>
      <c r="B36" s="29">
        <v>4</v>
      </c>
      <c r="D36" s="28" t="s">
        <v>15</v>
      </c>
      <c r="E36" s="62">
        <v>1E-4</v>
      </c>
      <c r="F36" s="29" t="s">
        <v>16</v>
      </c>
      <c r="I36" s="94" t="s">
        <v>176</v>
      </c>
    </row>
    <row r="37" spans="1:9" ht="23.25" thickBot="1" x14ac:dyDescent="0.25">
      <c r="A37" s="30" t="s">
        <v>32</v>
      </c>
      <c r="B37" s="31">
        <v>0</v>
      </c>
      <c r="D37" s="30" t="s">
        <v>32</v>
      </c>
      <c r="E37" s="31">
        <v>0</v>
      </c>
      <c r="F37" s="31" t="s">
        <v>33</v>
      </c>
      <c r="I37" s="95" t="s">
        <v>177</v>
      </c>
    </row>
    <row r="38" spans="1:9" ht="33.75" x14ac:dyDescent="0.2">
      <c r="A38" s="30" t="s">
        <v>34</v>
      </c>
      <c r="B38" s="31">
        <v>6</v>
      </c>
      <c r="D38" s="30" t="s">
        <v>35</v>
      </c>
      <c r="E38" s="31">
        <v>1</v>
      </c>
      <c r="F38" s="31" t="s">
        <v>36</v>
      </c>
    </row>
    <row r="39" spans="1:9" x14ac:dyDescent="0.2">
      <c r="A39" s="30" t="s">
        <v>37</v>
      </c>
      <c r="B39" s="31">
        <v>5</v>
      </c>
      <c r="D39" s="30" t="s">
        <v>31</v>
      </c>
      <c r="E39" s="31">
        <v>4</v>
      </c>
      <c r="F39" s="31" t="s">
        <v>38</v>
      </c>
    </row>
    <row r="40" spans="1:9" ht="33.75" x14ac:dyDescent="0.2">
      <c r="A40" s="30" t="s">
        <v>35</v>
      </c>
      <c r="B40" s="31">
        <v>1</v>
      </c>
      <c r="D40" s="30" t="s">
        <v>37</v>
      </c>
      <c r="E40" s="31">
        <v>5</v>
      </c>
      <c r="F40" s="278" t="s">
        <v>39</v>
      </c>
    </row>
    <row r="41" spans="1:9" ht="34.5" thickBot="1" x14ac:dyDescent="0.25">
      <c r="A41" s="32" t="s">
        <v>15</v>
      </c>
      <c r="B41" s="33">
        <v>1E-4</v>
      </c>
      <c r="D41" s="32" t="s">
        <v>34</v>
      </c>
      <c r="E41" s="63">
        <v>6</v>
      </c>
      <c r="F41" s="33" t="s">
        <v>40</v>
      </c>
    </row>
    <row r="44" spans="1:9" s="17" customFormat="1" ht="13.5" thickBot="1" x14ac:dyDescent="0.25">
      <c r="A44" s="17" t="s">
        <v>9</v>
      </c>
      <c r="D44" s="17" t="s">
        <v>10</v>
      </c>
    </row>
    <row r="45" spans="1:9" ht="26.25" thickBot="1" x14ac:dyDescent="0.25">
      <c r="A45" s="34" t="s">
        <v>41</v>
      </c>
      <c r="B45" s="35" t="s">
        <v>42</v>
      </c>
      <c r="D45" s="34" t="s">
        <v>41</v>
      </c>
      <c r="E45" s="35" t="s">
        <v>42</v>
      </c>
      <c r="F45" s="35" t="s">
        <v>13</v>
      </c>
    </row>
    <row r="46" spans="1:9" x14ac:dyDescent="0.2">
      <c r="A46" s="36" t="s">
        <v>43</v>
      </c>
      <c r="B46" s="37">
        <v>5</v>
      </c>
      <c r="D46" s="36" t="s">
        <v>15</v>
      </c>
      <c r="E46" s="64">
        <v>1.0000000000000001E-5</v>
      </c>
      <c r="F46" s="37" t="s">
        <v>16</v>
      </c>
    </row>
    <row r="47" spans="1:9" x14ac:dyDescent="0.2">
      <c r="A47" s="38" t="s">
        <v>44</v>
      </c>
      <c r="B47" s="39">
        <v>10</v>
      </c>
      <c r="D47" s="38" t="s">
        <v>45</v>
      </c>
      <c r="E47" s="39">
        <v>1</v>
      </c>
      <c r="F47" s="279" t="s">
        <v>46</v>
      </c>
    </row>
    <row r="48" spans="1:9" ht="33.75" x14ac:dyDescent="0.2">
      <c r="A48" s="38" t="s">
        <v>47</v>
      </c>
      <c r="B48" s="39">
        <v>8</v>
      </c>
      <c r="D48" s="38" t="s">
        <v>48</v>
      </c>
      <c r="E48" s="39">
        <v>3</v>
      </c>
      <c r="F48" s="39" t="s">
        <v>49</v>
      </c>
    </row>
    <row r="49" spans="1:6" ht="33.75" x14ac:dyDescent="0.2">
      <c r="A49" s="38" t="s">
        <v>48</v>
      </c>
      <c r="B49" s="39">
        <v>3</v>
      </c>
      <c r="D49" s="38" t="s">
        <v>43</v>
      </c>
      <c r="E49" s="39">
        <v>5</v>
      </c>
      <c r="F49" s="39" t="s">
        <v>50</v>
      </c>
    </row>
    <row r="50" spans="1:6" x14ac:dyDescent="0.2">
      <c r="A50" s="38" t="s">
        <v>15</v>
      </c>
      <c r="B50" s="65">
        <v>1.0000000000000001E-5</v>
      </c>
      <c r="D50" s="38" t="s">
        <v>47</v>
      </c>
      <c r="E50" s="39">
        <v>8</v>
      </c>
      <c r="F50" s="279" t="s">
        <v>51</v>
      </c>
    </row>
    <row r="51" spans="1:6" ht="23.25" thickBot="1" x14ac:dyDescent="0.25">
      <c r="A51" s="40" t="s">
        <v>45</v>
      </c>
      <c r="B51" s="41">
        <v>1</v>
      </c>
      <c r="D51" s="40" t="s">
        <v>44</v>
      </c>
      <c r="E51" s="41">
        <v>10</v>
      </c>
      <c r="F51" s="41" t="s">
        <v>52</v>
      </c>
    </row>
    <row r="55" spans="1:6" ht="34.5" thickBot="1" x14ac:dyDescent="0.25">
      <c r="A55" s="333" t="s">
        <v>857</v>
      </c>
    </row>
    <row r="56" spans="1:6" ht="15.75" thickBot="1" x14ac:dyDescent="0.25">
      <c r="A56" s="334" t="s">
        <v>15</v>
      </c>
      <c r="B56" s="335">
        <v>0</v>
      </c>
    </row>
    <row r="57" spans="1:6" ht="15.75" thickBot="1" x14ac:dyDescent="0.25">
      <c r="A57" s="336" t="s">
        <v>181</v>
      </c>
      <c r="B57" s="337">
        <v>0</v>
      </c>
    </row>
    <row r="58" spans="1:6" ht="15.75" thickBot="1" x14ac:dyDescent="0.25">
      <c r="A58" s="336" t="s">
        <v>182</v>
      </c>
      <c r="B58" s="338">
        <v>1</v>
      </c>
    </row>
    <row r="59" spans="1:6" ht="15.75" thickBot="1" x14ac:dyDescent="0.25">
      <c r="A59" s="336" t="s">
        <v>183</v>
      </c>
      <c r="B59" s="338">
        <v>2</v>
      </c>
    </row>
    <row r="60" spans="1:6" ht="15.75" thickBot="1" x14ac:dyDescent="0.25">
      <c r="A60" s="336" t="s">
        <v>184</v>
      </c>
      <c r="B60" s="338">
        <v>4</v>
      </c>
    </row>
    <row r="61" spans="1:6" ht="15.75" thickBot="1" x14ac:dyDescent="0.25">
      <c r="A61" s="336" t="s">
        <v>185</v>
      </c>
      <c r="B61" s="338">
        <v>6</v>
      </c>
    </row>
  </sheetData>
  <mergeCells count="7">
    <mergeCell ref="A1:B1"/>
    <mergeCell ref="B14:E14"/>
    <mergeCell ref="A2:F2"/>
    <mergeCell ref="A4:F4"/>
    <mergeCell ref="A10:F10"/>
    <mergeCell ref="A11:F11"/>
    <mergeCell ref="A12:F12"/>
  </mergeCells>
  <pageMargins left="0.70866141732283472" right="0.70866141732283472" top="0.74803149606299213" bottom="0.74803149606299213" header="0.31496062992125984" footer="0.31496062992125984"/>
  <pageSetup paperSize="8" fitToHeight="0"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P182"/>
  <sheetViews>
    <sheetView zoomScaleNormal="100" workbookViewId="0">
      <pane ySplit="5" topLeftCell="A6" activePane="bottomLeft" state="frozen"/>
      <selection activeCell="I20" sqref="I20"/>
      <selection pane="bottomLeft" activeCell="A6" sqref="A6"/>
    </sheetView>
  </sheetViews>
  <sheetFormatPr defaultColWidth="8.88671875" defaultRowHeight="12.75" x14ac:dyDescent="0.2"/>
  <cols>
    <col min="1" max="1" width="8.88671875" style="324" customWidth="1"/>
    <col min="2" max="2" width="12.21875" style="324" customWidth="1"/>
    <col min="3" max="3" width="53.33203125" style="324" customWidth="1"/>
    <col min="4" max="4" width="16.6640625" style="324" customWidth="1"/>
    <col min="5" max="5" width="50.77734375" style="324" customWidth="1"/>
    <col min="6" max="6" width="9.88671875" style="324" customWidth="1"/>
    <col min="7" max="7" width="11" style="324" hidden="1" customWidth="1"/>
    <col min="8" max="8" width="8.5546875" style="324" customWidth="1"/>
    <col min="9" max="9" width="11.88671875" style="324" hidden="1" customWidth="1"/>
    <col min="10" max="11" width="13.109375" style="324" hidden="1" customWidth="1"/>
    <col min="12" max="14" width="11" style="324" hidden="1" customWidth="1"/>
    <col min="15" max="15" width="9" style="79" customWidth="1"/>
    <col min="16" max="16" width="16.109375" style="79" bestFit="1" customWidth="1"/>
    <col min="17" max="16384" width="8.88671875" style="324"/>
  </cols>
  <sheetData>
    <row r="1" spans="1:16" ht="21" customHeight="1" x14ac:dyDescent="0.2">
      <c r="A1" s="340" t="s">
        <v>747</v>
      </c>
      <c r="B1" s="340"/>
      <c r="D1" s="328">
        <f>COUNTIF(D5:D178,"NO")</f>
        <v>0</v>
      </c>
      <c r="E1" s="360" t="s">
        <v>537</v>
      </c>
      <c r="F1" s="360"/>
      <c r="G1" s="360"/>
      <c r="H1" s="360"/>
    </row>
    <row r="2" spans="1:16" ht="16.899999999999999" customHeight="1" x14ac:dyDescent="0.2">
      <c r="B2" s="327">
        <f>COUNTIF(B5:B178,"Compliance Yes/No")+COUNTIF(B5:B178,"Specification")</f>
        <v>139</v>
      </c>
      <c r="C2" s="128"/>
      <c r="D2" s="328">
        <f>COUNTIF(D5:D178,"YES")</f>
        <v>0</v>
      </c>
      <c r="E2" s="325"/>
      <c r="I2" s="53" t="s">
        <v>74</v>
      </c>
      <c r="J2" s="44"/>
      <c r="K2" s="45">
        <f>SUM(K7:K174)</f>
        <v>768.00000013199974</v>
      </c>
      <c r="L2" s="68">
        <f>K2/N2</f>
        <v>0.9275362318956113</v>
      </c>
      <c r="M2" s="45"/>
      <c r="N2" s="45">
        <f>SUM(N7:N174)</f>
        <v>828.00000013199872</v>
      </c>
      <c r="O2" s="69">
        <f>SUM(O7:O174)</f>
        <v>0.99999999984058152</v>
      </c>
      <c r="P2" s="92">
        <f>SUM(P7:P174)</f>
        <v>0.12499999998007269</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538</v>
      </c>
      <c r="B4" s="100"/>
      <c r="C4" s="100"/>
      <c r="D4" s="98"/>
      <c r="E4" s="67">
        <f>Introduction!B10</f>
        <v>0</v>
      </c>
      <c r="F4" s="67"/>
      <c r="G4" s="67"/>
      <c r="H4" s="67"/>
      <c r="I4" s="67"/>
      <c r="J4" s="67"/>
      <c r="K4" s="67"/>
      <c r="L4" s="67"/>
      <c r="M4" s="67"/>
      <c r="N4" s="67"/>
      <c r="O4" s="71"/>
      <c r="P4" s="71"/>
    </row>
    <row r="5" spans="1:16" s="129" customFormat="1" ht="88.15" customHeight="1" x14ac:dyDescent="0.2">
      <c r="A5" s="60" t="s">
        <v>53</v>
      </c>
      <c r="B5" s="60"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72"/>
      <c r="F6" s="74" t="s">
        <v>15</v>
      </c>
      <c r="G6" s="74">
        <f>VLOOKUP(F6,[2]Lists!$A$45:$B$50,2,FALSE)</f>
        <v>1.0000000000000001E-5</v>
      </c>
      <c r="H6" s="74" t="s">
        <v>15</v>
      </c>
      <c r="I6" s="74" t="s">
        <v>15</v>
      </c>
      <c r="J6" s="74">
        <f>VLOOKUP(I6,[2]Lists!$A$35:$B$40,2,FALSE)</f>
        <v>1E-4</v>
      </c>
      <c r="K6" s="74" t="e">
        <f>J6*#REF!*G6</f>
        <v>#REF!</v>
      </c>
      <c r="L6" s="74" t="str">
        <f>IF(ISERROR(K6/N6),"n/a",K6/N6)</f>
        <v>n/a</v>
      </c>
      <c r="M6" s="74">
        <f>IF(B6=[2]Lists!$A$14,[2]Lists!$E$35)+IF(B6=[2]Lists!$A$15,[2]Lists!$E$40)+IF(B6=[2]Lists!$A$16,[2]Lists!$E$40)</f>
        <v>0</v>
      </c>
      <c r="N6" s="74">
        <f>G6*M6</f>
        <v>0</v>
      </c>
      <c r="O6" s="70"/>
      <c r="P6" s="70"/>
    </row>
    <row r="7" spans="1:16" s="47" customFormat="1" ht="43.5" customHeight="1" x14ac:dyDescent="0.2">
      <c r="A7" s="222" t="s">
        <v>86</v>
      </c>
      <c r="B7" s="261" t="s">
        <v>7</v>
      </c>
      <c r="C7" s="112" t="s">
        <v>187</v>
      </c>
      <c r="D7" s="275">
        <f>ROUND(COUNTIF(D9:D178,"Yes")/(B2-1),2)</f>
        <v>0</v>
      </c>
      <c r="E7" s="271"/>
      <c r="F7" s="261" t="s">
        <v>44</v>
      </c>
      <c r="G7" s="262">
        <f>VLOOKUP(F7,Weightings!$A$46:$B$51,2,FALSE)</f>
        <v>10</v>
      </c>
      <c r="H7" s="274"/>
      <c r="I7" s="263" t="s">
        <v>186</v>
      </c>
      <c r="J7" s="264">
        <f>IF(D7&gt;=0.97,6,IF(D7&gt;=0.9,4,IF(D7&gt;=0.8,2,IF(D7&gt;=0.7,1,0))))</f>
        <v>0</v>
      </c>
      <c r="K7" s="321">
        <f t="shared" ref="K7:K143" si="0">J7*G7</f>
        <v>0</v>
      </c>
      <c r="L7" s="265">
        <f>IF(ISERROR(K7/N7),"n/a",K7/N7)</f>
        <v>0</v>
      </c>
      <c r="M7" s="321">
        <f>IF(B7=Weightings!$A$15,Weightings!$E$36)+IF(B7=Weightings!$A$16,Weightings!$E$41)+IF(B7=Weightings!$A$17,Weightings!$E$41)</f>
        <v>6</v>
      </c>
      <c r="N7" s="321">
        <f>G7*M7</f>
        <v>60</v>
      </c>
      <c r="O7" s="269">
        <f>IF((N7/$N$2)&gt;0.0001,N7/$N$2,"n/a")</f>
        <v>7.2463768104389953E-2</v>
      </c>
      <c r="P7" s="270">
        <f>IF(ISERROR(O7*0.125),"n/a",O7*0.125)</f>
        <v>9.0579710130487441E-3</v>
      </c>
    </row>
    <row r="8" spans="1:16" s="50" customFormat="1" x14ac:dyDescent="0.2">
      <c r="A8" s="323" t="s">
        <v>85</v>
      </c>
      <c r="B8" s="48"/>
      <c r="C8" s="322" t="s">
        <v>539</v>
      </c>
      <c r="D8" s="322"/>
      <c r="E8" s="72"/>
      <c r="F8" s="74" t="s">
        <v>15</v>
      </c>
      <c r="G8" s="72"/>
      <c r="H8" s="72"/>
      <c r="I8" s="72"/>
      <c r="J8" s="72"/>
      <c r="K8" s="72"/>
      <c r="L8" s="72"/>
      <c r="M8" s="72"/>
      <c r="N8" s="72"/>
      <c r="O8" s="72"/>
      <c r="P8" s="70">
        <f t="shared" ref="P8:P71" si="1">IF(ISERROR(O8*0.125),"n/a",O8*0.125)</f>
        <v>0</v>
      </c>
    </row>
    <row r="9" spans="1:16" s="47" customFormat="1" ht="59.45" customHeight="1" x14ac:dyDescent="0.2">
      <c r="A9" s="54" t="s">
        <v>87</v>
      </c>
      <c r="B9" s="261" t="s">
        <v>6</v>
      </c>
      <c r="C9" s="113" t="s">
        <v>831</v>
      </c>
      <c r="D9" s="362"/>
      <c r="E9" s="276" t="s">
        <v>63</v>
      </c>
      <c r="F9" s="261" t="s">
        <v>15</v>
      </c>
      <c r="G9" s="262">
        <f>VLOOKUP(F9,Weightings!$A$46:$B$51,2,FALSE)</f>
        <v>1.0000000000000001E-5</v>
      </c>
      <c r="H9" s="261" t="s">
        <v>15</v>
      </c>
      <c r="I9" s="261" t="s">
        <v>15</v>
      </c>
      <c r="J9" s="264">
        <v>1E-4</v>
      </c>
      <c r="K9" s="321">
        <f t="shared" si="0"/>
        <v>1.0000000000000001E-9</v>
      </c>
      <c r="L9" s="265">
        <f t="shared" ref="L9:L40" si="2">IF(ISERROR(K9/N9),"n/a",K9/N9)</f>
        <v>1</v>
      </c>
      <c r="M9" s="321">
        <f>IF(B9=Weightings!$A$15,Weightings!$E$36)+IF(B9=Weightings!$A$16,Weightings!$E$41)+IF(B9=Weightings!$A$17,Weightings!$E$41)</f>
        <v>1E-4</v>
      </c>
      <c r="N9" s="321">
        <f t="shared" ref="N9:N40" si="3">G9*M9</f>
        <v>1.0000000000000001E-9</v>
      </c>
      <c r="O9" s="261" t="str">
        <f t="shared" ref="O9:O23" si="4">IF((N9/$N$2)&gt;0.0001,N9/$N$2,"n/a")</f>
        <v>n/a</v>
      </c>
      <c r="P9" s="261" t="str">
        <f t="shared" si="1"/>
        <v>n/a</v>
      </c>
    </row>
    <row r="10" spans="1:16" s="47" customFormat="1" ht="51" x14ac:dyDescent="0.2">
      <c r="A10" s="222" t="s">
        <v>88</v>
      </c>
      <c r="B10" s="261" t="s">
        <v>6</v>
      </c>
      <c r="C10" s="112" t="s">
        <v>540</v>
      </c>
      <c r="D10" s="362"/>
      <c r="E10" s="276" t="s">
        <v>63</v>
      </c>
      <c r="F10" s="261" t="s">
        <v>15</v>
      </c>
      <c r="G10" s="262">
        <f>VLOOKUP(F10,Weightings!$A$46:$B$51,2,FALSE)</f>
        <v>1.0000000000000001E-5</v>
      </c>
      <c r="H10" s="261" t="s">
        <v>15</v>
      </c>
      <c r="I10" s="261" t="s">
        <v>15</v>
      </c>
      <c r="J10" s="264">
        <f>VLOOKUP(I10,[2]Lists!$A$35:$B$40,2,FALSE)</f>
        <v>1E-4</v>
      </c>
      <c r="K10" s="321">
        <f t="shared" si="0"/>
        <v>1.0000000000000001E-9</v>
      </c>
      <c r="L10" s="265">
        <f t="shared" si="2"/>
        <v>1</v>
      </c>
      <c r="M10" s="321">
        <f>IF(B10=Weightings!$A$15,Weightings!$E$36)+IF(B10=Weightings!$A$16,Weightings!$E$41)+IF(B10=Weightings!$A$17,Weightings!$E$41)</f>
        <v>1E-4</v>
      </c>
      <c r="N10" s="321">
        <f t="shared" si="3"/>
        <v>1.0000000000000001E-9</v>
      </c>
      <c r="O10" s="261" t="str">
        <f t="shared" si="4"/>
        <v>n/a</v>
      </c>
      <c r="P10" s="261" t="str">
        <f t="shared" si="1"/>
        <v>n/a</v>
      </c>
    </row>
    <row r="11" spans="1:16" s="285" customFormat="1" ht="38.25" x14ac:dyDescent="0.2">
      <c r="A11" s="222" t="s">
        <v>89</v>
      </c>
      <c r="B11" s="261" t="s">
        <v>6</v>
      </c>
      <c r="C11" s="112" t="s">
        <v>541</v>
      </c>
      <c r="D11" s="362"/>
      <c r="E11" s="276" t="s">
        <v>63</v>
      </c>
      <c r="F11" s="261" t="s">
        <v>15</v>
      </c>
      <c r="G11" s="262">
        <f>VLOOKUP(F11,Weightings!$A$46:$B$51,2,FALSE)</f>
        <v>1.0000000000000001E-5</v>
      </c>
      <c r="H11" s="261" t="s">
        <v>15</v>
      </c>
      <c r="I11" s="261" t="s">
        <v>15</v>
      </c>
      <c r="J11" s="264">
        <f>VLOOKUP(I11,[2]Lists!$A$35:$B$40,2,FALSE)</f>
        <v>1E-4</v>
      </c>
      <c r="K11" s="321">
        <f t="shared" si="0"/>
        <v>1.0000000000000001E-9</v>
      </c>
      <c r="L11" s="265">
        <f t="shared" si="2"/>
        <v>1</v>
      </c>
      <c r="M11" s="321">
        <f>IF(B11=Weightings!$A$15,Weightings!$E$36)+IF(B11=Weightings!$A$16,Weightings!$E$41)+IF(B11=Weightings!$A$17,Weightings!$E$41)</f>
        <v>1E-4</v>
      </c>
      <c r="N11" s="321">
        <f t="shared" si="3"/>
        <v>1.0000000000000001E-9</v>
      </c>
      <c r="O11" s="261" t="str">
        <f t="shared" si="4"/>
        <v>n/a</v>
      </c>
      <c r="P11" s="261" t="str">
        <f t="shared" si="1"/>
        <v>n/a</v>
      </c>
    </row>
    <row r="12" spans="1:16" s="47" customFormat="1" ht="38.25" x14ac:dyDescent="0.2">
      <c r="A12" s="222" t="s">
        <v>90</v>
      </c>
      <c r="B12" s="261" t="s">
        <v>6</v>
      </c>
      <c r="C12" s="112" t="s">
        <v>542</v>
      </c>
      <c r="D12" s="362"/>
      <c r="E12" s="276" t="s">
        <v>63</v>
      </c>
      <c r="F12" s="261" t="s">
        <v>15</v>
      </c>
      <c r="G12" s="262">
        <f>VLOOKUP(F12,Weightings!$A$46:$B$51,2,FALSE)</f>
        <v>1.0000000000000001E-5</v>
      </c>
      <c r="H12" s="261" t="s">
        <v>15</v>
      </c>
      <c r="I12" s="261" t="s">
        <v>15</v>
      </c>
      <c r="J12" s="264">
        <f>VLOOKUP(I12,[2]Lists!$A$35:$B$40,2,FALSE)</f>
        <v>1E-4</v>
      </c>
      <c r="K12" s="321">
        <f t="shared" si="0"/>
        <v>1.0000000000000001E-9</v>
      </c>
      <c r="L12" s="265">
        <f t="shared" si="2"/>
        <v>1</v>
      </c>
      <c r="M12" s="321">
        <f>IF(B12=Weightings!$A$15,Weightings!$E$36)+IF(B12=Weightings!$A$16,Weightings!$E$41)+IF(B12=Weightings!$A$17,Weightings!$E$41)</f>
        <v>1E-4</v>
      </c>
      <c r="N12" s="321">
        <f t="shared" si="3"/>
        <v>1.0000000000000001E-9</v>
      </c>
      <c r="O12" s="261" t="str">
        <f t="shared" si="4"/>
        <v>n/a</v>
      </c>
      <c r="P12" s="261" t="str">
        <f t="shared" si="1"/>
        <v>n/a</v>
      </c>
    </row>
    <row r="13" spans="1:16" s="47" customFormat="1" ht="38.25" x14ac:dyDescent="0.2">
      <c r="A13" s="222" t="s">
        <v>91</v>
      </c>
      <c r="B13" s="261" t="s">
        <v>6</v>
      </c>
      <c r="C13" s="106" t="s">
        <v>543</v>
      </c>
      <c r="D13" s="362"/>
      <c r="E13" s="276" t="s">
        <v>63</v>
      </c>
      <c r="F13" s="261" t="s">
        <v>15</v>
      </c>
      <c r="G13" s="262">
        <f>VLOOKUP(F13,Weightings!$A$46:$B$51,2,FALSE)</f>
        <v>1.0000000000000001E-5</v>
      </c>
      <c r="H13" s="261" t="s">
        <v>15</v>
      </c>
      <c r="I13" s="261" t="s">
        <v>15</v>
      </c>
      <c r="J13" s="264">
        <f>VLOOKUP(I13,[2]Lists!$A$35:$B$40,2,FALSE)</f>
        <v>1E-4</v>
      </c>
      <c r="K13" s="321">
        <f t="shared" si="0"/>
        <v>1.0000000000000001E-9</v>
      </c>
      <c r="L13" s="265">
        <f t="shared" si="2"/>
        <v>1</v>
      </c>
      <c r="M13" s="321">
        <f>IF(B13=Weightings!$A$15,Weightings!$E$36)+IF(B13=Weightings!$A$16,Weightings!$E$41)+IF(B13=Weightings!$A$17,Weightings!$E$41)</f>
        <v>1E-4</v>
      </c>
      <c r="N13" s="321">
        <f t="shared" si="3"/>
        <v>1.0000000000000001E-9</v>
      </c>
      <c r="O13" s="261" t="str">
        <f t="shared" si="4"/>
        <v>n/a</v>
      </c>
      <c r="P13" s="261" t="str">
        <f t="shared" si="1"/>
        <v>n/a</v>
      </c>
    </row>
    <row r="14" spans="1:16" s="47" customFormat="1" ht="38.25" x14ac:dyDescent="0.2">
      <c r="A14" s="222" t="s">
        <v>92</v>
      </c>
      <c r="B14" s="261" t="s">
        <v>6</v>
      </c>
      <c r="C14" s="106" t="s">
        <v>544</v>
      </c>
      <c r="D14" s="362"/>
      <c r="E14" s="276" t="s">
        <v>63</v>
      </c>
      <c r="F14" s="261" t="s">
        <v>15</v>
      </c>
      <c r="G14" s="262">
        <f>VLOOKUP(F14,Weightings!$A$46:$B$51,2,FALSE)</f>
        <v>1.0000000000000001E-5</v>
      </c>
      <c r="H14" s="261" t="s">
        <v>15</v>
      </c>
      <c r="I14" s="261" t="s">
        <v>15</v>
      </c>
      <c r="J14" s="264">
        <f>VLOOKUP(I14,[2]Lists!$A$35:$B$40,2,FALSE)</f>
        <v>1E-4</v>
      </c>
      <c r="K14" s="321">
        <f t="shared" si="0"/>
        <v>1.0000000000000001E-9</v>
      </c>
      <c r="L14" s="265">
        <f t="shared" si="2"/>
        <v>1</v>
      </c>
      <c r="M14" s="321">
        <f>IF(B14=Weightings!$A$15,Weightings!$E$36)+IF(B14=Weightings!$A$16,Weightings!$E$41)+IF(B14=Weightings!$A$17,Weightings!$E$41)</f>
        <v>1E-4</v>
      </c>
      <c r="N14" s="321">
        <f t="shared" si="3"/>
        <v>1.0000000000000001E-9</v>
      </c>
      <c r="O14" s="261" t="str">
        <f t="shared" si="4"/>
        <v>n/a</v>
      </c>
      <c r="P14" s="261" t="str">
        <f t="shared" si="1"/>
        <v>n/a</v>
      </c>
    </row>
    <row r="15" spans="1:16" s="47" customFormat="1" ht="38.25" x14ac:dyDescent="0.2">
      <c r="A15" s="222" t="s">
        <v>545</v>
      </c>
      <c r="B15" s="222" t="s">
        <v>8</v>
      </c>
      <c r="C15" s="286" t="s">
        <v>546</v>
      </c>
      <c r="D15" s="273"/>
      <c r="E15" s="266"/>
      <c r="F15" s="261" t="s">
        <v>48</v>
      </c>
      <c r="G15" s="262">
        <f>VLOOKUP(F15,Weightings!$A$46:$B$51,2,FALSE)</f>
        <v>3</v>
      </c>
      <c r="H15" s="261" t="s">
        <v>20</v>
      </c>
      <c r="I15" s="263" t="s">
        <v>34</v>
      </c>
      <c r="J15" s="264">
        <f>VLOOKUP(I15,[2]Lists!$A$35:$B$40,2,FALSE)</f>
        <v>6</v>
      </c>
      <c r="K15" s="321">
        <f t="shared" si="0"/>
        <v>18</v>
      </c>
      <c r="L15" s="265">
        <f t="shared" si="2"/>
        <v>1</v>
      </c>
      <c r="M15" s="321">
        <f>IF(B15=Weightings!$A$15,Weightings!$E$36)+IF(B15=Weightings!$A$16,Weightings!$E$41)+IF(B15=Weightings!$A$17,Weightings!$E$41)</f>
        <v>6</v>
      </c>
      <c r="N15" s="321">
        <f t="shared" si="3"/>
        <v>18</v>
      </c>
      <c r="O15" s="267">
        <f t="shared" si="4"/>
        <v>2.1739130431316984E-2</v>
      </c>
      <c r="P15" s="268">
        <f t="shared" si="1"/>
        <v>2.7173913039146231E-3</v>
      </c>
    </row>
    <row r="16" spans="1:16" s="47" customFormat="1" ht="25.5" x14ac:dyDescent="0.2">
      <c r="A16" s="222" t="s">
        <v>110</v>
      </c>
      <c r="B16" s="261" t="s">
        <v>6</v>
      </c>
      <c r="C16" s="113" t="s">
        <v>547</v>
      </c>
      <c r="D16" s="362"/>
      <c r="E16" s="276" t="s">
        <v>63</v>
      </c>
      <c r="F16" s="261" t="s">
        <v>15</v>
      </c>
      <c r="G16" s="262">
        <f>VLOOKUP(F16,Weightings!$A$46:$B$51,2,FALSE)</f>
        <v>1.0000000000000001E-5</v>
      </c>
      <c r="H16" s="261" t="s">
        <v>15</v>
      </c>
      <c r="I16" s="261" t="s">
        <v>15</v>
      </c>
      <c r="J16" s="264">
        <f>VLOOKUP(I16,[2]Lists!$A$35:$B$40,2,FALSE)</f>
        <v>1E-4</v>
      </c>
      <c r="K16" s="321">
        <f t="shared" si="0"/>
        <v>1.0000000000000001E-9</v>
      </c>
      <c r="L16" s="265">
        <f t="shared" si="2"/>
        <v>1</v>
      </c>
      <c r="M16" s="321">
        <f>IF(B16=Weightings!$A$15,Weightings!$E$36)+IF(B16=Weightings!$A$16,Weightings!$E$41)+IF(B16=Weightings!$A$17,Weightings!$E$41)</f>
        <v>1E-4</v>
      </c>
      <c r="N16" s="321">
        <f t="shared" si="3"/>
        <v>1.0000000000000001E-9</v>
      </c>
      <c r="O16" s="261" t="str">
        <f t="shared" si="4"/>
        <v>n/a</v>
      </c>
      <c r="P16" s="261" t="str">
        <f t="shared" si="1"/>
        <v>n/a</v>
      </c>
    </row>
    <row r="17" spans="1:16" s="47" customFormat="1" ht="38.25" x14ac:dyDescent="0.2">
      <c r="A17" s="222" t="s">
        <v>111</v>
      </c>
      <c r="B17" s="261" t="s">
        <v>6</v>
      </c>
      <c r="C17" s="112" t="s">
        <v>548</v>
      </c>
      <c r="D17" s="362"/>
      <c r="E17" s="276" t="s">
        <v>63</v>
      </c>
      <c r="F17" s="261" t="s">
        <v>15</v>
      </c>
      <c r="G17" s="262">
        <f>VLOOKUP(F17,Weightings!$A$46:$B$51,2,FALSE)</f>
        <v>1.0000000000000001E-5</v>
      </c>
      <c r="H17" s="261" t="s">
        <v>15</v>
      </c>
      <c r="I17" s="261" t="s">
        <v>15</v>
      </c>
      <c r="J17" s="264">
        <f>VLOOKUP(I17,[2]Lists!$A$35:$B$40,2,FALSE)</f>
        <v>1E-4</v>
      </c>
      <c r="K17" s="321">
        <f t="shared" si="0"/>
        <v>1.0000000000000001E-9</v>
      </c>
      <c r="L17" s="265">
        <f t="shared" si="2"/>
        <v>1</v>
      </c>
      <c r="M17" s="321">
        <f>IF(B17=Weightings!$A$15,Weightings!$E$36)+IF(B17=Weightings!$A$16,Weightings!$E$41)+IF(B17=Weightings!$A$17,Weightings!$E$41)</f>
        <v>1E-4</v>
      </c>
      <c r="N17" s="321">
        <f t="shared" si="3"/>
        <v>1.0000000000000001E-9</v>
      </c>
      <c r="O17" s="261" t="str">
        <f t="shared" si="4"/>
        <v>n/a</v>
      </c>
      <c r="P17" s="261" t="str">
        <f t="shared" si="1"/>
        <v>n/a</v>
      </c>
    </row>
    <row r="18" spans="1:16" s="47" customFormat="1" ht="89.25" x14ac:dyDescent="0.2">
      <c r="A18" s="222" t="s">
        <v>112</v>
      </c>
      <c r="B18" s="261" t="s">
        <v>6</v>
      </c>
      <c r="C18" s="112" t="s">
        <v>549</v>
      </c>
      <c r="D18" s="362"/>
      <c r="E18" s="276" t="s">
        <v>63</v>
      </c>
      <c r="F18" s="261" t="s">
        <v>15</v>
      </c>
      <c r="G18" s="262">
        <f>VLOOKUP(F18,Weightings!$A$46:$B$51,2,FALSE)</f>
        <v>1.0000000000000001E-5</v>
      </c>
      <c r="H18" s="261" t="s">
        <v>15</v>
      </c>
      <c r="I18" s="261" t="s">
        <v>15</v>
      </c>
      <c r="J18" s="264">
        <f>VLOOKUP(I18,[2]Lists!$A$35:$B$40,2,FALSE)</f>
        <v>1E-4</v>
      </c>
      <c r="K18" s="321">
        <f t="shared" si="0"/>
        <v>1.0000000000000001E-9</v>
      </c>
      <c r="L18" s="265">
        <f t="shared" si="2"/>
        <v>1</v>
      </c>
      <c r="M18" s="321">
        <f>IF(B18=Weightings!$A$15,Weightings!$E$36)+IF(B18=Weightings!$A$16,Weightings!$E$41)+IF(B18=Weightings!$A$17,Weightings!$E$41)</f>
        <v>1E-4</v>
      </c>
      <c r="N18" s="321">
        <f t="shared" si="3"/>
        <v>1.0000000000000001E-9</v>
      </c>
      <c r="O18" s="261" t="str">
        <f t="shared" si="4"/>
        <v>n/a</v>
      </c>
      <c r="P18" s="261" t="str">
        <f t="shared" si="1"/>
        <v>n/a</v>
      </c>
    </row>
    <row r="19" spans="1:16" s="47" customFormat="1" ht="38.25" x14ac:dyDescent="0.2">
      <c r="A19" s="222" t="s">
        <v>114</v>
      </c>
      <c r="B19" s="222" t="s">
        <v>8</v>
      </c>
      <c r="C19" s="223" t="s">
        <v>550</v>
      </c>
      <c r="D19" s="273"/>
      <c r="E19" s="266"/>
      <c r="F19" s="261" t="s">
        <v>43</v>
      </c>
      <c r="G19" s="262">
        <f>VLOOKUP(F19,Weightings!$A$46:$B$51,2,FALSE)</f>
        <v>5</v>
      </c>
      <c r="H19" s="261" t="s">
        <v>14</v>
      </c>
      <c r="I19" s="263" t="s">
        <v>34</v>
      </c>
      <c r="J19" s="264">
        <f>VLOOKUP(I19,[2]Lists!$A$35:$B$40,2,FALSE)</f>
        <v>6</v>
      </c>
      <c r="K19" s="321">
        <f t="shared" si="0"/>
        <v>30</v>
      </c>
      <c r="L19" s="265">
        <f t="shared" si="2"/>
        <v>1</v>
      </c>
      <c r="M19" s="321">
        <f>IF(B19=Weightings!$A$15,Weightings!$E$36)+IF(B19=Weightings!$A$16,Weightings!$E$41)+IF(B19=Weightings!$A$17,Weightings!$E$41)</f>
        <v>6</v>
      </c>
      <c r="N19" s="321">
        <f t="shared" si="3"/>
        <v>30</v>
      </c>
      <c r="O19" s="267">
        <f t="shared" si="4"/>
        <v>3.6231884052194976E-2</v>
      </c>
      <c r="P19" s="268">
        <f t="shared" si="1"/>
        <v>4.5289855065243721E-3</v>
      </c>
    </row>
    <row r="20" spans="1:16" s="47" customFormat="1" ht="25.5" x14ac:dyDescent="0.2">
      <c r="A20" s="222" t="s">
        <v>113</v>
      </c>
      <c r="B20" s="261" t="s">
        <v>6</v>
      </c>
      <c r="C20" s="112" t="s">
        <v>551</v>
      </c>
      <c r="D20" s="362"/>
      <c r="E20" s="276" t="s">
        <v>63</v>
      </c>
      <c r="F20" s="261" t="s">
        <v>15</v>
      </c>
      <c r="G20" s="262">
        <f>VLOOKUP(F20,Weightings!$A$46:$B$51,2,FALSE)</f>
        <v>1.0000000000000001E-5</v>
      </c>
      <c r="H20" s="261" t="s">
        <v>15</v>
      </c>
      <c r="I20" s="261" t="s">
        <v>15</v>
      </c>
      <c r="J20" s="264">
        <f>VLOOKUP(I20,[2]Lists!$A$35:$B$40,2,FALSE)</f>
        <v>1E-4</v>
      </c>
      <c r="K20" s="321">
        <f t="shared" si="0"/>
        <v>1.0000000000000001E-9</v>
      </c>
      <c r="L20" s="265">
        <f t="shared" si="2"/>
        <v>1</v>
      </c>
      <c r="M20" s="321">
        <f>IF(B20=Weightings!$A$15,Weightings!$E$36)+IF(B20=Weightings!$A$16,Weightings!$E$41)+IF(B20=Weightings!$A$17,Weightings!$E$41)</f>
        <v>1E-4</v>
      </c>
      <c r="N20" s="321">
        <f t="shared" si="3"/>
        <v>1.0000000000000001E-9</v>
      </c>
      <c r="O20" s="261" t="str">
        <f t="shared" si="4"/>
        <v>n/a</v>
      </c>
      <c r="P20" s="261" t="str">
        <f t="shared" si="1"/>
        <v>n/a</v>
      </c>
    </row>
    <row r="21" spans="1:16" s="51" customFormat="1" ht="38.25" x14ac:dyDescent="0.2">
      <c r="A21" s="222" t="s">
        <v>115</v>
      </c>
      <c r="B21" s="222" t="s">
        <v>8</v>
      </c>
      <c r="C21" s="223" t="s">
        <v>552</v>
      </c>
      <c r="D21" s="273"/>
      <c r="E21" s="266"/>
      <c r="F21" s="261" t="s">
        <v>43</v>
      </c>
      <c r="G21" s="262">
        <f>VLOOKUP(F21,Weightings!$A$46:$B$51,2,FALSE)</f>
        <v>5</v>
      </c>
      <c r="H21" s="261" t="s">
        <v>14</v>
      </c>
      <c r="I21" s="263" t="s">
        <v>34</v>
      </c>
      <c r="J21" s="264">
        <f>VLOOKUP(I21,[2]Lists!$A$35:$B$40,2,FALSE)</f>
        <v>6</v>
      </c>
      <c r="K21" s="321">
        <f t="shared" si="0"/>
        <v>30</v>
      </c>
      <c r="L21" s="265">
        <f t="shared" si="2"/>
        <v>1</v>
      </c>
      <c r="M21" s="321">
        <f>IF(B21=Weightings!$A$15,Weightings!$E$36)+IF(B21=Weightings!$A$16,Weightings!$E$41)+IF(B21=Weightings!$A$17,Weightings!$E$41)</f>
        <v>6</v>
      </c>
      <c r="N21" s="321">
        <f t="shared" si="3"/>
        <v>30</v>
      </c>
      <c r="O21" s="267">
        <f t="shared" si="4"/>
        <v>3.6231884052194976E-2</v>
      </c>
      <c r="P21" s="268">
        <f t="shared" si="1"/>
        <v>4.5289855065243721E-3</v>
      </c>
    </row>
    <row r="22" spans="1:16" s="51" customFormat="1" ht="38.25" x14ac:dyDescent="0.2">
      <c r="A22" s="222" t="s">
        <v>116</v>
      </c>
      <c r="B22" s="261" t="s">
        <v>6</v>
      </c>
      <c r="C22" s="112" t="s">
        <v>553</v>
      </c>
      <c r="D22" s="362"/>
      <c r="E22" s="276" t="s">
        <v>63</v>
      </c>
      <c r="F22" s="261" t="s">
        <v>15</v>
      </c>
      <c r="G22" s="262">
        <f>VLOOKUP(F22,Weightings!$A$46:$B$51,2,FALSE)</f>
        <v>1.0000000000000001E-5</v>
      </c>
      <c r="H22" s="261" t="s">
        <v>15</v>
      </c>
      <c r="I22" s="261" t="s">
        <v>15</v>
      </c>
      <c r="J22" s="264">
        <f>VLOOKUP(I22,[2]Lists!$A$35:$B$40,2,FALSE)</f>
        <v>1E-4</v>
      </c>
      <c r="K22" s="321">
        <f t="shared" si="0"/>
        <v>1.0000000000000001E-9</v>
      </c>
      <c r="L22" s="265">
        <f t="shared" si="2"/>
        <v>1</v>
      </c>
      <c r="M22" s="321">
        <f>IF(B22=Weightings!$A$15,Weightings!$E$36)+IF(B22=Weightings!$A$16,Weightings!$E$41)+IF(B22=Weightings!$A$17,Weightings!$E$41)</f>
        <v>1E-4</v>
      </c>
      <c r="N22" s="321">
        <f t="shared" si="3"/>
        <v>1.0000000000000001E-9</v>
      </c>
      <c r="O22" s="261" t="str">
        <f t="shared" si="4"/>
        <v>n/a</v>
      </c>
      <c r="P22" s="261" t="str">
        <f t="shared" si="1"/>
        <v>n/a</v>
      </c>
    </row>
    <row r="23" spans="1:16" s="51" customFormat="1" ht="25.5" x14ac:dyDescent="0.2">
      <c r="A23" s="222" t="s">
        <v>117</v>
      </c>
      <c r="B23" s="261" t="s">
        <v>6</v>
      </c>
      <c r="C23" s="236" t="s">
        <v>554</v>
      </c>
      <c r="D23" s="362"/>
      <c r="E23" s="276" t="s">
        <v>63</v>
      </c>
      <c r="F23" s="261" t="s">
        <v>15</v>
      </c>
      <c r="G23" s="262">
        <f>VLOOKUP(F23,Weightings!$A$46:$B$51,2,FALSE)</f>
        <v>1.0000000000000001E-5</v>
      </c>
      <c r="H23" s="261" t="s">
        <v>15</v>
      </c>
      <c r="I23" s="261" t="s">
        <v>15</v>
      </c>
      <c r="J23" s="264">
        <f>VLOOKUP(I23,[2]Lists!$A$35:$B$40,2,FALSE)</f>
        <v>1E-4</v>
      </c>
      <c r="K23" s="321">
        <f t="shared" si="0"/>
        <v>1.0000000000000001E-9</v>
      </c>
      <c r="L23" s="265">
        <f t="shared" si="2"/>
        <v>1</v>
      </c>
      <c r="M23" s="321">
        <f>IF(B23=Weightings!$A$15,Weightings!$E$36)+IF(B23=Weightings!$A$16,Weightings!$E$41)+IF(B23=Weightings!$A$17,Weightings!$E$41)</f>
        <v>1E-4</v>
      </c>
      <c r="N23" s="321">
        <f t="shared" si="3"/>
        <v>1.0000000000000001E-9</v>
      </c>
      <c r="O23" s="261" t="str">
        <f t="shared" si="4"/>
        <v>n/a</v>
      </c>
      <c r="P23" s="261" t="str">
        <f t="shared" si="1"/>
        <v>n/a</v>
      </c>
    </row>
    <row r="24" spans="1:16" s="89" customFormat="1" ht="51" x14ac:dyDescent="0.2">
      <c r="A24" s="222" t="s">
        <v>188</v>
      </c>
      <c r="B24" s="261" t="s">
        <v>6</v>
      </c>
      <c r="C24" s="230" t="s">
        <v>779</v>
      </c>
      <c r="D24" s="362"/>
      <c r="E24" s="276" t="s">
        <v>63</v>
      </c>
      <c r="F24" s="261" t="s">
        <v>15</v>
      </c>
      <c r="G24" s="262">
        <f>VLOOKUP(F24,Weightings!$A$46:$B$51,2,FALSE)</f>
        <v>1.0000000000000001E-5</v>
      </c>
      <c r="H24" s="261" t="s">
        <v>15</v>
      </c>
      <c r="I24" s="261" t="s">
        <v>15</v>
      </c>
      <c r="J24" s="264">
        <v>1E-4</v>
      </c>
      <c r="K24" s="321">
        <f t="shared" si="0"/>
        <v>1.0000000000000001E-9</v>
      </c>
      <c r="L24" s="265">
        <f t="shared" si="2"/>
        <v>1</v>
      </c>
      <c r="M24" s="321">
        <f>IF(B24=Weightings!$A$15,Weightings!$E$36)+IF(B24=Weightings!$A$16,Weightings!$E$41)+IF(B24=Weightings!$A$17,Weightings!$E$41)</f>
        <v>1E-4</v>
      </c>
      <c r="N24" s="321">
        <f t="shared" si="3"/>
        <v>1.0000000000000001E-9</v>
      </c>
      <c r="O24" s="261" t="str">
        <f t="shared" ref="O24:O87" si="5">IF((N24/$N$2)&gt;0.0001,N24/$N$2,"n/a")</f>
        <v>n/a</v>
      </c>
      <c r="P24" s="261" t="str">
        <f t="shared" si="1"/>
        <v>n/a</v>
      </c>
    </row>
    <row r="25" spans="1:16" s="89" customFormat="1" ht="12.75" customHeight="1" x14ac:dyDescent="0.2">
      <c r="A25" s="222" t="s">
        <v>468</v>
      </c>
      <c r="B25" s="261" t="s">
        <v>6</v>
      </c>
      <c r="C25" s="115" t="s">
        <v>862</v>
      </c>
      <c r="D25" s="362"/>
      <c r="E25" s="276" t="s">
        <v>63</v>
      </c>
      <c r="F25" s="261" t="s">
        <v>15</v>
      </c>
      <c r="G25" s="262">
        <f>VLOOKUP(F25,Weightings!$A$46:$B$51,2,FALSE)</f>
        <v>1.0000000000000001E-5</v>
      </c>
      <c r="H25" s="261" t="s">
        <v>15</v>
      </c>
      <c r="I25" s="261" t="s">
        <v>15</v>
      </c>
      <c r="J25" s="264">
        <v>1E-4</v>
      </c>
      <c r="K25" s="321">
        <f t="shared" si="0"/>
        <v>1.0000000000000001E-9</v>
      </c>
      <c r="L25" s="265">
        <f t="shared" si="2"/>
        <v>1</v>
      </c>
      <c r="M25" s="321">
        <f>IF(B25=Weightings!$A$15,Weightings!$E$36)+IF(B25=Weightings!$A$16,Weightings!$E$41)+IF(B25=Weightings!$A$17,Weightings!$E$41)</f>
        <v>1E-4</v>
      </c>
      <c r="N25" s="321">
        <f t="shared" si="3"/>
        <v>1.0000000000000001E-9</v>
      </c>
      <c r="O25" s="261" t="str">
        <f t="shared" si="5"/>
        <v>n/a</v>
      </c>
      <c r="P25" s="261" t="str">
        <f t="shared" si="1"/>
        <v>n/a</v>
      </c>
    </row>
    <row r="26" spans="1:16" s="89" customFormat="1" x14ac:dyDescent="0.2">
      <c r="A26" s="222" t="s">
        <v>469</v>
      </c>
      <c r="B26" s="261" t="s">
        <v>6</v>
      </c>
      <c r="C26" s="115" t="s">
        <v>863</v>
      </c>
      <c r="D26" s="362"/>
      <c r="E26" s="276" t="s">
        <v>63</v>
      </c>
      <c r="F26" s="261" t="s">
        <v>15</v>
      </c>
      <c r="G26" s="262">
        <f>VLOOKUP(F26,Weightings!$A$46:$B$51,2,FALSE)</f>
        <v>1.0000000000000001E-5</v>
      </c>
      <c r="H26" s="261" t="s">
        <v>15</v>
      </c>
      <c r="I26" s="261" t="s">
        <v>15</v>
      </c>
      <c r="J26" s="264">
        <v>1E-4</v>
      </c>
      <c r="K26" s="321">
        <f t="shared" si="0"/>
        <v>1.0000000000000001E-9</v>
      </c>
      <c r="L26" s="265">
        <f t="shared" si="2"/>
        <v>1</v>
      </c>
      <c r="M26" s="321">
        <f>IF(B26=Weightings!$A$15,Weightings!$E$36)+IF(B26=Weightings!$A$16,Weightings!$E$41)+IF(B26=Weightings!$A$17,Weightings!$E$41)</f>
        <v>1E-4</v>
      </c>
      <c r="N26" s="321">
        <f t="shared" si="3"/>
        <v>1.0000000000000001E-9</v>
      </c>
      <c r="O26" s="261" t="str">
        <f t="shared" si="5"/>
        <v>n/a</v>
      </c>
      <c r="P26" s="261" t="str">
        <f t="shared" si="1"/>
        <v>n/a</v>
      </c>
    </row>
    <row r="27" spans="1:16" s="89" customFormat="1" x14ac:dyDescent="0.2">
      <c r="A27" s="222" t="s">
        <v>470</v>
      </c>
      <c r="B27" s="261" t="s">
        <v>6</v>
      </c>
      <c r="C27" s="115" t="s">
        <v>864</v>
      </c>
      <c r="D27" s="362"/>
      <c r="E27" s="276" t="s">
        <v>63</v>
      </c>
      <c r="F27" s="261" t="s">
        <v>15</v>
      </c>
      <c r="G27" s="262">
        <f>VLOOKUP(F27,Weightings!$A$46:$B$51,2,FALSE)</f>
        <v>1.0000000000000001E-5</v>
      </c>
      <c r="H27" s="261" t="s">
        <v>15</v>
      </c>
      <c r="I27" s="261" t="s">
        <v>15</v>
      </c>
      <c r="J27" s="264">
        <v>1E-4</v>
      </c>
      <c r="K27" s="321">
        <f t="shared" si="0"/>
        <v>1.0000000000000001E-9</v>
      </c>
      <c r="L27" s="265">
        <f t="shared" si="2"/>
        <v>1</v>
      </c>
      <c r="M27" s="321">
        <f>IF(B27=Weightings!$A$15,Weightings!$E$36)+IF(B27=Weightings!$A$16,Weightings!$E$41)+IF(B27=Weightings!$A$17,Weightings!$E$41)</f>
        <v>1E-4</v>
      </c>
      <c r="N27" s="321">
        <f t="shared" si="3"/>
        <v>1.0000000000000001E-9</v>
      </c>
      <c r="O27" s="261" t="str">
        <f t="shared" si="5"/>
        <v>n/a</v>
      </c>
      <c r="P27" s="261" t="str">
        <f t="shared" si="1"/>
        <v>n/a</v>
      </c>
    </row>
    <row r="28" spans="1:16" s="89" customFormat="1" x14ac:dyDescent="0.2">
      <c r="A28" s="222" t="s">
        <v>471</v>
      </c>
      <c r="B28" s="261" t="s">
        <v>6</v>
      </c>
      <c r="C28" s="115" t="s">
        <v>865</v>
      </c>
      <c r="D28" s="362"/>
      <c r="E28" s="276" t="s">
        <v>63</v>
      </c>
      <c r="F28" s="261" t="s">
        <v>15</v>
      </c>
      <c r="G28" s="262">
        <f>VLOOKUP(F28,Weightings!$A$46:$B$51,2,FALSE)</f>
        <v>1.0000000000000001E-5</v>
      </c>
      <c r="H28" s="261" t="s">
        <v>15</v>
      </c>
      <c r="I28" s="261" t="s">
        <v>15</v>
      </c>
      <c r="J28" s="264">
        <v>1E-4</v>
      </c>
      <c r="K28" s="321">
        <f t="shared" si="0"/>
        <v>1.0000000000000001E-9</v>
      </c>
      <c r="L28" s="265">
        <f t="shared" si="2"/>
        <v>1</v>
      </c>
      <c r="M28" s="321">
        <f>IF(B28=Weightings!$A$15,Weightings!$E$36)+IF(B28=Weightings!$A$16,Weightings!$E$41)+IF(B28=Weightings!$A$17,Weightings!$E$41)</f>
        <v>1E-4</v>
      </c>
      <c r="N28" s="321">
        <f t="shared" si="3"/>
        <v>1.0000000000000001E-9</v>
      </c>
      <c r="O28" s="261" t="str">
        <f t="shared" si="5"/>
        <v>n/a</v>
      </c>
      <c r="P28" s="261" t="str">
        <f t="shared" si="1"/>
        <v>n/a</v>
      </c>
    </row>
    <row r="29" spans="1:16" s="89" customFormat="1" x14ac:dyDescent="0.2">
      <c r="A29" s="222" t="s">
        <v>472</v>
      </c>
      <c r="B29" s="261" t="s">
        <v>6</v>
      </c>
      <c r="C29" s="115" t="s">
        <v>866</v>
      </c>
      <c r="D29" s="362"/>
      <c r="E29" s="276" t="s">
        <v>63</v>
      </c>
      <c r="F29" s="261" t="s">
        <v>15</v>
      </c>
      <c r="G29" s="262">
        <f>VLOOKUP(F29,Weightings!$A$46:$B$51,2,FALSE)</f>
        <v>1.0000000000000001E-5</v>
      </c>
      <c r="H29" s="261" t="s">
        <v>15</v>
      </c>
      <c r="I29" s="261" t="s">
        <v>15</v>
      </c>
      <c r="J29" s="264">
        <v>1E-4</v>
      </c>
      <c r="K29" s="321">
        <f t="shared" si="0"/>
        <v>1.0000000000000001E-9</v>
      </c>
      <c r="L29" s="265">
        <f t="shared" si="2"/>
        <v>1</v>
      </c>
      <c r="M29" s="321">
        <f>IF(B29=Weightings!$A$15,Weightings!$E$36)+IF(B29=Weightings!$A$16,Weightings!$E$41)+IF(B29=Weightings!$A$17,Weightings!$E$41)</f>
        <v>1E-4</v>
      </c>
      <c r="N29" s="321">
        <f t="shared" si="3"/>
        <v>1.0000000000000001E-9</v>
      </c>
      <c r="O29" s="261" t="str">
        <f t="shared" si="5"/>
        <v>n/a</v>
      </c>
      <c r="P29" s="261" t="str">
        <f t="shared" si="1"/>
        <v>n/a</v>
      </c>
    </row>
    <row r="30" spans="1:16" s="89" customFormat="1" x14ac:dyDescent="0.2">
      <c r="A30" s="222" t="s">
        <v>473</v>
      </c>
      <c r="B30" s="261" t="s">
        <v>6</v>
      </c>
      <c r="C30" s="115" t="s">
        <v>867</v>
      </c>
      <c r="D30" s="362"/>
      <c r="E30" s="276" t="s">
        <v>63</v>
      </c>
      <c r="F30" s="261" t="s">
        <v>15</v>
      </c>
      <c r="G30" s="262">
        <f>VLOOKUP(F30,Weightings!$A$46:$B$51,2,FALSE)</f>
        <v>1.0000000000000001E-5</v>
      </c>
      <c r="H30" s="261" t="s">
        <v>15</v>
      </c>
      <c r="I30" s="261" t="s">
        <v>15</v>
      </c>
      <c r="J30" s="264">
        <v>1E-4</v>
      </c>
      <c r="K30" s="321">
        <f t="shared" si="0"/>
        <v>1.0000000000000001E-9</v>
      </c>
      <c r="L30" s="265">
        <f t="shared" si="2"/>
        <v>1</v>
      </c>
      <c r="M30" s="321">
        <f>IF(B30=Weightings!$A$15,Weightings!$E$36)+IF(B30=Weightings!$A$16,Weightings!$E$41)+IF(B30=Weightings!$A$17,Weightings!$E$41)</f>
        <v>1E-4</v>
      </c>
      <c r="N30" s="321">
        <f t="shared" si="3"/>
        <v>1.0000000000000001E-9</v>
      </c>
      <c r="O30" s="261" t="str">
        <f t="shared" si="5"/>
        <v>n/a</v>
      </c>
      <c r="P30" s="261" t="str">
        <f t="shared" si="1"/>
        <v>n/a</v>
      </c>
    </row>
    <row r="31" spans="1:16" s="89" customFormat="1" ht="12.75" customHeight="1" x14ac:dyDescent="0.2">
      <c r="A31" s="222" t="s">
        <v>474</v>
      </c>
      <c r="B31" s="261" t="s">
        <v>6</v>
      </c>
      <c r="C31" s="115" t="s">
        <v>868</v>
      </c>
      <c r="D31" s="362"/>
      <c r="E31" s="276" t="s">
        <v>63</v>
      </c>
      <c r="F31" s="261" t="s">
        <v>15</v>
      </c>
      <c r="G31" s="262">
        <f>VLOOKUP(F31,Weightings!$A$46:$B$51,2,FALSE)</f>
        <v>1.0000000000000001E-5</v>
      </c>
      <c r="H31" s="261" t="s">
        <v>15</v>
      </c>
      <c r="I31" s="261" t="s">
        <v>15</v>
      </c>
      <c r="J31" s="264">
        <v>1E-4</v>
      </c>
      <c r="K31" s="321">
        <f t="shared" si="0"/>
        <v>1.0000000000000001E-9</v>
      </c>
      <c r="L31" s="265">
        <f t="shared" si="2"/>
        <v>1</v>
      </c>
      <c r="M31" s="321">
        <f>IF(B31=Weightings!$A$15,Weightings!$E$36)+IF(B31=Weightings!$A$16,Weightings!$E$41)+IF(B31=Weightings!$A$17,Weightings!$E$41)</f>
        <v>1E-4</v>
      </c>
      <c r="N31" s="321">
        <f t="shared" si="3"/>
        <v>1.0000000000000001E-9</v>
      </c>
      <c r="O31" s="261" t="str">
        <f t="shared" si="5"/>
        <v>n/a</v>
      </c>
      <c r="P31" s="261" t="str">
        <f t="shared" si="1"/>
        <v>n/a</v>
      </c>
    </row>
    <row r="32" spans="1:16" s="89" customFormat="1" x14ac:dyDescent="0.2">
      <c r="A32" s="222" t="s">
        <v>475</v>
      </c>
      <c r="B32" s="261" t="s">
        <v>6</v>
      </c>
      <c r="C32" s="115" t="s">
        <v>869</v>
      </c>
      <c r="D32" s="362"/>
      <c r="E32" s="276" t="s">
        <v>63</v>
      </c>
      <c r="F32" s="261" t="s">
        <v>15</v>
      </c>
      <c r="G32" s="262">
        <f>VLOOKUP(F32,Weightings!$A$46:$B$51,2,FALSE)</f>
        <v>1.0000000000000001E-5</v>
      </c>
      <c r="H32" s="261" t="s">
        <v>15</v>
      </c>
      <c r="I32" s="261" t="s">
        <v>15</v>
      </c>
      <c r="J32" s="264">
        <v>1E-4</v>
      </c>
      <c r="K32" s="321">
        <f t="shared" si="0"/>
        <v>1.0000000000000001E-9</v>
      </c>
      <c r="L32" s="265">
        <f t="shared" si="2"/>
        <v>1</v>
      </c>
      <c r="M32" s="321">
        <f>IF(B32=Weightings!$A$15,Weightings!$E$36)+IF(B32=Weightings!$A$16,Weightings!$E$41)+IF(B32=Weightings!$A$17,Weightings!$E$41)</f>
        <v>1E-4</v>
      </c>
      <c r="N32" s="321">
        <f t="shared" si="3"/>
        <v>1.0000000000000001E-9</v>
      </c>
      <c r="O32" s="261" t="str">
        <f t="shared" si="5"/>
        <v>n/a</v>
      </c>
      <c r="P32" s="261" t="str">
        <f t="shared" si="1"/>
        <v>n/a</v>
      </c>
    </row>
    <row r="33" spans="1:16" s="89" customFormat="1" x14ac:dyDescent="0.2">
      <c r="A33" s="222" t="s">
        <v>476</v>
      </c>
      <c r="B33" s="261" t="s">
        <v>6</v>
      </c>
      <c r="C33" s="115" t="s">
        <v>870</v>
      </c>
      <c r="D33" s="362"/>
      <c r="E33" s="276" t="s">
        <v>63</v>
      </c>
      <c r="F33" s="261" t="s">
        <v>15</v>
      </c>
      <c r="G33" s="262">
        <f>VLOOKUP(F33,Weightings!$A$46:$B$51,2,FALSE)</f>
        <v>1.0000000000000001E-5</v>
      </c>
      <c r="H33" s="261" t="s">
        <v>15</v>
      </c>
      <c r="I33" s="261" t="s">
        <v>15</v>
      </c>
      <c r="J33" s="264">
        <v>1E-4</v>
      </c>
      <c r="K33" s="321">
        <f t="shared" si="0"/>
        <v>1.0000000000000001E-9</v>
      </c>
      <c r="L33" s="265">
        <f t="shared" si="2"/>
        <v>1</v>
      </c>
      <c r="M33" s="321">
        <f>IF(B33=Weightings!$A$15,Weightings!$E$36)+IF(B33=Weightings!$A$16,Weightings!$E$41)+IF(B33=Weightings!$A$17,Weightings!$E$41)</f>
        <v>1E-4</v>
      </c>
      <c r="N33" s="321">
        <f t="shared" si="3"/>
        <v>1.0000000000000001E-9</v>
      </c>
      <c r="O33" s="261" t="str">
        <f t="shared" si="5"/>
        <v>n/a</v>
      </c>
      <c r="P33" s="261" t="str">
        <f t="shared" si="1"/>
        <v>n/a</v>
      </c>
    </row>
    <row r="34" spans="1:16" s="89" customFormat="1" x14ac:dyDescent="0.2">
      <c r="A34" s="222" t="s">
        <v>477</v>
      </c>
      <c r="B34" s="261" t="s">
        <v>6</v>
      </c>
      <c r="C34" s="115" t="s">
        <v>871</v>
      </c>
      <c r="D34" s="362"/>
      <c r="E34" s="276" t="s">
        <v>63</v>
      </c>
      <c r="F34" s="261" t="s">
        <v>15</v>
      </c>
      <c r="G34" s="262">
        <f>VLOOKUP(F34,Weightings!$A$46:$B$51,2,FALSE)</f>
        <v>1.0000000000000001E-5</v>
      </c>
      <c r="H34" s="261" t="s">
        <v>15</v>
      </c>
      <c r="I34" s="261" t="s">
        <v>15</v>
      </c>
      <c r="J34" s="264">
        <v>1E-4</v>
      </c>
      <c r="K34" s="321">
        <f t="shared" si="0"/>
        <v>1.0000000000000001E-9</v>
      </c>
      <c r="L34" s="265">
        <f t="shared" si="2"/>
        <v>1</v>
      </c>
      <c r="M34" s="321">
        <f>IF(B34=Weightings!$A$15,Weightings!$E$36)+IF(B34=Weightings!$A$16,Weightings!$E$41)+IF(B34=Weightings!$A$17,Weightings!$E$41)</f>
        <v>1E-4</v>
      </c>
      <c r="N34" s="321">
        <f t="shared" si="3"/>
        <v>1.0000000000000001E-9</v>
      </c>
      <c r="O34" s="261" t="str">
        <f t="shared" si="5"/>
        <v>n/a</v>
      </c>
      <c r="P34" s="261" t="str">
        <f t="shared" si="1"/>
        <v>n/a</v>
      </c>
    </row>
    <row r="35" spans="1:16" s="89" customFormat="1" x14ac:dyDescent="0.2">
      <c r="A35" s="222" t="s">
        <v>478</v>
      </c>
      <c r="B35" s="261" t="s">
        <v>6</v>
      </c>
      <c r="C35" s="115" t="s">
        <v>872</v>
      </c>
      <c r="D35" s="362"/>
      <c r="E35" s="276" t="s">
        <v>63</v>
      </c>
      <c r="F35" s="261" t="s">
        <v>15</v>
      </c>
      <c r="G35" s="262">
        <f>VLOOKUP(F35,Weightings!$A$46:$B$51,2,FALSE)</f>
        <v>1.0000000000000001E-5</v>
      </c>
      <c r="H35" s="261" t="s">
        <v>15</v>
      </c>
      <c r="I35" s="261" t="s">
        <v>15</v>
      </c>
      <c r="J35" s="264">
        <v>1E-4</v>
      </c>
      <c r="K35" s="321">
        <f t="shared" si="0"/>
        <v>1.0000000000000001E-9</v>
      </c>
      <c r="L35" s="265">
        <f t="shared" si="2"/>
        <v>1</v>
      </c>
      <c r="M35" s="321">
        <f>IF(B35=Weightings!$A$15,Weightings!$E$36)+IF(B35=Weightings!$A$16,Weightings!$E$41)+IF(B35=Weightings!$A$17,Weightings!$E$41)</f>
        <v>1E-4</v>
      </c>
      <c r="N35" s="321">
        <f t="shared" si="3"/>
        <v>1.0000000000000001E-9</v>
      </c>
      <c r="O35" s="261" t="str">
        <f t="shared" si="5"/>
        <v>n/a</v>
      </c>
      <c r="P35" s="261" t="str">
        <f t="shared" si="1"/>
        <v>n/a</v>
      </c>
    </row>
    <row r="36" spans="1:16" s="89" customFormat="1" x14ac:dyDescent="0.2">
      <c r="A36" s="222" t="s">
        <v>479</v>
      </c>
      <c r="B36" s="261" t="s">
        <v>6</v>
      </c>
      <c r="C36" s="115" t="s">
        <v>873</v>
      </c>
      <c r="D36" s="362"/>
      <c r="E36" s="276" t="s">
        <v>63</v>
      </c>
      <c r="F36" s="261" t="s">
        <v>15</v>
      </c>
      <c r="G36" s="262">
        <f>VLOOKUP(F36,Weightings!$A$46:$B$51,2,FALSE)</f>
        <v>1.0000000000000001E-5</v>
      </c>
      <c r="H36" s="261" t="s">
        <v>15</v>
      </c>
      <c r="I36" s="261" t="s">
        <v>15</v>
      </c>
      <c r="J36" s="264">
        <v>1E-4</v>
      </c>
      <c r="K36" s="321">
        <f t="shared" si="0"/>
        <v>1.0000000000000001E-9</v>
      </c>
      <c r="L36" s="265">
        <f t="shared" si="2"/>
        <v>1</v>
      </c>
      <c r="M36" s="321">
        <f>IF(B36=Weightings!$A$15,Weightings!$E$36)+IF(B36=Weightings!$A$16,Weightings!$E$41)+IF(B36=Weightings!$A$17,Weightings!$E$41)</f>
        <v>1E-4</v>
      </c>
      <c r="N36" s="321">
        <f t="shared" si="3"/>
        <v>1.0000000000000001E-9</v>
      </c>
      <c r="O36" s="261" t="str">
        <f t="shared" si="5"/>
        <v>n/a</v>
      </c>
      <c r="P36" s="261" t="str">
        <f t="shared" si="1"/>
        <v>n/a</v>
      </c>
    </row>
    <row r="37" spans="1:16" s="89" customFormat="1" x14ac:dyDescent="0.2">
      <c r="A37" s="222" t="s">
        <v>480</v>
      </c>
      <c r="B37" s="261" t="s">
        <v>6</v>
      </c>
      <c r="C37" s="115" t="s">
        <v>874</v>
      </c>
      <c r="D37" s="362"/>
      <c r="E37" s="276" t="s">
        <v>63</v>
      </c>
      <c r="F37" s="261" t="s">
        <v>15</v>
      </c>
      <c r="G37" s="262">
        <f>VLOOKUP(F37,Weightings!$A$46:$B$51,2,FALSE)</f>
        <v>1.0000000000000001E-5</v>
      </c>
      <c r="H37" s="261" t="s">
        <v>15</v>
      </c>
      <c r="I37" s="261" t="s">
        <v>15</v>
      </c>
      <c r="J37" s="264">
        <v>1E-4</v>
      </c>
      <c r="K37" s="321">
        <f t="shared" si="0"/>
        <v>1.0000000000000001E-9</v>
      </c>
      <c r="L37" s="265">
        <f t="shared" si="2"/>
        <v>1</v>
      </c>
      <c r="M37" s="321">
        <f>IF(B37=Weightings!$A$15,Weightings!$E$36)+IF(B37=Weightings!$A$16,Weightings!$E$41)+IF(B37=Weightings!$A$17,Weightings!$E$41)</f>
        <v>1E-4</v>
      </c>
      <c r="N37" s="321">
        <f t="shared" si="3"/>
        <v>1.0000000000000001E-9</v>
      </c>
      <c r="O37" s="261" t="str">
        <f t="shared" si="5"/>
        <v>n/a</v>
      </c>
      <c r="P37" s="261" t="str">
        <f t="shared" si="1"/>
        <v>n/a</v>
      </c>
    </row>
    <row r="38" spans="1:16" s="89" customFormat="1" x14ac:dyDescent="0.2">
      <c r="A38" s="222" t="s">
        <v>481</v>
      </c>
      <c r="B38" s="261" t="s">
        <v>6</v>
      </c>
      <c r="C38" s="115" t="s">
        <v>875</v>
      </c>
      <c r="D38" s="362"/>
      <c r="E38" s="276" t="s">
        <v>63</v>
      </c>
      <c r="F38" s="261" t="s">
        <v>15</v>
      </c>
      <c r="G38" s="262">
        <f>VLOOKUP(F38,Weightings!$A$46:$B$51,2,FALSE)</f>
        <v>1.0000000000000001E-5</v>
      </c>
      <c r="H38" s="261" t="s">
        <v>15</v>
      </c>
      <c r="I38" s="261" t="s">
        <v>15</v>
      </c>
      <c r="J38" s="264">
        <v>1E-4</v>
      </c>
      <c r="K38" s="321">
        <f t="shared" si="0"/>
        <v>1.0000000000000001E-9</v>
      </c>
      <c r="L38" s="265">
        <f t="shared" si="2"/>
        <v>1</v>
      </c>
      <c r="M38" s="321">
        <f>IF(B38=Weightings!$A$15,Weightings!$E$36)+IF(B38=Weightings!$A$16,Weightings!$E$41)+IF(B38=Weightings!$A$17,Weightings!$E$41)</f>
        <v>1E-4</v>
      </c>
      <c r="N38" s="321">
        <f t="shared" si="3"/>
        <v>1.0000000000000001E-9</v>
      </c>
      <c r="O38" s="261" t="str">
        <f t="shared" si="5"/>
        <v>n/a</v>
      </c>
      <c r="P38" s="261" t="str">
        <f t="shared" si="1"/>
        <v>n/a</v>
      </c>
    </row>
    <row r="39" spans="1:16" s="89" customFormat="1" ht="12.75" customHeight="1" x14ac:dyDescent="0.2">
      <c r="A39" s="222" t="s">
        <v>482</v>
      </c>
      <c r="B39" s="261" t="s">
        <v>6</v>
      </c>
      <c r="C39" s="115" t="s">
        <v>876</v>
      </c>
      <c r="D39" s="362"/>
      <c r="E39" s="276" t="s">
        <v>63</v>
      </c>
      <c r="F39" s="261" t="s">
        <v>15</v>
      </c>
      <c r="G39" s="262">
        <f>VLOOKUP(F39,Weightings!$A$46:$B$51,2,FALSE)</f>
        <v>1.0000000000000001E-5</v>
      </c>
      <c r="H39" s="261" t="s">
        <v>15</v>
      </c>
      <c r="I39" s="261" t="s">
        <v>15</v>
      </c>
      <c r="J39" s="264">
        <v>1E-4</v>
      </c>
      <c r="K39" s="321">
        <f t="shared" si="0"/>
        <v>1.0000000000000001E-9</v>
      </c>
      <c r="L39" s="265">
        <f t="shared" si="2"/>
        <v>1</v>
      </c>
      <c r="M39" s="321">
        <f>IF(B39=Weightings!$A$15,Weightings!$E$36)+IF(B39=Weightings!$A$16,Weightings!$E$41)+IF(B39=Weightings!$A$17,Weightings!$E$41)</f>
        <v>1E-4</v>
      </c>
      <c r="N39" s="321">
        <f t="shared" si="3"/>
        <v>1.0000000000000001E-9</v>
      </c>
      <c r="O39" s="261" t="str">
        <f t="shared" si="5"/>
        <v>n/a</v>
      </c>
      <c r="P39" s="261" t="str">
        <f t="shared" si="1"/>
        <v>n/a</v>
      </c>
    </row>
    <row r="40" spans="1:16" s="89" customFormat="1" x14ac:dyDescent="0.2">
      <c r="A40" s="222" t="s">
        <v>483</v>
      </c>
      <c r="B40" s="261" t="s">
        <v>6</v>
      </c>
      <c r="C40" s="115" t="s">
        <v>877</v>
      </c>
      <c r="D40" s="362"/>
      <c r="E40" s="276" t="s">
        <v>63</v>
      </c>
      <c r="F40" s="261" t="s">
        <v>15</v>
      </c>
      <c r="G40" s="262">
        <f>VLOOKUP(F40,Weightings!$A$46:$B$51,2,FALSE)</f>
        <v>1.0000000000000001E-5</v>
      </c>
      <c r="H40" s="261" t="s">
        <v>15</v>
      </c>
      <c r="I40" s="261" t="s">
        <v>15</v>
      </c>
      <c r="J40" s="264">
        <v>1E-4</v>
      </c>
      <c r="K40" s="321">
        <f t="shared" si="0"/>
        <v>1.0000000000000001E-9</v>
      </c>
      <c r="L40" s="265">
        <f t="shared" si="2"/>
        <v>1</v>
      </c>
      <c r="M40" s="321">
        <f>IF(B40=Weightings!$A$15,Weightings!$E$36)+IF(B40=Weightings!$A$16,Weightings!$E$41)+IF(B40=Weightings!$A$17,Weightings!$E$41)</f>
        <v>1E-4</v>
      </c>
      <c r="N40" s="321">
        <f t="shared" si="3"/>
        <v>1.0000000000000001E-9</v>
      </c>
      <c r="O40" s="261" t="str">
        <f t="shared" si="5"/>
        <v>n/a</v>
      </c>
      <c r="P40" s="261" t="str">
        <f t="shared" si="1"/>
        <v>n/a</v>
      </c>
    </row>
    <row r="41" spans="1:16" s="89" customFormat="1" x14ac:dyDescent="0.2">
      <c r="A41" s="222" t="s">
        <v>484</v>
      </c>
      <c r="B41" s="261" t="s">
        <v>6</v>
      </c>
      <c r="C41" s="115" t="s">
        <v>878</v>
      </c>
      <c r="D41" s="362"/>
      <c r="E41" s="276" t="s">
        <v>63</v>
      </c>
      <c r="F41" s="261" t="s">
        <v>15</v>
      </c>
      <c r="G41" s="262">
        <f>VLOOKUP(F41,Weightings!$A$46:$B$51,2,FALSE)</f>
        <v>1.0000000000000001E-5</v>
      </c>
      <c r="H41" s="261" t="s">
        <v>15</v>
      </c>
      <c r="I41" s="261" t="s">
        <v>15</v>
      </c>
      <c r="J41" s="264">
        <v>1E-4</v>
      </c>
      <c r="K41" s="321">
        <f t="shared" si="0"/>
        <v>1.0000000000000001E-9</v>
      </c>
      <c r="L41" s="265">
        <f t="shared" ref="L41:L72" si="6">IF(ISERROR(K41/N41),"n/a",K41/N41)</f>
        <v>1</v>
      </c>
      <c r="M41" s="321">
        <f>IF(B41=Weightings!$A$15,Weightings!$E$36)+IF(B41=Weightings!$A$16,Weightings!$E$41)+IF(B41=Weightings!$A$17,Weightings!$E$41)</f>
        <v>1E-4</v>
      </c>
      <c r="N41" s="321">
        <f t="shared" ref="N41:N72" si="7">G41*M41</f>
        <v>1.0000000000000001E-9</v>
      </c>
      <c r="O41" s="261" t="str">
        <f t="shared" si="5"/>
        <v>n/a</v>
      </c>
      <c r="P41" s="261" t="str">
        <f t="shared" si="1"/>
        <v>n/a</v>
      </c>
    </row>
    <row r="42" spans="1:16" s="89" customFormat="1" x14ac:dyDescent="0.2">
      <c r="A42" s="222" t="s">
        <v>485</v>
      </c>
      <c r="B42" s="261" t="s">
        <v>6</v>
      </c>
      <c r="C42" s="115" t="s">
        <v>879</v>
      </c>
      <c r="D42" s="362"/>
      <c r="E42" s="276" t="s">
        <v>63</v>
      </c>
      <c r="F42" s="261" t="s">
        <v>15</v>
      </c>
      <c r="G42" s="262">
        <f>VLOOKUP(F42,Weightings!$A$46:$B$51,2,FALSE)</f>
        <v>1.0000000000000001E-5</v>
      </c>
      <c r="H42" s="261" t="s">
        <v>15</v>
      </c>
      <c r="I42" s="261" t="s">
        <v>15</v>
      </c>
      <c r="J42" s="264">
        <v>1E-4</v>
      </c>
      <c r="K42" s="321">
        <f t="shared" si="0"/>
        <v>1.0000000000000001E-9</v>
      </c>
      <c r="L42" s="265">
        <f t="shared" si="6"/>
        <v>1</v>
      </c>
      <c r="M42" s="321">
        <f>IF(B42=Weightings!$A$15,Weightings!$E$36)+IF(B42=Weightings!$A$16,Weightings!$E$41)+IF(B42=Weightings!$A$17,Weightings!$E$41)</f>
        <v>1E-4</v>
      </c>
      <c r="N42" s="321">
        <f t="shared" si="7"/>
        <v>1.0000000000000001E-9</v>
      </c>
      <c r="O42" s="261" t="str">
        <f t="shared" si="5"/>
        <v>n/a</v>
      </c>
      <c r="P42" s="261" t="str">
        <f t="shared" si="1"/>
        <v>n/a</v>
      </c>
    </row>
    <row r="43" spans="1:16" s="89" customFormat="1" x14ac:dyDescent="0.2">
      <c r="A43" s="222" t="s">
        <v>486</v>
      </c>
      <c r="B43" s="261" t="s">
        <v>6</v>
      </c>
      <c r="C43" s="115" t="s">
        <v>880</v>
      </c>
      <c r="D43" s="362"/>
      <c r="E43" s="276" t="s">
        <v>63</v>
      </c>
      <c r="F43" s="261" t="s">
        <v>15</v>
      </c>
      <c r="G43" s="262">
        <f>VLOOKUP(F43,Weightings!$A$46:$B$51,2,FALSE)</f>
        <v>1.0000000000000001E-5</v>
      </c>
      <c r="H43" s="261" t="s">
        <v>15</v>
      </c>
      <c r="I43" s="261" t="s">
        <v>15</v>
      </c>
      <c r="J43" s="264">
        <v>1E-4</v>
      </c>
      <c r="K43" s="321">
        <f t="shared" si="0"/>
        <v>1.0000000000000001E-9</v>
      </c>
      <c r="L43" s="265">
        <f t="shared" si="6"/>
        <v>1</v>
      </c>
      <c r="M43" s="321">
        <f>IF(B43=Weightings!$A$15,Weightings!$E$36)+IF(B43=Weightings!$A$16,Weightings!$E$41)+IF(B43=Weightings!$A$17,Weightings!$E$41)</f>
        <v>1E-4</v>
      </c>
      <c r="N43" s="321">
        <f t="shared" si="7"/>
        <v>1.0000000000000001E-9</v>
      </c>
      <c r="O43" s="261" t="str">
        <f t="shared" si="5"/>
        <v>n/a</v>
      </c>
      <c r="P43" s="261" t="str">
        <f t="shared" si="1"/>
        <v>n/a</v>
      </c>
    </row>
    <row r="44" spans="1:16" s="89" customFormat="1" ht="12.75" customHeight="1" x14ac:dyDescent="0.2">
      <c r="A44" s="222" t="s">
        <v>487</v>
      </c>
      <c r="B44" s="261" t="s">
        <v>6</v>
      </c>
      <c r="C44" s="115" t="s">
        <v>881</v>
      </c>
      <c r="D44" s="362"/>
      <c r="E44" s="276" t="s">
        <v>63</v>
      </c>
      <c r="F44" s="261" t="s">
        <v>15</v>
      </c>
      <c r="G44" s="262">
        <f>VLOOKUP(F44,Weightings!$A$46:$B$51,2,FALSE)</f>
        <v>1.0000000000000001E-5</v>
      </c>
      <c r="H44" s="261" t="s">
        <v>15</v>
      </c>
      <c r="I44" s="261" t="s">
        <v>15</v>
      </c>
      <c r="J44" s="264">
        <v>1E-4</v>
      </c>
      <c r="K44" s="321">
        <f t="shared" si="0"/>
        <v>1.0000000000000001E-9</v>
      </c>
      <c r="L44" s="265">
        <f t="shared" si="6"/>
        <v>1</v>
      </c>
      <c r="M44" s="321">
        <f>IF(B44=Weightings!$A$15,Weightings!$E$36)+IF(B44=Weightings!$A$16,Weightings!$E$41)+IF(B44=Weightings!$A$17,Weightings!$E$41)</f>
        <v>1E-4</v>
      </c>
      <c r="N44" s="321">
        <f t="shared" si="7"/>
        <v>1.0000000000000001E-9</v>
      </c>
      <c r="O44" s="261" t="str">
        <f t="shared" si="5"/>
        <v>n/a</v>
      </c>
      <c r="P44" s="261" t="str">
        <f t="shared" si="1"/>
        <v>n/a</v>
      </c>
    </row>
    <row r="45" spans="1:16" s="89" customFormat="1" x14ac:dyDescent="0.2">
      <c r="A45" s="222" t="s">
        <v>488</v>
      </c>
      <c r="B45" s="261" t="s">
        <v>6</v>
      </c>
      <c r="C45" s="115" t="s">
        <v>882</v>
      </c>
      <c r="D45" s="362"/>
      <c r="E45" s="276" t="s">
        <v>63</v>
      </c>
      <c r="F45" s="261" t="s">
        <v>15</v>
      </c>
      <c r="G45" s="262">
        <f>VLOOKUP(F45,Weightings!$A$46:$B$51,2,FALSE)</f>
        <v>1.0000000000000001E-5</v>
      </c>
      <c r="H45" s="261" t="s">
        <v>15</v>
      </c>
      <c r="I45" s="261" t="s">
        <v>15</v>
      </c>
      <c r="J45" s="264">
        <v>1E-4</v>
      </c>
      <c r="K45" s="321">
        <f t="shared" si="0"/>
        <v>1.0000000000000001E-9</v>
      </c>
      <c r="L45" s="265">
        <f t="shared" si="6"/>
        <v>1</v>
      </c>
      <c r="M45" s="321">
        <f>IF(B45=Weightings!$A$15,Weightings!$E$36)+IF(B45=Weightings!$A$16,Weightings!$E$41)+IF(B45=Weightings!$A$17,Weightings!$E$41)</f>
        <v>1E-4</v>
      </c>
      <c r="N45" s="321">
        <f t="shared" si="7"/>
        <v>1.0000000000000001E-9</v>
      </c>
      <c r="O45" s="261" t="str">
        <f t="shared" si="5"/>
        <v>n/a</v>
      </c>
      <c r="P45" s="261" t="str">
        <f t="shared" si="1"/>
        <v>n/a</v>
      </c>
    </row>
    <row r="46" spans="1:16" s="89" customFormat="1" x14ac:dyDescent="0.2">
      <c r="A46" s="222" t="s">
        <v>489</v>
      </c>
      <c r="B46" s="261" t="s">
        <v>6</v>
      </c>
      <c r="C46" s="115" t="s">
        <v>883</v>
      </c>
      <c r="D46" s="362"/>
      <c r="E46" s="276" t="s">
        <v>63</v>
      </c>
      <c r="F46" s="261" t="s">
        <v>15</v>
      </c>
      <c r="G46" s="262">
        <f>VLOOKUP(F46,Weightings!$A$46:$B$51,2,FALSE)</f>
        <v>1.0000000000000001E-5</v>
      </c>
      <c r="H46" s="261" t="s">
        <v>15</v>
      </c>
      <c r="I46" s="261" t="s">
        <v>15</v>
      </c>
      <c r="J46" s="264">
        <v>1E-4</v>
      </c>
      <c r="K46" s="321">
        <f t="shared" si="0"/>
        <v>1.0000000000000001E-9</v>
      </c>
      <c r="L46" s="265">
        <f t="shared" si="6"/>
        <v>1</v>
      </c>
      <c r="M46" s="321">
        <f>IF(B46=Weightings!$A$15,Weightings!$E$36)+IF(B46=Weightings!$A$16,Weightings!$E$41)+IF(B46=Weightings!$A$17,Weightings!$E$41)</f>
        <v>1E-4</v>
      </c>
      <c r="N46" s="321">
        <f t="shared" si="7"/>
        <v>1.0000000000000001E-9</v>
      </c>
      <c r="O46" s="261" t="str">
        <f t="shared" si="5"/>
        <v>n/a</v>
      </c>
      <c r="P46" s="261" t="str">
        <f t="shared" si="1"/>
        <v>n/a</v>
      </c>
    </row>
    <row r="47" spans="1:16" s="89" customFormat="1" x14ac:dyDescent="0.2">
      <c r="A47" s="222" t="s">
        <v>490</v>
      </c>
      <c r="B47" s="261" t="s">
        <v>6</v>
      </c>
      <c r="C47" s="115" t="s">
        <v>884</v>
      </c>
      <c r="D47" s="362"/>
      <c r="E47" s="276" t="s">
        <v>63</v>
      </c>
      <c r="F47" s="261" t="s">
        <v>15</v>
      </c>
      <c r="G47" s="262">
        <f>VLOOKUP(F47,Weightings!$A$46:$B$51,2,FALSE)</f>
        <v>1.0000000000000001E-5</v>
      </c>
      <c r="H47" s="261" t="s">
        <v>15</v>
      </c>
      <c r="I47" s="261" t="s">
        <v>15</v>
      </c>
      <c r="J47" s="264">
        <v>1E-4</v>
      </c>
      <c r="K47" s="321">
        <f t="shared" si="0"/>
        <v>1.0000000000000001E-9</v>
      </c>
      <c r="L47" s="265">
        <f t="shared" si="6"/>
        <v>1</v>
      </c>
      <c r="M47" s="321">
        <f>IF(B47=Weightings!$A$15,Weightings!$E$36)+IF(B47=Weightings!$A$16,Weightings!$E$41)+IF(B47=Weightings!$A$17,Weightings!$E$41)</f>
        <v>1E-4</v>
      </c>
      <c r="N47" s="321">
        <f t="shared" si="7"/>
        <v>1.0000000000000001E-9</v>
      </c>
      <c r="O47" s="261" t="str">
        <f t="shared" si="5"/>
        <v>n/a</v>
      </c>
      <c r="P47" s="261" t="str">
        <f t="shared" si="1"/>
        <v>n/a</v>
      </c>
    </row>
    <row r="48" spans="1:16" s="89" customFormat="1" x14ac:dyDescent="0.2">
      <c r="A48" s="222" t="s">
        <v>491</v>
      </c>
      <c r="B48" s="261" t="s">
        <v>6</v>
      </c>
      <c r="C48" s="115" t="s">
        <v>885</v>
      </c>
      <c r="D48" s="362"/>
      <c r="E48" s="276" t="s">
        <v>63</v>
      </c>
      <c r="F48" s="261" t="s">
        <v>15</v>
      </c>
      <c r="G48" s="262">
        <f>VLOOKUP(F48,Weightings!$A$46:$B$51,2,FALSE)</f>
        <v>1.0000000000000001E-5</v>
      </c>
      <c r="H48" s="261" t="s">
        <v>15</v>
      </c>
      <c r="I48" s="261" t="s">
        <v>15</v>
      </c>
      <c r="J48" s="264">
        <v>1E-4</v>
      </c>
      <c r="K48" s="321">
        <f t="shared" si="0"/>
        <v>1.0000000000000001E-9</v>
      </c>
      <c r="L48" s="265">
        <f t="shared" si="6"/>
        <v>1</v>
      </c>
      <c r="M48" s="321">
        <f>IF(B48=Weightings!$A$15,Weightings!$E$36)+IF(B48=Weightings!$A$16,Weightings!$E$41)+IF(B48=Weightings!$A$17,Weightings!$E$41)</f>
        <v>1E-4</v>
      </c>
      <c r="N48" s="321">
        <f t="shared" si="7"/>
        <v>1.0000000000000001E-9</v>
      </c>
      <c r="O48" s="261" t="str">
        <f t="shared" si="5"/>
        <v>n/a</v>
      </c>
      <c r="P48" s="261" t="str">
        <f t="shared" si="1"/>
        <v>n/a</v>
      </c>
    </row>
    <row r="49" spans="1:16" s="89" customFormat="1" x14ac:dyDescent="0.2">
      <c r="A49" s="222" t="s">
        <v>492</v>
      </c>
      <c r="B49" s="261" t="s">
        <v>6</v>
      </c>
      <c r="C49" s="115" t="s">
        <v>886</v>
      </c>
      <c r="D49" s="362"/>
      <c r="E49" s="276" t="s">
        <v>63</v>
      </c>
      <c r="F49" s="261" t="s">
        <v>15</v>
      </c>
      <c r="G49" s="262">
        <f>VLOOKUP(F49,Weightings!$A$46:$B$51,2,FALSE)</f>
        <v>1.0000000000000001E-5</v>
      </c>
      <c r="H49" s="261" t="s">
        <v>15</v>
      </c>
      <c r="I49" s="261" t="s">
        <v>15</v>
      </c>
      <c r="J49" s="264">
        <v>1E-4</v>
      </c>
      <c r="K49" s="321">
        <f t="shared" si="0"/>
        <v>1.0000000000000001E-9</v>
      </c>
      <c r="L49" s="265">
        <f t="shared" si="6"/>
        <v>1</v>
      </c>
      <c r="M49" s="321">
        <f>IF(B49=Weightings!$A$15,Weightings!$E$36)+IF(B49=Weightings!$A$16,Weightings!$E$41)+IF(B49=Weightings!$A$17,Weightings!$E$41)</f>
        <v>1E-4</v>
      </c>
      <c r="N49" s="321">
        <f t="shared" si="7"/>
        <v>1.0000000000000001E-9</v>
      </c>
      <c r="O49" s="261" t="str">
        <f t="shared" si="5"/>
        <v>n/a</v>
      </c>
      <c r="P49" s="261" t="str">
        <f t="shared" si="1"/>
        <v>n/a</v>
      </c>
    </row>
    <row r="50" spans="1:16" s="89" customFormat="1" x14ac:dyDescent="0.2">
      <c r="A50" s="222" t="s">
        <v>493</v>
      </c>
      <c r="B50" s="261" t="s">
        <v>6</v>
      </c>
      <c r="C50" s="115" t="s">
        <v>887</v>
      </c>
      <c r="D50" s="362"/>
      <c r="E50" s="276" t="s">
        <v>63</v>
      </c>
      <c r="F50" s="261" t="s">
        <v>15</v>
      </c>
      <c r="G50" s="262">
        <f>VLOOKUP(F50,Weightings!$A$46:$B$51,2,FALSE)</f>
        <v>1.0000000000000001E-5</v>
      </c>
      <c r="H50" s="261" t="s">
        <v>15</v>
      </c>
      <c r="I50" s="261" t="s">
        <v>15</v>
      </c>
      <c r="J50" s="264">
        <v>1E-4</v>
      </c>
      <c r="K50" s="321">
        <f t="shared" si="0"/>
        <v>1.0000000000000001E-9</v>
      </c>
      <c r="L50" s="265">
        <f t="shared" si="6"/>
        <v>1</v>
      </c>
      <c r="M50" s="321">
        <f>IF(B50=Weightings!$A$15,Weightings!$E$36)+IF(B50=Weightings!$A$16,Weightings!$E$41)+IF(B50=Weightings!$A$17,Weightings!$E$41)</f>
        <v>1E-4</v>
      </c>
      <c r="N50" s="321">
        <f t="shared" si="7"/>
        <v>1.0000000000000001E-9</v>
      </c>
      <c r="O50" s="261" t="str">
        <f t="shared" si="5"/>
        <v>n/a</v>
      </c>
      <c r="P50" s="261" t="str">
        <f t="shared" si="1"/>
        <v>n/a</v>
      </c>
    </row>
    <row r="51" spans="1:16" s="89" customFormat="1" ht="12.75" customHeight="1" x14ac:dyDescent="0.2">
      <c r="A51" s="222" t="s">
        <v>494</v>
      </c>
      <c r="B51" s="261" t="s">
        <v>6</v>
      </c>
      <c r="C51" s="115" t="s">
        <v>888</v>
      </c>
      <c r="D51" s="362"/>
      <c r="E51" s="276" t="s">
        <v>63</v>
      </c>
      <c r="F51" s="261" t="s">
        <v>15</v>
      </c>
      <c r="G51" s="262">
        <f>VLOOKUP(F51,Weightings!$A$46:$B$51,2,FALSE)</f>
        <v>1.0000000000000001E-5</v>
      </c>
      <c r="H51" s="261" t="s">
        <v>15</v>
      </c>
      <c r="I51" s="261" t="s">
        <v>15</v>
      </c>
      <c r="J51" s="264">
        <v>1E-4</v>
      </c>
      <c r="K51" s="321">
        <f t="shared" si="0"/>
        <v>1.0000000000000001E-9</v>
      </c>
      <c r="L51" s="265">
        <f t="shared" si="6"/>
        <v>1</v>
      </c>
      <c r="M51" s="321">
        <f>IF(B51=Weightings!$A$15,Weightings!$E$36)+IF(B51=Weightings!$A$16,Weightings!$E$41)+IF(B51=Weightings!$A$17,Weightings!$E$41)</f>
        <v>1E-4</v>
      </c>
      <c r="N51" s="321">
        <f t="shared" si="7"/>
        <v>1.0000000000000001E-9</v>
      </c>
      <c r="O51" s="261" t="str">
        <f t="shared" si="5"/>
        <v>n/a</v>
      </c>
      <c r="P51" s="261" t="str">
        <f t="shared" si="1"/>
        <v>n/a</v>
      </c>
    </row>
    <row r="52" spans="1:16" s="89" customFormat="1" x14ac:dyDescent="0.2">
      <c r="A52" s="222" t="s">
        <v>495</v>
      </c>
      <c r="B52" s="261" t="s">
        <v>6</v>
      </c>
      <c r="C52" s="115" t="s">
        <v>889</v>
      </c>
      <c r="D52" s="362"/>
      <c r="E52" s="276" t="s">
        <v>63</v>
      </c>
      <c r="F52" s="261" t="s">
        <v>15</v>
      </c>
      <c r="G52" s="262">
        <f>VLOOKUP(F52,Weightings!$A$46:$B$51,2,FALSE)</f>
        <v>1.0000000000000001E-5</v>
      </c>
      <c r="H52" s="261" t="s">
        <v>15</v>
      </c>
      <c r="I52" s="261" t="s">
        <v>15</v>
      </c>
      <c r="J52" s="264">
        <v>1E-4</v>
      </c>
      <c r="K52" s="321">
        <f t="shared" si="0"/>
        <v>1.0000000000000001E-9</v>
      </c>
      <c r="L52" s="265">
        <f t="shared" si="6"/>
        <v>1</v>
      </c>
      <c r="M52" s="321">
        <f>IF(B52=Weightings!$A$15,Weightings!$E$36)+IF(B52=Weightings!$A$16,Weightings!$E$41)+IF(B52=Weightings!$A$17,Weightings!$E$41)</f>
        <v>1E-4</v>
      </c>
      <c r="N52" s="321">
        <f t="shared" si="7"/>
        <v>1.0000000000000001E-9</v>
      </c>
      <c r="O52" s="261" t="str">
        <f t="shared" si="5"/>
        <v>n/a</v>
      </c>
      <c r="P52" s="261" t="str">
        <f t="shared" si="1"/>
        <v>n/a</v>
      </c>
    </row>
    <row r="53" spans="1:16" s="89" customFormat="1" x14ac:dyDescent="0.2">
      <c r="A53" s="222" t="s">
        <v>496</v>
      </c>
      <c r="B53" s="261" t="s">
        <v>6</v>
      </c>
      <c r="C53" s="115" t="s">
        <v>890</v>
      </c>
      <c r="D53" s="362"/>
      <c r="E53" s="276" t="s">
        <v>63</v>
      </c>
      <c r="F53" s="261" t="s">
        <v>15</v>
      </c>
      <c r="G53" s="262">
        <f>VLOOKUP(F53,Weightings!$A$46:$B$51,2,FALSE)</f>
        <v>1.0000000000000001E-5</v>
      </c>
      <c r="H53" s="261" t="s">
        <v>15</v>
      </c>
      <c r="I53" s="261" t="s">
        <v>15</v>
      </c>
      <c r="J53" s="264">
        <v>1E-4</v>
      </c>
      <c r="K53" s="321">
        <f t="shared" si="0"/>
        <v>1.0000000000000001E-9</v>
      </c>
      <c r="L53" s="265">
        <f t="shared" si="6"/>
        <v>1</v>
      </c>
      <c r="M53" s="321">
        <f>IF(B53=Weightings!$A$15,Weightings!$E$36)+IF(B53=Weightings!$A$16,Weightings!$E$41)+IF(B53=Weightings!$A$17,Weightings!$E$41)</f>
        <v>1E-4</v>
      </c>
      <c r="N53" s="321">
        <f t="shared" si="7"/>
        <v>1.0000000000000001E-9</v>
      </c>
      <c r="O53" s="261" t="str">
        <f t="shared" si="5"/>
        <v>n/a</v>
      </c>
      <c r="P53" s="261" t="str">
        <f t="shared" si="1"/>
        <v>n/a</v>
      </c>
    </row>
    <row r="54" spans="1:16" s="89" customFormat="1" x14ac:dyDescent="0.2">
      <c r="A54" s="222" t="s">
        <v>497</v>
      </c>
      <c r="B54" s="261" t="s">
        <v>6</v>
      </c>
      <c r="C54" s="115" t="s">
        <v>891</v>
      </c>
      <c r="D54" s="362"/>
      <c r="E54" s="276" t="s">
        <v>63</v>
      </c>
      <c r="F54" s="261" t="s">
        <v>15</v>
      </c>
      <c r="G54" s="262">
        <f>VLOOKUP(F54,Weightings!$A$46:$B$51,2,FALSE)</f>
        <v>1.0000000000000001E-5</v>
      </c>
      <c r="H54" s="261" t="s">
        <v>15</v>
      </c>
      <c r="I54" s="261" t="s">
        <v>15</v>
      </c>
      <c r="J54" s="264">
        <v>1E-4</v>
      </c>
      <c r="K54" s="321">
        <f t="shared" si="0"/>
        <v>1.0000000000000001E-9</v>
      </c>
      <c r="L54" s="265">
        <f t="shared" si="6"/>
        <v>1</v>
      </c>
      <c r="M54" s="321">
        <f>IF(B54=Weightings!$A$15,Weightings!$E$36)+IF(B54=Weightings!$A$16,Weightings!$E$41)+IF(B54=Weightings!$A$17,Weightings!$E$41)</f>
        <v>1E-4</v>
      </c>
      <c r="N54" s="321">
        <f t="shared" si="7"/>
        <v>1.0000000000000001E-9</v>
      </c>
      <c r="O54" s="261" t="str">
        <f t="shared" si="5"/>
        <v>n/a</v>
      </c>
      <c r="P54" s="261" t="str">
        <f t="shared" si="1"/>
        <v>n/a</v>
      </c>
    </row>
    <row r="55" spans="1:16" s="89" customFormat="1" ht="12.75" customHeight="1" x14ac:dyDescent="0.2">
      <c r="A55" s="222" t="s">
        <v>498</v>
      </c>
      <c r="B55" s="261" t="s">
        <v>6</v>
      </c>
      <c r="C55" s="115" t="s">
        <v>892</v>
      </c>
      <c r="D55" s="362"/>
      <c r="E55" s="276" t="s">
        <v>63</v>
      </c>
      <c r="F55" s="261" t="s">
        <v>15</v>
      </c>
      <c r="G55" s="262">
        <f>VLOOKUP(F55,Weightings!$A$46:$B$51,2,FALSE)</f>
        <v>1.0000000000000001E-5</v>
      </c>
      <c r="H55" s="261" t="s">
        <v>15</v>
      </c>
      <c r="I55" s="261" t="s">
        <v>15</v>
      </c>
      <c r="J55" s="264">
        <v>1E-4</v>
      </c>
      <c r="K55" s="321">
        <f t="shared" si="0"/>
        <v>1.0000000000000001E-9</v>
      </c>
      <c r="L55" s="265">
        <f t="shared" si="6"/>
        <v>1</v>
      </c>
      <c r="M55" s="321">
        <f>IF(B55=Weightings!$A$15,Weightings!$E$36)+IF(B55=Weightings!$A$16,Weightings!$E$41)+IF(B55=Weightings!$A$17,Weightings!$E$41)</f>
        <v>1E-4</v>
      </c>
      <c r="N55" s="321">
        <f t="shared" si="7"/>
        <v>1.0000000000000001E-9</v>
      </c>
      <c r="O55" s="261" t="str">
        <f t="shared" si="5"/>
        <v>n/a</v>
      </c>
      <c r="P55" s="261" t="str">
        <f t="shared" si="1"/>
        <v>n/a</v>
      </c>
    </row>
    <row r="56" spans="1:16" s="89" customFormat="1" x14ac:dyDescent="0.2">
      <c r="A56" s="222" t="s">
        <v>499</v>
      </c>
      <c r="B56" s="261" t="s">
        <v>6</v>
      </c>
      <c r="C56" s="115" t="s">
        <v>893</v>
      </c>
      <c r="D56" s="362"/>
      <c r="E56" s="276" t="s">
        <v>63</v>
      </c>
      <c r="F56" s="261" t="s">
        <v>15</v>
      </c>
      <c r="G56" s="262">
        <f>VLOOKUP(F56,Weightings!$A$46:$B$51,2,FALSE)</f>
        <v>1.0000000000000001E-5</v>
      </c>
      <c r="H56" s="261" t="s">
        <v>15</v>
      </c>
      <c r="I56" s="261" t="s">
        <v>15</v>
      </c>
      <c r="J56" s="264">
        <v>1E-4</v>
      </c>
      <c r="K56" s="321">
        <f t="shared" si="0"/>
        <v>1.0000000000000001E-9</v>
      </c>
      <c r="L56" s="265">
        <f t="shared" si="6"/>
        <v>1</v>
      </c>
      <c r="M56" s="321">
        <f>IF(B56=Weightings!$A$15,Weightings!$E$36)+IF(B56=Weightings!$A$16,Weightings!$E$41)+IF(B56=Weightings!$A$17,Weightings!$E$41)</f>
        <v>1E-4</v>
      </c>
      <c r="N56" s="321">
        <f t="shared" si="7"/>
        <v>1.0000000000000001E-9</v>
      </c>
      <c r="O56" s="261" t="str">
        <f t="shared" si="5"/>
        <v>n/a</v>
      </c>
      <c r="P56" s="261" t="str">
        <f t="shared" si="1"/>
        <v>n/a</v>
      </c>
    </row>
    <row r="57" spans="1:16" s="89" customFormat="1" x14ac:dyDescent="0.2">
      <c r="A57" s="222" t="s">
        <v>500</v>
      </c>
      <c r="B57" s="261" t="s">
        <v>6</v>
      </c>
      <c r="C57" s="115" t="s">
        <v>894</v>
      </c>
      <c r="D57" s="362"/>
      <c r="E57" s="276" t="s">
        <v>63</v>
      </c>
      <c r="F57" s="261" t="s">
        <v>15</v>
      </c>
      <c r="G57" s="262">
        <f>VLOOKUP(F57,Weightings!$A$46:$B$51,2,FALSE)</f>
        <v>1.0000000000000001E-5</v>
      </c>
      <c r="H57" s="261" t="s">
        <v>15</v>
      </c>
      <c r="I57" s="261" t="s">
        <v>15</v>
      </c>
      <c r="J57" s="264">
        <v>1E-4</v>
      </c>
      <c r="K57" s="321">
        <f t="shared" si="0"/>
        <v>1.0000000000000001E-9</v>
      </c>
      <c r="L57" s="265">
        <f t="shared" si="6"/>
        <v>1</v>
      </c>
      <c r="M57" s="321">
        <f>IF(B57=Weightings!$A$15,Weightings!$E$36)+IF(B57=Weightings!$A$16,Weightings!$E$41)+IF(B57=Weightings!$A$17,Weightings!$E$41)</f>
        <v>1E-4</v>
      </c>
      <c r="N57" s="321">
        <f t="shared" si="7"/>
        <v>1.0000000000000001E-9</v>
      </c>
      <c r="O57" s="261" t="str">
        <f t="shared" si="5"/>
        <v>n/a</v>
      </c>
      <c r="P57" s="261" t="str">
        <f t="shared" si="1"/>
        <v>n/a</v>
      </c>
    </row>
    <row r="58" spans="1:16" s="89" customFormat="1" x14ac:dyDescent="0.2">
      <c r="A58" s="222" t="s">
        <v>501</v>
      </c>
      <c r="B58" s="261" t="s">
        <v>6</v>
      </c>
      <c r="C58" s="115" t="s">
        <v>895</v>
      </c>
      <c r="D58" s="362"/>
      <c r="E58" s="276" t="s">
        <v>63</v>
      </c>
      <c r="F58" s="261" t="s">
        <v>15</v>
      </c>
      <c r="G58" s="262">
        <f>VLOOKUP(F58,Weightings!$A$46:$B$51,2,FALSE)</f>
        <v>1.0000000000000001E-5</v>
      </c>
      <c r="H58" s="261" t="s">
        <v>15</v>
      </c>
      <c r="I58" s="261" t="s">
        <v>15</v>
      </c>
      <c r="J58" s="264">
        <v>1E-4</v>
      </c>
      <c r="K58" s="321">
        <f t="shared" si="0"/>
        <v>1.0000000000000001E-9</v>
      </c>
      <c r="L58" s="265">
        <f t="shared" si="6"/>
        <v>1</v>
      </c>
      <c r="M58" s="321">
        <f>IF(B58=Weightings!$A$15,Weightings!$E$36)+IF(B58=Weightings!$A$16,Weightings!$E$41)+IF(B58=Weightings!$A$17,Weightings!$E$41)</f>
        <v>1E-4</v>
      </c>
      <c r="N58" s="321">
        <f t="shared" si="7"/>
        <v>1.0000000000000001E-9</v>
      </c>
      <c r="O58" s="261" t="str">
        <f t="shared" si="5"/>
        <v>n/a</v>
      </c>
      <c r="P58" s="261" t="str">
        <f t="shared" si="1"/>
        <v>n/a</v>
      </c>
    </row>
    <row r="59" spans="1:16" s="89" customFormat="1" x14ac:dyDescent="0.2">
      <c r="A59" s="222" t="s">
        <v>502</v>
      </c>
      <c r="B59" s="261" t="s">
        <v>6</v>
      </c>
      <c r="C59" s="115" t="s">
        <v>896</v>
      </c>
      <c r="D59" s="362"/>
      <c r="E59" s="276" t="s">
        <v>63</v>
      </c>
      <c r="F59" s="261" t="s">
        <v>15</v>
      </c>
      <c r="G59" s="262">
        <f>VLOOKUP(F59,Weightings!$A$46:$B$51,2,FALSE)</f>
        <v>1.0000000000000001E-5</v>
      </c>
      <c r="H59" s="261" t="s">
        <v>15</v>
      </c>
      <c r="I59" s="261" t="s">
        <v>15</v>
      </c>
      <c r="J59" s="264">
        <v>1E-4</v>
      </c>
      <c r="K59" s="321">
        <f t="shared" si="0"/>
        <v>1.0000000000000001E-9</v>
      </c>
      <c r="L59" s="265">
        <f t="shared" si="6"/>
        <v>1</v>
      </c>
      <c r="M59" s="321">
        <f>IF(B59=Weightings!$A$15,Weightings!$E$36)+IF(B59=Weightings!$A$16,Weightings!$E$41)+IF(B59=Weightings!$A$17,Weightings!$E$41)</f>
        <v>1E-4</v>
      </c>
      <c r="N59" s="321">
        <f t="shared" si="7"/>
        <v>1.0000000000000001E-9</v>
      </c>
      <c r="O59" s="261" t="str">
        <f t="shared" si="5"/>
        <v>n/a</v>
      </c>
      <c r="P59" s="261" t="str">
        <f t="shared" si="1"/>
        <v>n/a</v>
      </c>
    </row>
    <row r="60" spans="1:16" s="89" customFormat="1" x14ac:dyDescent="0.2">
      <c r="A60" s="222" t="s">
        <v>503</v>
      </c>
      <c r="B60" s="261" t="s">
        <v>6</v>
      </c>
      <c r="C60" s="115" t="s">
        <v>897</v>
      </c>
      <c r="D60" s="362"/>
      <c r="E60" s="276" t="s">
        <v>63</v>
      </c>
      <c r="F60" s="261" t="s">
        <v>15</v>
      </c>
      <c r="G60" s="262">
        <f>VLOOKUP(F60,Weightings!$A$46:$B$51,2,FALSE)</f>
        <v>1.0000000000000001E-5</v>
      </c>
      <c r="H60" s="261" t="s">
        <v>15</v>
      </c>
      <c r="I60" s="261" t="s">
        <v>15</v>
      </c>
      <c r="J60" s="264">
        <v>1E-4</v>
      </c>
      <c r="K60" s="321">
        <f t="shared" si="0"/>
        <v>1.0000000000000001E-9</v>
      </c>
      <c r="L60" s="265">
        <f t="shared" si="6"/>
        <v>1</v>
      </c>
      <c r="M60" s="321">
        <f>IF(B60=Weightings!$A$15,Weightings!$E$36)+IF(B60=Weightings!$A$16,Weightings!$E$41)+IF(B60=Weightings!$A$17,Weightings!$E$41)</f>
        <v>1E-4</v>
      </c>
      <c r="N60" s="321">
        <f t="shared" si="7"/>
        <v>1.0000000000000001E-9</v>
      </c>
      <c r="O60" s="261" t="str">
        <f t="shared" si="5"/>
        <v>n/a</v>
      </c>
      <c r="P60" s="261" t="str">
        <f t="shared" si="1"/>
        <v>n/a</v>
      </c>
    </row>
    <row r="61" spans="1:16" s="89" customFormat="1" x14ac:dyDescent="0.2">
      <c r="A61" s="222" t="s">
        <v>504</v>
      </c>
      <c r="B61" s="261" t="s">
        <v>6</v>
      </c>
      <c r="C61" s="115" t="s">
        <v>898</v>
      </c>
      <c r="D61" s="362"/>
      <c r="E61" s="276" t="s">
        <v>63</v>
      </c>
      <c r="F61" s="261" t="s">
        <v>15</v>
      </c>
      <c r="G61" s="262">
        <f>VLOOKUP(F61,Weightings!$A$46:$B$51,2,FALSE)</f>
        <v>1.0000000000000001E-5</v>
      </c>
      <c r="H61" s="261" t="s">
        <v>15</v>
      </c>
      <c r="I61" s="261" t="s">
        <v>15</v>
      </c>
      <c r="J61" s="264">
        <v>1E-4</v>
      </c>
      <c r="K61" s="321">
        <f t="shared" si="0"/>
        <v>1.0000000000000001E-9</v>
      </c>
      <c r="L61" s="265">
        <f t="shared" si="6"/>
        <v>1</v>
      </c>
      <c r="M61" s="321">
        <f>IF(B61=Weightings!$A$15,Weightings!$E$36)+IF(B61=Weightings!$A$16,Weightings!$E$41)+IF(B61=Weightings!$A$17,Weightings!$E$41)</f>
        <v>1E-4</v>
      </c>
      <c r="N61" s="321">
        <f t="shared" si="7"/>
        <v>1.0000000000000001E-9</v>
      </c>
      <c r="O61" s="261" t="str">
        <f t="shared" si="5"/>
        <v>n/a</v>
      </c>
      <c r="P61" s="261" t="str">
        <f t="shared" si="1"/>
        <v>n/a</v>
      </c>
    </row>
    <row r="62" spans="1:16" s="89" customFormat="1" x14ac:dyDescent="0.2">
      <c r="A62" s="222" t="s">
        <v>505</v>
      </c>
      <c r="B62" s="261" t="s">
        <v>6</v>
      </c>
      <c r="C62" s="115" t="s">
        <v>899</v>
      </c>
      <c r="D62" s="362"/>
      <c r="E62" s="276" t="s">
        <v>63</v>
      </c>
      <c r="F62" s="261" t="s">
        <v>15</v>
      </c>
      <c r="G62" s="262">
        <f>VLOOKUP(F62,Weightings!$A$46:$B$51,2,FALSE)</f>
        <v>1.0000000000000001E-5</v>
      </c>
      <c r="H62" s="261" t="s">
        <v>15</v>
      </c>
      <c r="I62" s="261" t="s">
        <v>15</v>
      </c>
      <c r="J62" s="264">
        <v>1E-4</v>
      </c>
      <c r="K62" s="321">
        <f t="shared" si="0"/>
        <v>1.0000000000000001E-9</v>
      </c>
      <c r="L62" s="265">
        <f t="shared" si="6"/>
        <v>1</v>
      </c>
      <c r="M62" s="321">
        <f>IF(B62=Weightings!$A$15,Weightings!$E$36)+IF(B62=Weightings!$A$16,Weightings!$E$41)+IF(B62=Weightings!$A$17,Weightings!$E$41)</f>
        <v>1E-4</v>
      </c>
      <c r="N62" s="321">
        <f t="shared" si="7"/>
        <v>1.0000000000000001E-9</v>
      </c>
      <c r="O62" s="261" t="str">
        <f t="shared" si="5"/>
        <v>n/a</v>
      </c>
      <c r="P62" s="261" t="str">
        <f t="shared" si="1"/>
        <v>n/a</v>
      </c>
    </row>
    <row r="63" spans="1:16" s="89" customFormat="1" x14ac:dyDescent="0.2">
      <c r="A63" s="222" t="s">
        <v>506</v>
      </c>
      <c r="B63" s="261" t="s">
        <v>6</v>
      </c>
      <c r="C63" s="115" t="s">
        <v>900</v>
      </c>
      <c r="D63" s="362"/>
      <c r="E63" s="276" t="s">
        <v>63</v>
      </c>
      <c r="F63" s="261" t="s">
        <v>15</v>
      </c>
      <c r="G63" s="262">
        <f>VLOOKUP(F63,Weightings!$A$46:$B$51,2,FALSE)</f>
        <v>1.0000000000000001E-5</v>
      </c>
      <c r="H63" s="261" t="s">
        <v>15</v>
      </c>
      <c r="I63" s="261" t="s">
        <v>15</v>
      </c>
      <c r="J63" s="264">
        <v>1E-4</v>
      </c>
      <c r="K63" s="321">
        <f t="shared" si="0"/>
        <v>1.0000000000000001E-9</v>
      </c>
      <c r="L63" s="265">
        <f t="shared" si="6"/>
        <v>1</v>
      </c>
      <c r="M63" s="321">
        <f>IF(B63=Weightings!$A$15,Weightings!$E$36)+IF(B63=Weightings!$A$16,Weightings!$E$41)+IF(B63=Weightings!$A$17,Weightings!$E$41)</f>
        <v>1E-4</v>
      </c>
      <c r="N63" s="321">
        <f t="shared" si="7"/>
        <v>1.0000000000000001E-9</v>
      </c>
      <c r="O63" s="261" t="str">
        <f t="shared" si="5"/>
        <v>n/a</v>
      </c>
      <c r="P63" s="261" t="str">
        <f t="shared" si="1"/>
        <v>n/a</v>
      </c>
    </row>
    <row r="64" spans="1:16" s="89" customFormat="1" ht="12.75" customHeight="1" x14ac:dyDescent="0.2">
      <c r="A64" s="222" t="s">
        <v>507</v>
      </c>
      <c r="B64" s="261" t="s">
        <v>6</v>
      </c>
      <c r="C64" s="115" t="s">
        <v>901</v>
      </c>
      <c r="D64" s="362"/>
      <c r="E64" s="276" t="s">
        <v>63</v>
      </c>
      <c r="F64" s="261" t="s">
        <v>15</v>
      </c>
      <c r="G64" s="262">
        <f>VLOOKUP(F64,Weightings!$A$46:$B$51,2,FALSE)</f>
        <v>1.0000000000000001E-5</v>
      </c>
      <c r="H64" s="261" t="s">
        <v>15</v>
      </c>
      <c r="I64" s="261" t="s">
        <v>15</v>
      </c>
      <c r="J64" s="264">
        <v>1E-4</v>
      </c>
      <c r="K64" s="321">
        <f t="shared" si="0"/>
        <v>1.0000000000000001E-9</v>
      </c>
      <c r="L64" s="265">
        <f t="shared" si="6"/>
        <v>1</v>
      </c>
      <c r="M64" s="321">
        <f>IF(B64=Weightings!$A$15,Weightings!$E$36)+IF(B64=Weightings!$A$16,Weightings!$E$41)+IF(B64=Weightings!$A$17,Weightings!$E$41)</f>
        <v>1E-4</v>
      </c>
      <c r="N64" s="321">
        <f t="shared" si="7"/>
        <v>1.0000000000000001E-9</v>
      </c>
      <c r="O64" s="261" t="str">
        <f t="shared" si="5"/>
        <v>n/a</v>
      </c>
      <c r="P64" s="261" t="str">
        <f t="shared" si="1"/>
        <v>n/a</v>
      </c>
    </row>
    <row r="65" spans="1:16" s="89" customFormat="1" x14ac:dyDescent="0.2">
      <c r="A65" s="222" t="s">
        <v>508</v>
      </c>
      <c r="B65" s="261" t="s">
        <v>6</v>
      </c>
      <c r="C65" s="115" t="s">
        <v>902</v>
      </c>
      <c r="D65" s="362"/>
      <c r="E65" s="276" t="s">
        <v>63</v>
      </c>
      <c r="F65" s="261" t="s">
        <v>15</v>
      </c>
      <c r="G65" s="262">
        <f>VLOOKUP(F65,Weightings!$A$46:$B$51,2,FALSE)</f>
        <v>1.0000000000000001E-5</v>
      </c>
      <c r="H65" s="261" t="s">
        <v>15</v>
      </c>
      <c r="I65" s="261" t="s">
        <v>15</v>
      </c>
      <c r="J65" s="264">
        <v>1E-4</v>
      </c>
      <c r="K65" s="321">
        <f t="shared" si="0"/>
        <v>1.0000000000000001E-9</v>
      </c>
      <c r="L65" s="265">
        <f t="shared" si="6"/>
        <v>1</v>
      </c>
      <c r="M65" s="321">
        <f>IF(B65=Weightings!$A$15,Weightings!$E$36)+IF(B65=Weightings!$A$16,Weightings!$E$41)+IF(B65=Weightings!$A$17,Weightings!$E$41)</f>
        <v>1E-4</v>
      </c>
      <c r="N65" s="321">
        <f t="shared" si="7"/>
        <v>1.0000000000000001E-9</v>
      </c>
      <c r="O65" s="261" t="str">
        <f t="shared" si="5"/>
        <v>n/a</v>
      </c>
      <c r="P65" s="261" t="str">
        <f t="shared" si="1"/>
        <v>n/a</v>
      </c>
    </row>
    <row r="66" spans="1:16" s="89" customFormat="1" x14ac:dyDescent="0.2">
      <c r="A66" s="222" t="s">
        <v>509</v>
      </c>
      <c r="B66" s="261" t="s">
        <v>6</v>
      </c>
      <c r="C66" s="115" t="s">
        <v>903</v>
      </c>
      <c r="D66" s="362"/>
      <c r="E66" s="276" t="s">
        <v>63</v>
      </c>
      <c r="F66" s="261" t="s">
        <v>15</v>
      </c>
      <c r="G66" s="262">
        <f>VLOOKUP(F66,Weightings!$A$46:$B$51,2,FALSE)</f>
        <v>1.0000000000000001E-5</v>
      </c>
      <c r="H66" s="261" t="s">
        <v>15</v>
      </c>
      <c r="I66" s="261" t="s">
        <v>15</v>
      </c>
      <c r="J66" s="264">
        <v>1E-4</v>
      </c>
      <c r="K66" s="321">
        <f t="shared" si="0"/>
        <v>1.0000000000000001E-9</v>
      </c>
      <c r="L66" s="265">
        <f t="shared" si="6"/>
        <v>1</v>
      </c>
      <c r="M66" s="321">
        <f>IF(B66=Weightings!$A$15,Weightings!$E$36)+IF(B66=Weightings!$A$16,Weightings!$E$41)+IF(B66=Weightings!$A$17,Weightings!$E$41)</f>
        <v>1E-4</v>
      </c>
      <c r="N66" s="321">
        <f t="shared" si="7"/>
        <v>1.0000000000000001E-9</v>
      </c>
      <c r="O66" s="261" t="str">
        <f t="shared" si="5"/>
        <v>n/a</v>
      </c>
      <c r="P66" s="261" t="str">
        <f t="shared" si="1"/>
        <v>n/a</v>
      </c>
    </row>
    <row r="67" spans="1:16" s="89" customFormat="1" x14ac:dyDescent="0.2">
      <c r="A67" s="222" t="s">
        <v>510</v>
      </c>
      <c r="B67" s="261" t="s">
        <v>6</v>
      </c>
      <c r="C67" s="115" t="s">
        <v>904</v>
      </c>
      <c r="D67" s="362"/>
      <c r="E67" s="276" t="s">
        <v>63</v>
      </c>
      <c r="F67" s="261" t="s">
        <v>15</v>
      </c>
      <c r="G67" s="262">
        <f>VLOOKUP(F67,Weightings!$A$46:$B$51,2,FALSE)</f>
        <v>1.0000000000000001E-5</v>
      </c>
      <c r="H67" s="261" t="s">
        <v>15</v>
      </c>
      <c r="I67" s="261" t="s">
        <v>15</v>
      </c>
      <c r="J67" s="264">
        <v>1E-4</v>
      </c>
      <c r="K67" s="321">
        <f t="shared" si="0"/>
        <v>1.0000000000000001E-9</v>
      </c>
      <c r="L67" s="265">
        <f t="shared" si="6"/>
        <v>1</v>
      </c>
      <c r="M67" s="321">
        <f>IF(B67=Weightings!$A$15,Weightings!$E$36)+IF(B67=Weightings!$A$16,Weightings!$E$41)+IF(B67=Weightings!$A$17,Weightings!$E$41)</f>
        <v>1E-4</v>
      </c>
      <c r="N67" s="321">
        <f t="shared" si="7"/>
        <v>1.0000000000000001E-9</v>
      </c>
      <c r="O67" s="261" t="str">
        <f t="shared" si="5"/>
        <v>n/a</v>
      </c>
      <c r="P67" s="261" t="str">
        <f t="shared" si="1"/>
        <v>n/a</v>
      </c>
    </row>
    <row r="68" spans="1:16" s="89" customFormat="1" x14ac:dyDescent="0.2">
      <c r="A68" s="222" t="s">
        <v>511</v>
      </c>
      <c r="B68" s="261" t="s">
        <v>6</v>
      </c>
      <c r="C68" s="115" t="s">
        <v>905</v>
      </c>
      <c r="D68" s="362"/>
      <c r="E68" s="276" t="s">
        <v>63</v>
      </c>
      <c r="F68" s="261" t="s">
        <v>15</v>
      </c>
      <c r="G68" s="262">
        <f>VLOOKUP(F68,Weightings!$A$46:$B$51,2,FALSE)</f>
        <v>1.0000000000000001E-5</v>
      </c>
      <c r="H68" s="261" t="s">
        <v>15</v>
      </c>
      <c r="I68" s="261" t="s">
        <v>15</v>
      </c>
      <c r="J68" s="264">
        <v>1E-4</v>
      </c>
      <c r="K68" s="321">
        <f t="shared" si="0"/>
        <v>1.0000000000000001E-9</v>
      </c>
      <c r="L68" s="265">
        <f t="shared" si="6"/>
        <v>1</v>
      </c>
      <c r="M68" s="321">
        <f>IF(B68=Weightings!$A$15,Weightings!$E$36)+IF(B68=Weightings!$A$16,Weightings!$E$41)+IF(B68=Weightings!$A$17,Weightings!$E$41)</f>
        <v>1E-4</v>
      </c>
      <c r="N68" s="321">
        <f t="shared" si="7"/>
        <v>1.0000000000000001E-9</v>
      </c>
      <c r="O68" s="261" t="str">
        <f t="shared" si="5"/>
        <v>n/a</v>
      </c>
      <c r="P68" s="261" t="str">
        <f t="shared" si="1"/>
        <v>n/a</v>
      </c>
    </row>
    <row r="69" spans="1:16" s="89" customFormat="1" x14ac:dyDescent="0.2">
      <c r="A69" s="222" t="s">
        <v>512</v>
      </c>
      <c r="B69" s="261" t="s">
        <v>6</v>
      </c>
      <c r="C69" s="115" t="s">
        <v>906</v>
      </c>
      <c r="D69" s="362"/>
      <c r="E69" s="276" t="s">
        <v>63</v>
      </c>
      <c r="F69" s="261" t="s">
        <v>15</v>
      </c>
      <c r="G69" s="262">
        <f>VLOOKUP(F69,Weightings!$A$46:$B$51,2,FALSE)</f>
        <v>1.0000000000000001E-5</v>
      </c>
      <c r="H69" s="261" t="s">
        <v>15</v>
      </c>
      <c r="I69" s="261" t="s">
        <v>15</v>
      </c>
      <c r="J69" s="264">
        <v>1E-4</v>
      </c>
      <c r="K69" s="321">
        <f t="shared" si="0"/>
        <v>1.0000000000000001E-9</v>
      </c>
      <c r="L69" s="265">
        <f t="shared" si="6"/>
        <v>1</v>
      </c>
      <c r="M69" s="321">
        <f>IF(B69=Weightings!$A$15,Weightings!$E$36)+IF(B69=Weightings!$A$16,Weightings!$E$41)+IF(B69=Weightings!$A$17,Weightings!$E$41)</f>
        <v>1E-4</v>
      </c>
      <c r="N69" s="321">
        <f t="shared" si="7"/>
        <v>1.0000000000000001E-9</v>
      </c>
      <c r="O69" s="261" t="str">
        <f t="shared" si="5"/>
        <v>n/a</v>
      </c>
      <c r="P69" s="261" t="str">
        <f t="shared" si="1"/>
        <v>n/a</v>
      </c>
    </row>
    <row r="70" spans="1:16" s="89" customFormat="1" x14ac:dyDescent="0.2">
      <c r="A70" s="222" t="s">
        <v>513</v>
      </c>
      <c r="B70" s="261" t="s">
        <v>6</v>
      </c>
      <c r="C70" s="115" t="s">
        <v>907</v>
      </c>
      <c r="D70" s="362"/>
      <c r="E70" s="276" t="s">
        <v>63</v>
      </c>
      <c r="F70" s="261" t="s">
        <v>15</v>
      </c>
      <c r="G70" s="262">
        <f>VLOOKUP(F70,Weightings!$A$46:$B$51,2,FALSE)</f>
        <v>1.0000000000000001E-5</v>
      </c>
      <c r="H70" s="261" t="s">
        <v>15</v>
      </c>
      <c r="I70" s="261" t="s">
        <v>15</v>
      </c>
      <c r="J70" s="264">
        <v>1E-4</v>
      </c>
      <c r="K70" s="321">
        <f t="shared" si="0"/>
        <v>1.0000000000000001E-9</v>
      </c>
      <c r="L70" s="265">
        <f t="shared" si="6"/>
        <v>1</v>
      </c>
      <c r="M70" s="321">
        <f>IF(B70=Weightings!$A$15,Weightings!$E$36)+IF(B70=Weightings!$A$16,Weightings!$E$41)+IF(B70=Weightings!$A$17,Weightings!$E$41)</f>
        <v>1E-4</v>
      </c>
      <c r="N70" s="321">
        <f t="shared" si="7"/>
        <v>1.0000000000000001E-9</v>
      </c>
      <c r="O70" s="261" t="str">
        <f t="shared" si="5"/>
        <v>n/a</v>
      </c>
      <c r="P70" s="261" t="str">
        <f t="shared" si="1"/>
        <v>n/a</v>
      </c>
    </row>
    <row r="71" spans="1:16" s="89" customFormat="1" x14ac:dyDescent="0.2">
      <c r="A71" s="222" t="s">
        <v>514</v>
      </c>
      <c r="B71" s="261" t="s">
        <v>6</v>
      </c>
      <c r="C71" s="115" t="s">
        <v>908</v>
      </c>
      <c r="D71" s="362"/>
      <c r="E71" s="276" t="s">
        <v>63</v>
      </c>
      <c r="F71" s="261" t="s">
        <v>15</v>
      </c>
      <c r="G71" s="262">
        <f>VLOOKUP(F71,Weightings!$A$46:$B$51,2,FALSE)</f>
        <v>1.0000000000000001E-5</v>
      </c>
      <c r="H71" s="261" t="s">
        <v>15</v>
      </c>
      <c r="I71" s="261" t="s">
        <v>15</v>
      </c>
      <c r="J71" s="264">
        <v>1E-4</v>
      </c>
      <c r="K71" s="321">
        <f t="shared" si="0"/>
        <v>1.0000000000000001E-9</v>
      </c>
      <c r="L71" s="265">
        <f t="shared" si="6"/>
        <v>1</v>
      </c>
      <c r="M71" s="321">
        <f>IF(B71=Weightings!$A$15,Weightings!$E$36)+IF(B71=Weightings!$A$16,Weightings!$E$41)+IF(B71=Weightings!$A$17,Weightings!$E$41)</f>
        <v>1E-4</v>
      </c>
      <c r="N71" s="321">
        <f t="shared" si="7"/>
        <v>1.0000000000000001E-9</v>
      </c>
      <c r="O71" s="261" t="str">
        <f t="shared" si="5"/>
        <v>n/a</v>
      </c>
      <c r="P71" s="261" t="str">
        <f t="shared" si="1"/>
        <v>n/a</v>
      </c>
    </row>
    <row r="72" spans="1:16" s="89" customFormat="1" ht="12.75" customHeight="1" x14ac:dyDescent="0.2">
      <c r="A72" s="222" t="s">
        <v>515</v>
      </c>
      <c r="B72" s="261" t="s">
        <v>6</v>
      </c>
      <c r="C72" s="115" t="s">
        <v>909</v>
      </c>
      <c r="D72" s="362"/>
      <c r="E72" s="276" t="s">
        <v>63</v>
      </c>
      <c r="F72" s="261" t="s">
        <v>15</v>
      </c>
      <c r="G72" s="262">
        <f>VLOOKUP(F72,Weightings!$A$46:$B$51,2,FALSE)</f>
        <v>1.0000000000000001E-5</v>
      </c>
      <c r="H72" s="261" t="s">
        <v>15</v>
      </c>
      <c r="I72" s="261" t="s">
        <v>15</v>
      </c>
      <c r="J72" s="264">
        <v>1E-4</v>
      </c>
      <c r="K72" s="321">
        <f t="shared" si="0"/>
        <v>1.0000000000000001E-9</v>
      </c>
      <c r="L72" s="265">
        <f t="shared" si="6"/>
        <v>1</v>
      </c>
      <c r="M72" s="321">
        <f>IF(B72=Weightings!$A$15,Weightings!$E$36)+IF(B72=Weightings!$A$16,Weightings!$E$41)+IF(B72=Weightings!$A$17,Weightings!$E$41)</f>
        <v>1E-4</v>
      </c>
      <c r="N72" s="321">
        <f t="shared" si="7"/>
        <v>1.0000000000000001E-9</v>
      </c>
      <c r="O72" s="261" t="str">
        <f t="shared" si="5"/>
        <v>n/a</v>
      </c>
      <c r="P72" s="261" t="str">
        <f t="shared" ref="P72:P135" si="8">IF(ISERROR(O72*0.125),"n/a",O72*0.125)</f>
        <v>n/a</v>
      </c>
    </row>
    <row r="73" spans="1:16" s="89" customFormat="1" x14ac:dyDescent="0.2">
      <c r="A73" s="222" t="s">
        <v>516</v>
      </c>
      <c r="B73" s="261" t="s">
        <v>6</v>
      </c>
      <c r="C73" s="115" t="s">
        <v>910</v>
      </c>
      <c r="D73" s="362"/>
      <c r="E73" s="276" t="s">
        <v>63</v>
      </c>
      <c r="F73" s="261" t="s">
        <v>15</v>
      </c>
      <c r="G73" s="262">
        <f>VLOOKUP(F73,Weightings!$A$46:$B$51,2,FALSE)</f>
        <v>1.0000000000000001E-5</v>
      </c>
      <c r="H73" s="261" t="s">
        <v>15</v>
      </c>
      <c r="I73" s="261" t="s">
        <v>15</v>
      </c>
      <c r="J73" s="264">
        <v>1E-4</v>
      </c>
      <c r="K73" s="321">
        <f t="shared" si="0"/>
        <v>1.0000000000000001E-9</v>
      </c>
      <c r="L73" s="265">
        <f t="shared" ref="L73:L104" si="9">IF(ISERROR(K73/N73),"n/a",K73/N73)</f>
        <v>1</v>
      </c>
      <c r="M73" s="321">
        <f>IF(B73=Weightings!$A$15,Weightings!$E$36)+IF(B73=Weightings!$A$16,Weightings!$E$41)+IF(B73=Weightings!$A$17,Weightings!$E$41)</f>
        <v>1E-4</v>
      </c>
      <c r="N73" s="321">
        <f t="shared" ref="N73:N104" si="10">G73*M73</f>
        <v>1.0000000000000001E-9</v>
      </c>
      <c r="O73" s="261" t="str">
        <f t="shared" si="5"/>
        <v>n/a</v>
      </c>
      <c r="P73" s="261" t="str">
        <f t="shared" si="8"/>
        <v>n/a</v>
      </c>
    </row>
    <row r="74" spans="1:16" s="89" customFormat="1" x14ac:dyDescent="0.2">
      <c r="A74" s="222" t="s">
        <v>517</v>
      </c>
      <c r="B74" s="261" t="s">
        <v>6</v>
      </c>
      <c r="C74" s="115" t="s">
        <v>911</v>
      </c>
      <c r="D74" s="362"/>
      <c r="E74" s="276" t="s">
        <v>63</v>
      </c>
      <c r="F74" s="261" t="s">
        <v>15</v>
      </c>
      <c r="G74" s="262">
        <f>VLOOKUP(F74,Weightings!$A$46:$B$51,2,FALSE)</f>
        <v>1.0000000000000001E-5</v>
      </c>
      <c r="H74" s="261" t="s">
        <v>15</v>
      </c>
      <c r="I74" s="261" t="s">
        <v>15</v>
      </c>
      <c r="J74" s="264">
        <v>1E-4</v>
      </c>
      <c r="K74" s="321">
        <f t="shared" si="0"/>
        <v>1.0000000000000001E-9</v>
      </c>
      <c r="L74" s="265">
        <f t="shared" si="9"/>
        <v>1</v>
      </c>
      <c r="M74" s="321">
        <f>IF(B74=Weightings!$A$15,Weightings!$E$36)+IF(B74=Weightings!$A$16,Weightings!$E$41)+IF(B74=Weightings!$A$17,Weightings!$E$41)</f>
        <v>1E-4</v>
      </c>
      <c r="N74" s="321">
        <f t="shared" si="10"/>
        <v>1.0000000000000001E-9</v>
      </c>
      <c r="O74" s="261" t="str">
        <f t="shared" si="5"/>
        <v>n/a</v>
      </c>
      <c r="P74" s="261" t="str">
        <f t="shared" si="8"/>
        <v>n/a</v>
      </c>
    </row>
    <row r="75" spans="1:16" s="89" customFormat="1" x14ac:dyDescent="0.2">
      <c r="A75" s="222" t="s">
        <v>518</v>
      </c>
      <c r="B75" s="261" t="s">
        <v>6</v>
      </c>
      <c r="C75" s="115" t="s">
        <v>912</v>
      </c>
      <c r="D75" s="362"/>
      <c r="E75" s="276" t="s">
        <v>63</v>
      </c>
      <c r="F75" s="261" t="s">
        <v>15</v>
      </c>
      <c r="G75" s="262">
        <f>VLOOKUP(F75,Weightings!$A$46:$B$51,2,FALSE)</f>
        <v>1.0000000000000001E-5</v>
      </c>
      <c r="H75" s="261" t="s">
        <v>15</v>
      </c>
      <c r="I75" s="261" t="s">
        <v>15</v>
      </c>
      <c r="J75" s="264">
        <v>1E-4</v>
      </c>
      <c r="K75" s="321">
        <f t="shared" si="0"/>
        <v>1.0000000000000001E-9</v>
      </c>
      <c r="L75" s="265">
        <f t="shared" si="9"/>
        <v>1</v>
      </c>
      <c r="M75" s="321">
        <f>IF(B75=Weightings!$A$15,Weightings!$E$36)+IF(B75=Weightings!$A$16,Weightings!$E$41)+IF(B75=Weightings!$A$17,Weightings!$E$41)</f>
        <v>1E-4</v>
      </c>
      <c r="N75" s="321">
        <f t="shared" si="10"/>
        <v>1.0000000000000001E-9</v>
      </c>
      <c r="O75" s="261" t="str">
        <f t="shared" si="5"/>
        <v>n/a</v>
      </c>
      <c r="P75" s="261" t="str">
        <f t="shared" si="8"/>
        <v>n/a</v>
      </c>
    </row>
    <row r="76" spans="1:16" s="89" customFormat="1" x14ac:dyDescent="0.2">
      <c r="A76" s="222" t="s">
        <v>519</v>
      </c>
      <c r="B76" s="261" t="s">
        <v>6</v>
      </c>
      <c r="C76" s="115" t="s">
        <v>913</v>
      </c>
      <c r="D76" s="362"/>
      <c r="E76" s="276" t="s">
        <v>63</v>
      </c>
      <c r="F76" s="261" t="s">
        <v>15</v>
      </c>
      <c r="G76" s="262">
        <f>VLOOKUP(F76,Weightings!$A$46:$B$51,2,FALSE)</f>
        <v>1.0000000000000001E-5</v>
      </c>
      <c r="H76" s="261" t="s">
        <v>15</v>
      </c>
      <c r="I76" s="261" t="s">
        <v>15</v>
      </c>
      <c r="J76" s="264">
        <v>1E-4</v>
      </c>
      <c r="K76" s="321">
        <f t="shared" si="0"/>
        <v>1.0000000000000001E-9</v>
      </c>
      <c r="L76" s="265">
        <f t="shared" si="9"/>
        <v>1</v>
      </c>
      <c r="M76" s="321">
        <f>IF(B76=Weightings!$A$15,Weightings!$E$36)+IF(B76=Weightings!$A$16,Weightings!$E$41)+IF(B76=Weightings!$A$17,Weightings!$E$41)</f>
        <v>1E-4</v>
      </c>
      <c r="N76" s="321">
        <f t="shared" si="10"/>
        <v>1.0000000000000001E-9</v>
      </c>
      <c r="O76" s="261" t="str">
        <f t="shared" si="5"/>
        <v>n/a</v>
      </c>
      <c r="P76" s="261" t="str">
        <f t="shared" si="8"/>
        <v>n/a</v>
      </c>
    </row>
    <row r="77" spans="1:16" s="89" customFormat="1" ht="12.75" customHeight="1" x14ac:dyDescent="0.2">
      <c r="A77" s="222" t="s">
        <v>520</v>
      </c>
      <c r="B77" s="261" t="s">
        <v>6</v>
      </c>
      <c r="C77" s="115" t="s">
        <v>914</v>
      </c>
      <c r="D77" s="362"/>
      <c r="E77" s="276" t="s">
        <v>63</v>
      </c>
      <c r="F77" s="261" t="s">
        <v>15</v>
      </c>
      <c r="G77" s="262">
        <f>VLOOKUP(F77,Weightings!$A$46:$B$51,2,FALSE)</f>
        <v>1.0000000000000001E-5</v>
      </c>
      <c r="H77" s="261" t="s">
        <v>15</v>
      </c>
      <c r="I77" s="261" t="s">
        <v>15</v>
      </c>
      <c r="J77" s="264">
        <v>1E-4</v>
      </c>
      <c r="K77" s="321">
        <f t="shared" si="0"/>
        <v>1.0000000000000001E-9</v>
      </c>
      <c r="L77" s="265">
        <f t="shared" si="9"/>
        <v>1</v>
      </c>
      <c r="M77" s="321">
        <f>IF(B77=Weightings!$A$15,Weightings!$E$36)+IF(B77=Weightings!$A$16,Weightings!$E$41)+IF(B77=Weightings!$A$17,Weightings!$E$41)</f>
        <v>1E-4</v>
      </c>
      <c r="N77" s="321">
        <f t="shared" si="10"/>
        <v>1.0000000000000001E-9</v>
      </c>
      <c r="O77" s="261" t="str">
        <f t="shared" si="5"/>
        <v>n/a</v>
      </c>
      <c r="P77" s="261" t="str">
        <f t="shared" si="8"/>
        <v>n/a</v>
      </c>
    </row>
    <row r="78" spans="1:16" s="89" customFormat="1" x14ac:dyDescent="0.2">
      <c r="A78" s="222" t="s">
        <v>521</v>
      </c>
      <c r="B78" s="261" t="s">
        <v>6</v>
      </c>
      <c r="C78" s="115" t="s">
        <v>915</v>
      </c>
      <c r="D78" s="362"/>
      <c r="E78" s="276" t="s">
        <v>63</v>
      </c>
      <c r="F78" s="261" t="s">
        <v>15</v>
      </c>
      <c r="G78" s="262">
        <f>VLOOKUP(F78,Weightings!$A$46:$B$51,2,FALSE)</f>
        <v>1.0000000000000001E-5</v>
      </c>
      <c r="H78" s="261" t="s">
        <v>15</v>
      </c>
      <c r="I78" s="261" t="s">
        <v>15</v>
      </c>
      <c r="J78" s="264">
        <v>1E-4</v>
      </c>
      <c r="K78" s="321">
        <f t="shared" si="0"/>
        <v>1.0000000000000001E-9</v>
      </c>
      <c r="L78" s="265">
        <f t="shared" si="9"/>
        <v>1</v>
      </c>
      <c r="M78" s="321">
        <f>IF(B78=Weightings!$A$15,Weightings!$E$36)+IF(B78=Weightings!$A$16,Weightings!$E$41)+IF(B78=Weightings!$A$17,Weightings!$E$41)</f>
        <v>1E-4</v>
      </c>
      <c r="N78" s="321">
        <f t="shared" si="10"/>
        <v>1.0000000000000001E-9</v>
      </c>
      <c r="O78" s="261" t="str">
        <f t="shared" si="5"/>
        <v>n/a</v>
      </c>
      <c r="P78" s="261" t="str">
        <f t="shared" si="8"/>
        <v>n/a</v>
      </c>
    </row>
    <row r="79" spans="1:16" s="89" customFormat="1" x14ac:dyDescent="0.2">
      <c r="A79" s="222" t="s">
        <v>522</v>
      </c>
      <c r="B79" s="261" t="s">
        <v>6</v>
      </c>
      <c r="C79" s="115" t="s">
        <v>916</v>
      </c>
      <c r="D79" s="362"/>
      <c r="E79" s="276" t="s">
        <v>63</v>
      </c>
      <c r="F79" s="261" t="s">
        <v>15</v>
      </c>
      <c r="G79" s="262">
        <f>VLOOKUP(F79,Weightings!$A$46:$B$51,2,FALSE)</f>
        <v>1.0000000000000001E-5</v>
      </c>
      <c r="H79" s="261" t="s">
        <v>15</v>
      </c>
      <c r="I79" s="261" t="s">
        <v>15</v>
      </c>
      <c r="J79" s="264">
        <v>1E-4</v>
      </c>
      <c r="K79" s="321">
        <f t="shared" si="0"/>
        <v>1.0000000000000001E-9</v>
      </c>
      <c r="L79" s="265">
        <f t="shared" si="9"/>
        <v>1</v>
      </c>
      <c r="M79" s="321">
        <f>IF(B79=Weightings!$A$15,Weightings!$E$36)+IF(B79=Weightings!$A$16,Weightings!$E$41)+IF(B79=Weightings!$A$17,Weightings!$E$41)</f>
        <v>1E-4</v>
      </c>
      <c r="N79" s="321">
        <f t="shared" si="10"/>
        <v>1.0000000000000001E-9</v>
      </c>
      <c r="O79" s="261" t="str">
        <f t="shared" si="5"/>
        <v>n/a</v>
      </c>
      <c r="P79" s="261" t="str">
        <f t="shared" si="8"/>
        <v>n/a</v>
      </c>
    </row>
    <row r="80" spans="1:16" s="89" customFormat="1" ht="12.75" customHeight="1" x14ac:dyDescent="0.2">
      <c r="A80" s="222" t="s">
        <v>523</v>
      </c>
      <c r="B80" s="261" t="s">
        <v>6</v>
      </c>
      <c r="C80" s="115" t="s">
        <v>917</v>
      </c>
      <c r="D80" s="362"/>
      <c r="E80" s="276" t="s">
        <v>63</v>
      </c>
      <c r="F80" s="261" t="s">
        <v>15</v>
      </c>
      <c r="G80" s="262">
        <f>VLOOKUP(F80,Weightings!$A$46:$B$51,2,FALSE)</f>
        <v>1.0000000000000001E-5</v>
      </c>
      <c r="H80" s="261" t="s">
        <v>15</v>
      </c>
      <c r="I80" s="261" t="s">
        <v>15</v>
      </c>
      <c r="J80" s="264">
        <v>1E-4</v>
      </c>
      <c r="K80" s="321">
        <f t="shared" si="0"/>
        <v>1.0000000000000001E-9</v>
      </c>
      <c r="L80" s="265">
        <f t="shared" si="9"/>
        <v>1</v>
      </c>
      <c r="M80" s="321">
        <f>IF(B80=Weightings!$A$15,Weightings!$E$36)+IF(B80=Weightings!$A$16,Weightings!$E$41)+IF(B80=Weightings!$A$17,Weightings!$E$41)</f>
        <v>1E-4</v>
      </c>
      <c r="N80" s="321">
        <f t="shared" si="10"/>
        <v>1.0000000000000001E-9</v>
      </c>
      <c r="O80" s="261" t="str">
        <f t="shared" si="5"/>
        <v>n/a</v>
      </c>
      <c r="P80" s="261" t="str">
        <f t="shared" si="8"/>
        <v>n/a</v>
      </c>
    </row>
    <row r="81" spans="1:16" s="89" customFormat="1" x14ac:dyDescent="0.2">
      <c r="A81" s="222" t="s">
        <v>524</v>
      </c>
      <c r="B81" s="261" t="s">
        <v>6</v>
      </c>
      <c r="C81" s="115" t="s">
        <v>918</v>
      </c>
      <c r="D81" s="362"/>
      <c r="E81" s="276" t="s">
        <v>63</v>
      </c>
      <c r="F81" s="261" t="s">
        <v>15</v>
      </c>
      <c r="G81" s="262">
        <f>VLOOKUP(F81,Weightings!$A$46:$B$51,2,FALSE)</f>
        <v>1.0000000000000001E-5</v>
      </c>
      <c r="H81" s="261" t="s">
        <v>15</v>
      </c>
      <c r="I81" s="261" t="s">
        <v>15</v>
      </c>
      <c r="J81" s="264">
        <v>1E-4</v>
      </c>
      <c r="K81" s="321">
        <f t="shared" si="0"/>
        <v>1.0000000000000001E-9</v>
      </c>
      <c r="L81" s="265">
        <f t="shared" si="9"/>
        <v>1</v>
      </c>
      <c r="M81" s="321">
        <f>IF(B81=Weightings!$A$15,Weightings!$E$36)+IF(B81=Weightings!$A$16,Weightings!$E$41)+IF(B81=Weightings!$A$17,Weightings!$E$41)</f>
        <v>1E-4</v>
      </c>
      <c r="N81" s="321">
        <f t="shared" si="10"/>
        <v>1.0000000000000001E-9</v>
      </c>
      <c r="O81" s="261" t="str">
        <f t="shared" si="5"/>
        <v>n/a</v>
      </c>
      <c r="P81" s="261" t="str">
        <f t="shared" si="8"/>
        <v>n/a</v>
      </c>
    </row>
    <row r="82" spans="1:16" s="89" customFormat="1" x14ac:dyDescent="0.2">
      <c r="A82" s="222" t="s">
        <v>525</v>
      </c>
      <c r="B82" s="261" t="s">
        <v>6</v>
      </c>
      <c r="C82" s="115" t="s">
        <v>919</v>
      </c>
      <c r="D82" s="362"/>
      <c r="E82" s="276" t="s">
        <v>63</v>
      </c>
      <c r="F82" s="261" t="s">
        <v>15</v>
      </c>
      <c r="G82" s="262">
        <f>VLOOKUP(F82,Weightings!$A$46:$B$51,2,FALSE)</f>
        <v>1.0000000000000001E-5</v>
      </c>
      <c r="H82" s="261" t="s">
        <v>15</v>
      </c>
      <c r="I82" s="261" t="s">
        <v>15</v>
      </c>
      <c r="J82" s="264">
        <v>1E-4</v>
      </c>
      <c r="K82" s="321">
        <f t="shared" si="0"/>
        <v>1.0000000000000001E-9</v>
      </c>
      <c r="L82" s="265">
        <f t="shared" si="9"/>
        <v>1</v>
      </c>
      <c r="M82" s="321">
        <f>IF(B82=Weightings!$A$15,Weightings!$E$36)+IF(B82=Weightings!$A$16,Weightings!$E$41)+IF(B82=Weightings!$A$17,Weightings!$E$41)</f>
        <v>1E-4</v>
      </c>
      <c r="N82" s="321">
        <f t="shared" si="10"/>
        <v>1.0000000000000001E-9</v>
      </c>
      <c r="O82" s="261" t="str">
        <f t="shared" si="5"/>
        <v>n/a</v>
      </c>
      <c r="P82" s="261" t="str">
        <f t="shared" si="8"/>
        <v>n/a</v>
      </c>
    </row>
    <row r="83" spans="1:16" s="89" customFormat="1" x14ac:dyDescent="0.2">
      <c r="A83" s="222" t="s">
        <v>526</v>
      </c>
      <c r="B83" s="261" t="s">
        <v>6</v>
      </c>
      <c r="C83" s="115" t="s">
        <v>920</v>
      </c>
      <c r="D83" s="362"/>
      <c r="E83" s="276" t="s">
        <v>63</v>
      </c>
      <c r="F83" s="261" t="s">
        <v>15</v>
      </c>
      <c r="G83" s="262">
        <f>VLOOKUP(F83,Weightings!$A$46:$B$51,2,FALSE)</f>
        <v>1.0000000000000001E-5</v>
      </c>
      <c r="H83" s="261" t="s">
        <v>15</v>
      </c>
      <c r="I83" s="261" t="s">
        <v>15</v>
      </c>
      <c r="J83" s="264">
        <v>1E-4</v>
      </c>
      <c r="K83" s="321">
        <f t="shared" ref="K83:K96" si="11">J83*G83</f>
        <v>1.0000000000000001E-9</v>
      </c>
      <c r="L83" s="265">
        <f t="shared" si="9"/>
        <v>1</v>
      </c>
      <c r="M83" s="321">
        <f>IF(B83=Weightings!$A$15,Weightings!$E$36)+IF(B83=Weightings!$A$16,Weightings!$E$41)+IF(B83=Weightings!$A$17,Weightings!$E$41)</f>
        <v>1E-4</v>
      </c>
      <c r="N83" s="321">
        <f t="shared" si="10"/>
        <v>1.0000000000000001E-9</v>
      </c>
      <c r="O83" s="261" t="str">
        <f t="shared" si="5"/>
        <v>n/a</v>
      </c>
      <c r="P83" s="261" t="str">
        <f t="shared" si="8"/>
        <v>n/a</v>
      </c>
    </row>
    <row r="84" spans="1:16" s="89" customFormat="1" x14ac:dyDescent="0.2">
      <c r="A84" s="222" t="s">
        <v>527</v>
      </c>
      <c r="B84" s="261" t="s">
        <v>6</v>
      </c>
      <c r="C84" s="115" t="s">
        <v>921</v>
      </c>
      <c r="D84" s="362"/>
      <c r="E84" s="276" t="s">
        <v>63</v>
      </c>
      <c r="F84" s="261" t="s">
        <v>15</v>
      </c>
      <c r="G84" s="262">
        <f>VLOOKUP(F84,Weightings!$A$46:$B$51,2,FALSE)</f>
        <v>1.0000000000000001E-5</v>
      </c>
      <c r="H84" s="261" t="s">
        <v>15</v>
      </c>
      <c r="I84" s="261" t="s">
        <v>15</v>
      </c>
      <c r="J84" s="264">
        <v>1E-4</v>
      </c>
      <c r="K84" s="321">
        <f t="shared" si="11"/>
        <v>1.0000000000000001E-9</v>
      </c>
      <c r="L84" s="265">
        <f t="shared" si="9"/>
        <v>1</v>
      </c>
      <c r="M84" s="321">
        <f>IF(B84=Weightings!$A$15,Weightings!$E$36)+IF(B84=Weightings!$A$16,Weightings!$E$41)+IF(B84=Weightings!$A$17,Weightings!$E$41)</f>
        <v>1E-4</v>
      </c>
      <c r="N84" s="321">
        <f t="shared" si="10"/>
        <v>1.0000000000000001E-9</v>
      </c>
      <c r="O84" s="261" t="str">
        <f t="shared" si="5"/>
        <v>n/a</v>
      </c>
      <c r="P84" s="261" t="str">
        <f t="shared" si="8"/>
        <v>n/a</v>
      </c>
    </row>
    <row r="85" spans="1:16" s="89" customFormat="1" x14ac:dyDescent="0.2">
      <c r="A85" s="222" t="s">
        <v>528</v>
      </c>
      <c r="B85" s="261" t="s">
        <v>6</v>
      </c>
      <c r="C85" s="115" t="s">
        <v>922</v>
      </c>
      <c r="D85" s="362"/>
      <c r="E85" s="276" t="s">
        <v>63</v>
      </c>
      <c r="F85" s="261" t="s">
        <v>15</v>
      </c>
      <c r="G85" s="262">
        <f>VLOOKUP(F85,Weightings!$A$46:$B$51,2,FALSE)</f>
        <v>1.0000000000000001E-5</v>
      </c>
      <c r="H85" s="261" t="s">
        <v>15</v>
      </c>
      <c r="I85" s="261" t="s">
        <v>15</v>
      </c>
      <c r="J85" s="264">
        <v>1E-4</v>
      </c>
      <c r="K85" s="321">
        <f t="shared" si="11"/>
        <v>1.0000000000000001E-9</v>
      </c>
      <c r="L85" s="265">
        <f t="shared" si="9"/>
        <v>1</v>
      </c>
      <c r="M85" s="321">
        <f>IF(B85=Weightings!$A$15,Weightings!$E$36)+IF(B85=Weightings!$A$16,Weightings!$E$41)+IF(B85=Weightings!$A$17,Weightings!$E$41)</f>
        <v>1E-4</v>
      </c>
      <c r="N85" s="321">
        <f t="shared" si="10"/>
        <v>1.0000000000000001E-9</v>
      </c>
      <c r="O85" s="261" t="str">
        <f t="shared" si="5"/>
        <v>n/a</v>
      </c>
      <c r="P85" s="261" t="str">
        <f t="shared" si="8"/>
        <v>n/a</v>
      </c>
    </row>
    <row r="86" spans="1:16" s="89" customFormat="1" x14ac:dyDescent="0.2">
      <c r="A86" s="222" t="s">
        <v>752</v>
      </c>
      <c r="B86" s="261" t="s">
        <v>6</v>
      </c>
      <c r="C86" s="115" t="s">
        <v>923</v>
      </c>
      <c r="D86" s="362"/>
      <c r="E86" s="276" t="s">
        <v>63</v>
      </c>
      <c r="F86" s="261" t="s">
        <v>15</v>
      </c>
      <c r="G86" s="262">
        <f>VLOOKUP(F86,Weightings!$A$46:$B$51,2,FALSE)</f>
        <v>1.0000000000000001E-5</v>
      </c>
      <c r="H86" s="261" t="s">
        <v>15</v>
      </c>
      <c r="I86" s="261" t="s">
        <v>15</v>
      </c>
      <c r="J86" s="264">
        <v>1E-4</v>
      </c>
      <c r="K86" s="321">
        <f t="shared" si="11"/>
        <v>1.0000000000000001E-9</v>
      </c>
      <c r="L86" s="265">
        <f t="shared" si="9"/>
        <v>1</v>
      </c>
      <c r="M86" s="321">
        <f>IF(B86=Weightings!$A$15,Weightings!$E$36)+IF(B86=Weightings!$A$16,Weightings!$E$41)+IF(B86=Weightings!$A$17,Weightings!$E$41)</f>
        <v>1E-4</v>
      </c>
      <c r="N86" s="321">
        <f t="shared" si="10"/>
        <v>1.0000000000000001E-9</v>
      </c>
      <c r="O86" s="261" t="str">
        <f t="shared" si="5"/>
        <v>n/a</v>
      </c>
      <c r="P86" s="261" t="str">
        <f t="shared" si="8"/>
        <v>n/a</v>
      </c>
    </row>
    <row r="87" spans="1:16" s="89" customFormat="1" x14ac:dyDescent="0.2">
      <c r="A87" s="222" t="s">
        <v>753</v>
      </c>
      <c r="B87" s="261" t="s">
        <v>6</v>
      </c>
      <c r="C87" s="115" t="s">
        <v>924</v>
      </c>
      <c r="D87" s="362"/>
      <c r="E87" s="276" t="s">
        <v>63</v>
      </c>
      <c r="F87" s="261" t="s">
        <v>15</v>
      </c>
      <c r="G87" s="262">
        <f>VLOOKUP(F87,Weightings!$A$46:$B$51,2,FALSE)</f>
        <v>1.0000000000000001E-5</v>
      </c>
      <c r="H87" s="261" t="s">
        <v>15</v>
      </c>
      <c r="I87" s="261" t="s">
        <v>15</v>
      </c>
      <c r="J87" s="264">
        <v>1E-4</v>
      </c>
      <c r="K87" s="321">
        <f t="shared" si="11"/>
        <v>1.0000000000000001E-9</v>
      </c>
      <c r="L87" s="265">
        <f t="shared" si="9"/>
        <v>1</v>
      </c>
      <c r="M87" s="321">
        <f>IF(B87=Weightings!$A$15,Weightings!$E$36)+IF(B87=Weightings!$A$16,Weightings!$E$41)+IF(B87=Weightings!$A$17,Weightings!$E$41)</f>
        <v>1E-4</v>
      </c>
      <c r="N87" s="321">
        <f t="shared" si="10"/>
        <v>1.0000000000000001E-9</v>
      </c>
      <c r="O87" s="261" t="str">
        <f t="shared" si="5"/>
        <v>n/a</v>
      </c>
      <c r="P87" s="261" t="str">
        <f t="shared" si="8"/>
        <v>n/a</v>
      </c>
    </row>
    <row r="88" spans="1:16" s="89" customFormat="1" x14ac:dyDescent="0.2">
      <c r="A88" s="222" t="s">
        <v>754</v>
      </c>
      <c r="B88" s="261" t="s">
        <v>6</v>
      </c>
      <c r="C88" s="115" t="s">
        <v>925</v>
      </c>
      <c r="D88" s="362"/>
      <c r="E88" s="276" t="s">
        <v>63</v>
      </c>
      <c r="F88" s="261" t="s">
        <v>15</v>
      </c>
      <c r="G88" s="262">
        <f>VLOOKUP(F88,Weightings!$A$46:$B$51,2,FALSE)</f>
        <v>1.0000000000000001E-5</v>
      </c>
      <c r="H88" s="261" t="s">
        <v>15</v>
      </c>
      <c r="I88" s="261" t="s">
        <v>15</v>
      </c>
      <c r="J88" s="264">
        <v>1E-4</v>
      </c>
      <c r="K88" s="321">
        <f t="shared" si="11"/>
        <v>1.0000000000000001E-9</v>
      </c>
      <c r="L88" s="265">
        <f t="shared" si="9"/>
        <v>1</v>
      </c>
      <c r="M88" s="321">
        <f>IF(B88=Weightings!$A$15,Weightings!$E$36)+IF(B88=Weightings!$A$16,Weightings!$E$41)+IF(B88=Weightings!$A$17,Weightings!$E$41)</f>
        <v>1E-4</v>
      </c>
      <c r="N88" s="321">
        <f t="shared" si="10"/>
        <v>1.0000000000000001E-9</v>
      </c>
      <c r="O88" s="261" t="str">
        <f t="shared" ref="O88:O96" si="12">IF((N88/$N$2)&gt;0.0001,N88/$N$2,"n/a")</f>
        <v>n/a</v>
      </c>
      <c r="P88" s="261" t="str">
        <f t="shared" si="8"/>
        <v>n/a</v>
      </c>
    </row>
    <row r="89" spans="1:16" s="89" customFormat="1" x14ac:dyDescent="0.2">
      <c r="A89" s="222" t="s">
        <v>755</v>
      </c>
      <c r="B89" s="261" t="s">
        <v>6</v>
      </c>
      <c r="C89" s="115" t="s">
        <v>926</v>
      </c>
      <c r="D89" s="362"/>
      <c r="E89" s="276" t="s">
        <v>63</v>
      </c>
      <c r="F89" s="261" t="s">
        <v>15</v>
      </c>
      <c r="G89" s="262">
        <f>VLOOKUP(F89,Weightings!$A$46:$B$51,2,FALSE)</f>
        <v>1.0000000000000001E-5</v>
      </c>
      <c r="H89" s="261" t="s">
        <v>15</v>
      </c>
      <c r="I89" s="261" t="s">
        <v>15</v>
      </c>
      <c r="J89" s="264">
        <v>1E-4</v>
      </c>
      <c r="K89" s="321">
        <f t="shared" si="11"/>
        <v>1.0000000000000001E-9</v>
      </c>
      <c r="L89" s="265">
        <f t="shared" si="9"/>
        <v>1</v>
      </c>
      <c r="M89" s="321">
        <f>IF(B89=Weightings!$A$15,Weightings!$E$36)+IF(B89=Weightings!$A$16,Weightings!$E$41)+IF(B89=Weightings!$A$17,Weightings!$E$41)</f>
        <v>1E-4</v>
      </c>
      <c r="N89" s="321">
        <f t="shared" si="10"/>
        <v>1.0000000000000001E-9</v>
      </c>
      <c r="O89" s="261" t="str">
        <f t="shared" si="12"/>
        <v>n/a</v>
      </c>
      <c r="P89" s="261" t="str">
        <f t="shared" si="8"/>
        <v>n/a</v>
      </c>
    </row>
    <row r="90" spans="1:16" s="89" customFormat="1" x14ac:dyDescent="0.2">
      <c r="A90" s="222" t="s">
        <v>756</v>
      </c>
      <c r="B90" s="261" t="s">
        <v>6</v>
      </c>
      <c r="C90" s="115" t="s">
        <v>927</v>
      </c>
      <c r="D90" s="362"/>
      <c r="E90" s="276" t="s">
        <v>63</v>
      </c>
      <c r="F90" s="261" t="s">
        <v>15</v>
      </c>
      <c r="G90" s="262">
        <f>VLOOKUP(F90,Weightings!$A$46:$B$51,2,FALSE)</f>
        <v>1.0000000000000001E-5</v>
      </c>
      <c r="H90" s="261" t="s">
        <v>15</v>
      </c>
      <c r="I90" s="261" t="s">
        <v>15</v>
      </c>
      <c r="J90" s="264">
        <v>1E-4</v>
      </c>
      <c r="K90" s="321">
        <f t="shared" si="11"/>
        <v>1.0000000000000001E-9</v>
      </c>
      <c r="L90" s="265">
        <f t="shared" si="9"/>
        <v>1</v>
      </c>
      <c r="M90" s="321">
        <f>IF(B90=Weightings!$A$15,Weightings!$E$36)+IF(B90=Weightings!$A$16,Weightings!$E$41)+IF(B90=Weightings!$A$17,Weightings!$E$41)</f>
        <v>1E-4</v>
      </c>
      <c r="N90" s="321">
        <f t="shared" si="10"/>
        <v>1.0000000000000001E-9</v>
      </c>
      <c r="O90" s="261" t="str">
        <f t="shared" si="12"/>
        <v>n/a</v>
      </c>
      <c r="P90" s="261" t="str">
        <f t="shared" si="8"/>
        <v>n/a</v>
      </c>
    </row>
    <row r="91" spans="1:16" s="89" customFormat="1" x14ac:dyDescent="0.2">
      <c r="A91" s="222" t="s">
        <v>757</v>
      </c>
      <c r="B91" s="261" t="s">
        <v>6</v>
      </c>
      <c r="C91" s="115" t="s">
        <v>928</v>
      </c>
      <c r="D91" s="362"/>
      <c r="E91" s="276" t="s">
        <v>63</v>
      </c>
      <c r="F91" s="261" t="s">
        <v>15</v>
      </c>
      <c r="G91" s="262">
        <f>VLOOKUP(F91,Weightings!$A$46:$B$51,2,FALSE)</f>
        <v>1.0000000000000001E-5</v>
      </c>
      <c r="H91" s="261" t="s">
        <v>15</v>
      </c>
      <c r="I91" s="261" t="s">
        <v>15</v>
      </c>
      <c r="J91" s="264">
        <v>1E-4</v>
      </c>
      <c r="K91" s="321">
        <f t="shared" si="11"/>
        <v>1.0000000000000001E-9</v>
      </c>
      <c r="L91" s="265">
        <f t="shared" si="9"/>
        <v>1</v>
      </c>
      <c r="M91" s="321">
        <f>IF(B91=Weightings!$A$15,Weightings!$E$36)+IF(B91=Weightings!$A$16,Weightings!$E$41)+IF(B91=Weightings!$A$17,Weightings!$E$41)</f>
        <v>1E-4</v>
      </c>
      <c r="N91" s="321">
        <f t="shared" si="10"/>
        <v>1.0000000000000001E-9</v>
      </c>
      <c r="O91" s="261" t="str">
        <f t="shared" si="12"/>
        <v>n/a</v>
      </c>
      <c r="P91" s="261" t="str">
        <f t="shared" si="8"/>
        <v>n/a</v>
      </c>
    </row>
    <row r="92" spans="1:16" s="89" customFormat="1" x14ac:dyDescent="0.2">
      <c r="A92" s="222" t="s">
        <v>758</v>
      </c>
      <c r="B92" s="261" t="s">
        <v>6</v>
      </c>
      <c r="C92" s="115" t="s">
        <v>929</v>
      </c>
      <c r="D92" s="362"/>
      <c r="E92" s="276" t="s">
        <v>63</v>
      </c>
      <c r="F92" s="261" t="s">
        <v>15</v>
      </c>
      <c r="G92" s="262">
        <f>VLOOKUP(F92,Weightings!$A$46:$B$51,2,FALSE)</f>
        <v>1.0000000000000001E-5</v>
      </c>
      <c r="H92" s="261" t="s">
        <v>15</v>
      </c>
      <c r="I92" s="261" t="s">
        <v>15</v>
      </c>
      <c r="J92" s="264">
        <v>1E-4</v>
      </c>
      <c r="K92" s="321">
        <f t="shared" si="11"/>
        <v>1.0000000000000001E-9</v>
      </c>
      <c r="L92" s="265">
        <f t="shared" si="9"/>
        <v>1</v>
      </c>
      <c r="M92" s="321">
        <f>IF(B92=Weightings!$A$15,Weightings!$E$36)+IF(B92=Weightings!$A$16,Weightings!$E$41)+IF(B92=Weightings!$A$17,Weightings!$E$41)</f>
        <v>1E-4</v>
      </c>
      <c r="N92" s="321">
        <f t="shared" si="10"/>
        <v>1.0000000000000001E-9</v>
      </c>
      <c r="O92" s="261" t="str">
        <f t="shared" si="12"/>
        <v>n/a</v>
      </c>
      <c r="P92" s="261" t="str">
        <f t="shared" si="8"/>
        <v>n/a</v>
      </c>
    </row>
    <row r="93" spans="1:16" s="89" customFormat="1" x14ac:dyDescent="0.2">
      <c r="A93" s="222" t="s">
        <v>759</v>
      </c>
      <c r="B93" s="261" t="s">
        <v>6</v>
      </c>
      <c r="C93" s="115" t="s">
        <v>930</v>
      </c>
      <c r="D93" s="362"/>
      <c r="E93" s="276" t="s">
        <v>63</v>
      </c>
      <c r="F93" s="261" t="s">
        <v>15</v>
      </c>
      <c r="G93" s="262">
        <f>VLOOKUP(F93,Weightings!$A$46:$B$51,2,FALSE)</f>
        <v>1.0000000000000001E-5</v>
      </c>
      <c r="H93" s="261" t="s">
        <v>15</v>
      </c>
      <c r="I93" s="261" t="s">
        <v>15</v>
      </c>
      <c r="J93" s="264">
        <v>1E-4</v>
      </c>
      <c r="K93" s="321">
        <f t="shared" si="11"/>
        <v>1.0000000000000001E-9</v>
      </c>
      <c r="L93" s="265">
        <f t="shared" si="9"/>
        <v>1</v>
      </c>
      <c r="M93" s="321">
        <f>IF(B93=Weightings!$A$15,Weightings!$E$36)+IF(B93=Weightings!$A$16,Weightings!$E$41)+IF(B93=Weightings!$A$17,Weightings!$E$41)</f>
        <v>1E-4</v>
      </c>
      <c r="N93" s="321">
        <f t="shared" si="10"/>
        <v>1.0000000000000001E-9</v>
      </c>
      <c r="O93" s="261" t="str">
        <f t="shared" si="12"/>
        <v>n/a</v>
      </c>
      <c r="P93" s="261" t="str">
        <f t="shared" si="8"/>
        <v>n/a</v>
      </c>
    </row>
    <row r="94" spans="1:16" s="89" customFormat="1" x14ac:dyDescent="0.2">
      <c r="A94" s="222" t="s">
        <v>760</v>
      </c>
      <c r="B94" s="261" t="s">
        <v>6</v>
      </c>
      <c r="C94" s="115" t="s">
        <v>931</v>
      </c>
      <c r="D94" s="362"/>
      <c r="E94" s="276" t="s">
        <v>63</v>
      </c>
      <c r="F94" s="261" t="s">
        <v>15</v>
      </c>
      <c r="G94" s="262">
        <f>VLOOKUP(F94,Weightings!$A$46:$B$51,2,FALSE)</f>
        <v>1.0000000000000001E-5</v>
      </c>
      <c r="H94" s="261" t="s">
        <v>15</v>
      </c>
      <c r="I94" s="261" t="s">
        <v>15</v>
      </c>
      <c r="J94" s="264">
        <v>1E-4</v>
      </c>
      <c r="K94" s="321">
        <f t="shared" si="11"/>
        <v>1.0000000000000001E-9</v>
      </c>
      <c r="L94" s="265">
        <f t="shared" si="9"/>
        <v>1</v>
      </c>
      <c r="M94" s="321">
        <f>IF(B94=Weightings!$A$15,Weightings!$E$36)+IF(B94=Weightings!$A$16,Weightings!$E$41)+IF(B94=Weightings!$A$17,Weightings!$E$41)</f>
        <v>1E-4</v>
      </c>
      <c r="N94" s="321">
        <f t="shared" si="10"/>
        <v>1.0000000000000001E-9</v>
      </c>
      <c r="O94" s="261" t="str">
        <f t="shared" si="12"/>
        <v>n/a</v>
      </c>
      <c r="P94" s="261" t="str">
        <f t="shared" si="8"/>
        <v>n/a</v>
      </c>
    </row>
    <row r="95" spans="1:16" s="89" customFormat="1" x14ac:dyDescent="0.2">
      <c r="A95" s="222" t="s">
        <v>761</v>
      </c>
      <c r="B95" s="261" t="s">
        <v>6</v>
      </c>
      <c r="C95" s="115" t="s">
        <v>932</v>
      </c>
      <c r="D95" s="362"/>
      <c r="E95" s="276" t="s">
        <v>63</v>
      </c>
      <c r="F95" s="261" t="s">
        <v>15</v>
      </c>
      <c r="G95" s="262">
        <f>VLOOKUP(F95,Weightings!$A$46:$B$51,2,FALSE)</f>
        <v>1.0000000000000001E-5</v>
      </c>
      <c r="H95" s="261" t="s">
        <v>15</v>
      </c>
      <c r="I95" s="261" t="s">
        <v>15</v>
      </c>
      <c r="J95" s="264">
        <v>1E-4</v>
      </c>
      <c r="K95" s="321">
        <f t="shared" si="11"/>
        <v>1.0000000000000001E-9</v>
      </c>
      <c r="L95" s="265">
        <f t="shared" si="9"/>
        <v>1</v>
      </c>
      <c r="M95" s="321">
        <f>IF(B95=Weightings!$A$15,Weightings!$E$36)+IF(B95=Weightings!$A$16,Weightings!$E$41)+IF(B95=Weightings!$A$17,Weightings!$E$41)</f>
        <v>1E-4</v>
      </c>
      <c r="N95" s="321">
        <f t="shared" si="10"/>
        <v>1.0000000000000001E-9</v>
      </c>
      <c r="O95" s="261" t="str">
        <f t="shared" si="12"/>
        <v>n/a</v>
      </c>
      <c r="P95" s="261" t="str">
        <f t="shared" si="8"/>
        <v>n/a</v>
      </c>
    </row>
    <row r="96" spans="1:16" s="89" customFormat="1" x14ac:dyDescent="0.2">
      <c r="A96" s="222" t="s">
        <v>762</v>
      </c>
      <c r="B96" s="261" t="s">
        <v>6</v>
      </c>
      <c r="C96" s="115" t="s">
        <v>933</v>
      </c>
      <c r="D96" s="362"/>
      <c r="E96" s="276" t="s">
        <v>63</v>
      </c>
      <c r="F96" s="261" t="s">
        <v>15</v>
      </c>
      <c r="G96" s="262">
        <f>VLOOKUP(F96,Weightings!$A$46:$B$51,2,FALSE)</f>
        <v>1.0000000000000001E-5</v>
      </c>
      <c r="H96" s="261" t="s">
        <v>15</v>
      </c>
      <c r="I96" s="261" t="s">
        <v>15</v>
      </c>
      <c r="J96" s="264">
        <v>1E-4</v>
      </c>
      <c r="K96" s="321">
        <f t="shared" si="11"/>
        <v>1.0000000000000001E-9</v>
      </c>
      <c r="L96" s="265">
        <f t="shared" si="9"/>
        <v>1</v>
      </c>
      <c r="M96" s="321">
        <f>IF(B96=Weightings!$A$15,Weightings!$E$36)+IF(B96=Weightings!$A$16,Weightings!$E$41)+IF(B96=Weightings!$A$17,Weightings!$E$41)</f>
        <v>1E-4</v>
      </c>
      <c r="N96" s="321">
        <f t="shared" si="10"/>
        <v>1.0000000000000001E-9</v>
      </c>
      <c r="O96" s="261" t="str">
        <f t="shared" si="12"/>
        <v>n/a</v>
      </c>
      <c r="P96" s="261" t="str">
        <f t="shared" si="8"/>
        <v>n/a</v>
      </c>
    </row>
    <row r="97" spans="1:16" s="50" customFormat="1" ht="22.15" customHeight="1" x14ac:dyDescent="0.2">
      <c r="A97" s="323" t="s">
        <v>62</v>
      </c>
      <c r="B97" s="48"/>
      <c r="C97" s="322" t="s">
        <v>555</v>
      </c>
      <c r="D97" s="73"/>
      <c r="E97" s="73"/>
      <c r="F97" s="74" t="s">
        <v>15</v>
      </c>
      <c r="G97" s="73"/>
      <c r="H97" s="74" t="s">
        <v>15</v>
      </c>
      <c r="I97" s="74" t="s">
        <v>15</v>
      </c>
      <c r="J97" s="74">
        <f>VLOOKUP(I97,[2]Lists!$A$35:$B$40,2,FALSE)</f>
        <v>1E-4</v>
      </c>
      <c r="K97" s="74">
        <f t="shared" si="0"/>
        <v>0</v>
      </c>
      <c r="L97" s="74" t="str">
        <f t="shared" si="9"/>
        <v>n/a</v>
      </c>
      <c r="M97" s="74">
        <f>IF(B97=[2]Lists!$A$14,[2]Lists!$E$35)+IF(B97=[2]Lists!$A$15,[2]Lists!$E$40)+IF(B97=[2]Lists!$A$16,[2]Lists!$E$40)</f>
        <v>0</v>
      </c>
      <c r="N97" s="74">
        <f t="shared" si="10"/>
        <v>0</v>
      </c>
      <c r="O97" s="74" t="str">
        <f t="shared" ref="O97:O144" si="13">IF((N97/$N$2)&gt;0.0001,N97/$N$2,"n/a")</f>
        <v>n/a</v>
      </c>
      <c r="P97" s="74" t="str">
        <f t="shared" si="8"/>
        <v>n/a</v>
      </c>
    </row>
    <row r="98" spans="1:16" s="47" customFormat="1" ht="89.25" x14ac:dyDescent="0.2">
      <c r="A98" s="222" t="s">
        <v>556</v>
      </c>
      <c r="B98" s="222" t="s">
        <v>7</v>
      </c>
      <c r="C98" s="112" t="s">
        <v>818</v>
      </c>
      <c r="D98" s="362"/>
      <c r="E98" s="271"/>
      <c r="F98" s="261" t="s">
        <v>44</v>
      </c>
      <c r="G98" s="262">
        <f>VLOOKUP(F98,Weightings!$A$46:$B$51,2,FALSE)</f>
        <v>10</v>
      </c>
      <c r="H98" s="261" t="s">
        <v>14</v>
      </c>
      <c r="I98" s="263" t="s">
        <v>34</v>
      </c>
      <c r="J98" s="264">
        <f>VLOOKUP(I98,[2]Lists!$A$35:$B$40,2,FALSE)</f>
        <v>6</v>
      </c>
      <c r="K98" s="321">
        <f t="shared" si="0"/>
        <v>60</v>
      </c>
      <c r="L98" s="265">
        <f t="shared" si="9"/>
        <v>1</v>
      </c>
      <c r="M98" s="321">
        <f>IF(B98=Weightings!$A$15,Weightings!$E$36)+IF(B98=Weightings!$A$16,Weightings!$E$41)+IF(B98=Weightings!$A$17,Weightings!$E$41)</f>
        <v>6</v>
      </c>
      <c r="N98" s="321">
        <f t="shared" si="10"/>
        <v>60</v>
      </c>
      <c r="O98" s="269">
        <f t="shared" si="13"/>
        <v>7.2463768104389953E-2</v>
      </c>
      <c r="P98" s="270">
        <f t="shared" si="8"/>
        <v>9.0579710130487441E-3</v>
      </c>
    </row>
    <row r="99" spans="1:16" s="47" customFormat="1" ht="127.5" x14ac:dyDescent="0.2">
      <c r="A99" s="222" t="s">
        <v>557</v>
      </c>
      <c r="B99" s="222" t="s">
        <v>7</v>
      </c>
      <c r="C99" s="253" t="s">
        <v>780</v>
      </c>
      <c r="D99" s="362"/>
      <c r="E99" s="271"/>
      <c r="F99" s="261" t="s">
        <v>44</v>
      </c>
      <c r="G99" s="262">
        <f>VLOOKUP(F99,Weightings!$A$46:$B$51,2,FALSE)</f>
        <v>10</v>
      </c>
      <c r="H99" s="261" t="s">
        <v>14</v>
      </c>
      <c r="I99" s="263" t="s">
        <v>34</v>
      </c>
      <c r="J99" s="264">
        <f>VLOOKUP(I99,[2]Lists!$A$35:$B$40,2,FALSE)</f>
        <v>6</v>
      </c>
      <c r="K99" s="321">
        <f t="shared" si="0"/>
        <v>60</v>
      </c>
      <c r="L99" s="265">
        <f t="shared" si="9"/>
        <v>1</v>
      </c>
      <c r="M99" s="321">
        <f>IF(B99=Weightings!$A$15,Weightings!$E$36)+IF(B99=Weightings!$A$16,Weightings!$E$41)+IF(B99=Weightings!$A$17,Weightings!$E$41)</f>
        <v>6</v>
      </c>
      <c r="N99" s="321">
        <f t="shared" si="10"/>
        <v>60</v>
      </c>
      <c r="O99" s="269">
        <f t="shared" si="13"/>
        <v>7.2463768104389953E-2</v>
      </c>
      <c r="P99" s="270">
        <f t="shared" si="8"/>
        <v>9.0579710130487441E-3</v>
      </c>
    </row>
    <row r="100" spans="1:16" s="50" customFormat="1" x14ac:dyDescent="0.2">
      <c r="A100" s="323" t="s">
        <v>64</v>
      </c>
      <c r="B100" s="48"/>
      <c r="C100" s="322" t="s">
        <v>558</v>
      </c>
      <c r="D100" s="322"/>
      <c r="E100" s="73"/>
      <c r="F100" s="74" t="s">
        <v>15</v>
      </c>
      <c r="G100" s="73"/>
      <c r="H100" s="74" t="s">
        <v>15</v>
      </c>
      <c r="I100" s="74" t="s">
        <v>15</v>
      </c>
      <c r="J100" s="74">
        <f>VLOOKUP(I100,[2]Lists!$A$35:$B$40,2,FALSE)</f>
        <v>1E-4</v>
      </c>
      <c r="K100" s="74">
        <f t="shared" si="0"/>
        <v>0</v>
      </c>
      <c r="L100" s="74" t="str">
        <f t="shared" si="9"/>
        <v>n/a</v>
      </c>
      <c r="M100" s="74">
        <f>IF(B100=[2]Lists!$A$14,[2]Lists!$E$35)+IF(B100=[2]Lists!$A$15,[2]Lists!$E$40)+IF(B100=[2]Lists!$A$16,[2]Lists!$E$40)</f>
        <v>0</v>
      </c>
      <c r="N100" s="74">
        <f t="shared" si="10"/>
        <v>0</v>
      </c>
      <c r="O100" s="74" t="str">
        <f t="shared" si="13"/>
        <v>n/a</v>
      </c>
      <c r="P100" s="74" t="str">
        <f t="shared" si="8"/>
        <v>n/a</v>
      </c>
    </row>
    <row r="101" spans="1:16" s="285" customFormat="1" ht="102" x14ac:dyDescent="0.2">
      <c r="A101" s="222" t="s">
        <v>118</v>
      </c>
      <c r="B101" s="261" t="s">
        <v>6</v>
      </c>
      <c r="C101" s="113" t="s">
        <v>777</v>
      </c>
      <c r="D101" s="362"/>
      <c r="E101" s="276" t="s">
        <v>63</v>
      </c>
      <c r="F101" s="261" t="s">
        <v>15</v>
      </c>
      <c r="G101" s="262">
        <f>VLOOKUP(F101,Weightings!$A$46:$B$51,2,FALSE)</f>
        <v>1.0000000000000001E-5</v>
      </c>
      <c r="H101" s="261" t="s">
        <v>15</v>
      </c>
      <c r="I101" s="261" t="s">
        <v>15</v>
      </c>
      <c r="J101" s="264">
        <f>VLOOKUP(I101,[2]Lists!$A$35:$B$40,2,FALSE)</f>
        <v>1E-4</v>
      </c>
      <c r="K101" s="321">
        <f t="shared" si="0"/>
        <v>1.0000000000000001E-9</v>
      </c>
      <c r="L101" s="265">
        <f t="shared" si="9"/>
        <v>1</v>
      </c>
      <c r="M101" s="321">
        <f>IF(B101=Weightings!$A$15,Weightings!$E$36)+IF(B101=Weightings!$A$16,Weightings!$E$41)+IF(B101=Weightings!$A$17,Weightings!$E$41)</f>
        <v>1E-4</v>
      </c>
      <c r="N101" s="321">
        <f t="shared" si="10"/>
        <v>1.0000000000000001E-9</v>
      </c>
      <c r="O101" s="261" t="str">
        <f t="shared" si="13"/>
        <v>n/a</v>
      </c>
      <c r="P101" s="261" t="str">
        <f t="shared" si="8"/>
        <v>n/a</v>
      </c>
    </row>
    <row r="102" spans="1:16" s="51" customFormat="1" ht="38.25" x14ac:dyDescent="0.2">
      <c r="A102" s="222" t="s">
        <v>119</v>
      </c>
      <c r="B102" s="261" t="s">
        <v>6</v>
      </c>
      <c r="C102" s="112" t="s">
        <v>559</v>
      </c>
      <c r="D102" s="362"/>
      <c r="E102" s="276" t="s">
        <v>63</v>
      </c>
      <c r="F102" s="261" t="s">
        <v>15</v>
      </c>
      <c r="G102" s="262">
        <f>VLOOKUP(F102,Weightings!$A$46:$B$51,2,FALSE)</f>
        <v>1.0000000000000001E-5</v>
      </c>
      <c r="H102" s="261" t="s">
        <v>15</v>
      </c>
      <c r="I102" s="261" t="s">
        <v>15</v>
      </c>
      <c r="J102" s="264">
        <f>VLOOKUP(I102,[2]Lists!$A$35:$B$40,2,FALSE)</f>
        <v>1E-4</v>
      </c>
      <c r="K102" s="321">
        <f t="shared" si="0"/>
        <v>1.0000000000000001E-9</v>
      </c>
      <c r="L102" s="265">
        <f t="shared" si="9"/>
        <v>1</v>
      </c>
      <c r="M102" s="321">
        <f>IF(B102=Weightings!$A$15,Weightings!$E$36)+IF(B102=Weightings!$A$16,Weightings!$E$41)+IF(B102=Weightings!$A$17,Weightings!$E$41)</f>
        <v>1E-4</v>
      </c>
      <c r="N102" s="321">
        <f t="shared" si="10"/>
        <v>1.0000000000000001E-9</v>
      </c>
      <c r="O102" s="261" t="str">
        <f t="shared" si="13"/>
        <v>n/a</v>
      </c>
      <c r="P102" s="261" t="str">
        <f t="shared" si="8"/>
        <v>n/a</v>
      </c>
    </row>
    <row r="103" spans="1:16" s="47" customFormat="1" ht="63.75" x14ac:dyDescent="0.2">
      <c r="A103" s="222" t="s">
        <v>120</v>
      </c>
      <c r="B103" s="261" t="s">
        <v>6</v>
      </c>
      <c r="C103" s="115" t="s">
        <v>842</v>
      </c>
      <c r="D103" s="362"/>
      <c r="E103" s="276" t="s">
        <v>63</v>
      </c>
      <c r="F103" s="261" t="s">
        <v>15</v>
      </c>
      <c r="G103" s="262">
        <f>VLOOKUP(F103,Weightings!$A$46:$B$51,2,FALSE)</f>
        <v>1.0000000000000001E-5</v>
      </c>
      <c r="H103" s="261" t="s">
        <v>15</v>
      </c>
      <c r="I103" s="261" t="s">
        <v>15</v>
      </c>
      <c r="J103" s="264">
        <f>VLOOKUP(I103,[2]Lists!$A$35:$B$40,2,FALSE)</f>
        <v>1E-4</v>
      </c>
      <c r="K103" s="321">
        <f t="shared" si="0"/>
        <v>1.0000000000000001E-9</v>
      </c>
      <c r="L103" s="265">
        <f t="shared" si="9"/>
        <v>1</v>
      </c>
      <c r="M103" s="321">
        <f>IF(B103=Weightings!$A$15,Weightings!$E$36)+IF(B103=Weightings!$A$16,Weightings!$E$41)+IF(B103=Weightings!$A$17,Weightings!$E$41)</f>
        <v>1E-4</v>
      </c>
      <c r="N103" s="321">
        <f t="shared" si="10"/>
        <v>1.0000000000000001E-9</v>
      </c>
      <c r="O103" s="261" t="str">
        <f t="shared" si="13"/>
        <v>n/a</v>
      </c>
      <c r="P103" s="261" t="str">
        <f t="shared" si="8"/>
        <v>n/a</v>
      </c>
    </row>
    <row r="104" spans="1:16" s="47" customFormat="1" ht="193.15" customHeight="1" x14ac:dyDescent="0.2">
      <c r="A104" s="222" t="s">
        <v>121</v>
      </c>
      <c r="B104" s="261" t="s">
        <v>6</v>
      </c>
      <c r="C104" s="118" t="s">
        <v>560</v>
      </c>
      <c r="D104" s="362"/>
      <c r="E104" s="276" t="s">
        <v>63</v>
      </c>
      <c r="F104" s="261" t="s">
        <v>15</v>
      </c>
      <c r="G104" s="262">
        <f>VLOOKUP(F104,Weightings!$A$46:$B$51,2,FALSE)</f>
        <v>1.0000000000000001E-5</v>
      </c>
      <c r="H104" s="261" t="s">
        <v>15</v>
      </c>
      <c r="I104" s="261" t="s">
        <v>15</v>
      </c>
      <c r="J104" s="264">
        <f>VLOOKUP(I104,[2]Lists!$A$35:$B$40,2,FALSE)</f>
        <v>1E-4</v>
      </c>
      <c r="K104" s="321">
        <f t="shared" si="0"/>
        <v>1.0000000000000001E-9</v>
      </c>
      <c r="L104" s="265">
        <f t="shared" si="9"/>
        <v>1</v>
      </c>
      <c r="M104" s="321">
        <f>IF(B104=Weightings!$A$15,Weightings!$E$36)+IF(B104=Weightings!$A$16,Weightings!$E$41)+IF(B104=Weightings!$A$17,Weightings!$E$41)</f>
        <v>1E-4</v>
      </c>
      <c r="N104" s="321">
        <f t="shared" si="10"/>
        <v>1.0000000000000001E-9</v>
      </c>
      <c r="O104" s="261" t="str">
        <f t="shared" si="13"/>
        <v>n/a</v>
      </c>
      <c r="P104" s="261" t="str">
        <f t="shared" si="8"/>
        <v>n/a</v>
      </c>
    </row>
    <row r="105" spans="1:16" s="47" customFormat="1" ht="102" x14ac:dyDescent="0.2">
      <c r="A105" s="222" t="s">
        <v>122</v>
      </c>
      <c r="B105" s="261" t="s">
        <v>6</v>
      </c>
      <c r="C105" s="118" t="s">
        <v>561</v>
      </c>
      <c r="D105" s="362"/>
      <c r="E105" s="276" t="s">
        <v>63</v>
      </c>
      <c r="F105" s="261" t="s">
        <v>15</v>
      </c>
      <c r="G105" s="262">
        <f>VLOOKUP(F105,Weightings!$A$46:$B$51,2,FALSE)</f>
        <v>1.0000000000000001E-5</v>
      </c>
      <c r="H105" s="261" t="s">
        <v>15</v>
      </c>
      <c r="I105" s="261" t="s">
        <v>15</v>
      </c>
      <c r="J105" s="264">
        <f>VLOOKUP(I105,[2]Lists!$A$35:$B$40,2,FALSE)</f>
        <v>1E-4</v>
      </c>
      <c r="K105" s="321">
        <f t="shared" si="0"/>
        <v>1.0000000000000001E-9</v>
      </c>
      <c r="L105" s="265">
        <f t="shared" ref="L105:L136" si="14">IF(ISERROR(K105/N105),"n/a",K105/N105)</f>
        <v>1</v>
      </c>
      <c r="M105" s="321">
        <f>IF(B105=Weightings!$A$15,Weightings!$E$36)+IF(B105=Weightings!$A$16,Weightings!$E$41)+IF(B105=Weightings!$A$17,Weightings!$E$41)</f>
        <v>1E-4</v>
      </c>
      <c r="N105" s="321">
        <f t="shared" ref="N105:N136" si="15">G105*M105</f>
        <v>1.0000000000000001E-9</v>
      </c>
      <c r="O105" s="261" t="str">
        <f t="shared" si="13"/>
        <v>n/a</v>
      </c>
      <c r="P105" s="261" t="str">
        <f t="shared" si="8"/>
        <v>n/a</v>
      </c>
    </row>
    <row r="106" spans="1:16" s="47" customFormat="1" ht="51" x14ac:dyDescent="0.2">
      <c r="A106" s="222" t="s">
        <v>562</v>
      </c>
      <c r="B106" s="261" t="s">
        <v>6</v>
      </c>
      <c r="C106" s="113" t="s">
        <v>781</v>
      </c>
      <c r="D106" s="362"/>
      <c r="E106" s="276" t="s">
        <v>63</v>
      </c>
      <c r="F106" s="261" t="s">
        <v>15</v>
      </c>
      <c r="G106" s="262">
        <f>VLOOKUP(F106,Weightings!$A$46:$B$51,2,FALSE)</f>
        <v>1.0000000000000001E-5</v>
      </c>
      <c r="H106" s="261" t="s">
        <v>15</v>
      </c>
      <c r="I106" s="261" t="s">
        <v>15</v>
      </c>
      <c r="J106" s="264">
        <f>VLOOKUP(I106,[2]Lists!$A$35:$B$40,2,FALSE)</f>
        <v>1E-4</v>
      </c>
      <c r="K106" s="321">
        <f t="shared" si="0"/>
        <v>1.0000000000000001E-9</v>
      </c>
      <c r="L106" s="265">
        <f t="shared" si="14"/>
        <v>1</v>
      </c>
      <c r="M106" s="321">
        <f>IF(B106=Weightings!$A$15,Weightings!$E$36)+IF(B106=Weightings!$A$16,Weightings!$E$41)+IF(B106=Weightings!$A$17,Weightings!$E$41)</f>
        <v>1E-4</v>
      </c>
      <c r="N106" s="321">
        <f t="shared" si="15"/>
        <v>1.0000000000000001E-9</v>
      </c>
      <c r="O106" s="261" t="str">
        <f t="shared" si="13"/>
        <v>n/a</v>
      </c>
      <c r="P106" s="261" t="str">
        <f t="shared" si="8"/>
        <v>n/a</v>
      </c>
    </row>
    <row r="107" spans="1:16" s="47" customFormat="1" ht="38.25" x14ac:dyDescent="0.2">
      <c r="A107" s="222" t="s">
        <v>563</v>
      </c>
      <c r="B107" s="222" t="s">
        <v>8</v>
      </c>
      <c r="C107" s="287" t="s">
        <v>564</v>
      </c>
      <c r="D107" s="273"/>
      <c r="E107" s="266"/>
      <c r="F107" s="261" t="s">
        <v>48</v>
      </c>
      <c r="G107" s="262">
        <f>VLOOKUP(F107,Weightings!$A$46:$B$51,2,FALSE)</f>
        <v>3</v>
      </c>
      <c r="H107" s="261" t="s">
        <v>14</v>
      </c>
      <c r="I107" s="263" t="s">
        <v>34</v>
      </c>
      <c r="J107" s="264">
        <f>VLOOKUP(I107,[2]Lists!$A$35:$B$40,2,FALSE)</f>
        <v>6</v>
      </c>
      <c r="K107" s="321">
        <f t="shared" si="0"/>
        <v>18</v>
      </c>
      <c r="L107" s="265">
        <f t="shared" si="14"/>
        <v>1</v>
      </c>
      <c r="M107" s="321">
        <f>IF(B107=Weightings!$A$15,Weightings!$E$36)+IF(B107=Weightings!$A$16,Weightings!$E$41)+IF(B107=Weightings!$A$17,Weightings!$E$41)</f>
        <v>6</v>
      </c>
      <c r="N107" s="321">
        <f t="shared" si="15"/>
        <v>18</v>
      </c>
      <c r="O107" s="267">
        <f t="shared" si="13"/>
        <v>2.1739130431316984E-2</v>
      </c>
      <c r="P107" s="268">
        <f t="shared" si="8"/>
        <v>2.7173913039146231E-3</v>
      </c>
    </row>
    <row r="108" spans="1:16" s="47" customFormat="1" ht="51" x14ac:dyDescent="0.2">
      <c r="A108" s="222" t="s">
        <v>565</v>
      </c>
      <c r="B108" s="261" t="s">
        <v>6</v>
      </c>
      <c r="C108" s="114" t="s">
        <v>566</v>
      </c>
      <c r="D108" s="362"/>
      <c r="E108" s="276" t="s">
        <v>63</v>
      </c>
      <c r="F108" s="261" t="s">
        <v>15</v>
      </c>
      <c r="G108" s="262">
        <f>VLOOKUP(F108,Weightings!$A$46:$B$51,2,FALSE)</f>
        <v>1.0000000000000001E-5</v>
      </c>
      <c r="H108" s="261" t="s">
        <v>15</v>
      </c>
      <c r="I108" s="261" t="s">
        <v>15</v>
      </c>
      <c r="J108" s="264">
        <f>VLOOKUP(I108,[2]Lists!$A$35:$B$40,2,FALSE)</f>
        <v>1E-4</v>
      </c>
      <c r="K108" s="321">
        <f t="shared" si="0"/>
        <v>1.0000000000000001E-9</v>
      </c>
      <c r="L108" s="265">
        <f t="shared" si="14"/>
        <v>1</v>
      </c>
      <c r="M108" s="321">
        <f>IF(B108=Weightings!$A$15,Weightings!$E$36)+IF(B108=Weightings!$A$16,Weightings!$E$41)+IF(B108=Weightings!$A$17,Weightings!$E$41)</f>
        <v>1E-4</v>
      </c>
      <c r="N108" s="321">
        <f t="shared" si="15"/>
        <v>1.0000000000000001E-9</v>
      </c>
      <c r="O108" s="261" t="str">
        <f t="shared" si="13"/>
        <v>n/a</v>
      </c>
      <c r="P108" s="261" t="str">
        <f t="shared" si="8"/>
        <v>n/a</v>
      </c>
    </row>
    <row r="109" spans="1:16" s="47" customFormat="1" ht="38.25" x14ac:dyDescent="0.2">
      <c r="A109" s="222" t="s">
        <v>567</v>
      </c>
      <c r="B109" s="222" t="s">
        <v>8</v>
      </c>
      <c r="C109" s="109" t="s">
        <v>568</v>
      </c>
      <c r="D109" s="273"/>
      <c r="E109" s="266"/>
      <c r="F109" s="261" t="s">
        <v>43</v>
      </c>
      <c r="G109" s="262">
        <f>VLOOKUP(F109,Weightings!$A$46:$B$51,2,FALSE)</f>
        <v>5</v>
      </c>
      <c r="H109" s="261" t="s">
        <v>14</v>
      </c>
      <c r="I109" s="263" t="s">
        <v>34</v>
      </c>
      <c r="J109" s="264">
        <f>VLOOKUP(I109,[2]Lists!$A$35:$B$40,2,FALSE)</f>
        <v>6</v>
      </c>
      <c r="K109" s="321">
        <f t="shared" si="0"/>
        <v>30</v>
      </c>
      <c r="L109" s="265">
        <f t="shared" si="14"/>
        <v>1</v>
      </c>
      <c r="M109" s="321">
        <f>IF(B109=Weightings!$A$15,Weightings!$E$36)+IF(B109=Weightings!$A$16,Weightings!$E$41)+IF(B109=Weightings!$A$17,Weightings!$E$41)</f>
        <v>6</v>
      </c>
      <c r="N109" s="321">
        <f t="shared" si="15"/>
        <v>30</v>
      </c>
      <c r="O109" s="267">
        <f t="shared" si="13"/>
        <v>3.6231884052194976E-2</v>
      </c>
      <c r="P109" s="268">
        <f t="shared" si="8"/>
        <v>4.5289855065243721E-3</v>
      </c>
    </row>
    <row r="110" spans="1:16" s="47" customFormat="1" ht="51" x14ac:dyDescent="0.2">
      <c r="A110" s="222" t="s">
        <v>569</v>
      </c>
      <c r="B110" s="261" t="s">
        <v>6</v>
      </c>
      <c r="C110" s="117" t="s">
        <v>570</v>
      </c>
      <c r="D110" s="362"/>
      <c r="E110" s="276" t="s">
        <v>63</v>
      </c>
      <c r="F110" s="261" t="s">
        <v>15</v>
      </c>
      <c r="G110" s="262">
        <f>VLOOKUP(F110,Weightings!$A$46:$B$51,2,FALSE)</f>
        <v>1.0000000000000001E-5</v>
      </c>
      <c r="H110" s="261" t="s">
        <v>15</v>
      </c>
      <c r="I110" s="261" t="s">
        <v>15</v>
      </c>
      <c r="J110" s="264">
        <f>VLOOKUP(I110,[2]Lists!$A$35:$B$40,2,FALSE)</f>
        <v>1E-4</v>
      </c>
      <c r="K110" s="321">
        <f t="shared" si="0"/>
        <v>1.0000000000000001E-9</v>
      </c>
      <c r="L110" s="265">
        <f t="shared" si="14"/>
        <v>1</v>
      </c>
      <c r="M110" s="321">
        <f>IF(B110=Weightings!$A$15,Weightings!$E$36)+IF(B110=Weightings!$A$16,Weightings!$E$41)+IF(B110=Weightings!$A$17,Weightings!$E$41)</f>
        <v>1E-4</v>
      </c>
      <c r="N110" s="321">
        <f t="shared" si="15"/>
        <v>1.0000000000000001E-9</v>
      </c>
      <c r="O110" s="261" t="str">
        <f t="shared" si="13"/>
        <v>n/a</v>
      </c>
      <c r="P110" s="261" t="str">
        <f t="shared" si="8"/>
        <v>n/a</v>
      </c>
    </row>
    <row r="111" spans="1:16" s="47" customFormat="1" ht="38.25" x14ac:dyDescent="0.2">
      <c r="A111" s="222" t="s">
        <v>571</v>
      </c>
      <c r="B111" s="222" t="s">
        <v>8</v>
      </c>
      <c r="C111" s="252" t="s">
        <v>572</v>
      </c>
      <c r="D111" s="273"/>
      <c r="E111" s="266"/>
      <c r="F111" s="261" t="s">
        <v>47</v>
      </c>
      <c r="G111" s="262">
        <f>VLOOKUP(F111,Weightings!$A$46:$B$51,2,FALSE)</f>
        <v>8</v>
      </c>
      <c r="H111" s="261" t="s">
        <v>14</v>
      </c>
      <c r="I111" s="263" t="s">
        <v>34</v>
      </c>
      <c r="J111" s="264">
        <f>VLOOKUP(I111,[2]Lists!$A$35:$B$40,2,FALSE)</f>
        <v>6</v>
      </c>
      <c r="K111" s="321">
        <f t="shared" si="0"/>
        <v>48</v>
      </c>
      <c r="L111" s="265">
        <f t="shared" si="14"/>
        <v>1</v>
      </c>
      <c r="M111" s="321">
        <f>IF(B111=Weightings!$A$15,Weightings!$E$36)+IF(B111=Weightings!$A$16,Weightings!$E$41)+IF(B111=Weightings!$A$17,Weightings!$E$41)</f>
        <v>6</v>
      </c>
      <c r="N111" s="321">
        <f t="shared" si="15"/>
        <v>48</v>
      </c>
      <c r="O111" s="267">
        <f t="shared" si="13"/>
        <v>5.7971014483511954E-2</v>
      </c>
      <c r="P111" s="268">
        <f t="shared" si="8"/>
        <v>7.2463768104389942E-3</v>
      </c>
    </row>
    <row r="112" spans="1:16" s="50" customFormat="1" x14ac:dyDescent="0.2">
      <c r="A112" s="323" t="s">
        <v>65</v>
      </c>
      <c r="B112" s="48"/>
      <c r="C112" s="322" t="s">
        <v>573</v>
      </c>
      <c r="D112" s="322"/>
      <c r="E112" s="73"/>
      <c r="F112" s="74" t="s">
        <v>15</v>
      </c>
      <c r="G112" s="73"/>
      <c r="H112" s="74" t="s">
        <v>15</v>
      </c>
      <c r="I112" s="74" t="s">
        <v>15</v>
      </c>
      <c r="J112" s="74">
        <f>VLOOKUP(I112,[2]Lists!$A$35:$B$40,2,FALSE)</f>
        <v>1E-4</v>
      </c>
      <c r="K112" s="74">
        <f t="shared" si="0"/>
        <v>0</v>
      </c>
      <c r="L112" s="74" t="str">
        <f t="shared" si="14"/>
        <v>n/a</v>
      </c>
      <c r="M112" s="74">
        <f>IF(B112=[2]Lists!$A$14,[2]Lists!$E$35)+IF(B112=[2]Lists!$A$15,[2]Lists!$E$40)+IF(B112=[2]Lists!$A$16,[2]Lists!$E$40)</f>
        <v>0</v>
      </c>
      <c r="N112" s="74">
        <f t="shared" si="15"/>
        <v>0</v>
      </c>
      <c r="O112" s="74" t="str">
        <f t="shared" si="13"/>
        <v>n/a</v>
      </c>
      <c r="P112" s="74" t="str">
        <f t="shared" si="8"/>
        <v>n/a</v>
      </c>
    </row>
    <row r="113" spans="1:16" s="47" customFormat="1" ht="25.5" x14ac:dyDescent="0.2">
      <c r="A113" s="222" t="s">
        <v>123</v>
      </c>
      <c r="B113" s="261" t="s">
        <v>6</v>
      </c>
      <c r="C113" s="112" t="s">
        <v>574</v>
      </c>
      <c r="D113" s="362"/>
      <c r="E113" s="276" t="s">
        <v>63</v>
      </c>
      <c r="F113" s="261" t="s">
        <v>15</v>
      </c>
      <c r="G113" s="262">
        <f>VLOOKUP(F113,Weightings!$A$46:$B$51,2,FALSE)</f>
        <v>1.0000000000000001E-5</v>
      </c>
      <c r="H113" s="261" t="s">
        <v>15</v>
      </c>
      <c r="I113" s="261" t="s">
        <v>15</v>
      </c>
      <c r="J113" s="264">
        <f>VLOOKUP(I113,[2]Lists!$A$35:$B$40,2,FALSE)</f>
        <v>1E-4</v>
      </c>
      <c r="K113" s="321">
        <f t="shared" si="0"/>
        <v>1.0000000000000001E-9</v>
      </c>
      <c r="L113" s="265">
        <f t="shared" si="14"/>
        <v>1</v>
      </c>
      <c r="M113" s="321">
        <f>IF(B113=Weightings!$A$15,Weightings!$E$36)+IF(B113=Weightings!$A$16,Weightings!$E$41)+IF(B113=Weightings!$A$17,Weightings!$E$41)</f>
        <v>1E-4</v>
      </c>
      <c r="N113" s="321">
        <f t="shared" si="15"/>
        <v>1.0000000000000001E-9</v>
      </c>
      <c r="O113" s="261" t="str">
        <f t="shared" si="13"/>
        <v>n/a</v>
      </c>
      <c r="P113" s="261" t="str">
        <f t="shared" si="8"/>
        <v>n/a</v>
      </c>
    </row>
    <row r="114" spans="1:16" s="288" customFormat="1" ht="38.25" x14ac:dyDescent="0.2">
      <c r="A114" s="222" t="s">
        <v>124</v>
      </c>
      <c r="B114" s="52" t="s">
        <v>6</v>
      </c>
      <c r="C114" s="101" t="s">
        <v>575</v>
      </c>
      <c r="D114" s="362"/>
      <c r="E114" s="276" t="s">
        <v>63</v>
      </c>
      <c r="F114" s="261" t="s">
        <v>15</v>
      </c>
      <c r="G114" s="262">
        <f>VLOOKUP(F114,Weightings!$A$46:$B$51,2,FALSE)</f>
        <v>1.0000000000000001E-5</v>
      </c>
      <c r="H114" s="261" t="s">
        <v>15</v>
      </c>
      <c r="I114" s="261" t="s">
        <v>15</v>
      </c>
      <c r="J114" s="264">
        <f>VLOOKUP(I114,[2]Lists!$A$35:$B$40,2,FALSE)</f>
        <v>1E-4</v>
      </c>
      <c r="K114" s="321">
        <f t="shared" si="0"/>
        <v>1.0000000000000001E-9</v>
      </c>
      <c r="L114" s="265">
        <f t="shared" si="14"/>
        <v>1</v>
      </c>
      <c r="M114" s="321">
        <f>IF(B114=Weightings!$A$15,Weightings!$E$36)+IF(B114=Weightings!$A$16,Weightings!$E$41)+IF(B114=Weightings!$A$17,Weightings!$E$41)</f>
        <v>1E-4</v>
      </c>
      <c r="N114" s="321">
        <f t="shared" si="15"/>
        <v>1.0000000000000001E-9</v>
      </c>
      <c r="O114" s="261" t="str">
        <f t="shared" si="13"/>
        <v>n/a</v>
      </c>
      <c r="P114" s="261" t="str">
        <f t="shared" si="8"/>
        <v>n/a</v>
      </c>
    </row>
    <row r="115" spans="1:16" s="288" customFormat="1" ht="255" x14ac:dyDescent="0.2">
      <c r="A115" s="222" t="s">
        <v>125</v>
      </c>
      <c r="B115" s="52" t="s">
        <v>6</v>
      </c>
      <c r="C115" s="116" t="s">
        <v>576</v>
      </c>
      <c r="D115" s="362"/>
      <c r="E115" s="276" t="s">
        <v>63</v>
      </c>
      <c r="F115" s="261" t="s">
        <v>15</v>
      </c>
      <c r="G115" s="262">
        <f>VLOOKUP(F115,Weightings!$A$46:$B$51,2,FALSE)</f>
        <v>1.0000000000000001E-5</v>
      </c>
      <c r="H115" s="261" t="s">
        <v>15</v>
      </c>
      <c r="I115" s="261" t="s">
        <v>15</v>
      </c>
      <c r="J115" s="264">
        <f>VLOOKUP(I115,[2]Lists!$A$35:$B$40,2,FALSE)</f>
        <v>1E-4</v>
      </c>
      <c r="K115" s="321">
        <f t="shared" si="0"/>
        <v>1.0000000000000001E-9</v>
      </c>
      <c r="L115" s="265">
        <f t="shared" si="14"/>
        <v>1</v>
      </c>
      <c r="M115" s="321">
        <f>IF(B115=Weightings!$A$15,Weightings!$E$36)+IF(B115=Weightings!$A$16,Weightings!$E$41)+IF(B115=Weightings!$A$17,Weightings!$E$41)</f>
        <v>1E-4</v>
      </c>
      <c r="N115" s="321">
        <f t="shared" si="15"/>
        <v>1.0000000000000001E-9</v>
      </c>
      <c r="O115" s="261" t="str">
        <f t="shared" si="13"/>
        <v>n/a</v>
      </c>
      <c r="P115" s="261" t="str">
        <f t="shared" si="8"/>
        <v>n/a</v>
      </c>
    </row>
    <row r="116" spans="1:16" s="47" customFormat="1" ht="38.25" x14ac:dyDescent="0.2">
      <c r="A116" s="222" t="s">
        <v>577</v>
      </c>
      <c r="B116" s="53" t="s">
        <v>8</v>
      </c>
      <c r="C116" s="235" t="s">
        <v>578</v>
      </c>
      <c r="D116" s="289"/>
      <c r="E116" s="329"/>
      <c r="F116" s="263" t="s">
        <v>47</v>
      </c>
      <c r="G116" s="262">
        <f>VLOOKUP(F116,Weightings!$A$46:$B$51,2,FALSE)</f>
        <v>8</v>
      </c>
      <c r="H116" s="261" t="s">
        <v>14</v>
      </c>
      <c r="I116" s="263" t="s">
        <v>34</v>
      </c>
      <c r="J116" s="264">
        <f>VLOOKUP(I116,[2]Lists!$A$35:$B$40,2,FALSE)</f>
        <v>6</v>
      </c>
      <c r="K116" s="321">
        <f t="shared" si="0"/>
        <v>48</v>
      </c>
      <c r="L116" s="265">
        <f t="shared" si="14"/>
        <v>1</v>
      </c>
      <c r="M116" s="321">
        <f>IF(B116=Weightings!$A$15,Weightings!$E$36)+IF(B116=Weightings!$A$16,Weightings!$E$41)+IF(B116=Weightings!$A$17,Weightings!$E$41)</f>
        <v>6</v>
      </c>
      <c r="N116" s="321">
        <f t="shared" si="15"/>
        <v>48</v>
      </c>
      <c r="O116" s="267">
        <f t="shared" si="13"/>
        <v>5.7971014483511954E-2</v>
      </c>
      <c r="P116" s="268">
        <f t="shared" si="8"/>
        <v>7.2463768104389942E-3</v>
      </c>
    </row>
    <row r="117" spans="1:16" s="47" customFormat="1" ht="127.5" x14ac:dyDescent="0.2">
      <c r="A117" s="222" t="s">
        <v>126</v>
      </c>
      <c r="B117" s="263" t="s">
        <v>6</v>
      </c>
      <c r="C117" s="113" t="s">
        <v>579</v>
      </c>
      <c r="D117" s="362"/>
      <c r="E117" s="276" t="s">
        <v>63</v>
      </c>
      <c r="F117" s="261" t="s">
        <v>15</v>
      </c>
      <c r="G117" s="262">
        <f>VLOOKUP(F117,Weightings!$A$46:$B$51,2,FALSE)</f>
        <v>1.0000000000000001E-5</v>
      </c>
      <c r="H117" s="261" t="s">
        <v>15</v>
      </c>
      <c r="I117" s="261" t="s">
        <v>15</v>
      </c>
      <c r="J117" s="264">
        <f>VLOOKUP(I117,[2]Lists!$A$35:$B$40,2,FALSE)</f>
        <v>1E-4</v>
      </c>
      <c r="K117" s="321">
        <f t="shared" si="0"/>
        <v>1.0000000000000001E-9</v>
      </c>
      <c r="L117" s="265">
        <f t="shared" si="14"/>
        <v>1</v>
      </c>
      <c r="M117" s="321">
        <f>IF(B117=Weightings!$A$15,Weightings!$E$36)+IF(B117=Weightings!$A$16,Weightings!$E$41)+IF(B117=Weightings!$A$17,Weightings!$E$41)</f>
        <v>1E-4</v>
      </c>
      <c r="N117" s="321">
        <f t="shared" si="15"/>
        <v>1.0000000000000001E-9</v>
      </c>
      <c r="O117" s="261" t="str">
        <f t="shared" si="13"/>
        <v>n/a</v>
      </c>
      <c r="P117" s="261" t="str">
        <f t="shared" si="8"/>
        <v>n/a</v>
      </c>
    </row>
    <row r="118" spans="1:16" s="47" customFormat="1" ht="38.25" x14ac:dyDescent="0.2">
      <c r="A118" s="222" t="s">
        <v>580</v>
      </c>
      <c r="B118" s="222" t="s">
        <v>8</v>
      </c>
      <c r="C118" s="235" t="s">
        <v>581</v>
      </c>
      <c r="D118" s="289"/>
      <c r="E118" s="266"/>
      <c r="F118" s="261" t="s">
        <v>48</v>
      </c>
      <c r="G118" s="262">
        <f>VLOOKUP(F118,Weightings!$A$46:$B$51,2,FALSE)</f>
        <v>3</v>
      </c>
      <c r="H118" s="261" t="s">
        <v>25</v>
      </c>
      <c r="I118" s="263" t="s">
        <v>34</v>
      </c>
      <c r="J118" s="264">
        <f>VLOOKUP(I118,[2]Lists!$A$35:$B$40,2,FALSE)</f>
        <v>6</v>
      </c>
      <c r="K118" s="321">
        <f t="shared" si="0"/>
        <v>18</v>
      </c>
      <c r="L118" s="265">
        <f t="shared" si="14"/>
        <v>1</v>
      </c>
      <c r="M118" s="321">
        <f>IF(B118=Weightings!$A$15,Weightings!$E$36)+IF(B118=Weightings!$A$16,Weightings!$E$41)+IF(B118=Weightings!$A$17,Weightings!$E$41)</f>
        <v>6</v>
      </c>
      <c r="N118" s="321">
        <f t="shared" si="15"/>
        <v>18</v>
      </c>
      <c r="O118" s="267">
        <f t="shared" si="13"/>
        <v>2.1739130431316984E-2</v>
      </c>
      <c r="P118" s="268">
        <f t="shared" si="8"/>
        <v>2.7173913039146231E-3</v>
      </c>
    </row>
    <row r="119" spans="1:16" s="47" customFormat="1" ht="102" x14ac:dyDescent="0.2">
      <c r="A119" s="222" t="s">
        <v>582</v>
      </c>
      <c r="B119" s="261" t="s">
        <v>6</v>
      </c>
      <c r="C119" s="113" t="s">
        <v>782</v>
      </c>
      <c r="D119" s="362"/>
      <c r="E119" s="276" t="s">
        <v>63</v>
      </c>
      <c r="F119" s="261" t="s">
        <v>15</v>
      </c>
      <c r="G119" s="262">
        <f>VLOOKUP(F119,Weightings!$A$46:$B$51,2,FALSE)</f>
        <v>1.0000000000000001E-5</v>
      </c>
      <c r="H119" s="261" t="s">
        <v>15</v>
      </c>
      <c r="I119" s="261" t="s">
        <v>15</v>
      </c>
      <c r="J119" s="264">
        <f>VLOOKUP(I119,[2]Lists!$A$35:$B$40,2,FALSE)</f>
        <v>1E-4</v>
      </c>
      <c r="K119" s="321">
        <f t="shared" si="0"/>
        <v>1.0000000000000001E-9</v>
      </c>
      <c r="L119" s="265">
        <f t="shared" si="14"/>
        <v>1</v>
      </c>
      <c r="M119" s="321">
        <f>IF(B119=Weightings!$A$15,Weightings!$E$36)+IF(B119=Weightings!$A$16,Weightings!$E$41)+IF(B119=Weightings!$A$17,Weightings!$E$41)</f>
        <v>1E-4</v>
      </c>
      <c r="N119" s="321">
        <f t="shared" si="15"/>
        <v>1.0000000000000001E-9</v>
      </c>
      <c r="O119" s="261" t="str">
        <f t="shared" si="13"/>
        <v>n/a</v>
      </c>
      <c r="P119" s="261" t="str">
        <f t="shared" si="8"/>
        <v>n/a</v>
      </c>
    </row>
    <row r="120" spans="1:16" s="288" customFormat="1" ht="38.25" x14ac:dyDescent="0.2">
      <c r="A120" s="222" t="s">
        <v>583</v>
      </c>
      <c r="B120" s="54" t="s">
        <v>8</v>
      </c>
      <c r="C120" s="290" t="s">
        <v>584</v>
      </c>
      <c r="D120" s="289"/>
      <c r="E120" s="266"/>
      <c r="F120" s="261" t="s">
        <v>47</v>
      </c>
      <c r="G120" s="262">
        <f>VLOOKUP(F120,Weightings!$A$46:$B$51,2,FALSE)</f>
        <v>8</v>
      </c>
      <c r="H120" s="52" t="s">
        <v>25</v>
      </c>
      <c r="I120" s="263" t="s">
        <v>34</v>
      </c>
      <c r="J120" s="264">
        <f>VLOOKUP(I120,[2]Lists!$A$35:$B$40,2,FALSE)</f>
        <v>6</v>
      </c>
      <c r="K120" s="321">
        <f t="shared" si="0"/>
        <v>48</v>
      </c>
      <c r="L120" s="265">
        <f t="shared" si="14"/>
        <v>1</v>
      </c>
      <c r="M120" s="321">
        <f>IF(B120=Weightings!$A$15,Weightings!$E$36)+IF(B120=Weightings!$A$16,Weightings!$E$41)+IF(B120=Weightings!$A$17,Weightings!$E$41)</f>
        <v>6</v>
      </c>
      <c r="N120" s="321">
        <f t="shared" si="15"/>
        <v>48</v>
      </c>
      <c r="O120" s="267">
        <f t="shared" si="13"/>
        <v>5.7971014483511954E-2</v>
      </c>
      <c r="P120" s="268">
        <f t="shared" si="8"/>
        <v>7.2463768104389942E-3</v>
      </c>
    </row>
    <row r="121" spans="1:16" s="47" customFormat="1" ht="25.5" x14ac:dyDescent="0.2">
      <c r="A121" s="222" t="s">
        <v>585</v>
      </c>
      <c r="B121" s="261" t="s">
        <v>6</v>
      </c>
      <c r="C121" s="115" t="s">
        <v>586</v>
      </c>
      <c r="D121" s="362"/>
      <c r="E121" s="276" t="s">
        <v>63</v>
      </c>
      <c r="F121" s="261" t="s">
        <v>15</v>
      </c>
      <c r="G121" s="262">
        <f>VLOOKUP(F121,Weightings!$A$46:$B$51,2,FALSE)</f>
        <v>1.0000000000000001E-5</v>
      </c>
      <c r="H121" s="261" t="s">
        <v>15</v>
      </c>
      <c r="I121" s="261" t="s">
        <v>15</v>
      </c>
      <c r="J121" s="264">
        <f>VLOOKUP(I121,[2]Lists!$A$35:$B$40,2,FALSE)</f>
        <v>1E-4</v>
      </c>
      <c r="K121" s="321">
        <f t="shared" si="0"/>
        <v>1.0000000000000001E-9</v>
      </c>
      <c r="L121" s="265">
        <f t="shared" si="14"/>
        <v>1</v>
      </c>
      <c r="M121" s="321">
        <f>IF(B121=Weightings!$A$15,Weightings!$E$36)+IF(B121=Weightings!$A$16,Weightings!$E$41)+IF(B121=Weightings!$A$17,Weightings!$E$41)</f>
        <v>1E-4</v>
      </c>
      <c r="N121" s="321">
        <f t="shared" si="15"/>
        <v>1.0000000000000001E-9</v>
      </c>
      <c r="O121" s="261" t="str">
        <f t="shared" si="13"/>
        <v>n/a</v>
      </c>
      <c r="P121" s="261" t="str">
        <f t="shared" si="8"/>
        <v>n/a</v>
      </c>
    </row>
    <row r="122" spans="1:16" s="50" customFormat="1" x14ac:dyDescent="0.2">
      <c r="A122" s="323" t="s">
        <v>66</v>
      </c>
      <c r="B122" s="48"/>
      <c r="C122" s="322" t="s">
        <v>587</v>
      </c>
      <c r="D122" s="322"/>
      <c r="E122" s="73"/>
      <c r="F122" s="74" t="s">
        <v>15</v>
      </c>
      <c r="G122" s="73"/>
      <c r="H122" s="74" t="s">
        <v>15</v>
      </c>
      <c r="I122" s="74" t="s">
        <v>15</v>
      </c>
      <c r="J122" s="74">
        <f>VLOOKUP(I122,[2]Lists!$A$35:$B$40,2,FALSE)</f>
        <v>1E-4</v>
      </c>
      <c r="K122" s="74">
        <f t="shared" si="0"/>
        <v>0</v>
      </c>
      <c r="L122" s="74" t="str">
        <f t="shared" si="14"/>
        <v>n/a</v>
      </c>
      <c r="M122" s="74">
        <f>IF(B122=[2]Lists!$A$14,[2]Lists!$E$35)+IF(B122=[2]Lists!$A$15,[2]Lists!$E$40)+IF(B122=[2]Lists!$A$16,[2]Lists!$E$40)</f>
        <v>0</v>
      </c>
      <c r="N122" s="74">
        <f t="shared" si="15"/>
        <v>0</v>
      </c>
      <c r="O122" s="74" t="str">
        <f t="shared" si="13"/>
        <v>n/a</v>
      </c>
      <c r="P122" s="74" t="str">
        <f t="shared" si="8"/>
        <v>n/a</v>
      </c>
    </row>
    <row r="123" spans="1:16" s="47" customFormat="1" ht="51" x14ac:dyDescent="0.2">
      <c r="A123" s="222" t="s">
        <v>127</v>
      </c>
      <c r="B123" s="261" t="s">
        <v>6</v>
      </c>
      <c r="C123" s="119" t="s">
        <v>783</v>
      </c>
      <c r="D123" s="362"/>
      <c r="E123" s="276" t="s">
        <v>63</v>
      </c>
      <c r="F123" s="261" t="s">
        <v>15</v>
      </c>
      <c r="G123" s="262">
        <f>VLOOKUP(F123,Weightings!$A$46:$B$51,2,FALSE)</f>
        <v>1.0000000000000001E-5</v>
      </c>
      <c r="H123" s="261" t="s">
        <v>15</v>
      </c>
      <c r="I123" s="261" t="s">
        <v>15</v>
      </c>
      <c r="J123" s="264">
        <f>VLOOKUP(I123,[2]Lists!$A$35:$B$40,2,FALSE)</f>
        <v>1E-4</v>
      </c>
      <c r="K123" s="321">
        <f t="shared" si="0"/>
        <v>1.0000000000000001E-9</v>
      </c>
      <c r="L123" s="265">
        <f t="shared" si="14"/>
        <v>1</v>
      </c>
      <c r="M123" s="321">
        <f>IF(B123=Weightings!$A$15,Weightings!$E$36)+IF(B123=Weightings!$A$16,Weightings!$E$41)+IF(B123=Weightings!$A$17,Weightings!$E$41)</f>
        <v>1E-4</v>
      </c>
      <c r="N123" s="321">
        <f t="shared" si="15"/>
        <v>1.0000000000000001E-9</v>
      </c>
      <c r="O123" s="261" t="str">
        <f t="shared" si="13"/>
        <v>n/a</v>
      </c>
      <c r="P123" s="261" t="str">
        <f t="shared" si="8"/>
        <v>n/a</v>
      </c>
    </row>
    <row r="124" spans="1:16" s="47" customFormat="1" ht="76.5" x14ac:dyDescent="0.2">
      <c r="A124" s="222" t="s">
        <v>128</v>
      </c>
      <c r="B124" s="261" t="s">
        <v>6</v>
      </c>
      <c r="C124" s="116" t="s">
        <v>588</v>
      </c>
      <c r="D124" s="362"/>
      <c r="E124" s="276" t="s">
        <v>63</v>
      </c>
      <c r="F124" s="261" t="s">
        <v>15</v>
      </c>
      <c r="G124" s="262">
        <f>VLOOKUP(F124,Weightings!$A$46:$B$51,2,FALSE)</f>
        <v>1.0000000000000001E-5</v>
      </c>
      <c r="H124" s="261" t="s">
        <v>15</v>
      </c>
      <c r="I124" s="261" t="s">
        <v>15</v>
      </c>
      <c r="J124" s="264">
        <f>VLOOKUP(I124,[2]Lists!$A$35:$B$40,2,FALSE)</f>
        <v>1E-4</v>
      </c>
      <c r="K124" s="321">
        <f t="shared" si="0"/>
        <v>1.0000000000000001E-9</v>
      </c>
      <c r="L124" s="265">
        <f t="shared" si="14"/>
        <v>1</v>
      </c>
      <c r="M124" s="321">
        <f>IF(B124=Weightings!$A$15,Weightings!$E$36)+IF(B124=Weightings!$A$16,Weightings!$E$41)+IF(B124=Weightings!$A$17,Weightings!$E$41)</f>
        <v>1E-4</v>
      </c>
      <c r="N124" s="321">
        <f t="shared" si="15"/>
        <v>1.0000000000000001E-9</v>
      </c>
      <c r="O124" s="261" t="str">
        <f t="shared" si="13"/>
        <v>n/a</v>
      </c>
      <c r="P124" s="261" t="str">
        <f t="shared" si="8"/>
        <v>n/a</v>
      </c>
    </row>
    <row r="125" spans="1:16" s="50" customFormat="1" x14ac:dyDescent="0.2">
      <c r="A125" s="323" t="s">
        <v>67</v>
      </c>
      <c r="B125" s="48"/>
      <c r="C125" s="322" t="s">
        <v>589</v>
      </c>
      <c r="D125" s="322"/>
      <c r="E125" s="73"/>
      <c r="F125" s="74" t="s">
        <v>15</v>
      </c>
      <c r="G125" s="73"/>
      <c r="H125" s="74" t="s">
        <v>15</v>
      </c>
      <c r="I125" s="74" t="s">
        <v>15</v>
      </c>
      <c r="J125" s="74">
        <f>VLOOKUP(I125,[2]Lists!$A$35:$B$40,2,FALSE)</f>
        <v>1E-4</v>
      </c>
      <c r="K125" s="74">
        <f t="shared" si="0"/>
        <v>0</v>
      </c>
      <c r="L125" s="74" t="str">
        <f t="shared" si="14"/>
        <v>n/a</v>
      </c>
      <c r="M125" s="74">
        <f>IF(B125=[2]Lists!$A$14,[2]Lists!$E$35)+IF(B125=[2]Lists!$A$15,[2]Lists!$E$40)+IF(B125=[2]Lists!$A$16,[2]Lists!$E$40)</f>
        <v>0</v>
      </c>
      <c r="N125" s="74">
        <f t="shared" si="15"/>
        <v>0</v>
      </c>
      <c r="O125" s="74" t="str">
        <f t="shared" si="13"/>
        <v>n/a</v>
      </c>
      <c r="P125" s="74" t="str">
        <f t="shared" si="8"/>
        <v>n/a</v>
      </c>
    </row>
    <row r="126" spans="1:16" s="285" customFormat="1" ht="38.25" x14ac:dyDescent="0.2">
      <c r="A126" s="222" t="s">
        <v>129</v>
      </c>
      <c r="B126" s="261" t="s">
        <v>6</v>
      </c>
      <c r="C126" s="112" t="s">
        <v>590</v>
      </c>
      <c r="D126" s="362"/>
      <c r="E126" s="276" t="s">
        <v>63</v>
      </c>
      <c r="F126" s="261" t="s">
        <v>15</v>
      </c>
      <c r="G126" s="262">
        <f>VLOOKUP(F126,Weightings!$A$46:$B$51,2,FALSE)</f>
        <v>1.0000000000000001E-5</v>
      </c>
      <c r="H126" s="261" t="s">
        <v>15</v>
      </c>
      <c r="I126" s="261" t="s">
        <v>15</v>
      </c>
      <c r="J126" s="264">
        <f>VLOOKUP(I126,[2]Lists!$A$35:$B$40,2,FALSE)</f>
        <v>1E-4</v>
      </c>
      <c r="K126" s="321">
        <f t="shared" si="0"/>
        <v>1.0000000000000001E-9</v>
      </c>
      <c r="L126" s="265">
        <f t="shared" si="14"/>
        <v>1</v>
      </c>
      <c r="M126" s="321">
        <f>IF(B126=Weightings!$A$15,Weightings!$E$36)+IF(B126=Weightings!$A$16,Weightings!$E$41)+IF(B126=Weightings!$A$17,Weightings!$E$41)</f>
        <v>1E-4</v>
      </c>
      <c r="N126" s="321">
        <f t="shared" si="15"/>
        <v>1.0000000000000001E-9</v>
      </c>
      <c r="O126" s="261" t="str">
        <f t="shared" si="13"/>
        <v>n/a</v>
      </c>
      <c r="P126" s="261" t="str">
        <f t="shared" si="8"/>
        <v>n/a</v>
      </c>
    </row>
    <row r="127" spans="1:16" s="285" customFormat="1" ht="51" x14ac:dyDescent="0.2">
      <c r="A127" s="222" t="s">
        <v>130</v>
      </c>
      <c r="B127" s="261" t="s">
        <v>6</v>
      </c>
      <c r="C127" s="112" t="s">
        <v>591</v>
      </c>
      <c r="D127" s="362"/>
      <c r="E127" s="276" t="s">
        <v>63</v>
      </c>
      <c r="F127" s="261" t="s">
        <v>15</v>
      </c>
      <c r="G127" s="262">
        <f>VLOOKUP(F127,Weightings!$A$46:$B$51,2,FALSE)</f>
        <v>1.0000000000000001E-5</v>
      </c>
      <c r="H127" s="261" t="s">
        <v>15</v>
      </c>
      <c r="I127" s="261" t="s">
        <v>15</v>
      </c>
      <c r="J127" s="264">
        <f>VLOOKUP(I127,[2]Lists!$A$35:$B$40,2,FALSE)</f>
        <v>1E-4</v>
      </c>
      <c r="K127" s="321">
        <f t="shared" si="0"/>
        <v>1.0000000000000001E-9</v>
      </c>
      <c r="L127" s="265">
        <f t="shared" si="14"/>
        <v>1</v>
      </c>
      <c r="M127" s="321">
        <f>IF(B127=Weightings!$A$15,Weightings!$E$36)+IF(B127=Weightings!$A$16,Weightings!$E$41)+IF(B127=Weightings!$A$17,Weightings!$E$41)</f>
        <v>1E-4</v>
      </c>
      <c r="N127" s="321">
        <f t="shared" si="15"/>
        <v>1.0000000000000001E-9</v>
      </c>
      <c r="O127" s="261" t="str">
        <f t="shared" si="13"/>
        <v>n/a</v>
      </c>
      <c r="P127" s="261" t="str">
        <f t="shared" si="8"/>
        <v>n/a</v>
      </c>
    </row>
    <row r="128" spans="1:16" s="285" customFormat="1" ht="63.75" x14ac:dyDescent="0.2">
      <c r="A128" s="222" t="s">
        <v>592</v>
      </c>
      <c r="B128" s="261" t="s">
        <v>6</v>
      </c>
      <c r="C128" s="116" t="s">
        <v>784</v>
      </c>
      <c r="D128" s="362"/>
      <c r="E128" s="276" t="s">
        <v>63</v>
      </c>
      <c r="F128" s="261" t="s">
        <v>15</v>
      </c>
      <c r="G128" s="262">
        <f>VLOOKUP(F128,Weightings!$A$46:$B$51,2,FALSE)</f>
        <v>1.0000000000000001E-5</v>
      </c>
      <c r="H128" s="261" t="s">
        <v>15</v>
      </c>
      <c r="I128" s="261" t="s">
        <v>15</v>
      </c>
      <c r="J128" s="264">
        <f>VLOOKUP(I128,[2]Lists!$A$35:$B$40,2,FALSE)</f>
        <v>1E-4</v>
      </c>
      <c r="K128" s="321">
        <f t="shared" si="0"/>
        <v>1.0000000000000001E-9</v>
      </c>
      <c r="L128" s="265">
        <f t="shared" si="14"/>
        <v>1</v>
      </c>
      <c r="M128" s="321">
        <f>IF(B128=Weightings!$A$15,Weightings!$E$36)+IF(B128=Weightings!$A$16,Weightings!$E$41)+IF(B128=Weightings!$A$17,Weightings!$E$41)</f>
        <v>1E-4</v>
      </c>
      <c r="N128" s="321">
        <f t="shared" si="15"/>
        <v>1.0000000000000001E-9</v>
      </c>
      <c r="O128" s="261" t="str">
        <f t="shared" si="13"/>
        <v>n/a</v>
      </c>
      <c r="P128" s="261" t="str">
        <f t="shared" si="8"/>
        <v>n/a</v>
      </c>
    </row>
    <row r="129" spans="1:16" s="285" customFormat="1" ht="76.5" x14ac:dyDescent="0.2">
      <c r="A129" s="222" t="s">
        <v>593</v>
      </c>
      <c r="B129" s="261" t="s">
        <v>6</v>
      </c>
      <c r="C129" s="115" t="s">
        <v>594</v>
      </c>
      <c r="D129" s="362"/>
      <c r="E129" s="276" t="s">
        <v>63</v>
      </c>
      <c r="F129" s="261" t="s">
        <v>15</v>
      </c>
      <c r="G129" s="262">
        <f>VLOOKUP(F129,Weightings!$A$46:$B$51,2,FALSE)</f>
        <v>1.0000000000000001E-5</v>
      </c>
      <c r="H129" s="261" t="s">
        <v>15</v>
      </c>
      <c r="I129" s="261" t="s">
        <v>15</v>
      </c>
      <c r="J129" s="264">
        <f>VLOOKUP(I129,[2]Lists!$A$35:$B$40,2,FALSE)</f>
        <v>1E-4</v>
      </c>
      <c r="K129" s="321">
        <f t="shared" si="0"/>
        <v>1.0000000000000001E-9</v>
      </c>
      <c r="L129" s="265">
        <f t="shared" si="14"/>
        <v>1</v>
      </c>
      <c r="M129" s="321">
        <f>IF(B129=Weightings!$A$15,Weightings!$E$36)+IF(B129=Weightings!$A$16,Weightings!$E$41)+IF(B129=Weightings!$A$17,Weightings!$E$41)</f>
        <v>1E-4</v>
      </c>
      <c r="N129" s="321">
        <f t="shared" si="15"/>
        <v>1.0000000000000001E-9</v>
      </c>
      <c r="O129" s="261" t="str">
        <f t="shared" si="13"/>
        <v>n/a</v>
      </c>
      <c r="P129" s="261" t="str">
        <f t="shared" si="8"/>
        <v>n/a</v>
      </c>
    </row>
    <row r="130" spans="1:16" s="50" customFormat="1" x14ac:dyDescent="0.2">
      <c r="A130" s="323" t="s">
        <v>68</v>
      </c>
      <c r="B130" s="48"/>
      <c r="C130" s="322" t="s">
        <v>595</v>
      </c>
      <c r="D130" s="322"/>
      <c r="E130" s="73"/>
      <c r="F130" s="74" t="s">
        <v>15</v>
      </c>
      <c r="G130" s="73"/>
      <c r="H130" s="74" t="s">
        <v>15</v>
      </c>
      <c r="I130" s="74" t="s">
        <v>15</v>
      </c>
      <c r="J130" s="74">
        <f>VLOOKUP(I130,[2]Lists!$A$35:$B$40,2,FALSE)</f>
        <v>1E-4</v>
      </c>
      <c r="K130" s="74">
        <f t="shared" si="0"/>
        <v>0</v>
      </c>
      <c r="L130" s="74" t="str">
        <f t="shared" si="14"/>
        <v>n/a</v>
      </c>
      <c r="M130" s="74">
        <f>IF(B130=[2]Lists!$A$14,[2]Lists!$E$35)+IF(B130=[2]Lists!$A$15,[2]Lists!$E$40)+IF(B130=[2]Lists!$A$16,[2]Lists!$E$40)</f>
        <v>0</v>
      </c>
      <c r="N130" s="74">
        <f t="shared" si="15"/>
        <v>0</v>
      </c>
      <c r="O130" s="74" t="str">
        <f t="shared" si="13"/>
        <v>n/a</v>
      </c>
      <c r="P130" s="74" t="str">
        <f t="shared" si="8"/>
        <v>n/a</v>
      </c>
    </row>
    <row r="131" spans="1:16" s="285" customFormat="1" ht="132.75" customHeight="1" x14ac:dyDescent="0.2">
      <c r="A131" s="222" t="s">
        <v>596</v>
      </c>
      <c r="B131" s="222" t="s">
        <v>7</v>
      </c>
      <c r="C131" s="114" t="s">
        <v>597</v>
      </c>
      <c r="D131" s="362"/>
      <c r="E131" s="271"/>
      <c r="F131" s="261" t="s">
        <v>44</v>
      </c>
      <c r="G131" s="262">
        <f>VLOOKUP(F131,Weightings!$A$46:$B$51,2,FALSE)</f>
        <v>10</v>
      </c>
      <c r="H131" s="261" t="s">
        <v>14</v>
      </c>
      <c r="I131" s="263" t="s">
        <v>34</v>
      </c>
      <c r="J131" s="264">
        <f>VLOOKUP(I131,[2]Lists!$A$35:$B$40,2,FALSE)</f>
        <v>6</v>
      </c>
      <c r="K131" s="321">
        <f t="shared" si="0"/>
        <v>60</v>
      </c>
      <c r="L131" s="265">
        <f t="shared" si="14"/>
        <v>1</v>
      </c>
      <c r="M131" s="321">
        <f>IF(B131=Weightings!$A$15,Weightings!$E$36)+IF(B131=Weightings!$A$16,Weightings!$E$41)+IF(B131=Weightings!$A$17,Weightings!$E$41)</f>
        <v>6</v>
      </c>
      <c r="N131" s="321">
        <f t="shared" si="15"/>
        <v>60</v>
      </c>
      <c r="O131" s="269">
        <f t="shared" si="13"/>
        <v>7.2463768104389953E-2</v>
      </c>
      <c r="P131" s="291">
        <f t="shared" si="8"/>
        <v>9.0579710130487441E-3</v>
      </c>
    </row>
    <row r="132" spans="1:16" s="285" customFormat="1" ht="47.25" customHeight="1" x14ac:dyDescent="0.2">
      <c r="A132" s="222" t="s">
        <v>131</v>
      </c>
      <c r="B132" s="261" t="s">
        <v>6</v>
      </c>
      <c r="C132" s="116" t="s">
        <v>598</v>
      </c>
      <c r="D132" s="362"/>
      <c r="E132" s="276" t="s">
        <v>63</v>
      </c>
      <c r="F132" s="261" t="s">
        <v>15</v>
      </c>
      <c r="G132" s="262">
        <f>VLOOKUP(F132,Weightings!$A$46:$B$51,2,FALSE)</f>
        <v>1.0000000000000001E-5</v>
      </c>
      <c r="H132" s="261" t="s">
        <v>15</v>
      </c>
      <c r="I132" s="261" t="s">
        <v>15</v>
      </c>
      <c r="J132" s="264">
        <f>VLOOKUP(I132,[2]Lists!$A$35:$B$40,2,FALSE)</f>
        <v>1E-4</v>
      </c>
      <c r="K132" s="321">
        <f t="shared" si="0"/>
        <v>1.0000000000000001E-9</v>
      </c>
      <c r="L132" s="265">
        <f t="shared" si="14"/>
        <v>1</v>
      </c>
      <c r="M132" s="321">
        <f>IF(B132=Weightings!$A$15,Weightings!$E$36)+IF(B132=Weightings!$A$16,Weightings!$E$41)+IF(B132=Weightings!$A$17,Weightings!$E$41)</f>
        <v>1E-4</v>
      </c>
      <c r="N132" s="321">
        <f t="shared" si="15"/>
        <v>1.0000000000000001E-9</v>
      </c>
      <c r="O132" s="261" t="str">
        <f t="shared" si="13"/>
        <v>n/a</v>
      </c>
      <c r="P132" s="261" t="str">
        <f t="shared" si="8"/>
        <v>n/a</v>
      </c>
    </row>
    <row r="133" spans="1:16" s="50" customFormat="1" x14ac:dyDescent="0.2">
      <c r="A133" s="323" t="s">
        <v>69</v>
      </c>
      <c r="B133" s="48"/>
      <c r="C133" s="322" t="s">
        <v>599</v>
      </c>
      <c r="D133" s="322"/>
      <c r="E133" s="73"/>
      <c r="F133" s="74" t="s">
        <v>15</v>
      </c>
      <c r="G133" s="73"/>
      <c r="H133" s="74" t="s">
        <v>15</v>
      </c>
      <c r="I133" s="74" t="s">
        <v>15</v>
      </c>
      <c r="J133" s="74">
        <f>VLOOKUP(I133,[2]Lists!$A$35:$B$40,2,FALSE)</f>
        <v>1E-4</v>
      </c>
      <c r="K133" s="74">
        <f t="shared" si="0"/>
        <v>0</v>
      </c>
      <c r="L133" s="74" t="str">
        <f t="shared" si="14"/>
        <v>n/a</v>
      </c>
      <c r="M133" s="74">
        <f>IF(B133=[2]Lists!$A$14,[2]Lists!$E$35)+IF(B133=[2]Lists!$A$15,[2]Lists!$E$40)+IF(B133=[2]Lists!$A$16,[2]Lists!$E$40)</f>
        <v>0</v>
      </c>
      <c r="N133" s="74">
        <f t="shared" si="15"/>
        <v>0</v>
      </c>
      <c r="O133" s="74" t="str">
        <f t="shared" si="13"/>
        <v>n/a</v>
      </c>
      <c r="P133" s="74" t="str">
        <f t="shared" si="8"/>
        <v>n/a</v>
      </c>
    </row>
    <row r="134" spans="1:16" s="285" customFormat="1" ht="38.25" x14ac:dyDescent="0.2">
      <c r="A134" s="222" t="s">
        <v>132</v>
      </c>
      <c r="B134" s="112" t="s">
        <v>6</v>
      </c>
      <c r="C134" s="118" t="s">
        <v>600</v>
      </c>
      <c r="D134" s="362"/>
      <c r="E134" s="276" t="s">
        <v>63</v>
      </c>
      <c r="F134" s="261" t="s">
        <v>15</v>
      </c>
      <c r="G134" s="262">
        <f>VLOOKUP(F134,Weightings!$A$46:$B$51,2,FALSE)</f>
        <v>1.0000000000000001E-5</v>
      </c>
      <c r="H134" s="261" t="s">
        <v>15</v>
      </c>
      <c r="I134" s="261" t="s">
        <v>15</v>
      </c>
      <c r="J134" s="264">
        <f>VLOOKUP(I134,[2]Lists!$A$35:$B$40,2,FALSE)</f>
        <v>1E-4</v>
      </c>
      <c r="K134" s="321">
        <f t="shared" si="0"/>
        <v>1.0000000000000001E-9</v>
      </c>
      <c r="L134" s="265">
        <f t="shared" si="14"/>
        <v>1</v>
      </c>
      <c r="M134" s="321">
        <f>IF(B134=Weightings!$A$15,Weightings!$E$36)+IF(B134=Weightings!$A$16,Weightings!$E$41)+IF(B134=Weightings!$A$17,Weightings!$E$41)</f>
        <v>1E-4</v>
      </c>
      <c r="N134" s="321">
        <f t="shared" si="15"/>
        <v>1.0000000000000001E-9</v>
      </c>
      <c r="O134" s="261" t="str">
        <f t="shared" si="13"/>
        <v>n/a</v>
      </c>
      <c r="P134" s="261" t="str">
        <f t="shared" si="8"/>
        <v>n/a</v>
      </c>
    </row>
    <row r="135" spans="1:16" s="285" customFormat="1" ht="38.25" x14ac:dyDescent="0.2">
      <c r="A135" s="222" t="s">
        <v>601</v>
      </c>
      <c r="B135" s="223" t="s">
        <v>8</v>
      </c>
      <c r="C135" s="235" t="s">
        <v>602</v>
      </c>
      <c r="D135" s="273"/>
      <c r="E135" s="266"/>
      <c r="F135" s="261" t="s">
        <v>43</v>
      </c>
      <c r="G135" s="262">
        <f>VLOOKUP(F135,Weightings!$A$46:$B$51,2,FALSE)</f>
        <v>5</v>
      </c>
      <c r="H135" s="261" t="s">
        <v>14</v>
      </c>
      <c r="I135" s="263" t="s">
        <v>34</v>
      </c>
      <c r="J135" s="264">
        <f>VLOOKUP(I135,[2]Lists!$A$35:$B$40,2,FALSE)</f>
        <v>6</v>
      </c>
      <c r="K135" s="321">
        <f t="shared" si="0"/>
        <v>30</v>
      </c>
      <c r="L135" s="265">
        <f t="shared" si="14"/>
        <v>1</v>
      </c>
      <c r="M135" s="321">
        <f>IF(B135=Weightings!$A$15,Weightings!$E$36)+IF(B135=Weightings!$A$16,Weightings!$E$41)+IF(B135=Weightings!$A$17,Weightings!$E$41)</f>
        <v>6</v>
      </c>
      <c r="N135" s="321">
        <f t="shared" si="15"/>
        <v>30</v>
      </c>
      <c r="O135" s="267">
        <f t="shared" si="13"/>
        <v>3.6231884052194976E-2</v>
      </c>
      <c r="P135" s="292">
        <f t="shared" si="8"/>
        <v>4.5289855065243721E-3</v>
      </c>
    </row>
    <row r="136" spans="1:16" s="285" customFormat="1" ht="45.75" customHeight="1" x14ac:dyDescent="0.2">
      <c r="A136" s="222" t="s">
        <v>133</v>
      </c>
      <c r="B136" s="112" t="s">
        <v>6</v>
      </c>
      <c r="C136" s="116" t="s">
        <v>603</v>
      </c>
      <c r="D136" s="362"/>
      <c r="E136" s="276" t="s">
        <v>63</v>
      </c>
      <c r="F136" s="261" t="s">
        <v>15</v>
      </c>
      <c r="G136" s="262">
        <f>VLOOKUP(F136,Weightings!$A$46:$B$51,2,FALSE)</f>
        <v>1.0000000000000001E-5</v>
      </c>
      <c r="H136" s="261" t="s">
        <v>15</v>
      </c>
      <c r="I136" s="261" t="s">
        <v>15</v>
      </c>
      <c r="J136" s="264">
        <f>VLOOKUP(I136,[2]Lists!$A$35:$B$40,2,FALSE)</f>
        <v>1E-4</v>
      </c>
      <c r="K136" s="321">
        <f t="shared" si="0"/>
        <v>1.0000000000000001E-9</v>
      </c>
      <c r="L136" s="265">
        <f t="shared" si="14"/>
        <v>1</v>
      </c>
      <c r="M136" s="321">
        <f>IF(B136=Weightings!$A$15,Weightings!$E$36)+IF(B136=Weightings!$A$16,Weightings!$E$41)+IF(B136=Weightings!$A$17,Weightings!$E$41)</f>
        <v>1E-4</v>
      </c>
      <c r="N136" s="321">
        <f t="shared" si="15"/>
        <v>1.0000000000000001E-9</v>
      </c>
      <c r="O136" s="261" t="str">
        <f t="shared" si="13"/>
        <v>n/a</v>
      </c>
      <c r="P136" s="261" t="str">
        <f t="shared" ref="P136:P178" si="16">IF(ISERROR(O136*0.125),"n/a",O136*0.125)</f>
        <v>n/a</v>
      </c>
    </row>
    <row r="137" spans="1:16" s="285" customFormat="1" ht="54.75" customHeight="1" x14ac:dyDescent="0.2">
      <c r="A137" s="222" t="s">
        <v>604</v>
      </c>
      <c r="B137" s="112" t="s">
        <v>6</v>
      </c>
      <c r="C137" s="113" t="s">
        <v>605</v>
      </c>
      <c r="D137" s="362"/>
      <c r="E137" s="276" t="s">
        <v>63</v>
      </c>
      <c r="F137" s="261" t="s">
        <v>15</v>
      </c>
      <c r="G137" s="262">
        <f>VLOOKUP(F137,Weightings!$A$46:$B$51,2,FALSE)</f>
        <v>1.0000000000000001E-5</v>
      </c>
      <c r="H137" s="261" t="s">
        <v>15</v>
      </c>
      <c r="I137" s="261" t="s">
        <v>15</v>
      </c>
      <c r="J137" s="264">
        <f>VLOOKUP(I137,[2]Lists!$A$35:$B$40,2,FALSE)</f>
        <v>1E-4</v>
      </c>
      <c r="K137" s="321">
        <f t="shared" si="0"/>
        <v>1.0000000000000001E-9</v>
      </c>
      <c r="L137" s="265">
        <f t="shared" ref="L137:L168" si="17">IF(ISERROR(K137/N137),"n/a",K137/N137)</f>
        <v>1</v>
      </c>
      <c r="M137" s="321">
        <f>IF(B137=Weightings!$A$15,Weightings!$E$36)+IF(B137=Weightings!$A$16,Weightings!$E$41)+IF(B137=Weightings!$A$17,Weightings!$E$41)</f>
        <v>1E-4</v>
      </c>
      <c r="N137" s="321">
        <f t="shared" ref="N137:N168" si="18">G137*M137</f>
        <v>1.0000000000000001E-9</v>
      </c>
      <c r="O137" s="261" t="str">
        <f t="shared" si="13"/>
        <v>n/a</v>
      </c>
      <c r="P137" s="261" t="str">
        <f t="shared" si="16"/>
        <v>n/a</v>
      </c>
    </row>
    <row r="138" spans="1:16" s="285" customFormat="1" ht="38.25" x14ac:dyDescent="0.2">
      <c r="A138" s="222" t="s">
        <v>606</v>
      </c>
      <c r="B138" s="223" t="s">
        <v>8</v>
      </c>
      <c r="C138" s="112" t="s">
        <v>607</v>
      </c>
      <c r="D138" s="273"/>
      <c r="E138" s="266"/>
      <c r="F138" s="261" t="s">
        <v>43</v>
      </c>
      <c r="G138" s="262">
        <f>VLOOKUP(F138,Weightings!$A$46:$B$51,2,FALSE)</f>
        <v>5</v>
      </c>
      <c r="H138" s="261" t="s">
        <v>14</v>
      </c>
      <c r="I138" s="263" t="s">
        <v>34</v>
      </c>
      <c r="J138" s="264">
        <f>VLOOKUP(I138,[2]Lists!$A$35:$B$40,2,FALSE)</f>
        <v>6</v>
      </c>
      <c r="K138" s="321">
        <f t="shared" si="0"/>
        <v>30</v>
      </c>
      <c r="L138" s="265">
        <f t="shared" si="17"/>
        <v>1</v>
      </c>
      <c r="M138" s="321">
        <f>IF(B138=Weightings!$A$15,Weightings!$E$36)+IF(B138=Weightings!$A$16,Weightings!$E$41)+IF(B138=Weightings!$A$17,Weightings!$E$41)</f>
        <v>6</v>
      </c>
      <c r="N138" s="321">
        <f t="shared" si="18"/>
        <v>30</v>
      </c>
      <c r="O138" s="267">
        <f t="shared" si="13"/>
        <v>3.6231884052194976E-2</v>
      </c>
      <c r="P138" s="292">
        <f t="shared" si="16"/>
        <v>4.5289855065243721E-3</v>
      </c>
    </row>
    <row r="139" spans="1:16" s="285" customFormat="1" ht="182.45" customHeight="1" x14ac:dyDescent="0.2">
      <c r="A139" s="222" t="s">
        <v>608</v>
      </c>
      <c r="B139" s="112" t="s">
        <v>6</v>
      </c>
      <c r="C139" s="116" t="s">
        <v>609</v>
      </c>
      <c r="D139" s="362"/>
      <c r="E139" s="276" t="s">
        <v>63</v>
      </c>
      <c r="F139" s="261" t="s">
        <v>15</v>
      </c>
      <c r="G139" s="262">
        <f>VLOOKUP(F139,Weightings!$A$46:$B$51,2,FALSE)</f>
        <v>1.0000000000000001E-5</v>
      </c>
      <c r="H139" s="261" t="s">
        <v>15</v>
      </c>
      <c r="I139" s="261" t="s">
        <v>15</v>
      </c>
      <c r="J139" s="264">
        <f>VLOOKUP(I139,[2]Lists!$A$35:$B$40,2,FALSE)</f>
        <v>1E-4</v>
      </c>
      <c r="K139" s="321">
        <f t="shared" si="0"/>
        <v>1.0000000000000001E-9</v>
      </c>
      <c r="L139" s="265">
        <f t="shared" si="17"/>
        <v>1</v>
      </c>
      <c r="M139" s="321">
        <f>IF(B139=Weightings!$A$15,Weightings!$E$36)+IF(B139=Weightings!$A$16,Weightings!$E$41)+IF(B139=Weightings!$A$17,Weightings!$E$41)</f>
        <v>1E-4</v>
      </c>
      <c r="N139" s="321">
        <f t="shared" si="18"/>
        <v>1.0000000000000001E-9</v>
      </c>
      <c r="O139" s="74" t="str">
        <f t="shared" si="13"/>
        <v>n/a</v>
      </c>
      <c r="P139" s="261" t="str">
        <f t="shared" si="16"/>
        <v>n/a</v>
      </c>
    </row>
    <row r="140" spans="1:16" s="50" customFormat="1" x14ac:dyDescent="0.2">
      <c r="A140" s="323" t="s">
        <v>70</v>
      </c>
      <c r="B140" s="48"/>
      <c r="C140" s="322" t="s">
        <v>610</v>
      </c>
      <c r="D140" s="322"/>
      <c r="E140" s="73"/>
      <c r="F140" s="74" t="s">
        <v>15</v>
      </c>
      <c r="G140" s="73"/>
      <c r="H140" s="74" t="s">
        <v>15</v>
      </c>
      <c r="I140" s="74" t="s">
        <v>15</v>
      </c>
      <c r="J140" s="74">
        <f>VLOOKUP(I140,[2]Lists!$A$35:$B$40,2,FALSE)</f>
        <v>1E-4</v>
      </c>
      <c r="K140" s="74">
        <f t="shared" si="0"/>
        <v>0</v>
      </c>
      <c r="L140" s="74" t="str">
        <f t="shared" si="17"/>
        <v>n/a</v>
      </c>
      <c r="M140" s="74">
        <f>IF(B140=[2]Lists!$A$14,[2]Lists!$E$35)+IF(B140=[2]Lists!$A$15,[2]Lists!$E$40)+IF(B140=[2]Lists!$A$16,[2]Lists!$E$40)</f>
        <v>0</v>
      </c>
      <c r="N140" s="74">
        <f t="shared" si="18"/>
        <v>0</v>
      </c>
      <c r="O140" s="74" t="str">
        <f t="shared" si="13"/>
        <v>n/a</v>
      </c>
      <c r="P140" s="74" t="str">
        <f t="shared" si="16"/>
        <v>n/a</v>
      </c>
    </row>
    <row r="141" spans="1:16" s="285" customFormat="1" ht="102" x14ac:dyDescent="0.2">
      <c r="A141" s="222" t="s">
        <v>134</v>
      </c>
      <c r="B141" s="112" t="s">
        <v>6</v>
      </c>
      <c r="C141" s="116" t="s">
        <v>611</v>
      </c>
      <c r="D141" s="362"/>
      <c r="E141" s="276" t="s">
        <v>63</v>
      </c>
      <c r="F141" s="261" t="s">
        <v>15</v>
      </c>
      <c r="G141" s="262">
        <f>VLOOKUP(F141,Weightings!$A$46:$B$51,2,FALSE)</f>
        <v>1.0000000000000001E-5</v>
      </c>
      <c r="H141" s="261" t="s">
        <v>15</v>
      </c>
      <c r="I141" s="261" t="s">
        <v>15</v>
      </c>
      <c r="J141" s="264">
        <f>VLOOKUP(I141,[2]Lists!$A$35:$B$40,2,FALSE)</f>
        <v>1E-4</v>
      </c>
      <c r="K141" s="321">
        <f t="shared" si="0"/>
        <v>1.0000000000000001E-9</v>
      </c>
      <c r="L141" s="265">
        <f t="shared" si="17"/>
        <v>1</v>
      </c>
      <c r="M141" s="321">
        <f>IF(B141=Weightings!$A$15,Weightings!$E$36)+IF(B141=Weightings!$A$16,Weightings!$E$41)+IF(B141=Weightings!$A$17,Weightings!$E$41)</f>
        <v>1E-4</v>
      </c>
      <c r="N141" s="321">
        <f t="shared" si="18"/>
        <v>1.0000000000000001E-9</v>
      </c>
      <c r="O141" s="261" t="str">
        <f t="shared" si="13"/>
        <v>n/a</v>
      </c>
      <c r="P141" s="261" t="str">
        <f t="shared" si="16"/>
        <v>n/a</v>
      </c>
    </row>
    <row r="142" spans="1:16" s="285" customFormat="1" ht="38.25" x14ac:dyDescent="0.2">
      <c r="A142" s="222" t="s">
        <v>612</v>
      </c>
      <c r="B142" s="222" t="s">
        <v>8</v>
      </c>
      <c r="C142" s="109" t="s">
        <v>613</v>
      </c>
      <c r="D142" s="273"/>
      <c r="E142" s="266"/>
      <c r="F142" s="261" t="s">
        <v>43</v>
      </c>
      <c r="G142" s="262">
        <f>VLOOKUP(F142,Weightings!$A$46:$B$51,2,FALSE)</f>
        <v>5</v>
      </c>
      <c r="H142" s="261" t="s">
        <v>14</v>
      </c>
      <c r="I142" s="263" t="s">
        <v>34</v>
      </c>
      <c r="J142" s="264">
        <f>VLOOKUP(I142,[2]Lists!$A$35:$B$40,2,FALSE)</f>
        <v>6</v>
      </c>
      <c r="K142" s="321">
        <f t="shared" si="0"/>
        <v>30</v>
      </c>
      <c r="L142" s="265">
        <f t="shared" si="17"/>
        <v>1</v>
      </c>
      <c r="M142" s="321">
        <f>IF(B142=Weightings!$A$15,Weightings!$E$36)+IF(B142=Weightings!$A$16,Weightings!$E$41)+IF(B142=Weightings!$A$17,Weightings!$E$41)</f>
        <v>6</v>
      </c>
      <c r="N142" s="321">
        <f t="shared" si="18"/>
        <v>30</v>
      </c>
      <c r="O142" s="267">
        <f t="shared" si="13"/>
        <v>3.6231884052194976E-2</v>
      </c>
      <c r="P142" s="292">
        <f t="shared" si="16"/>
        <v>4.5289855065243721E-3</v>
      </c>
    </row>
    <row r="143" spans="1:16" s="285" customFormat="1" ht="89.25" x14ac:dyDescent="0.2">
      <c r="A143" s="222" t="s">
        <v>614</v>
      </c>
      <c r="B143" s="261" t="s">
        <v>6</v>
      </c>
      <c r="C143" s="115" t="s">
        <v>615</v>
      </c>
      <c r="D143" s="362"/>
      <c r="E143" s="276" t="s">
        <v>63</v>
      </c>
      <c r="F143" s="261" t="s">
        <v>15</v>
      </c>
      <c r="G143" s="262">
        <f>VLOOKUP(F143,Weightings!$A$46:$B$51,2,FALSE)</f>
        <v>1.0000000000000001E-5</v>
      </c>
      <c r="H143" s="261" t="s">
        <v>15</v>
      </c>
      <c r="I143" s="261" t="s">
        <v>15</v>
      </c>
      <c r="J143" s="264">
        <f>VLOOKUP(I143,[2]Lists!$A$35:$B$40,2,FALSE)</f>
        <v>1E-4</v>
      </c>
      <c r="K143" s="321">
        <f t="shared" si="0"/>
        <v>1.0000000000000001E-9</v>
      </c>
      <c r="L143" s="265">
        <f t="shared" si="17"/>
        <v>1</v>
      </c>
      <c r="M143" s="321">
        <f>IF(B143=Weightings!$A$15,Weightings!$E$36)+IF(B143=Weightings!$A$16,Weightings!$E$41)+IF(B143=Weightings!$A$17,Weightings!$E$41)</f>
        <v>1E-4</v>
      </c>
      <c r="N143" s="321">
        <f t="shared" si="18"/>
        <v>1.0000000000000001E-9</v>
      </c>
      <c r="O143" s="261" t="str">
        <f t="shared" si="13"/>
        <v>n/a</v>
      </c>
      <c r="P143" s="261" t="str">
        <f t="shared" si="16"/>
        <v>n/a</v>
      </c>
    </row>
    <row r="144" spans="1:16" s="285" customFormat="1" ht="46.15" customHeight="1" x14ac:dyDescent="0.2">
      <c r="A144" s="222" t="s">
        <v>616</v>
      </c>
      <c r="B144" s="261" t="s">
        <v>6</v>
      </c>
      <c r="C144" s="115" t="s">
        <v>617</v>
      </c>
      <c r="D144" s="362"/>
      <c r="E144" s="276" t="s">
        <v>63</v>
      </c>
      <c r="F144" s="261" t="s">
        <v>15</v>
      </c>
      <c r="G144" s="262">
        <f>VLOOKUP(F144,Weightings!$A$46:$B$51,2,FALSE)</f>
        <v>1.0000000000000001E-5</v>
      </c>
      <c r="H144" s="261" t="s">
        <v>15</v>
      </c>
      <c r="I144" s="261" t="s">
        <v>15</v>
      </c>
      <c r="J144" s="264">
        <f>VLOOKUP(I144,[2]Lists!$A$35:$B$40,2,FALSE)</f>
        <v>1E-4</v>
      </c>
      <c r="K144" s="321">
        <f t="shared" ref="K144:K178" si="19">J144*G144</f>
        <v>1.0000000000000001E-9</v>
      </c>
      <c r="L144" s="265">
        <f t="shared" si="17"/>
        <v>1</v>
      </c>
      <c r="M144" s="321">
        <f>IF(B144=Weightings!$A$15,Weightings!$E$36)+IF(B144=Weightings!$A$16,Weightings!$E$41)+IF(B144=Weightings!$A$17,Weightings!$E$41)</f>
        <v>1E-4</v>
      </c>
      <c r="N144" s="321">
        <f t="shared" si="18"/>
        <v>1.0000000000000001E-9</v>
      </c>
      <c r="O144" s="261" t="str">
        <f t="shared" si="13"/>
        <v>n/a</v>
      </c>
      <c r="P144" s="261" t="str">
        <f t="shared" si="16"/>
        <v>n/a</v>
      </c>
    </row>
    <row r="145" spans="1:16" s="50" customFormat="1" x14ac:dyDescent="0.2">
      <c r="A145" s="323" t="s">
        <v>71</v>
      </c>
      <c r="B145" s="48"/>
      <c r="C145" s="322" t="s">
        <v>618</v>
      </c>
      <c r="D145" s="322"/>
      <c r="E145" s="73"/>
      <c r="F145" s="74" t="s">
        <v>15</v>
      </c>
      <c r="G145" s="73"/>
      <c r="H145" s="74" t="s">
        <v>15</v>
      </c>
      <c r="I145" s="74" t="s">
        <v>15</v>
      </c>
      <c r="J145" s="74">
        <f>VLOOKUP(I145,[2]Lists!$A$35:$B$40,2,FALSE)</f>
        <v>1E-4</v>
      </c>
      <c r="K145" s="74">
        <f t="shared" si="19"/>
        <v>0</v>
      </c>
      <c r="L145" s="74" t="str">
        <f t="shared" si="17"/>
        <v>n/a</v>
      </c>
      <c r="M145" s="74">
        <f>IF(B145=[2]Lists!$A$14,[2]Lists!$E$35)+IF(B145=[2]Lists!$A$15,[2]Lists!$E$40)+IF(B145=[2]Lists!$A$16,[2]Lists!$E$40)</f>
        <v>0</v>
      </c>
      <c r="N145" s="74">
        <f t="shared" si="18"/>
        <v>0</v>
      </c>
      <c r="O145" s="74" t="str">
        <f t="shared" ref="O145:O174" si="20">IF((N145/$N$2)&gt;0.0001,N145/$N$2,"n/a")</f>
        <v>n/a</v>
      </c>
      <c r="P145" s="74" t="str">
        <f t="shared" si="16"/>
        <v>n/a</v>
      </c>
    </row>
    <row r="146" spans="1:16" s="285" customFormat="1" ht="165.75" x14ac:dyDescent="0.2">
      <c r="A146" s="222" t="s">
        <v>135</v>
      </c>
      <c r="B146" s="261" t="s">
        <v>6</v>
      </c>
      <c r="C146" s="117" t="s">
        <v>84</v>
      </c>
      <c r="D146" s="362"/>
      <c r="E146" s="276" t="s">
        <v>63</v>
      </c>
      <c r="F146" s="261" t="s">
        <v>15</v>
      </c>
      <c r="G146" s="262">
        <f>VLOOKUP(F146,Weightings!$A$46:$B$51,2,FALSE)</f>
        <v>1.0000000000000001E-5</v>
      </c>
      <c r="H146" s="261" t="s">
        <v>15</v>
      </c>
      <c r="I146" s="261" t="s">
        <v>15</v>
      </c>
      <c r="J146" s="264">
        <f>VLOOKUP(I146,[2]Lists!$A$35:$B$40,2,FALSE)</f>
        <v>1E-4</v>
      </c>
      <c r="K146" s="321">
        <f t="shared" si="19"/>
        <v>1.0000000000000001E-9</v>
      </c>
      <c r="L146" s="265">
        <f t="shared" si="17"/>
        <v>1</v>
      </c>
      <c r="M146" s="321">
        <f>IF(B146=Weightings!$A$15,Weightings!$E$36)+IF(B146=Weightings!$A$16,Weightings!$E$41)+IF(B146=Weightings!$A$17,Weightings!$E$41)</f>
        <v>1E-4</v>
      </c>
      <c r="N146" s="321">
        <f t="shared" si="18"/>
        <v>1.0000000000000001E-9</v>
      </c>
      <c r="O146" s="261" t="str">
        <f t="shared" si="20"/>
        <v>n/a</v>
      </c>
      <c r="P146" s="261" t="str">
        <f t="shared" si="16"/>
        <v>n/a</v>
      </c>
    </row>
    <row r="147" spans="1:16" s="285" customFormat="1" ht="127.5" x14ac:dyDescent="0.2">
      <c r="A147" s="222" t="s">
        <v>619</v>
      </c>
      <c r="B147" s="261" t="s">
        <v>6</v>
      </c>
      <c r="C147" s="116" t="s">
        <v>620</v>
      </c>
      <c r="D147" s="362"/>
      <c r="E147" s="276" t="s">
        <v>63</v>
      </c>
      <c r="F147" s="261" t="s">
        <v>15</v>
      </c>
      <c r="G147" s="262">
        <f>VLOOKUP(F147,Weightings!$A$46:$B$51,2,FALSE)</f>
        <v>1.0000000000000001E-5</v>
      </c>
      <c r="H147" s="261" t="s">
        <v>15</v>
      </c>
      <c r="I147" s="261" t="s">
        <v>15</v>
      </c>
      <c r="J147" s="264">
        <f>VLOOKUP(I147,[2]Lists!$A$35:$B$40,2,FALSE)</f>
        <v>1E-4</v>
      </c>
      <c r="K147" s="321">
        <f t="shared" si="19"/>
        <v>1.0000000000000001E-9</v>
      </c>
      <c r="L147" s="265">
        <f t="shared" si="17"/>
        <v>1</v>
      </c>
      <c r="M147" s="321">
        <f>IF(B147=Weightings!$A$15,Weightings!$E$36)+IF(B147=Weightings!$A$16,Weightings!$E$41)+IF(B147=Weightings!$A$17,Weightings!$E$41)</f>
        <v>1E-4</v>
      </c>
      <c r="N147" s="321">
        <f t="shared" si="18"/>
        <v>1.0000000000000001E-9</v>
      </c>
      <c r="O147" s="261" t="str">
        <f t="shared" si="20"/>
        <v>n/a</v>
      </c>
      <c r="P147" s="261" t="str">
        <f t="shared" si="16"/>
        <v>n/a</v>
      </c>
    </row>
    <row r="148" spans="1:16" s="285" customFormat="1" ht="51" x14ac:dyDescent="0.2">
      <c r="A148" s="222" t="s">
        <v>621</v>
      </c>
      <c r="B148" s="261" t="s">
        <v>6</v>
      </c>
      <c r="C148" s="116" t="s">
        <v>622</v>
      </c>
      <c r="D148" s="362"/>
      <c r="E148" s="276" t="s">
        <v>63</v>
      </c>
      <c r="F148" s="261" t="s">
        <v>15</v>
      </c>
      <c r="G148" s="262">
        <f>VLOOKUP(F148,Weightings!$A$46:$B$51,2,FALSE)</f>
        <v>1.0000000000000001E-5</v>
      </c>
      <c r="H148" s="261" t="s">
        <v>15</v>
      </c>
      <c r="I148" s="261" t="s">
        <v>15</v>
      </c>
      <c r="J148" s="264">
        <f>VLOOKUP(I148,[2]Lists!$A$35:$B$40,2,FALSE)</f>
        <v>1E-4</v>
      </c>
      <c r="K148" s="321">
        <f t="shared" si="19"/>
        <v>1.0000000000000001E-9</v>
      </c>
      <c r="L148" s="265">
        <f t="shared" si="17"/>
        <v>1</v>
      </c>
      <c r="M148" s="321">
        <f>IF(B148=Weightings!$A$15,Weightings!$E$36)+IF(B148=Weightings!$A$16,Weightings!$E$41)+IF(B148=Weightings!$A$17,Weightings!$E$41)</f>
        <v>1E-4</v>
      </c>
      <c r="N148" s="321">
        <f t="shared" si="18"/>
        <v>1.0000000000000001E-9</v>
      </c>
      <c r="O148" s="261" t="str">
        <f t="shared" si="20"/>
        <v>n/a</v>
      </c>
      <c r="P148" s="261" t="str">
        <f t="shared" si="16"/>
        <v>n/a</v>
      </c>
    </row>
    <row r="149" spans="1:16" s="285" customFormat="1" ht="38.25" x14ac:dyDescent="0.2">
      <c r="A149" s="222" t="s">
        <v>623</v>
      </c>
      <c r="B149" s="222" t="s">
        <v>8</v>
      </c>
      <c r="C149" s="109" t="s">
        <v>613</v>
      </c>
      <c r="D149" s="273"/>
      <c r="E149" s="266"/>
      <c r="F149" s="261" t="s">
        <v>43</v>
      </c>
      <c r="G149" s="262">
        <f>VLOOKUP(F149,Weightings!$A$46:$B$51,2,FALSE)</f>
        <v>5</v>
      </c>
      <c r="H149" s="261" t="s">
        <v>14</v>
      </c>
      <c r="I149" s="263" t="s">
        <v>34</v>
      </c>
      <c r="J149" s="264">
        <f>VLOOKUP(I149,[2]Lists!$A$35:$B$40,2,FALSE)</f>
        <v>6</v>
      </c>
      <c r="K149" s="321">
        <f t="shared" si="19"/>
        <v>30</v>
      </c>
      <c r="L149" s="265">
        <f t="shared" si="17"/>
        <v>1</v>
      </c>
      <c r="M149" s="321">
        <f>IF(B149=Weightings!$A$15,Weightings!$E$36)+IF(B149=Weightings!$A$16,Weightings!$E$41)+IF(B149=Weightings!$A$17,Weightings!$E$41)</f>
        <v>6</v>
      </c>
      <c r="N149" s="321">
        <f t="shared" si="18"/>
        <v>30</v>
      </c>
      <c r="O149" s="267">
        <f t="shared" si="20"/>
        <v>3.6231884052194976E-2</v>
      </c>
      <c r="P149" s="292">
        <f t="shared" si="16"/>
        <v>4.5289855065243721E-3</v>
      </c>
    </row>
    <row r="150" spans="1:16" s="50" customFormat="1" x14ac:dyDescent="0.2">
      <c r="A150" s="323" t="s">
        <v>72</v>
      </c>
      <c r="B150" s="48"/>
      <c r="C150" s="322" t="s">
        <v>624</v>
      </c>
      <c r="D150" s="322"/>
      <c r="E150" s="73"/>
      <c r="F150" s="74" t="s">
        <v>15</v>
      </c>
      <c r="G150" s="73"/>
      <c r="H150" s="74" t="s">
        <v>15</v>
      </c>
      <c r="I150" s="74" t="s">
        <v>15</v>
      </c>
      <c r="J150" s="74">
        <f>VLOOKUP(I150,[2]Lists!$A$35:$B$40,2,FALSE)</f>
        <v>1E-4</v>
      </c>
      <c r="K150" s="74">
        <f t="shared" si="19"/>
        <v>0</v>
      </c>
      <c r="L150" s="74" t="str">
        <f t="shared" si="17"/>
        <v>n/a</v>
      </c>
      <c r="M150" s="74">
        <f>IF(B150=[2]Lists!$A$14,[2]Lists!$E$35)+IF(B150=[2]Lists!$A$15,[2]Lists!$E$40)+IF(B150=[2]Lists!$A$16,[2]Lists!$E$40)</f>
        <v>0</v>
      </c>
      <c r="N150" s="74">
        <f t="shared" si="18"/>
        <v>0</v>
      </c>
      <c r="O150" s="74" t="str">
        <f t="shared" si="20"/>
        <v>n/a</v>
      </c>
      <c r="P150" s="74" t="str">
        <f t="shared" si="16"/>
        <v>n/a</v>
      </c>
    </row>
    <row r="151" spans="1:16" s="285" customFormat="1" ht="63.75" x14ac:dyDescent="0.2">
      <c r="A151" s="222" t="s">
        <v>136</v>
      </c>
      <c r="B151" s="261" t="s">
        <v>6</v>
      </c>
      <c r="C151" s="114" t="s">
        <v>625</v>
      </c>
      <c r="D151" s="362"/>
      <c r="E151" s="276" t="s">
        <v>63</v>
      </c>
      <c r="F151" s="261" t="s">
        <v>15</v>
      </c>
      <c r="G151" s="262">
        <f>VLOOKUP(F151,Weightings!$A$46:$B$51,2,FALSE)</f>
        <v>1.0000000000000001E-5</v>
      </c>
      <c r="H151" s="261" t="s">
        <v>15</v>
      </c>
      <c r="I151" s="261" t="s">
        <v>15</v>
      </c>
      <c r="J151" s="264">
        <f>VLOOKUP(I151,[2]Lists!$A$35:$B$40,2,FALSE)</f>
        <v>1E-4</v>
      </c>
      <c r="K151" s="321">
        <f t="shared" si="19"/>
        <v>1.0000000000000001E-9</v>
      </c>
      <c r="L151" s="265">
        <f t="shared" si="17"/>
        <v>1</v>
      </c>
      <c r="M151" s="321">
        <f>IF(B151=Weightings!$A$15,Weightings!$E$36)+IF(B151=Weightings!$A$16,Weightings!$E$41)+IF(B151=Weightings!$A$17,Weightings!$E$41)</f>
        <v>1E-4</v>
      </c>
      <c r="N151" s="321">
        <f t="shared" si="18"/>
        <v>1.0000000000000001E-9</v>
      </c>
      <c r="O151" s="261" t="str">
        <f t="shared" si="20"/>
        <v>n/a</v>
      </c>
      <c r="P151" s="261" t="str">
        <f t="shared" si="16"/>
        <v>n/a</v>
      </c>
    </row>
    <row r="152" spans="1:16" s="285" customFormat="1" ht="127.5" x14ac:dyDescent="0.2">
      <c r="A152" s="222" t="s">
        <v>626</v>
      </c>
      <c r="B152" s="222" t="s">
        <v>7</v>
      </c>
      <c r="C152" s="102" t="s">
        <v>860</v>
      </c>
      <c r="D152" s="362"/>
      <c r="E152" s="271"/>
      <c r="F152" s="261" t="s">
        <v>44</v>
      </c>
      <c r="G152" s="262">
        <f>VLOOKUP(F152,Weightings!$A$46:$B$51,2,FALSE)</f>
        <v>10</v>
      </c>
      <c r="H152" s="261" t="s">
        <v>14</v>
      </c>
      <c r="I152" s="263" t="s">
        <v>34</v>
      </c>
      <c r="J152" s="264">
        <f>VLOOKUP(I152,[2]Lists!$A$35:$B$40,2,FALSE)</f>
        <v>6</v>
      </c>
      <c r="K152" s="321">
        <f t="shared" si="19"/>
        <v>60</v>
      </c>
      <c r="L152" s="265">
        <f t="shared" si="17"/>
        <v>1</v>
      </c>
      <c r="M152" s="321">
        <f>IF(B152=Weightings!$A$15,Weightings!$E$36)+IF(B152=Weightings!$A$16,Weightings!$E$41)+IF(B152=Weightings!$A$17,Weightings!$E$41)</f>
        <v>6</v>
      </c>
      <c r="N152" s="321">
        <f t="shared" si="18"/>
        <v>60</v>
      </c>
      <c r="O152" s="269">
        <f t="shared" si="20"/>
        <v>7.2463768104389953E-2</v>
      </c>
      <c r="P152" s="291">
        <f t="shared" si="16"/>
        <v>9.0579710130487441E-3</v>
      </c>
    </row>
    <row r="153" spans="1:16" s="285" customFormat="1" ht="89.25" x14ac:dyDescent="0.2">
      <c r="A153" s="54" t="s">
        <v>627</v>
      </c>
      <c r="B153" s="261" t="s">
        <v>6</v>
      </c>
      <c r="C153" s="113" t="s">
        <v>749</v>
      </c>
      <c r="D153" s="362"/>
      <c r="E153" s="276" t="s">
        <v>63</v>
      </c>
      <c r="F153" s="261" t="s">
        <v>15</v>
      </c>
      <c r="G153" s="262">
        <f>VLOOKUP(F153,Weightings!$A$46:$B$51,2,FALSE)</f>
        <v>1.0000000000000001E-5</v>
      </c>
      <c r="H153" s="261" t="s">
        <v>15</v>
      </c>
      <c r="I153" s="261" t="s">
        <v>15</v>
      </c>
      <c r="J153" s="264">
        <f>VLOOKUP(I153,[2]Lists!$A$35:$B$40,2,FALSE)</f>
        <v>1E-4</v>
      </c>
      <c r="K153" s="321">
        <f t="shared" si="19"/>
        <v>1.0000000000000001E-9</v>
      </c>
      <c r="L153" s="265">
        <f t="shared" si="17"/>
        <v>1</v>
      </c>
      <c r="M153" s="321">
        <f>IF(B153=Weightings!$A$15,Weightings!$E$36)+IF(B153=Weightings!$A$16,Weightings!$E$41)+IF(B153=Weightings!$A$17,Weightings!$E$41)</f>
        <v>1E-4</v>
      </c>
      <c r="N153" s="321">
        <f t="shared" si="18"/>
        <v>1.0000000000000001E-9</v>
      </c>
      <c r="O153" s="261" t="str">
        <f t="shared" si="20"/>
        <v>n/a</v>
      </c>
      <c r="P153" s="261" t="str">
        <f t="shared" si="16"/>
        <v>n/a</v>
      </c>
    </row>
    <row r="154" spans="1:16" s="285" customFormat="1" ht="38.25" x14ac:dyDescent="0.2">
      <c r="A154" s="222" t="s">
        <v>628</v>
      </c>
      <c r="B154" s="261" t="s">
        <v>6</v>
      </c>
      <c r="C154" s="118" t="s">
        <v>629</v>
      </c>
      <c r="D154" s="362"/>
      <c r="E154" s="276" t="s">
        <v>63</v>
      </c>
      <c r="F154" s="261" t="s">
        <v>15</v>
      </c>
      <c r="G154" s="262">
        <f>VLOOKUP(F154,Weightings!$A$46:$B$51,2,FALSE)</f>
        <v>1.0000000000000001E-5</v>
      </c>
      <c r="H154" s="261" t="s">
        <v>15</v>
      </c>
      <c r="I154" s="261" t="s">
        <v>15</v>
      </c>
      <c r="J154" s="264">
        <f>VLOOKUP(I154,[2]Lists!$A$35:$B$40,2,FALSE)</f>
        <v>1E-4</v>
      </c>
      <c r="K154" s="321">
        <f t="shared" si="19"/>
        <v>1.0000000000000001E-9</v>
      </c>
      <c r="L154" s="265">
        <f t="shared" si="17"/>
        <v>1</v>
      </c>
      <c r="M154" s="321">
        <f>IF(B154=Weightings!$A$15,Weightings!$E$36)+IF(B154=Weightings!$A$16,Weightings!$E$41)+IF(B154=Weightings!$A$17,Weightings!$E$41)</f>
        <v>1E-4</v>
      </c>
      <c r="N154" s="321">
        <f t="shared" si="18"/>
        <v>1.0000000000000001E-9</v>
      </c>
      <c r="O154" s="261" t="str">
        <f t="shared" si="20"/>
        <v>n/a</v>
      </c>
      <c r="P154" s="261" t="str">
        <f t="shared" si="16"/>
        <v>n/a</v>
      </c>
    </row>
    <row r="155" spans="1:16" s="285" customFormat="1" ht="76.5" x14ac:dyDescent="0.2">
      <c r="A155" s="222" t="s">
        <v>630</v>
      </c>
      <c r="B155" s="261" t="s">
        <v>6</v>
      </c>
      <c r="C155" s="117" t="s">
        <v>631</v>
      </c>
      <c r="D155" s="362"/>
      <c r="E155" s="276" t="s">
        <v>63</v>
      </c>
      <c r="F155" s="261" t="s">
        <v>15</v>
      </c>
      <c r="G155" s="262">
        <f>VLOOKUP(F155,Weightings!$A$46:$B$51,2,FALSE)</f>
        <v>1.0000000000000001E-5</v>
      </c>
      <c r="H155" s="261" t="s">
        <v>15</v>
      </c>
      <c r="I155" s="261" t="s">
        <v>15</v>
      </c>
      <c r="J155" s="264">
        <f>VLOOKUP(I155,[2]Lists!$A$35:$B$40,2,FALSE)</f>
        <v>1E-4</v>
      </c>
      <c r="K155" s="321">
        <f t="shared" si="19"/>
        <v>1.0000000000000001E-9</v>
      </c>
      <c r="L155" s="265">
        <f t="shared" si="17"/>
        <v>1</v>
      </c>
      <c r="M155" s="321">
        <f>IF(B155=Weightings!$A$15,Weightings!$E$36)+IF(B155=Weightings!$A$16,Weightings!$E$41)+IF(B155=Weightings!$A$17,Weightings!$E$41)</f>
        <v>1E-4</v>
      </c>
      <c r="N155" s="321">
        <f t="shared" si="18"/>
        <v>1.0000000000000001E-9</v>
      </c>
      <c r="O155" s="261" t="str">
        <f t="shared" si="20"/>
        <v>n/a</v>
      </c>
      <c r="P155" s="261" t="str">
        <f t="shared" si="16"/>
        <v>n/a</v>
      </c>
    </row>
    <row r="156" spans="1:16" s="285" customFormat="1" ht="216.75" x14ac:dyDescent="0.2">
      <c r="A156" s="222" t="s">
        <v>632</v>
      </c>
      <c r="B156" s="261" t="s">
        <v>6</v>
      </c>
      <c r="C156" s="116" t="s">
        <v>785</v>
      </c>
      <c r="D156" s="362"/>
      <c r="E156" s="276" t="s">
        <v>63</v>
      </c>
      <c r="F156" s="261" t="s">
        <v>15</v>
      </c>
      <c r="G156" s="262">
        <f>VLOOKUP(F156,Weightings!$A$46:$B$51,2,FALSE)</f>
        <v>1.0000000000000001E-5</v>
      </c>
      <c r="H156" s="261" t="s">
        <v>15</v>
      </c>
      <c r="I156" s="261" t="s">
        <v>15</v>
      </c>
      <c r="J156" s="264">
        <f>VLOOKUP(I156,[2]Lists!$A$35:$B$40,2,FALSE)</f>
        <v>1E-4</v>
      </c>
      <c r="K156" s="321">
        <f t="shared" si="19"/>
        <v>1.0000000000000001E-9</v>
      </c>
      <c r="L156" s="265">
        <f t="shared" si="17"/>
        <v>1</v>
      </c>
      <c r="M156" s="321">
        <f>IF(B156=Weightings!$A$15,Weightings!$E$36)+IF(B156=Weightings!$A$16,Weightings!$E$41)+IF(B156=Weightings!$A$17,Weightings!$E$41)</f>
        <v>1E-4</v>
      </c>
      <c r="N156" s="321">
        <f t="shared" si="18"/>
        <v>1.0000000000000001E-9</v>
      </c>
      <c r="O156" s="261" t="str">
        <f t="shared" si="20"/>
        <v>n/a</v>
      </c>
      <c r="P156" s="261" t="str">
        <f t="shared" si="16"/>
        <v>n/a</v>
      </c>
    </row>
    <row r="157" spans="1:16" s="285" customFormat="1" ht="38.25" x14ac:dyDescent="0.2">
      <c r="A157" s="222" t="s">
        <v>633</v>
      </c>
      <c r="B157" s="261" t="s">
        <v>6</v>
      </c>
      <c r="C157" s="246" t="s">
        <v>634</v>
      </c>
      <c r="D157" s="362"/>
      <c r="E157" s="276" t="s">
        <v>63</v>
      </c>
      <c r="F157" s="261" t="s">
        <v>15</v>
      </c>
      <c r="G157" s="262">
        <f>VLOOKUP(F157,Weightings!$A$46:$B$51,2,FALSE)</f>
        <v>1.0000000000000001E-5</v>
      </c>
      <c r="H157" s="261" t="s">
        <v>15</v>
      </c>
      <c r="I157" s="261" t="s">
        <v>15</v>
      </c>
      <c r="J157" s="264">
        <f>VLOOKUP(I157,[2]Lists!$A$35:$B$40,2,FALSE)</f>
        <v>1E-4</v>
      </c>
      <c r="K157" s="321">
        <f t="shared" si="19"/>
        <v>1.0000000000000001E-9</v>
      </c>
      <c r="L157" s="265">
        <f t="shared" si="17"/>
        <v>1</v>
      </c>
      <c r="M157" s="321">
        <f>IF(B157=Weightings!$A$15,Weightings!$E$36)+IF(B157=Weightings!$A$16,Weightings!$E$41)+IF(B157=Weightings!$A$17,Weightings!$E$41)</f>
        <v>1E-4</v>
      </c>
      <c r="N157" s="321">
        <f t="shared" si="18"/>
        <v>1.0000000000000001E-9</v>
      </c>
      <c r="O157" s="261" t="str">
        <f t="shared" si="20"/>
        <v>n/a</v>
      </c>
      <c r="P157" s="261" t="str">
        <f t="shared" si="16"/>
        <v>n/a</v>
      </c>
    </row>
    <row r="158" spans="1:16" s="285" customFormat="1" ht="43.5" customHeight="1" x14ac:dyDescent="0.2">
      <c r="A158" s="222" t="s">
        <v>635</v>
      </c>
      <c r="B158" s="261" t="s">
        <v>6</v>
      </c>
      <c r="C158" s="246" t="s">
        <v>636</v>
      </c>
      <c r="D158" s="362"/>
      <c r="E158" s="276" t="s">
        <v>63</v>
      </c>
      <c r="F158" s="261" t="s">
        <v>15</v>
      </c>
      <c r="G158" s="262">
        <f>VLOOKUP(F158,Weightings!$A$46:$B$51,2,FALSE)</f>
        <v>1.0000000000000001E-5</v>
      </c>
      <c r="H158" s="261" t="s">
        <v>15</v>
      </c>
      <c r="I158" s="261" t="s">
        <v>15</v>
      </c>
      <c r="J158" s="264">
        <f>VLOOKUP(I158,[2]Lists!$A$35:$B$40,2,FALSE)</f>
        <v>1E-4</v>
      </c>
      <c r="K158" s="321">
        <f t="shared" si="19"/>
        <v>1.0000000000000001E-9</v>
      </c>
      <c r="L158" s="265">
        <f t="shared" si="17"/>
        <v>1</v>
      </c>
      <c r="M158" s="321">
        <f>IF(B158=Weightings!$A$15,Weightings!$E$36)+IF(B158=Weightings!$A$16,Weightings!$E$41)+IF(B158=Weightings!$A$17,Weightings!$E$41)</f>
        <v>1E-4</v>
      </c>
      <c r="N158" s="321">
        <f t="shared" si="18"/>
        <v>1.0000000000000001E-9</v>
      </c>
      <c r="O158" s="261" t="str">
        <f t="shared" si="20"/>
        <v>n/a</v>
      </c>
      <c r="P158" s="261" t="str">
        <f t="shared" si="16"/>
        <v>n/a</v>
      </c>
    </row>
    <row r="159" spans="1:16" s="50" customFormat="1" x14ac:dyDescent="0.2">
      <c r="A159" s="323" t="s">
        <v>73</v>
      </c>
      <c r="B159" s="48"/>
      <c r="C159" s="322" t="s">
        <v>637</v>
      </c>
      <c r="D159" s="73"/>
      <c r="E159" s="73"/>
      <c r="F159" s="74" t="s">
        <v>15</v>
      </c>
      <c r="G159" s="73"/>
      <c r="H159" s="74" t="s">
        <v>15</v>
      </c>
      <c r="I159" s="74" t="s">
        <v>15</v>
      </c>
      <c r="J159" s="74">
        <f>VLOOKUP(I159,[2]Lists!$A$35:$B$40,2,FALSE)</f>
        <v>1E-4</v>
      </c>
      <c r="K159" s="74">
        <f t="shared" si="19"/>
        <v>0</v>
      </c>
      <c r="L159" s="74" t="str">
        <f t="shared" si="17"/>
        <v>n/a</v>
      </c>
      <c r="M159" s="74">
        <f>IF(B159=[2]Lists!$A$14,[2]Lists!$E$35)+IF(B159=[2]Lists!$A$15,[2]Lists!$E$40)+IF(B159=[2]Lists!$A$16,[2]Lists!$E$40)</f>
        <v>0</v>
      </c>
      <c r="N159" s="74">
        <f t="shared" si="18"/>
        <v>0</v>
      </c>
      <c r="O159" s="74" t="str">
        <f t="shared" si="20"/>
        <v>n/a</v>
      </c>
      <c r="P159" s="74" t="str">
        <f t="shared" si="16"/>
        <v>n/a</v>
      </c>
    </row>
    <row r="160" spans="1:16" s="285" customFormat="1" ht="63.75" x14ac:dyDescent="0.2">
      <c r="A160" s="222" t="s">
        <v>137</v>
      </c>
      <c r="B160" s="261" t="s">
        <v>6</v>
      </c>
      <c r="C160" s="117" t="s">
        <v>638</v>
      </c>
      <c r="D160" s="362"/>
      <c r="E160" s="276" t="s">
        <v>63</v>
      </c>
      <c r="F160" s="261" t="s">
        <v>15</v>
      </c>
      <c r="G160" s="262">
        <f>VLOOKUP(F160,Weightings!$A$46:$B$51,2,FALSE)</f>
        <v>1.0000000000000001E-5</v>
      </c>
      <c r="H160" s="261" t="s">
        <v>15</v>
      </c>
      <c r="I160" s="261" t="s">
        <v>15</v>
      </c>
      <c r="J160" s="264">
        <f>VLOOKUP(I160,[2]Lists!$A$35:$B$40,2,FALSE)</f>
        <v>1E-4</v>
      </c>
      <c r="K160" s="321">
        <f t="shared" si="19"/>
        <v>1.0000000000000001E-9</v>
      </c>
      <c r="L160" s="265">
        <f t="shared" si="17"/>
        <v>1</v>
      </c>
      <c r="M160" s="321">
        <f>IF(B160=Weightings!$A$15,Weightings!$E$36)+IF(B160=Weightings!$A$16,Weightings!$E$41)+IF(B160=Weightings!$A$17,Weightings!$E$41)</f>
        <v>1E-4</v>
      </c>
      <c r="N160" s="321">
        <f t="shared" si="18"/>
        <v>1.0000000000000001E-9</v>
      </c>
      <c r="O160" s="261" t="str">
        <f t="shared" si="20"/>
        <v>n/a</v>
      </c>
      <c r="P160" s="261" t="str">
        <f t="shared" si="16"/>
        <v>n/a</v>
      </c>
    </row>
    <row r="161" spans="1:16" s="285" customFormat="1" ht="63.75" x14ac:dyDescent="0.2">
      <c r="A161" s="222" t="s">
        <v>639</v>
      </c>
      <c r="B161" s="261" t="s">
        <v>6</v>
      </c>
      <c r="C161" s="117" t="s">
        <v>640</v>
      </c>
      <c r="D161" s="362"/>
      <c r="E161" s="276" t="s">
        <v>63</v>
      </c>
      <c r="F161" s="261" t="s">
        <v>15</v>
      </c>
      <c r="G161" s="262">
        <f>VLOOKUP(F161,Weightings!$A$46:$B$51,2,FALSE)</f>
        <v>1.0000000000000001E-5</v>
      </c>
      <c r="H161" s="261" t="s">
        <v>15</v>
      </c>
      <c r="I161" s="261" t="s">
        <v>15</v>
      </c>
      <c r="J161" s="264">
        <f>VLOOKUP(I161,[2]Lists!$A$35:$B$40,2,FALSE)</f>
        <v>1E-4</v>
      </c>
      <c r="K161" s="321">
        <f t="shared" si="19"/>
        <v>1.0000000000000001E-9</v>
      </c>
      <c r="L161" s="265">
        <f t="shared" si="17"/>
        <v>1</v>
      </c>
      <c r="M161" s="321">
        <f>IF(B161=Weightings!$A$15,Weightings!$E$36)+IF(B161=Weightings!$A$16,Weightings!$E$41)+IF(B161=Weightings!$A$17,Weightings!$E$41)</f>
        <v>1E-4</v>
      </c>
      <c r="N161" s="321">
        <f t="shared" si="18"/>
        <v>1.0000000000000001E-9</v>
      </c>
      <c r="O161" s="261" t="str">
        <f t="shared" si="20"/>
        <v>n/a</v>
      </c>
      <c r="P161" s="261" t="str">
        <f t="shared" si="16"/>
        <v>n/a</v>
      </c>
    </row>
    <row r="162" spans="1:16" s="285" customFormat="1" ht="38.25" x14ac:dyDescent="0.2">
      <c r="A162" s="222" t="s">
        <v>641</v>
      </c>
      <c r="B162" s="261" t="s">
        <v>6</v>
      </c>
      <c r="C162" s="117" t="s">
        <v>642</v>
      </c>
      <c r="D162" s="362"/>
      <c r="E162" s="276" t="s">
        <v>63</v>
      </c>
      <c r="F162" s="261" t="s">
        <v>15</v>
      </c>
      <c r="G162" s="262">
        <f>VLOOKUP(F162,Weightings!$A$46:$B$51,2,FALSE)</f>
        <v>1.0000000000000001E-5</v>
      </c>
      <c r="H162" s="261" t="s">
        <v>15</v>
      </c>
      <c r="I162" s="261" t="s">
        <v>15</v>
      </c>
      <c r="J162" s="264">
        <f>VLOOKUP(I162,[2]Lists!$A$35:$B$40,2,FALSE)</f>
        <v>1E-4</v>
      </c>
      <c r="K162" s="321">
        <f t="shared" si="19"/>
        <v>1.0000000000000001E-9</v>
      </c>
      <c r="L162" s="265">
        <f t="shared" si="17"/>
        <v>1</v>
      </c>
      <c r="M162" s="321">
        <f>IF(B162=Weightings!$A$15,Weightings!$E$36)+IF(B162=Weightings!$A$16,Weightings!$E$41)+IF(B162=Weightings!$A$17,Weightings!$E$41)</f>
        <v>1E-4</v>
      </c>
      <c r="N162" s="321">
        <f t="shared" si="18"/>
        <v>1.0000000000000001E-9</v>
      </c>
      <c r="O162" s="261" t="str">
        <f t="shared" si="20"/>
        <v>n/a</v>
      </c>
      <c r="P162" s="261" t="str">
        <f t="shared" si="16"/>
        <v>n/a</v>
      </c>
    </row>
    <row r="163" spans="1:16" s="285" customFormat="1" ht="114.75" x14ac:dyDescent="0.2">
      <c r="A163" s="222" t="s">
        <v>643</v>
      </c>
      <c r="B163" s="261" t="s">
        <v>6</v>
      </c>
      <c r="C163" s="119" t="s">
        <v>786</v>
      </c>
      <c r="D163" s="362"/>
      <c r="E163" s="276" t="s">
        <v>63</v>
      </c>
      <c r="F163" s="261" t="s">
        <v>15</v>
      </c>
      <c r="G163" s="262">
        <f>VLOOKUP(F163,Weightings!$A$46:$B$51,2,FALSE)</f>
        <v>1.0000000000000001E-5</v>
      </c>
      <c r="H163" s="261" t="s">
        <v>15</v>
      </c>
      <c r="I163" s="261" t="s">
        <v>15</v>
      </c>
      <c r="J163" s="264">
        <f>VLOOKUP(I163,[2]Lists!$A$35:$B$40,2,FALSE)</f>
        <v>1E-4</v>
      </c>
      <c r="K163" s="321">
        <f t="shared" si="19"/>
        <v>1.0000000000000001E-9</v>
      </c>
      <c r="L163" s="265">
        <f t="shared" si="17"/>
        <v>1</v>
      </c>
      <c r="M163" s="321">
        <f>IF(B163=Weightings!$A$15,Weightings!$E$36)+IF(B163=Weightings!$A$16,Weightings!$E$41)+IF(B163=Weightings!$A$17,Weightings!$E$41)</f>
        <v>1E-4</v>
      </c>
      <c r="N163" s="321">
        <f t="shared" si="18"/>
        <v>1.0000000000000001E-9</v>
      </c>
      <c r="O163" s="261" t="str">
        <f t="shared" si="20"/>
        <v>n/a</v>
      </c>
      <c r="P163" s="261" t="str">
        <f t="shared" si="16"/>
        <v>n/a</v>
      </c>
    </row>
    <row r="164" spans="1:16" s="285" customFormat="1" ht="38.25" x14ac:dyDescent="0.2">
      <c r="A164" s="222" t="s">
        <v>644</v>
      </c>
      <c r="B164" s="222" t="s">
        <v>8</v>
      </c>
      <c r="C164" s="252" t="s">
        <v>645</v>
      </c>
      <c r="D164" s="273"/>
      <c r="E164" s="266"/>
      <c r="F164" s="261" t="s">
        <v>43</v>
      </c>
      <c r="G164" s="262">
        <f>VLOOKUP(F164,Weightings!$A$46:$B$51,2,FALSE)</f>
        <v>5</v>
      </c>
      <c r="H164" s="261" t="s">
        <v>14</v>
      </c>
      <c r="I164" s="263" t="s">
        <v>34</v>
      </c>
      <c r="J164" s="264">
        <f>VLOOKUP(I164,[2]Lists!$A$35:$B$40,2,FALSE)</f>
        <v>6</v>
      </c>
      <c r="K164" s="321">
        <f t="shared" si="19"/>
        <v>30</v>
      </c>
      <c r="L164" s="265">
        <f t="shared" si="17"/>
        <v>1</v>
      </c>
      <c r="M164" s="321">
        <f>IF(B164=Weightings!$A$15,Weightings!$E$36)+IF(B164=Weightings!$A$16,Weightings!$E$41)+IF(B164=Weightings!$A$17,Weightings!$E$41)</f>
        <v>6</v>
      </c>
      <c r="N164" s="321">
        <f t="shared" si="18"/>
        <v>30</v>
      </c>
      <c r="O164" s="267">
        <f t="shared" si="20"/>
        <v>3.6231884052194976E-2</v>
      </c>
      <c r="P164" s="292">
        <f t="shared" si="16"/>
        <v>4.5289855065243721E-3</v>
      </c>
    </row>
    <row r="165" spans="1:16" s="285" customFormat="1" ht="82.9" customHeight="1" x14ac:dyDescent="0.2">
      <c r="A165" s="222" t="s">
        <v>646</v>
      </c>
      <c r="B165" s="261" t="s">
        <v>6</v>
      </c>
      <c r="C165" s="113" t="s">
        <v>819</v>
      </c>
      <c r="D165" s="362"/>
      <c r="E165" s="276" t="s">
        <v>63</v>
      </c>
      <c r="F165" s="261" t="s">
        <v>15</v>
      </c>
      <c r="G165" s="262">
        <f>VLOOKUP(F165,Weightings!$A$46:$B$51,2,FALSE)</f>
        <v>1.0000000000000001E-5</v>
      </c>
      <c r="H165" s="261" t="s">
        <v>15</v>
      </c>
      <c r="I165" s="261" t="s">
        <v>15</v>
      </c>
      <c r="J165" s="264">
        <f>VLOOKUP(I165,[2]Lists!$A$35:$B$40,2,FALSE)</f>
        <v>1E-4</v>
      </c>
      <c r="K165" s="321">
        <f t="shared" si="19"/>
        <v>1.0000000000000001E-9</v>
      </c>
      <c r="L165" s="265">
        <f t="shared" si="17"/>
        <v>1</v>
      </c>
      <c r="M165" s="321">
        <f>IF(B165=Weightings!$A$15,Weightings!$E$36)+IF(B165=Weightings!$A$16,Weightings!$E$41)+IF(B165=Weightings!$A$17,Weightings!$E$41)</f>
        <v>1E-4</v>
      </c>
      <c r="N165" s="321">
        <f t="shared" si="18"/>
        <v>1.0000000000000001E-9</v>
      </c>
      <c r="O165" s="261" t="str">
        <f t="shared" si="20"/>
        <v>n/a</v>
      </c>
      <c r="P165" s="261" t="str">
        <f t="shared" si="16"/>
        <v>n/a</v>
      </c>
    </row>
    <row r="166" spans="1:16" s="285" customFormat="1" ht="38.25" x14ac:dyDescent="0.2">
      <c r="A166" s="222" t="s">
        <v>647</v>
      </c>
      <c r="B166" s="261" t="s">
        <v>6</v>
      </c>
      <c r="C166" s="115" t="s">
        <v>648</v>
      </c>
      <c r="D166" s="362"/>
      <c r="E166" s="276" t="s">
        <v>63</v>
      </c>
      <c r="F166" s="261" t="s">
        <v>15</v>
      </c>
      <c r="G166" s="262">
        <f>VLOOKUP(F166,Weightings!$A$46:$B$51,2,FALSE)</f>
        <v>1.0000000000000001E-5</v>
      </c>
      <c r="H166" s="261" t="s">
        <v>15</v>
      </c>
      <c r="I166" s="261" t="s">
        <v>15</v>
      </c>
      <c r="J166" s="264">
        <f>VLOOKUP(I166,[2]Lists!$A$35:$B$40,2,FALSE)</f>
        <v>1E-4</v>
      </c>
      <c r="K166" s="321">
        <f t="shared" si="19"/>
        <v>1.0000000000000001E-9</v>
      </c>
      <c r="L166" s="265">
        <f t="shared" si="17"/>
        <v>1</v>
      </c>
      <c r="M166" s="321">
        <f>IF(B166=Weightings!$A$15,Weightings!$E$36)+IF(B166=Weightings!$A$16,Weightings!$E$41)+IF(B166=Weightings!$A$17,Weightings!$E$41)</f>
        <v>1E-4</v>
      </c>
      <c r="N166" s="321">
        <f t="shared" si="18"/>
        <v>1.0000000000000001E-9</v>
      </c>
      <c r="O166" s="261" t="str">
        <f t="shared" si="20"/>
        <v>n/a</v>
      </c>
      <c r="P166" s="261" t="str">
        <f t="shared" si="16"/>
        <v>n/a</v>
      </c>
    </row>
    <row r="167" spans="1:16" s="285" customFormat="1" ht="38.25" x14ac:dyDescent="0.2">
      <c r="A167" s="222" t="s">
        <v>649</v>
      </c>
      <c r="B167" s="222" t="s">
        <v>8</v>
      </c>
      <c r="C167" s="109" t="s">
        <v>650</v>
      </c>
      <c r="D167" s="273"/>
      <c r="E167" s="266"/>
      <c r="F167" s="261" t="s">
        <v>43</v>
      </c>
      <c r="G167" s="262">
        <f>VLOOKUP(F167,Weightings!$A$46:$B$51,2,FALSE)</f>
        <v>5</v>
      </c>
      <c r="H167" s="261" t="s">
        <v>23</v>
      </c>
      <c r="I167" s="263" t="s">
        <v>34</v>
      </c>
      <c r="J167" s="264">
        <f>VLOOKUP(I167,[2]Lists!$A$35:$B$40,2,FALSE)</f>
        <v>6</v>
      </c>
      <c r="K167" s="321">
        <f t="shared" si="19"/>
        <v>30</v>
      </c>
      <c r="L167" s="265">
        <f t="shared" si="17"/>
        <v>1</v>
      </c>
      <c r="M167" s="321">
        <f>IF(B167=Weightings!$A$15,Weightings!$E$36)+IF(B167=Weightings!$A$16,Weightings!$E$41)+IF(B167=Weightings!$A$17,Weightings!$E$41)</f>
        <v>6</v>
      </c>
      <c r="N167" s="321">
        <f t="shared" si="18"/>
        <v>30</v>
      </c>
      <c r="O167" s="267">
        <f t="shared" si="20"/>
        <v>3.6231884052194976E-2</v>
      </c>
      <c r="P167" s="292">
        <f t="shared" si="16"/>
        <v>4.5289855065243721E-3</v>
      </c>
    </row>
    <row r="168" spans="1:16" s="50" customFormat="1" x14ac:dyDescent="0.2">
      <c r="A168" s="323" t="s">
        <v>651</v>
      </c>
      <c r="B168" s="48"/>
      <c r="C168" s="322" t="s">
        <v>652</v>
      </c>
      <c r="D168" s="322"/>
      <c r="E168" s="73"/>
      <c r="F168" s="74" t="s">
        <v>15</v>
      </c>
      <c r="G168" s="73"/>
      <c r="H168" s="74" t="s">
        <v>15</v>
      </c>
      <c r="I168" s="74" t="s">
        <v>15</v>
      </c>
      <c r="J168" s="74">
        <f>VLOOKUP(I168,[2]Lists!$A$35:$B$40,2,FALSE)</f>
        <v>1E-4</v>
      </c>
      <c r="K168" s="74">
        <f t="shared" si="19"/>
        <v>0</v>
      </c>
      <c r="L168" s="74" t="str">
        <f t="shared" si="17"/>
        <v>n/a</v>
      </c>
      <c r="M168" s="74">
        <f>IF(B168=[2]Lists!$A$14,[2]Lists!$E$35)+IF(B168=[2]Lists!$A$15,[2]Lists!$E$40)+IF(B168=[2]Lists!$A$16,[2]Lists!$E$40)</f>
        <v>0</v>
      </c>
      <c r="N168" s="74">
        <f t="shared" si="18"/>
        <v>0</v>
      </c>
      <c r="O168" s="74" t="str">
        <f t="shared" si="20"/>
        <v>n/a</v>
      </c>
      <c r="P168" s="74" t="str">
        <f t="shared" si="16"/>
        <v>n/a</v>
      </c>
    </row>
    <row r="169" spans="1:16" s="285" customFormat="1" ht="51" x14ac:dyDescent="0.2">
      <c r="A169" s="222" t="s">
        <v>653</v>
      </c>
      <c r="B169" s="261" t="s">
        <v>6</v>
      </c>
      <c r="C169" s="115" t="s">
        <v>654</v>
      </c>
      <c r="D169" s="362"/>
      <c r="E169" s="276" t="s">
        <v>63</v>
      </c>
      <c r="F169" s="261" t="s">
        <v>15</v>
      </c>
      <c r="G169" s="262">
        <f>VLOOKUP(F169,Weightings!$A$46:$B$51,2,FALSE)</f>
        <v>1.0000000000000001E-5</v>
      </c>
      <c r="H169" s="261" t="s">
        <v>15</v>
      </c>
      <c r="I169" s="261" t="s">
        <v>15</v>
      </c>
      <c r="J169" s="264">
        <f>VLOOKUP(I169,[2]Lists!$A$35:$B$40,2,FALSE)</f>
        <v>1E-4</v>
      </c>
      <c r="K169" s="321">
        <f t="shared" si="19"/>
        <v>1.0000000000000001E-9</v>
      </c>
      <c r="L169" s="265">
        <f t="shared" ref="L169:L178" si="21">IF(ISERROR(K169/N169),"n/a",K169/N169)</f>
        <v>1</v>
      </c>
      <c r="M169" s="321">
        <f>IF(B169=Weightings!$A$15,Weightings!$E$36)+IF(B169=Weightings!$A$16,Weightings!$E$41)+IF(B169=Weightings!$A$17,Weightings!$E$41)</f>
        <v>1E-4</v>
      </c>
      <c r="N169" s="321">
        <f t="shared" ref="N169:N178" si="22">G169*M169</f>
        <v>1.0000000000000001E-9</v>
      </c>
      <c r="O169" s="261" t="str">
        <f t="shared" si="20"/>
        <v>n/a</v>
      </c>
      <c r="P169" s="261" t="str">
        <f t="shared" si="16"/>
        <v>n/a</v>
      </c>
    </row>
    <row r="170" spans="1:16" s="285" customFormat="1" ht="38.25" x14ac:dyDescent="0.2">
      <c r="A170" s="222" t="s">
        <v>655</v>
      </c>
      <c r="B170" s="222" t="s">
        <v>8</v>
      </c>
      <c r="C170" s="223" t="s">
        <v>656</v>
      </c>
      <c r="D170" s="273"/>
      <c r="E170" s="266"/>
      <c r="F170" s="261" t="s">
        <v>43</v>
      </c>
      <c r="G170" s="262">
        <f>VLOOKUP(F170,Weightings!$A$46:$B$51,2,FALSE)</f>
        <v>5</v>
      </c>
      <c r="H170" s="261" t="s">
        <v>14</v>
      </c>
      <c r="I170" s="263" t="s">
        <v>34</v>
      </c>
      <c r="J170" s="264">
        <f>VLOOKUP(I170,[2]Lists!$A$35:$B$40,2,FALSE)</f>
        <v>6</v>
      </c>
      <c r="K170" s="321">
        <f t="shared" si="19"/>
        <v>30</v>
      </c>
      <c r="L170" s="265">
        <f t="shared" si="21"/>
        <v>1</v>
      </c>
      <c r="M170" s="321">
        <f>IF(B170=Weightings!$A$15,Weightings!$E$36)+IF(B170=Weightings!$A$16,Weightings!$E$41)+IF(B170=Weightings!$A$17,Weightings!$E$41)</f>
        <v>6</v>
      </c>
      <c r="N170" s="321">
        <f t="shared" si="22"/>
        <v>30</v>
      </c>
      <c r="O170" s="267">
        <f t="shared" si="20"/>
        <v>3.6231884052194976E-2</v>
      </c>
      <c r="P170" s="292">
        <f t="shared" si="16"/>
        <v>4.5289855065243721E-3</v>
      </c>
    </row>
    <row r="171" spans="1:16" s="285" customFormat="1" ht="76.5" x14ac:dyDescent="0.2">
      <c r="A171" s="222" t="s">
        <v>657</v>
      </c>
      <c r="B171" s="261" t="s">
        <v>6</v>
      </c>
      <c r="C171" s="112" t="s">
        <v>658</v>
      </c>
      <c r="D171" s="362"/>
      <c r="E171" s="276" t="s">
        <v>63</v>
      </c>
      <c r="F171" s="261" t="s">
        <v>15</v>
      </c>
      <c r="G171" s="262">
        <f>VLOOKUP(F171,Weightings!$A$46:$B$51,2,FALSE)</f>
        <v>1.0000000000000001E-5</v>
      </c>
      <c r="H171" s="261" t="s">
        <v>15</v>
      </c>
      <c r="I171" s="261" t="s">
        <v>15</v>
      </c>
      <c r="J171" s="264">
        <f>VLOOKUP(I171,[2]Lists!$A$35:$B$40,2,FALSE)</f>
        <v>1E-4</v>
      </c>
      <c r="K171" s="321">
        <f t="shared" si="19"/>
        <v>1.0000000000000001E-9</v>
      </c>
      <c r="L171" s="265">
        <f t="shared" si="21"/>
        <v>1</v>
      </c>
      <c r="M171" s="321">
        <f>IF(B171=Weightings!$A$15,Weightings!$E$36)+IF(B171=Weightings!$A$16,Weightings!$E$41)+IF(B171=Weightings!$A$17,Weightings!$E$41)</f>
        <v>1E-4</v>
      </c>
      <c r="N171" s="321">
        <f t="shared" si="22"/>
        <v>1.0000000000000001E-9</v>
      </c>
      <c r="O171" s="261" t="str">
        <f t="shared" si="20"/>
        <v>n/a</v>
      </c>
      <c r="P171" s="261" t="str">
        <f t="shared" si="16"/>
        <v>n/a</v>
      </c>
    </row>
    <row r="172" spans="1:16" s="285" customFormat="1" ht="38.25" x14ac:dyDescent="0.2">
      <c r="A172" s="222" t="s">
        <v>659</v>
      </c>
      <c r="B172" s="222" t="s">
        <v>8</v>
      </c>
      <c r="C172" s="223" t="s">
        <v>656</v>
      </c>
      <c r="D172" s="273"/>
      <c r="E172" s="266"/>
      <c r="F172" s="261" t="s">
        <v>43</v>
      </c>
      <c r="G172" s="262">
        <f>VLOOKUP(F172,Weightings!$A$46:$B$51,2,FALSE)</f>
        <v>5</v>
      </c>
      <c r="H172" s="261" t="s">
        <v>14</v>
      </c>
      <c r="I172" s="263" t="s">
        <v>34</v>
      </c>
      <c r="J172" s="264">
        <f>VLOOKUP(I172,[2]Lists!$A$35:$B$40,2,FALSE)</f>
        <v>6</v>
      </c>
      <c r="K172" s="321">
        <f t="shared" si="19"/>
        <v>30</v>
      </c>
      <c r="L172" s="265">
        <f t="shared" si="21"/>
        <v>1</v>
      </c>
      <c r="M172" s="321">
        <f>IF(B172=Weightings!$A$15,Weightings!$E$36)+IF(B172=Weightings!$A$16,Weightings!$E$41)+IF(B172=Weightings!$A$17,Weightings!$E$41)</f>
        <v>6</v>
      </c>
      <c r="N172" s="321">
        <f t="shared" si="22"/>
        <v>30</v>
      </c>
      <c r="O172" s="267">
        <f t="shared" si="20"/>
        <v>3.6231884052194976E-2</v>
      </c>
      <c r="P172" s="292">
        <f t="shared" si="16"/>
        <v>4.5289855065243721E-3</v>
      </c>
    </row>
    <row r="173" spans="1:16" s="204" customFormat="1" x14ac:dyDescent="0.2">
      <c r="A173" s="323" t="s">
        <v>660</v>
      </c>
      <c r="B173" s="48"/>
      <c r="C173" s="322" t="s">
        <v>219</v>
      </c>
      <c r="D173" s="322"/>
      <c r="E173" s="73"/>
      <c r="F173" s="74" t="s">
        <v>15</v>
      </c>
      <c r="G173" s="73"/>
      <c r="H173" s="74" t="s">
        <v>15</v>
      </c>
      <c r="I173" s="74" t="s">
        <v>15</v>
      </c>
      <c r="J173" s="74">
        <f>VLOOKUP(I173,[2]Lists!$A$35:$B$40,2,FALSE)</f>
        <v>1E-4</v>
      </c>
      <c r="K173" s="74">
        <f t="shared" si="19"/>
        <v>0</v>
      </c>
      <c r="L173" s="74" t="str">
        <f t="shared" si="21"/>
        <v>n/a</v>
      </c>
      <c r="M173" s="74">
        <f>IF(B173=[2]Lists!$A$14,[2]Lists!$E$35)+IF(B173=[2]Lists!$A$15,[2]Lists!$E$40)+IF(B173=[2]Lists!$A$16,[2]Lists!$E$40)</f>
        <v>0</v>
      </c>
      <c r="N173" s="74">
        <f t="shared" si="22"/>
        <v>0</v>
      </c>
      <c r="O173" s="74" t="str">
        <f t="shared" si="20"/>
        <v>n/a</v>
      </c>
      <c r="P173" s="74" t="str">
        <f t="shared" si="16"/>
        <v>n/a</v>
      </c>
    </row>
    <row r="174" spans="1:16" s="285" customFormat="1" ht="38.25" x14ac:dyDescent="0.2">
      <c r="A174" s="222" t="s">
        <v>661</v>
      </c>
      <c r="B174" s="261" t="s">
        <v>6</v>
      </c>
      <c r="C174" s="250" t="s">
        <v>662</v>
      </c>
      <c r="D174" s="362"/>
      <c r="E174" s="276" t="s">
        <v>63</v>
      </c>
      <c r="F174" s="261" t="s">
        <v>15</v>
      </c>
      <c r="G174" s="262">
        <f>VLOOKUP(F174,Weightings!$A$46:$B$51,2,FALSE)</f>
        <v>1.0000000000000001E-5</v>
      </c>
      <c r="H174" s="261" t="s">
        <v>15</v>
      </c>
      <c r="I174" s="263" t="s">
        <v>15</v>
      </c>
      <c r="J174" s="264">
        <f>VLOOKUP(I174,[2]Lists!$A$35:$B$40,2,FALSE)</f>
        <v>1E-4</v>
      </c>
      <c r="K174" s="321">
        <f t="shared" si="19"/>
        <v>1.0000000000000001E-9</v>
      </c>
      <c r="L174" s="265">
        <f t="shared" si="21"/>
        <v>1</v>
      </c>
      <c r="M174" s="321">
        <f>IF(B174=Weightings!$A$15,Weightings!$E$36)+IF(B174=Weightings!$A$16,Weightings!$E$41)+IF(B174=Weightings!$A$17,Weightings!$E$41)</f>
        <v>1E-4</v>
      </c>
      <c r="N174" s="321">
        <f t="shared" si="22"/>
        <v>1.0000000000000001E-9</v>
      </c>
      <c r="O174" s="261" t="str">
        <f t="shared" si="20"/>
        <v>n/a</v>
      </c>
      <c r="P174" s="261" t="str">
        <f t="shared" si="16"/>
        <v>n/a</v>
      </c>
    </row>
    <row r="175" spans="1:16" s="204" customFormat="1" x14ac:dyDescent="0.2">
      <c r="A175" s="323" t="s">
        <v>730</v>
      </c>
      <c r="B175" s="48"/>
      <c r="C175" s="322" t="s">
        <v>220</v>
      </c>
      <c r="D175" s="322"/>
      <c r="E175" s="73"/>
      <c r="F175" s="74" t="s">
        <v>15</v>
      </c>
      <c r="G175" s="73"/>
      <c r="H175" s="74" t="s">
        <v>15</v>
      </c>
      <c r="I175" s="74" t="s">
        <v>15</v>
      </c>
      <c r="J175" s="74">
        <f>VLOOKUP(I175,[3]Lists!$A$35:$B$40,2,FALSE)</f>
        <v>1E-4</v>
      </c>
      <c r="K175" s="74">
        <f t="shared" si="19"/>
        <v>0</v>
      </c>
      <c r="L175" s="74" t="str">
        <f t="shared" si="21"/>
        <v>n/a</v>
      </c>
      <c r="M175" s="74">
        <f>IF(B175=[3]Lists!$A$14,[3]Lists!$E$35)+IF(B175=[3]Lists!$A$15,[3]Lists!$E$40)+IF(B175=[3]Lists!$A$16,[3]Lists!$E$40)</f>
        <v>0</v>
      </c>
      <c r="N175" s="74">
        <f t="shared" si="22"/>
        <v>0</v>
      </c>
      <c r="O175" s="277" t="str">
        <f t="shared" ref="O175:O178" si="23">IF((N175/$N$2)&gt;0,N175/$N$2,"n/a")</f>
        <v>n/a</v>
      </c>
      <c r="P175" s="277" t="str">
        <f t="shared" si="16"/>
        <v>n/a</v>
      </c>
    </row>
    <row r="176" spans="1:16" s="89" customFormat="1" ht="293.25" x14ac:dyDescent="0.2">
      <c r="A176" s="222" t="s">
        <v>731</v>
      </c>
      <c r="B176" s="261" t="s">
        <v>6</v>
      </c>
      <c r="C176" s="114" t="s">
        <v>837</v>
      </c>
      <c r="D176" s="362"/>
      <c r="E176" s="276" t="s">
        <v>63</v>
      </c>
      <c r="F176" s="261" t="s">
        <v>15</v>
      </c>
      <c r="G176" s="262">
        <f>VLOOKUP(F176,Weightings!$A$46:$B$51,2,FALSE)</f>
        <v>1.0000000000000001E-5</v>
      </c>
      <c r="H176" s="261" t="s">
        <v>15</v>
      </c>
      <c r="I176" s="261" t="s">
        <v>15</v>
      </c>
      <c r="J176" s="264">
        <v>1E-4</v>
      </c>
      <c r="K176" s="321">
        <f t="shared" si="19"/>
        <v>1.0000000000000001E-9</v>
      </c>
      <c r="L176" s="265">
        <f t="shared" si="21"/>
        <v>1</v>
      </c>
      <c r="M176" s="321">
        <f>IF(B176=Weightings!$A$15,Weightings!$E$36)+IF(B176=Weightings!$A$16,Weightings!$E$41)+IF(B176=Weightings!$A$17,Weightings!$E$41)</f>
        <v>1E-4</v>
      </c>
      <c r="N176" s="321">
        <f t="shared" si="22"/>
        <v>1.0000000000000001E-9</v>
      </c>
      <c r="O176" s="261" t="str">
        <f t="shared" ref="O176" si="24">IF((N176/$N$2)&gt;0.0001,N176/$N$2,"n/a")</f>
        <v>n/a</v>
      </c>
      <c r="P176" s="261" t="str">
        <f t="shared" si="16"/>
        <v>n/a</v>
      </c>
    </row>
    <row r="177" spans="1:16" s="204" customFormat="1" x14ac:dyDescent="0.2">
      <c r="A177" s="323" t="s">
        <v>732</v>
      </c>
      <c r="B177" s="48"/>
      <c r="C177" s="322" t="s">
        <v>221</v>
      </c>
      <c r="D177" s="322"/>
      <c r="E177" s="73"/>
      <c r="F177" s="73"/>
      <c r="G177" s="73"/>
      <c r="H177" s="73"/>
      <c r="I177" s="73"/>
      <c r="J177" s="74" t="e">
        <f>VLOOKUP(I177,[3]Lists!$A$35:$B$40,2,FALSE)</f>
        <v>#N/A</v>
      </c>
      <c r="K177" s="74" t="e">
        <f t="shared" si="19"/>
        <v>#N/A</v>
      </c>
      <c r="L177" s="74" t="str">
        <f t="shared" si="21"/>
        <v>n/a</v>
      </c>
      <c r="M177" s="74">
        <f>IF(B177=[3]Lists!$A$14,[3]Lists!$E$35)+IF(B177=[3]Lists!$A$15,[3]Lists!$E$40)+IF(B177=[3]Lists!$A$16,[3]Lists!$E$40)</f>
        <v>0</v>
      </c>
      <c r="N177" s="74">
        <f t="shared" si="22"/>
        <v>0</v>
      </c>
      <c r="O177" s="277" t="str">
        <f t="shared" si="23"/>
        <v>n/a</v>
      </c>
      <c r="P177" s="277" t="str">
        <f t="shared" si="16"/>
        <v>n/a</v>
      </c>
    </row>
    <row r="178" spans="1:16" s="89" customFormat="1" ht="102" x14ac:dyDescent="0.2">
      <c r="A178" s="222" t="s">
        <v>733</v>
      </c>
      <c r="B178" s="261" t="s">
        <v>6</v>
      </c>
      <c r="C178" s="117" t="s">
        <v>189</v>
      </c>
      <c r="D178" s="362"/>
      <c r="E178" s="276" t="s">
        <v>63</v>
      </c>
      <c r="F178" s="261" t="s">
        <v>15</v>
      </c>
      <c r="G178" s="262">
        <f>VLOOKUP(F178,Weightings!$A$46:$B$51,2,FALSE)</f>
        <v>1.0000000000000001E-5</v>
      </c>
      <c r="H178" s="261" t="s">
        <v>15</v>
      </c>
      <c r="I178" s="261" t="s">
        <v>15</v>
      </c>
      <c r="J178" s="264">
        <v>1E-4</v>
      </c>
      <c r="K178" s="321">
        <f t="shared" si="19"/>
        <v>1.0000000000000001E-9</v>
      </c>
      <c r="L178" s="265">
        <f t="shared" si="21"/>
        <v>1</v>
      </c>
      <c r="M178" s="321">
        <f>IF(B178=Weightings!$A$15,Weightings!$E$36)+IF(B178=Weightings!$A$16,Weightings!$E$41)+IF(B178=Weightings!$A$17,Weightings!$E$41)</f>
        <v>1E-4</v>
      </c>
      <c r="N178" s="321">
        <f t="shared" si="22"/>
        <v>1.0000000000000001E-9</v>
      </c>
      <c r="O178" s="261" t="str">
        <f t="shared" ref="O178" si="25">IF((N178/$N$2)&gt;0.0001,N178/$N$2,"n/a")</f>
        <v>n/a</v>
      </c>
      <c r="P178" s="261" t="str">
        <f t="shared" si="16"/>
        <v>n/a</v>
      </c>
    </row>
    <row r="179" spans="1:16" s="285" customFormat="1" x14ac:dyDescent="0.2">
      <c r="A179" s="232"/>
      <c r="B179" s="96"/>
      <c r="C179" s="96"/>
      <c r="D179" s="51"/>
      <c r="E179" s="293"/>
      <c r="F179" s="293"/>
      <c r="G179" s="293"/>
      <c r="H179" s="293"/>
      <c r="I179" s="293"/>
      <c r="J179" s="293"/>
      <c r="K179" s="293"/>
      <c r="L179" s="293"/>
      <c r="M179" s="293"/>
      <c r="N179" s="293"/>
      <c r="O179" s="294"/>
      <c r="P179" s="294"/>
    </row>
    <row r="180" spans="1:16" s="285" customFormat="1" x14ac:dyDescent="0.2">
      <c r="A180" s="232"/>
      <c r="B180" s="96"/>
      <c r="C180" s="96"/>
      <c r="D180" s="51"/>
      <c r="E180" s="293"/>
      <c r="F180" s="293"/>
      <c r="G180" s="293"/>
      <c r="H180" s="293"/>
      <c r="I180" s="293"/>
      <c r="J180" s="293"/>
      <c r="K180" s="293"/>
      <c r="L180" s="293"/>
      <c r="M180" s="293"/>
      <c r="N180" s="293"/>
      <c r="O180" s="293"/>
      <c r="P180" s="294"/>
    </row>
    <row r="181" spans="1:16" s="285" customFormat="1" x14ac:dyDescent="0.2">
      <c r="A181" s="232"/>
      <c r="B181" s="96"/>
      <c r="C181" s="96"/>
      <c r="D181" s="51"/>
      <c r="E181" s="293"/>
      <c r="F181" s="293"/>
      <c r="G181" s="293"/>
      <c r="H181" s="293"/>
      <c r="I181" s="293"/>
      <c r="J181" s="293"/>
      <c r="K181" s="293"/>
      <c r="L181" s="293"/>
      <c r="M181" s="293"/>
      <c r="N181" s="293"/>
      <c r="O181" s="293"/>
      <c r="P181" s="294"/>
    </row>
    <row r="182" spans="1:16" s="285" customFormat="1" x14ac:dyDescent="0.2">
      <c r="A182" s="232"/>
      <c r="B182" s="96"/>
      <c r="C182" s="96"/>
      <c r="D182" s="51"/>
      <c r="E182" s="293"/>
      <c r="F182" s="293"/>
      <c r="G182" s="293"/>
      <c r="H182" s="293"/>
      <c r="I182" s="293"/>
      <c r="J182" s="293"/>
      <c r="K182" s="293"/>
      <c r="L182" s="293"/>
      <c r="M182" s="293"/>
      <c r="N182" s="293"/>
      <c r="O182" s="293"/>
      <c r="P182" s="294"/>
    </row>
  </sheetData>
  <sheetProtection password="ED47" sheet="1" objects="1" scenarios="1" formatCells="0" formatColumns="0" formatRows="0" autoFilter="0"/>
  <autoFilter ref="A5:P178"/>
  <mergeCells count="2">
    <mergeCell ref="E1:H1"/>
    <mergeCell ref="A1:B1"/>
  </mergeCells>
  <dataValidations count="6">
    <dataValidation allowBlank="1" showDropDown="1" showInputMessage="1" showErrorMessage="1" sqref="I7"/>
    <dataValidation type="list" allowBlank="1" showInputMessage="1" showErrorMessage="1" sqref="D2 B2:B1048576 C91:C1048576 C1:C88">
      <formula1>Spec_Compl_Adj</formula1>
    </dataValidation>
    <dataValidation type="list" allowBlank="1" showInputMessage="1" showErrorMessage="1" sqref="I170 I15 I172:I175 I19 I21 I97:I100 I107 I109 I111:I112 I118 I120 I122 I125 I116 I133 I130:I131 I135 I140 I138 I145 I142 I149:I150 I159 I152 I167:I168 I164 I6">
      <formula1>Adj_Service</formula1>
    </dataValidation>
    <dataValidation type="list" allowBlank="1" showInputMessage="1" showErrorMessage="1" sqref="H170 H15 H172:H175 H19 H21 H97:H100 H107 H109 H111:H112 H118 H120 H122 H125 H116 H133 H130:H131 H135 H140 H138 H145 H142 H149:H150 H159 H152 H167:H168 H164 H6:H7">
      <formula1>Adj_Evidence</formula1>
    </dataValidation>
    <dataValidation type="list" allowBlank="1" showInputMessage="1" showErrorMessage="1" sqref="F149:F150 F6:F8 F15 F135 F120 F172:F175 F19 F133 F97:F100 F170 F107 F145 F109 F167:F168 F111:F112 F138 F116 F159 F118 F140 F130:F131 F152 F122 F142 F125 F164 F21">
      <formula1>Adj_Weight</formula1>
    </dataValidation>
    <dataValidation type="list" allowBlank="1" showInputMessage="1" showErrorMessage="1" sqref="D171 D169 D9:D14 D174 D176 D16:D18 D20 D22:D96 D98:D99 D101:D106 D108 D113:D115 D117 D121 D123:D124 D126:D129 D131:D132 D134 D136:D137 D141 D139 D143:D144 D151:D158 D160:D163 D165:D166 D110 D119 D146:D148 D178">
      <formula1>"Yes,No"</formula1>
    </dataValidation>
  </dataValidations>
  <printOptions headings="1"/>
  <pageMargins left="0.70866141732283472" right="0.70866141732283472" top="0.74803149606299213" bottom="0.74803149606299213" header="0.31496062992125984" footer="0.31496062992125984"/>
  <pageSetup paperSize="9" fitToHeight="0" orientation="landscape" r:id="rId1"/>
  <headerFooter>
    <oddHeader>Page &amp;P&amp;R&amp;A</oddHeader>
    <oddFooter>&amp;F</oddFooter>
  </headerFooter>
  <extLst>
    <ext xmlns:x14="http://schemas.microsoft.com/office/spreadsheetml/2009/9/main" uri="{CCE6A557-97BC-4b89-ADB6-D9C93CAAB3DF}">
      <x14:dataValidations xmlns:xm="http://schemas.microsoft.com/office/excel/2006/main" count="2">
        <x14:dataValidation type="list" allowBlank="1" showDropDown="1" showInputMessage="1" showErrorMessage="1">
          <x14:formula1>
            <xm:f>[2]Lists!#REF!</xm:f>
          </x14:formula1>
          <xm:sqref>D15 D19 D21 D135 D138 D142 D172 D170 D167 D164 D149 D111 D109 D107</xm:sqref>
        </x14:dataValidation>
        <x14:dataValidation type="list" allowBlank="1" showInputMessage="1" showErrorMessage="1">
          <x14:formula1>
            <xm:f>[2]Lists!#REF!</xm:f>
          </x14:formula1>
          <xm:sqref>D97 D116 D118 D120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P57"/>
  <sheetViews>
    <sheetView zoomScaleNormal="100" workbookViewId="0">
      <pane ySplit="5" topLeftCell="A6" activePane="bottomLeft" state="frozen"/>
      <selection activeCell="I20" sqref="I20"/>
      <selection pane="bottomLeft" activeCell="A6" sqref="A6"/>
    </sheetView>
  </sheetViews>
  <sheetFormatPr defaultColWidth="8.88671875" defaultRowHeight="12.75" x14ac:dyDescent="0.2"/>
  <cols>
    <col min="1" max="1" width="8.77734375" style="324" customWidth="1"/>
    <col min="2" max="2" width="11.109375" style="324" customWidth="1"/>
    <col min="3" max="3" width="65.88671875" style="324" customWidth="1"/>
    <col min="4" max="4" width="14.6640625" style="324" customWidth="1"/>
    <col min="5" max="5" width="46.33203125" style="324" customWidth="1"/>
    <col min="6" max="6" width="10.6640625" style="324" customWidth="1"/>
    <col min="7" max="7" width="11" style="324" hidden="1" customWidth="1"/>
    <col min="8" max="8" width="9.33203125" style="324" customWidth="1"/>
    <col min="9" max="9" width="11.88671875" style="324" hidden="1" customWidth="1"/>
    <col min="10" max="11" width="13.109375" style="324" hidden="1" customWidth="1"/>
    <col min="12" max="13" width="11" style="324" hidden="1" customWidth="1"/>
    <col min="14" max="14" width="18.44140625" style="324" hidden="1" customWidth="1"/>
    <col min="15" max="15" width="17.6640625" style="324" customWidth="1"/>
    <col min="16" max="16" width="18.6640625" style="324" customWidth="1"/>
    <col min="17" max="16384" width="8.88671875" style="324"/>
  </cols>
  <sheetData>
    <row r="1" spans="1:16" ht="22.9" customHeight="1" x14ac:dyDescent="0.2">
      <c r="A1" s="340" t="s">
        <v>747</v>
      </c>
      <c r="B1" s="340"/>
      <c r="C1" s="127"/>
      <c r="D1" s="328">
        <f>COUNTIF(D5:D110,"NO")</f>
        <v>0</v>
      </c>
      <c r="E1" s="361" t="s">
        <v>537</v>
      </c>
      <c r="F1" s="361"/>
      <c r="G1" s="361"/>
      <c r="H1" s="361"/>
      <c r="O1" s="79"/>
      <c r="P1" s="79"/>
    </row>
    <row r="2" spans="1:16" ht="12" customHeight="1" x14ac:dyDescent="0.2">
      <c r="B2" s="327">
        <f>COUNTIF(B5:B115,"Compliance Yes/No")+COUNTIF(B5:B115,"Specification")</f>
        <v>37</v>
      </c>
      <c r="C2" s="128"/>
      <c r="D2" s="328">
        <f>COUNTIF(D5:D110,"yes")</f>
        <v>0</v>
      </c>
      <c r="I2" s="53" t="s">
        <v>74</v>
      </c>
      <c r="J2" s="44"/>
      <c r="K2" s="45">
        <f>SUM(K7:K49)</f>
        <v>114.00000003500003</v>
      </c>
      <c r="L2" s="68">
        <f>K2/N2</f>
        <v>0.65517241385870051</v>
      </c>
      <c r="M2" s="45"/>
      <c r="N2" s="45">
        <f>SUM(N7:N49)</f>
        <v>174.0000000359999</v>
      </c>
      <c r="O2" s="69">
        <f>SUM(O7:O49)</f>
        <v>1.0000000000000011</v>
      </c>
      <c r="P2" s="92">
        <f>SUM(P7:P49)</f>
        <v>0.12500000000000014</v>
      </c>
    </row>
    <row r="3" spans="1:16" ht="34.9" customHeight="1" x14ac:dyDescent="0.2">
      <c r="A3" s="98" t="s">
        <v>776</v>
      </c>
      <c r="B3" s="99"/>
      <c r="C3" s="99"/>
      <c r="D3" s="66"/>
      <c r="E3" s="66"/>
      <c r="F3" s="66"/>
      <c r="G3" s="66"/>
      <c r="H3" s="66"/>
      <c r="I3" s="66"/>
      <c r="J3" s="66"/>
      <c r="K3" s="66"/>
      <c r="L3" s="66"/>
      <c r="M3" s="66"/>
      <c r="N3" s="66"/>
      <c r="O3" s="66"/>
      <c r="P3" s="66"/>
    </row>
    <row r="4" spans="1:16" s="50" customFormat="1" ht="17.45" customHeight="1" x14ac:dyDescent="0.2">
      <c r="A4" s="98" t="s">
        <v>663</v>
      </c>
      <c r="B4" s="100"/>
      <c r="C4" s="100"/>
      <c r="D4" s="98"/>
      <c r="E4" s="67">
        <f>Introduction!B10</f>
        <v>0</v>
      </c>
      <c r="F4" s="67"/>
      <c r="G4" s="67"/>
      <c r="H4" s="67"/>
      <c r="I4" s="67"/>
      <c r="J4" s="67"/>
      <c r="K4" s="67"/>
      <c r="L4" s="67"/>
      <c r="M4" s="67"/>
      <c r="N4" s="67"/>
      <c r="O4" s="71"/>
      <c r="P4" s="71"/>
    </row>
    <row r="5" spans="1:16" s="129" customFormat="1" ht="85.15" customHeight="1" thickBot="1" x14ac:dyDescent="0.25">
      <c r="A5" s="80" t="s">
        <v>53</v>
      </c>
      <c r="B5" s="80"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49"/>
      <c r="F6" s="74" t="s">
        <v>15</v>
      </c>
      <c r="G6" s="272">
        <f>VLOOKUP(F6,[2]Lists!$A$45:$B$50,2,FALSE)</f>
        <v>1.0000000000000001E-5</v>
      </c>
      <c r="H6" s="272" t="s">
        <v>15</v>
      </c>
      <c r="I6" s="272" t="s">
        <v>15</v>
      </c>
      <c r="J6" s="272">
        <f>VLOOKUP(I6,[2]Lists!$A$35:$B$40,2,FALSE)</f>
        <v>1E-4</v>
      </c>
      <c r="K6" s="272"/>
      <c r="L6" s="272"/>
      <c r="M6" s="272">
        <f>IF(B6=[2]Lists!$A$14,[2]Lists!$E$35)+IF(B6=[2]Lists!$A$15,[2]Lists!$E$40)+IF(B6=[2]Lists!$A$16,[2]Lists!$E$40)</f>
        <v>0</v>
      </c>
      <c r="N6" s="272"/>
      <c r="O6" s="70"/>
      <c r="P6" s="70"/>
    </row>
    <row r="7" spans="1:16" s="47" customFormat="1" ht="48.6" customHeight="1" x14ac:dyDescent="0.2">
      <c r="A7" s="222" t="s">
        <v>93</v>
      </c>
      <c r="B7" s="261" t="s">
        <v>7</v>
      </c>
      <c r="C7" s="112" t="s">
        <v>187</v>
      </c>
      <c r="D7" s="295">
        <f>COUNTIF(D9:D114,"Yes")/($B$2-1)</f>
        <v>0</v>
      </c>
      <c r="E7" s="271"/>
      <c r="F7" s="261" t="s">
        <v>44</v>
      </c>
      <c r="G7" s="262">
        <f>VLOOKUP(F7,Weightings!$A$46:$B$51,2,FALSE)</f>
        <v>10</v>
      </c>
      <c r="H7" s="274"/>
      <c r="I7" s="263" t="s">
        <v>836</v>
      </c>
      <c r="J7" s="264">
        <f>IF(D7&gt;=0.97,6,IF(D7&gt;=0.9,4,IF(D7&gt;=0.8,2,IF(D7&gt;=0.7,1,0))))</f>
        <v>0</v>
      </c>
      <c r="K7" s="321">
        <f t="shared" ref="K7:K49" si="0">J7*G7</f>
        <v>0</v>
      </c>
      <c r="L7" s="265">
        <f>IF(ISERROR(K7/N7),"n/a",K7/N7)</f>
        <v>0</v>
      </c>
      <c r="M7" s="321">
        <f>IF(B7=Weightings!$A$15,Weightings!$E$36)+IF(B7=Weightings!$A$16,Weightings!$E$41)+IF(B7=Weightings!$A$17,Weightings!$E$41)</f>
        <v>6</v>
      </c>
      <c r="N7" s="321">
        <f t="shared" ref="N7:N49" si="1">G7*M7</f>
        <v>60</v>
      </c>
      <c r="O7" s="269">
        <f>IF((N7/$N$2)&gt;0,N7/$N$2,"n/a")</f>
        <v>0.34482758613555309</v>
      </c>
      <c r="P7" s="270">
        <f>IF(ISERROR(O7*0.125),"n/a",O7*0.125)</f>
        <v>4.3103448266944136E-2</v>
      </c>
    </row>
    <row r="8" spans="1:16" s="82" customFormat="1" x14ac:dyDescent="0.2">
      <c r="A8" s="81" t="s">
        <v>94</v>
      </c>
      <c r="B8" s="81"/>
      <c r="C8" s="322" t="s">
        <v>664</v>
      </c>
      <c r="D8" s="322"/>
      <c r="E8" s="48"/>
      <c r="F8" s="272" t="s">
        <v>15</v>
      </c>
      <c r="G8" s="48"/>
      <c r="H8" s="272" t="s">
        <v>15</v>
      </c>
      <c r="I8" s="272" t="s">
        <v>15</v>
      </c>
      <c r="J8" s="272">
        <f>VLOOKUP(I8,[2]Lists!$A$35:$B$40,2,FALSE)</f>
        <v>1E-4</v>
      </c>
      <c r="K8" s="272">
        <f t="shared" si="0"/>
        <v>0</v>
      </c>
      <c r="L8" s="272" t="str">
        <f t="shared" ref="L8:L49" si="2">IF(ISERROR(K8/N8),"n/a",K8/N8)</f>
        <v>n/a</v>
      </c>
      <c r="M8" s="272">
        <f>IF(B8=[2]Lists!$A$14,[2]Lists!$E$35)+IF(B8=[2]Lists!$A$15,[2]Lists!$E$40)+IF(B8=[2]Lists!$A$16,[2]Lists!$E$40)</f>
        <v>0</v>
      </c>
      <c r="N8" s="272">
        <f t="shared" si="1"/>
        <v>0</v>
      </c>
      <c r="O8" s="272" t="str">
        <f t="shared" ref="O8:O49" si="3">IF((N8/$N$2)&gt;0,N8/$N$2,"n/a")</f>
        <v>n/a</v>
      </c>
      <c r="P8" s="272" t="str">
        <f t="shared" ref="P8:P49" si="4">IF(ISERROR(O8*0.125),"n/a",O8*0.125)</f>
        <v>n/a</v>
      </c>
    </row>
    <row r="9" spans="1:16" s="224" customFormat="1" ht="30" customHeight="1" x14ac:dyDescent="0.2">
      <c r="A9" s="222" t="s">
        <v>95</v>
      </c>
      <c r="B9" s="261" t="s">
        <v>6</v>
      </c>
      <c r="C9" s="102" t="s">
        <v>665</v>
      </c>
      <c r="D9" s="362"/>
      <c r="E9" s="276" t="s">
        <v>63</v>
      </c>
      <c r="F9" s="261" t="s">
        <v>15</v>
      </c>
      <c r="G9" s="262">
        <f>VLOOKUP(F9,Weightings!$A$46:$B$51,2,FALSE)</f>
        <v>1.0000000000000001E-5</v>
      </c>
      <c r="H9" s="261" t="s">
        <v>15</v>
      </c>
      <c r="I9" s="261" t="s">
        <v>15</v>
      </c>
      <c r="J9" s="264">
        <f>VLOOKUP(I9,[2]Lists!$A$35:$B$40,2,FALSE)</f>
        <v>1E-4</v>
      </c>
      <c r="K9" s="321">
        <f t="shared" si="0"/>
        <v>1.0000000000000001E-9</v>
      </c>
      <c r="L9" s="265">
        <f t="shared" si="2"/>
        <v>1</v>
      </c>
      <c r="M9" s="321">
        <f>IF(B9=Weightings!$A$15,Weightings!$E$36)+IF(B9=Weightings!$A$16,Weightings!$E$41)+IF(B9=Weightings!$A$17,Weightings!$E$41)</f>
        <v>1E-4</v>
      </c>
      <c r="N9" s="321">
        <f t="shared" si="1"/>
        <v>1.0000000000000001E-9</v>
      </c>
      <c r="O9" s="226">
        <f t="shared" si="3"/>
        <v>5.7471264355925517E-12</v>
      </c>
      <c r="P9" s="227">
        <f t="shared" si="4"/>
        <v>7.1839080444906897E-13</v>
      </c>
    </row>
    <row r="10" spans="1:16" s="224" customFormat="1" ht="26.25" customHeight="1" x14ac:dyDescent="0.2">
      <c r="A10" s="222" t="s">
        <v>96</v>
      </c>
      <c r="B10" s="261" t="s">
        <v>6</v>
      </c>
      <c r="C10" s="112" t="s">
        <v>666</v>
      </c>
      <c r="D10" s="362"/>
      <c r="E10" s="276" t="s">
        <v>63</v>
      </c>
      <c r="F10" s="261" t="s">
        <v>15</v>
      </c>
      <c r="G10" s="262">
        <f>VLOOKUP(F10,Weightings!$A$46:$B$51,2,FALSE)</f>
        <v>1.0000000000000001E-5</v>
      </c>
      <c r="H10" s="261" t="s">
        <v>15</v>
      </c>
      <c r="I10" s="261" t="s">
        <v>15</v>
      </c>
      <c r="J10" s="264">
        <f>VLOOKUP(I10,[2]Lists!$A$35:$B$40,2,FALSE)</f>
        <v>1E-4</v>
      </c>
      <c r="K10" s="321">
        <f t="shared" si="0"/>
        <v>1.0000000000000001E-9</v>
      </c>
      <c r="L10" s="265">
        <f t="shared" si="2"/>
        <v>1</v>
      </c>
      <c r="M10" s="321">
        <f>IF(B10=Weightings!$A$15,Weightings!$E$36)+IF(B10=Weightings!$A$16,Weightings!$E$41)+IF(B10=Weightings!$A$17,Weightings!$E$41)</f>
        <v>1E-4</v>
      </c>
      <c r="N10" s="321">
        <f t="shared" si="1"/>
        <v>1.0000000000000001E-9</v>
      </c>
      <c r="O10" s="226">
        <f t="shared" si="3"/>
        <v>5.7471264355925517E-12</v>
      </c>
      <c r="P10" s="227">
        <f t="shared" si="4"/>
        <v>7.1839080444906897E-13</v>
      </c>
    </row>
    <row r="11" spans="1:16" s="224" customFormat="1" ht="34.15" customHeight="1" x14ac:dyDescent="0.2">
      <c r="A11" s="222" t="s">
        <v>97</v>
      </c>
      <c r="B11" s="261" t="s">
        <v>6</v>
      </c>
      <c r="C11" s="230" t="s">
        <v>667</v>
      </c>
      <c r="D11" s="362"/>
      <c r="E11" s="276" t="s">
        <v>63</v>
      </c>
      <c r="F11" s="261" t="s">
        <v>15</v>
      </c>
      <c r="G11" s="262">
        <f>VLOOKUP(F11,Weightings!$A$46:$B$51,2,FALSE)</f>
        <v>1.0000000000000001E-5</v>
      </c>
      <c r="H11" s="261" t="s">
        <v>15</v>
      </c>
      <c r="I11" s="261" t="s">
        <v>15</v>
      </c>
      <c r="J11" s="264">
        <f>VLOOKUP(I11,[2]Lists!$A$35:$B$40,2,FALSE)</f>
        <v>1E-4</v>
      </c>
      <c r="K11" s="321">
        <f t="shared" si="0"/>
        <v>1.0000000000000001E-9</v>
      </c>
      <c r="L11" s="265">
        <f t="shared" si="2"/>
        <v>1</v>
      </c>
      <c r="M11" s="321">
        <f>IF(B11=Weightings!$A$15,Weightings!$E$36)+IF(B11=Weightings!$A$16,Weightings!$E$41)+IF(B11=Weightings!$A$17,Weightings!$E$41)</f>
        <v>1E-4</v>
      </c>
      <c r="N11" s="321">
        <f t="shared" si="1"/>
        <v>1.0000000000000001E-9</v>
      </c>
      <c r="O11" s="226">
        <f t="shared" si="3"/>
        <v>5.7471264355925517E-12</v>
      </c>
      <c r="P11" s="227">
        <f t="shared" si="4"/>
        <v>7.1839080444906897E-13</v>
      </c>
    </row>
    <row r="12" spans="1:16" s="224" customFormat="1" ht="38.25" x14ac:dyDescent="0.2">
      <c r="A12" s="222" t="s">
        <v>98</v>
      </c>
      <c r="B12" s="261" t="s">
        <v>6</v>
      </c>
      <c r="C12" s="229" t="s">
        <v>668</v>
      </c>
      <c r="D12" s="362"/>
      <c r="E12" s="276" t="s">
        <v>63</v>
      </c>
      <c r="F12" s="261" t="s">
        <v>15</v>
      </c>
      <c r="G12" s="262">
        <f>VLOOKUP(F12,Weightings!$A$46:$B$51,2,FALSE)</f>
        <v>1.0000000000000001E-5</v>
      </c>
      <c r="H12" s="261" t="s">
        <v>15</v>
      </c>
      <c r="I12" s="261" t="s">
        <v>15</v>
      </c>
      <c r="J12" s="264">
        <f>VLOOKUP(I12,[2]Lists!$A$35:$B$40,2,FALSE)</f>
        <v>1E-4</v>
      </c>
      <c r="K12" s="321">
        <f t="shared" si="0"/>
        <v>1.0000000000000001E-9</v>
      </c>
      <c r="L12" s="265">
        <f t="shared" si="2"/>
        <v>1</v>
      </c>
      <c r="M12" s="321">
        <f>IF(B12=Weightings!$A$15,Weightings!$E$36)+IF(B12=Weightings!$A$16,Weightings!$E$41)+IF(B12=Weightings!$A$17,Weightings!$E$41)</f>
        <v>1E-4</v>
      </c>
      <c r="N12" s="321">
        <f t="shared" si="1"/>
        <v>1.0000000000000001E-9</v>
      </c>
      <c r="O12" s="226">
        <f t="shared" si="3"/>
        <v>5.7471264355925517E-12</v>
      </c>
      <c r="P12" s="227">
        <f t="shared" si="4"/>
        <v>7.1839080444906897E-13</v>
      </c>
    </row>
    <row r="13" spans="1:16" s="224" customFormat="1" ht="58.5" customHeight="1" x14ac:dyDescent="0.2">
      <c r="A13" s="222" t="s">
        <v>99</v>
      </c>
      <c r="B13" s="261" t="s">
        <v>6</v>
      </c>
      <c r="C13" s="229" t="s">
        <v>669</v>
      </c>
      <c r="D13" s="362"/>
      <c r="E13" s="276" t="s">
        <v>63</v>
      </c>
      <c r="F13" s="261" t="s">
        <v>15</v>
      </c>
      <c r="G13" s="262">
        <f>VLOOKUP(F13,Weightings!$A$46:$B$51,2,FALSE)</f>
        <v>1.0000000000000001E-5</v>
      </c>
      <c r="H13" s="261" t="s">
        <v>15</v>
      </c>
      <c r="I13" s="261" t="s">
        <v>15</v>
      </c>
      <c r="J13" s="264">
        <f>VLOOKUP(I13,[2]Lists!$A$35:$B$40,2,FALSE)</f>
        <v>1E-4</v>
      </c>
      <c r="K13" s="321">
        <f t="shared" si="0"/>
        <v>1.0000000000000001E-9</v>
      </c>
      <c r="L13" s="265">
        <f t="shared" si="2"/>
        <v>1</v>
      </c>
      <c r="M13" s="321">
        <f>IF(B13=Weightings!$A$15,Weightings!$E$36)+IF(B13=Weightings!$A$16,Weightings!$E$41)+IF(B13=Weightings!$A$17,Weightings!$E$41)</f>
        <v>1E-4</v>
      </c>
      <c r="N13" s="321">
        <f t="shared" si="1"/>
        <v>1.0000000000000001E-9</v>
      </c>
      <c r="O13" s="226">
        <f t="shared" si="3"/>
        <v>5.7471264355925517E-12</v>
      </c>
      <c r="P13" s="227">
        <f t="shared" si="4"/>
        <v>7.1839080444906897E-13</v>
      </c>
    </row>
    <row r="14" spans="1:16" s="55" customFormat="1" ht="110.45" customHeight="1" x14ac:dyDescent="0.2">
      <c r="A14" s="222" t="s">
        <v>100</v>
      </c>
      <c r="B14" s="59" t="s">
        <v>6</v>
      </c>
      <c r="C14" s="229" t="s">
        <v>670</v>
      </c>
      <c r="D14" s="362"/>
      <c r="E14" s="276" t="s">
        <v>63</v>
      </c>
      <c r="F14" s="261" t="s">
        <v>15</v>
      </c>
      <c r="G14" s="262">
        <f>VLOOKUP(F14,Weightings!$A$46:$B$51,2,FALSE)</f>
        <v>1.0000000000000001E-5</v>
      </c>
      <c r="H14" s="261" t="s">
        <v>15</v>
      </c>
      <c r="I14" s="261" t="s">
        <v>15</v>
      </c>
      <c r="J14" s="264">
        <f>VLOOKUP(I14,[2]Lists!$A$35:$B$40,2,FALSE)</f>
        <v>1E-4</v>
      </c>
      <c r="K14" s="321">
        <f t="shared" si="0"/>
        <v>1.0000000000000001E-9</v>
      </c>
      <c r="L14" s="265">
        <f t="shared" si="2"/>
        <v>1</v>
      </c>
      <c r="M14" s="321">
        <f>IF(B14=Weightings!$A$15,Weightings!$E$36)+IF(B14=Weightings!$A$16,Weightings!$E$41)+IF(B14=Weightings!$A$17,Weightings!$E$41)</f>
        <v>1E-4</v>
      </c>
      <c r="N14" s="321">
        <f t="shared" si="1"/>
        <v>1.0000000000000001E-9</v>
      </c>
      <c r="O14" s="226">
        <f t="shared" si="3"/>
        <v>5.7471264355925517E-12</v>
      </c>
      <c r="P14" s="227">
        <f t="shared" si="4"/>
        <v>7.1839080444906897E-13</v>
      </c>
    </row>
    <row r="15" spans="1:16" s="224" customFormat="1" ht="25.5" x14ac:dyDescent="0.2">
      <c r="A15" s="222" t="s">
        <v>101</v>
      </c>
      <c r="B15" s="261" t="s">
        <v>6</v>
      </c>
      <c r="C15" s="229" t="s">
        <v>671</v>
      </c>
      <c r="D15" s="362"/>
      <c r="E15" s="276" t="s">
        <v>63</v>
      </c>
      <c r="F15" s="261" t="s">
        <v>15</v>
      </c>
      <c r="G15" s="262">
        <f>VLOOKUP(F15,Weightings!$A$46:$B$51,2,FALSE)</f>
        <v>1.0000000000000001E-5</v>
      </c>
      <c r="H15" s="261" t="s">
        <v>15</v>
      </c>
      <c r="I15" s="261" t="s">
        <v>15</v>
      </c>
      <c r="J15" s="264">
        <f>VLOOKUP(I15,[2]Lists!$A$35:$B$40,2,FALSE)</f>
        <v>1E-4</v>
      </c>
      <c r="K15" s="321">
        <f t="shared" si="0"/>
        <v>1.0000000000000001E-9</v>
      </c>
      <c r="L15" s="265">
        <f t="shared" si="2"/>
        <v>1</v>
      </c>
      <c r="M15" s="321">
        <f>IF(B15=Weightings!$A$15,Weightings!$E$36)+IF(B15=Weightings!$A$16,Weightings!$E$41)+IF(B15=Weightings!$A$17,Weightings!$E$41)</f>
        <v>1E-4</v>
      </c>
      <c r="N15" s="321">
        <f t="shared" si="1"/>
        <v>1.0000000000000001E-9</v>
      </c>
      <c r="O15" s="226">
        <f t="shared" si="3"/>
        <v>5.7471264355925517E-12</v>
      </c>
      <c r="P15" s="227">
        <f t="shared" si="4"/>
        <v>7.1839080444906897E-13</v>
      </c>
    </row>
    <row r="16" spans="1:16" s="224" customFormat="1" ht="87" customHeight="1" x14ac:dyDescent="0.2">
      <c r="A16" s="222" t="s">
        <v>102</v>
      </c>
      <c r="B16" s="261" t="s">
        <v>6</v>
      </c>
      <c r="C16" s="229" t="s">
        <v>672</v>
      </c>
      <c r="D16" s="362"/>
      <c r="E16" s="276" t="s">
        <v>63</v>
      </c>
      <c r="F16" s="261" t="s">
        <v>15</v>
      </c>
      <c r="G16" s="262">
        <f>VLOOKUP(F16,Weightings!$A$46:$B$51,2,FALSE)</f>
        <v>1.0000000000000001E-5</v>
      </c>
      <c r="H16" s="261" t="s">
        <v>15</v>
      </c>
      <c r="I16" s="261" t="s">
        <v>15</v>
      </c>
      <c r="J16" s="264">
        <f>VLOOKUP(I16,[2]Lists!$A$35:$B$40,2,FALSE)</f>
        <v>1E-4</v>
      </c>
      <c r="K16" s="321">
        <f t="shared" si="0"/>
        <v>1.0000000000000001E-9</v>
      </c>
      <c r="L16" s="265">
        <f t="shared" si="2"/>
        <v>1</v>
      </c>
      <c r="M16" s="321">
        <f>IF(B16=Weightings!$A$15,Weightings!$E$36)+IF(B16=Weightings!$A$16,Weightings!$E$41)+IF(B16=Weightings!$A$17,Weightings!$E$41)</f>
        <v>1E-4</v>
      </c>
      <c r="N16" s="321">
        <f t="shared" si="1"/>
        <v>1.0000000000000001E-9</v>
      </c>
      <c r="O16" s="226">
        <f t="shared" si="3"/>
        <v>5.7471264355925517E-12</v>
      </c>
      <c r="P16" s="227">
        <f t="shared" si="4"/>
        <v>7.1839080444906897E-13</v>
      </c>
    </row>
    <row r="17" spans="1:16" s="224" customFormat="1" ht="38.25" x14ac:dyDescent="0.2">
      <c r="A17" s="222" t="s">
        <v>174</v>
      </c>
      <c r="B17" s="261" t="s">
        <v>6</v>
      </c>
      <c r="C17" s="230" t="s">
        <v>673</v>
      </c>
      <c r="D17" s="362"/>
      <c r="E17" s="276" t="s">
        <v>63</v>
      </c>
      <c r="F17" s="261" t="s">
        <v>15</v>
      </c>
      <c r="G17" s="262">
        <f>VLOOKUP(F17,Weightings!$A$46:$B$51,2,FALSE)</f>
        <v>1.0000000000000001E-5</v>
      </c>
      <c r="H17" s="261"/>
      <c r="I17" s="261"/>
      <c r="J17" s="264"/>
      <c r="K17" s="321">
        <f t="shared" si="0"/>
        <v>0</v>
      </c>
      <c r="L17" s="265"/>
      <c r="M17" s="321">
        <f>IF(B17=Weightings!$A$15,Weightings!$E$36)+IF(B17=Weightings!$A$16,Weightings!$E$41)+IF(B17=Weightings!$A$17,Weightings!$E$41)</f>
        <v>1E-4</v>
      </c>
      <c r="N17" s="321">
        <f t="shared" si="1"/>
        <v>1.0000000000000001E-9</v>
      </c>
      <c r="O17" s="90">
        <f t="shared" si="3"/>
        <v>5.7471264355925517E-12</v>
      </c>
      <c r="P17" s="91">
        <f t="shared" si="4"/>
        <v>7.1839080444906897E-13</v>
      </c>
    </row>
    <row r="18" spans="1:16" s="224" customFormat="1" ht="162.75" customHeight="1" x14ac:dyDescent="0.2">
      <c r="A18" s="222" t="s">
        <v>191</v>
      </c>
      <c r="B18" s="228" t="s">
        <v>6</v>
      </c>
      <c r="C18" s="112" t="s">
        <v>820</v>
      </c>
      <c r="D18" s="362"/>
      <c r="E18" s="276" t="s">
        <v>63</v>
      </c>
      <c r="F18" s="261" t="s">
        <v>15</v>
      </c>
      <c r="G18" s="262">
        <f>VLOOKUP(F18,Weightings!$A$46:$B$51,2,FALSE)</f>
        <v>1.0000000000000001E-5</v>
      </c>
      <c r="H18" s="261" t="s">
        <v>15</v>
      </c>
      <c r="I18" s="261" t="s">
        <v>15</v>
      </c>
      <c r="J18" s="264">
        <f>VLOOKUP(I18,[4]Lists!$A$36:$B$41,2,FALSE)</f>
        <v>1E-4</v>
      </c>
      <c r="K18" s="321">
        <f t="shared" si="0"/>
        <v>1.0000000000000001E-9</v>
      </c>
      <c r="L18" s="265">
        <f t="shared" ref="L18:L31" si="5">IF(ISERROR(K18/N18),"n/a",K18/N18)</f>
        <v>1</v>
      </c>
      <c r="M18" s="321">
        <f>IF(B18=Weightings!$A$15,Weightings!$E$36)+IF(B18=Weightings!$A$16,Weightings!$E$41)+IF(B18=Weightings!$A$17,Weightings!$E$41)</f>
        <v>1E-4</v>
      </c>
      <c r="N18" s="321">
        <f t="shared" si="1"/>
        <v>1.0000000000000001E-9</v>
      </c>
      <c r="O18" s="258">
        <f t="shared" si="3"/>
        <v>5.7471264355925517E-12</v>
      </c>
      <c r="P18" s="258">
        <f t="shared" si="4"/>
        <v>7.1839080444906897E-13</v>
      </c>
    </row>
    <row r="19" spans="1:16" s="224" customFormat="1" ht="157.15" customHeight="1" x14ac:dyDescent="0.2">
      <c r="A19" s="222" t="s">
        <v>734</v>
      </c>
      <c r="B19" s="228" t="s">
        <v>6</v>
      </c>
      <c r="C19" s="205" t="s">
        <v>466</v>
      </c>
      <c r="D19" s="362"/>
      <c r="E19" s="276" t="s">
        <v>63</v>
      </c>
      <c r="F19" s="261" t="s">
        <v>15</v>
      </c>
      <c r="G19" s="262">
        <f>VLOOKUP(F19,Weightings!$A$46:$B$51,2,FALSE)</f>
        <v>1.0000000000000001E-5</v>
      </c>
      <c r="H19" s="261" t="s">
        <v>15</v>
      </c>
      <c r="I19" s="261" t="s">
        <v>15</v>
      </c>
      <c r="J19" s="264">
        <f>VLOOKUP(I19,[4]Lists!$A$36:$B$41,2,FALSE)</f>
        <v>1E-4</v>
      </c>
      <c r="K19" s="321">
        <f t="shared" si="0"/>
        <v>1.0000000000000001E-9</v>
      </c>
      <c r="L19" s="265">
        <f t="shared" si="5"/>
        <v>1</v>
      </c>
      <c r="M19" s="321">
        <f>IF(B19=Weightings!$A$15,Weightings!$E$36)+IF(B19=Weightings!$A$16,Weightings!$E$41)+IF(B19=Weightings!$A$17,Weightings!$E$41)</f>
        <v>1E-4</v>
      </c>
      <c r="N19" s="321">
        <f t="shared" si="1"/>
        <v>1.0000000000000001E-9</v>
      </c>
      <c r="O19" s="258">
        <f t="shared" si="3"/>
        <v>5.7471264355925517E-12</v>
      </c>
      <c r="P19" s="258">
        <f t="shared" si="4"/>
        <v>7.1839080444906897E-13</v>
      </c>
    </row>
    <row r="20" spans="1:16" s="224" customFormat="1" ht="140.25" x14ac:dyDescent="0.2">
      <c r="A20" s="222" t="s">
        <v>735</v>
      </c>
      <c r="B20" s="228" t="s">
        <v>6</v>
      </c>
      <c r="C20" s="206" t="s">
        <v>467</v>
      </c>
      <c r="D20" s="362"/>
      <c r="E20" s="276" t="s">
        <v>63</v>
      </c>
      <c r="F20" s="261" t="s">
        <v>15</v>
      </c>
      <c r="G20" s="262">
        <f>VLOOKUP(F20,Weightings!$A$46:$B$51,2,FALSE)</f>
        <v>1.0000000000000001E-5</v>
      </c>
      <c r="H20" s="261" t="s">
        <v>15</v>
      </c>
      <c r="I20" s="261" t="s">
        <v>15</v>
      </c>
      <c r="J20" s="264">
        <f>VLOOKUP(I20,[4]Lists!$A$36:$B$41,2,FALSE)</f>
        <v>1E-4</v>
      </c>
      <c r="K20" s="321">
        <f t="shared" si="0"/>
        <v>1.0000000000000001E-9</v>
      </c>
      <c r="L20" s="265">
        <f t="shared" si="5"/>
        <v>1</v>
      </c>
      <c r="M20" s="321">
        <f>IF(B20=Weightings!$A$15,Weightings!$E$36)+IF(B20=Weightings!$A$16,Weightings!$E$41)+IF(B20=Weightings!$A$17,Weightings!$E$41)</f>
        <v>1E-4</v>
      </c>
      <c r="N20" s="321">
        <f t="shared" si="1"/>
        <v>1.0000000000000001E-9</v>
      </c>
      <c r="O20" s="258">
        <f t="shared" si="3"/>
        <v>5.7471264355925517E-12</v>
      </c>
      <c r="P20" s="258">
        <f t="shared" si="4"/>
        <v>7.1839080444906897E-13</v>
      </c>
    </row>
    <row r="21" spans="1:16" s="224" customFormat="1" x14ac:dyDescent="0.2">
      <c r="A21" s="54" t="s">
        <v>736</v>
      </c>
      <c r="B21" s="228" t="s">
        <v>6</v>
      </c>
      <c r="C21" s="330" t="s">
        <v>838</v>
      </c>
      <c r="D21" s="362"/>
      <c r="E21" s="276" t="s">
        <v>63</v>
      </c>
      <c r="F21" s="261" t="s">
        <v>15</v>
      </c>
      <c r="G21" s="262">
        <f>VLOOKUP(F21,Weightings!$A$46:$B$51,2,FALSE)</f>
        <v>1.0000000000000001E-5</v>
      </c>
      <c r="H21" s="261" t="s">
        <v>15</v>
      </c>
      <c r="I21" s="261" t="s">
        <v>15</v>
      </c>
      <c r="J21" s="264">
        <f>VLOOKUP(I21,[4]Lists!$A$36:$B$41,2,FALSE)</f>
        <v>1E-4</v>
      </c>
      <c r="K21" s="321">
        <f t="shared" si="0"/>
        <v>1.0000000000000001E-9</v>
      </c>
      <c r="L21" s="265">
        <f t="shared" si="5"/>
        <v>1</v>
      </c>
      <c r="M21" s="321">
        <f>IF(B21=Weightings!$A$15,Weightings!$E$36)+IF(B21=Weightings!$A$16,Weightings!$E$41)+IF(B21=Weightings!$A$17,Weightings!$E$41)</f>
        <v>1E-4</v>
      </c>
      <c r="N21" s="321">
        <f t="shared" si="1"/>
        <v>1.0000000000000001E-9</v>
      </c>
      <c r="O21" s="258">
        <f t="shared" si="3"/>
        <v>5.7471264355925517E-12</v>
      </c>
      <c r="P21" s="258">
        <f t="shared" si="4"/>
        <v>7.1839080444906897E-13</v>
      </c>
    </row>
    <row r="22" spans="1:16" s="224" customFormat="1" x14ac:dyDescent="0.2">
      <c r="A22" s="54" t="s">
        <v>737</v>
      </c>
      <c r="B22" s="228" t="s">
        <v>6</v>
      </c>
      <c r="C22" s="330" t="s">
        <v>223</v>
      </c>
      <c r="D22" s="362"/>
      <c r="E22" s="276" t="s">
        <v>63</v>
      </c>
      <c r="F22" s="261" t="s">
        <v>15</v>
      </c>
      <c r="G22" s="262">
        <f>VLOOKUP(F22,Weightings!$A$46:$B$51,2,FALSE)</f>
        <v>1.0000000000000001E-5</v>
      </c>
      <c r="H22" s="261" t="s">
        <v>15</v>
      </c>
      <c r="I22" s="261" t="s">
        <v>15</v>
      </c>
      <c r="J22" s="264">
        <f>VLOOKUP(I22,[4]Lists!$A$36:$B$41,2,FALSE)</f>
        <v>1E-4</v>
      </c>
      <c r="K22" s="321">
        <f t="shared" si="0"/>
        <v>1.0000000000000001E-9</v>
      </c>
      <c r="L22" s="265">
        <f t="shared" si="5"/>
        <v>1</v>
      </c>
      <c r="M22" s="321">
        <f>IF(B22=Weightings!$A$15,Weightings!$E$36)+IF(B22=Weightings!$A$16,Weightings!$E$41)+IF(B22=Weightings!$A$17,Weightings!$E$41)</f>
        <v>1E-4</v>
      </c>
      <c r="N22" s="321">
        <f t="shared" si="1"/>
        <v>1.0000000000000001E-9</v>
      </c>
      <c r="O22" s="258">
        <f t="shared" si="3"/>
        <v>5.7471264355925517E-12</v>
      </c>
      <c r="P22" s="258">
        <f t="shared" si="4"/>
        <v>7.1839080444906897E-13</v>
      </c>
    </row>
    <row r="23" spans="1:16" s="224" customFormat="1" x14ac:dyDescent="0.2">
      <c r="A23" s="54" t="s">
        <v>738</v>
      </c>
      <c r="B23" s="228" t="s">
        <v>6</v>
      </c>
      <c r="C23" s="330" t="s">
        <v>224</v>
      </c>
      <c r="D23" s="362"/>
      <c r="E23" s="276" t="s">
        <v>63</v>
      </c>
      <c r="F23" s="261" t="s">
        <v>15</v>
      </c>
      <c r="G23" s="262">
        <f>VLOOKUP(F23,Weightings!$A$46:$B$51,2,FALSE)</f>
        <v>1.0000000000000001E-5</v>
      </c>
      <c r="H23" s="261" t="s">
        <v>15</v>
      </c>
      <c r="I23" s="261" t="s">
        <v>15</v>
      </c>
      <c r="J23" s="264">
        <f>VLOOKUP(I23,[4]Lists!$A$36:$B$41,2,FALSE)</f>
        <v>1E-4</v>
      </c>
      <c r="K23" s="321">
        <f t="shared" si="0"/>
        <v>1.0000000000000001E-9</v>
      </c>
      <c r="L23" s="265">
        <f t="shared" si="5"/>
        <v>1</v>
      </c>
      <c r="M23" s="321">
        <f>IF(B23=Weightings!$A$15,Weightings!$E$36)+IF(B23=Weightings!$A$16,Weightings!$E$41)+IF(B23=Weightings!$A$17,Weightings!$E$41)</f>
        <v>1E-4</v>
      </c>
      <c r="N23" s="321">
        <f t="shared" si="1"/>
        <v>1.0000000000000001E-9</v>
      </c>
      <c r="O23" s="258">
        <f t="shared" si="3"/>
        <v>5.7471264355925517E-12</v>
      </c>
      <c r="P23" s="258">
        <f t="shared" si="4"/>
        <v>7.1839080444906897E-13</v>
      </c>
    </row>
    <row r="24" spans="1:16" s="224" customFormat="1" x14ac:dyDescent="0.2">
      <c r="A24" s="54" t="s">
        <v>739</v>
      </c>
      <c r="B24" s="228" t="s">
        <v>6</v>
      </c>
      <c r="C24" s="330" t="s">
        <v>225</v>
      </c>
      <c r="D24" s="362"/>
      <c r="E24" s="276" t="s">
        <v>63</v>
      </c>
      <c r="F24" s="261" t="s">
        <v>15</v>
      </c>
      <c r="G24" s="262">
        <f>VLOOKUP(F24,Weightings!$A$46:$B$51,2,FALSE)</f>
        <v>1.0000000000000001E-5</v>
      </c>
      <c r="H24" s="261" t="s">
        <v>15</v>
      </c>
      <c r="I24" s="261" t="s">
        <v>15</v>
      </c>
      <c r="J24" s="264">
        <f>VLOOKUP(I24,[4]Lists!$A$36:$B$41,2,FALSE)</f>
        <v>1E-4</v>
      </c>
      <c r="K24" s="321">
        <f t="shared" si="0"/>
        <v>1.0000000000000001E-9</v>
      </c>
      <c r="L24" s="265">
        <f t="shared" si="5"/>
        <v>1</v>
      </c>
      <c r="M24" s="321">
        <f>IF(B24=Weightings!$A$15,Weightings!$E$36)+IF(B24=Weightings!$A$16,Weightings!$E$41)+IF(B24=Weightings!$A$17,Weightings!$E$41)</f>
        <v>1E-4</v>
      </c>
      <c r="N24" s="321">
        <f t="shared" si="1"/>
        <v>1.0000000000000001E-9</v>
      </c>
      <c r="O24" s="258">
        <f t="shared" si="3"/>
        <v>5.7471264355925517E-12</v>
      </c>
      <c r="P24" s="258">
        <f t="shared" si="4"/>
        <v>7.1839080444906897E-13</v>
      </c>
    </row>
    <row r="25" spans="1:16" s="224" customFormat="1" x14ac:dyDescent="0.2">
      <c r="A25" s="54" t="s">
        <v>740</v>
      </c>
      <c r="B25" s="228" t="s">
        <v>6</v>
      </c>
      <c r="C25" s="330" t="s">
        <v>226</v>
      </c>
      <c r="D25" s="362"/>
      <c r="E25" s="276" t="s">
        <v>63</v>
      </c>
      <c r="F25" s="261" t="s">
        <v>15</v>
      </c>
      <c r="G25" s="262">
        <f>VLOOKUP(F25,Weightings!$A$46:$B$51,2,FALSE)</f>
        <v>1.0000000000000001E-5</v>
      </c>
      <c r="H25" s="261" t="s">
        <v>15</v>
      </c>
      <c r="I25" s="261" t="s">
        <v>15</v>
      </c>
      <c r="J25" s="264">
        <f>VLOOKUP(I25,[4]Lists!$A$36:$B$41,2,FALSE)</f>
        <v>1E-4</v>
      </c>
      <c r="K25" s="321">
        <f t="shared" si="0"/>
        <v>1.0000000000000001E-9</v>
      </c>
      <c r="L25" s="265">
        <f t="shared" si="5"/>
        <v>1</v>
      </c>
      <c r="M25" s="321">
        <f>IF(B25=Weightings!$A$15,Weightings!$E$36)+IF(B25=Weightings!$A$16,Weightings!$E$41)+IF(B25=Weightings!$A$17,Weightings!$E$41)</f>
        <v>1E-4</v>
      </c>
      <c r="N25" s="321">
        <f t="shared" si="1"/>
        <v>1.0000000000000001E-9</v>
      </c>
      <c r="O25" s="258">
        <f t="shared" si="3"/>
        <v>5.7471264355925517E-12</v>
      </c>
      <c r="P25" s="258">
        <f t="shared" si="4"/>
        <v>7.1839080444906897E-13</v>
      </c>
    </row>
    <row r="26" spans="1:16" s="224" customFormat="1" x14ac:dyDescent="0.2">
      <c r="A26" s="54" t="s">
        <v>741</v>
      </c>
      <c r="B26" s="228" t="s">
        <v>6</v>
      </c>
      <c r="C26" s="330" t="s">
        <v>227</v>
      </c>
      <c r="D26" s="362"/>
      <c r="E26" s="276" t="s">
        <v>63</v>
      </c>
      <c r="F26" s="261" t="s">
        <v>15</v>
      </c>
      <c r="G26" s="262">
        <f>VLOOKUP(F26,Weightings!$A$46:$B$51,2,FALSE)</f>
        <v>1.0000000000000001E-5</v>
      </c>
      <c r="H26" s="261" t="s">
        <v>15</v>
      </c>
      <c r="I26" s="261" t="s">
        <v>15</v>
      </c>
      <c r="J26" s="264">
        <f>VLOOKUP(I26,[4]Lists!$A$36:$B$41,2,FALSE)</f>
        <v>1E-4</v>
      </c>
      <c r="K26" s="321">
        <f t="shared" si="0"/>
        <v>1.0000000000000001E-9</v>
      </c>
      <c r="L26" s="265">
        <f t="shared" si="5"/>
        <v>1</v>
      </c>
      <c r="M26" s="321">
        <f>IF(B26=Weightings!$A$15,Weightings!$E$36)+IF(B26=Weightings!$A$16,Weightings!$E$41)+IF(B26=Weightings!$A$17,Weightings!$E$41)</f>
        <v>1E-4</v>
      </c>
      <c r="N26" s="321">
        <f t="shared" si="1"/>
        <v>1.0000000000000001E-9</v>
      </c>
      <c r="O26" s="258">
        <f t="shared" si="3"/>
        <v>5.7471264355925517E-12</v>
      </c>
      <c r="P26" s="258">
        <f t="shared" si="4"/>
        <v>7.1839080444906897E-13</v>
      </c>
    </row>
    <row r="27" spans="1:16" s="224" customFormat="1" x14ac:dyDescent="0.2">
      <c r="A27" s="54" t="s">
        <v>742</v>
      </c>
      <c r="B27" s="228" t="s">
        <v>6</v>
      </c>
      <c r="C27" s="330" t="s">
        <v>228</v>
      </c>
      <c r="D27" s="362"/>
      <c r="E27" s="276" t="s">
        <v>63</v>
      </c>
      <c r="F27" s="261" t="s">
        <v>15</v>
      </c>
      <c r="G27" s="262">
        <f>VLOOKUP(F27,Weightings!$A$46:$B$51,2,FALSE)</f>
        <v>1.0000000000000001E-5</v>
      </c>
      <c r="H27" s="261" t="s">
        <v>15</v>
      </c>
      <c r="I27" s="261" t="s">
        <v>15</v>
      </c>
      <c r="J27" s="264">
        <f>VLOOKUP(I27,[4]Lists!$A$36:$B$41,2,FALSE)</f>
        <v>1E-4</v>
      </c>
      <c r="K27" s="321">
        <f t="shared" si="0"/>
        <v>1.0000000000000001E-9</v>
      </c>
      <c r="L27" s="265">
        <f t="shared" si="5"/>
        <v>1</v>
      </c>
      <c r="M27" s="321">
        <f>IF(B27=Weightings!$A$15,Weightings!$E$36)+IF(B27=Weightings!$A$16,Weightings!$E$41)+IF(B27=Weightings!$A$17,Weightings!$E$41)</f>
        <v>1E-4</v>
      </c>
      <c r="N27" s="321">
        <f t="shared" si="1"/>
        <v>1.0000000000000001E-9</v>
      </c>
      <c r="O27" s="258">
        <f t="shared" si="3"/>
        <v>5.7471264355925517E-12</v>
      </c>
      <c r="P27" s="258">
        <f t="shared" si="4"/>
        <v>7.1839080444906897E-13</v>
      </c>
    </row>
    <row r="28" spans="1:16" s="224" customFormat="1" x14ac:dyDescent="0.2">
      <c r="A28" s="54" t="s">
        <v>743</v>
      </c>
      <c r="B28" s="228" t="s">
        <v>6</v>
      </c>
      <c r="C28" s="330" t="s">
        <v>229</v>
      </c>
      <c r="D28" s="362"/>
      <c r="E28" s="276" t="s">
        <v>63</v>
      </c>
      <c r="F28" s="261" t="s">
        <v>15</v>
      </c>
      <c r="G28" s="262">
        <f>VLOOKUP(F28,Weightings!$A$46:$B$51,2,FALSE)</f>
        <v>1.0000000000000001E-5</v>
      </c>
      <c r="H28" s="261" t="s">
        <v>15</v>
      </c>
      <c r="I28" s="261" t="s">
        <v>15</v>
      </c>
      <c r="J28" s="264">
        <f>VLOOKUP(I28,[4]Lists!$A$36:$B$41,2,FALSE)</f>
        <v>1E-4</v>
      </c>
      <c r="K28" s="321">
        <f t="shared" si="0"/>
        <v>1.0000000000000001E-9</v>
      </c>
      <c r="L28" s="265">
        <f t="shared" si="5"/>
        <v>1</v>
      </c>
      <c r="M28" s="321">
        <f>IF(B28=Weightings!$A$15,Weightings!$E$36)+IF(B28=Weightings!$A$16,Weightings!$E$41)+IF(B28=Weightings!$A$17,Weightings!$E$41)</f>
        <v>1E-4</v>
      </c>
      <c r="N28" s="321">
        <f t="shared" si="1"/>
        <v>1.0000000000000001E-9</v>
      </c>
      <c r="O28" s="258">
        <f t="shared" si="3"/>
        <v>5.7471264355925517E-12</v>
      </c>
      <c r="P28" s="258">
        <f t="shared" si="4"/>
        <v>7.1839080444906897E-13</v>
      </c>
    </row>
    <row r="29" spans="1:16" s="224" customFormat="1" x14ac:dyDescent="0.2">
      <c r="A29" s="54" t="s">
        <v>744</v>
      </c>
      <c r="B29" s="228" t="s">
        <v>6</v>
      </c>
      <c r="C29" s="330" t="s">
        <v>230</v>
      </c>
      <c r="D29" s="362"/>
      <c r="E29" s="276" t="s">
        <v>63</v>
      </c>
      <c r="F29" s="261" t="s">
        <v>15</v>
      </c>
      <c r="G29" s="262">
        <f>VLOOKUP(F29,Weightings!$A$46:$B$51,2,FALSE)</f>
        <v>1.0000000000000001E-5</v>
      </c>
      <c r="H29" s="261" t="s">
        <v>15</v>
      </c>
      <c r="I29" s="261" t="s">
        <v>15</v>
      </c>
      <c r="J29" s="264">
        <f>VLOOKUP(I29,[4]Lists!$A$36:$B$41,2,FALSE)</f>
        <v>1E-4</v>
      </c>
      <c r="K29" s="321">
        <f t="shared" si="0"/>
        <v>1.0000000000000001E-9</v>
      </c>
      <c r="L29" s="265">
        <f t="shared" si="5"/>
        <v>1</v>
      </c>
      <c r="M29" s="321">
        <f>IF(B29=Weightings!$A$15,Weightings!$E$36)+IF(B29=Weightings!$A$16,Weightings!$E$41)+IF(B29=Weightings!$A$17,Weightings!$E$41)</f>
        <v>1E-4</v>
      </c>
      <c r="N29" s="321">
        <f t="shared" si="1"/>
        <v>1.0000000000000001E-9</v>
      </c>
      <c r="O29" s="258">
        <f t="shared" si="3"/>
        <v>5.7471264355925517E-12</v>
      </c>
      <c r="P29" s="258">
        <f t="shared" si="4"/>
        <v>7.1839080444906897E-13</v>
      </c>
    </row>
    <row r="30" spans="1:16" s="224" customFormat="1" x14ac:dyDescent="0.2">
      <c r="A30" s="54" t="s">
        <v>745</v>
      </c>
      <c r="B30" s="228" t="s">
        <v>6</v>
      </c>
      <c r="C30" s="330" t="s">
        <v>231</v>
      </c>
      <c r="D30" s="362"/>
      <c r="E30" s="276" t="s">
        <v>63</v>
      </c>
      <c r="F30" s="261" t="s">
        <v>15</v>
      </c>
      <c r="G30" s="262">
        <f>VLOOKUP(F30,Weightings!$A$46:$B$51,2,FALSE)</f>
        <v>1.0000000000000001E-5</v>
      </c>
      <c r="H30" s="261" t="s">
        <v>15</v>
      </c>
      <c r="I30" s="261" t="s">
        <v>15</v>
      </c>
      <c r="J30" s="264">
        <f>VLOOKUP(I30,[4]Lists!$A$36:$B$41,2,FALSE)</f>
        <v>1E-4</v>
      </c>
      <c r="K30" s="321">
        <f t="shared" si="0"/>
        <v>1.0000000000000001E-9</v>
      </c>
      <c r="L30" s="265">
        <f t="shared" si="5"/>
        <v>1</v>
      </c>
      <c r="M30" s="321">
        <f>IF(B30=Weightings!$A$15,Weightings!$E$36)+IF(B30=Weightings!$A$16,Weightings!$E$41)+IF(B30=Weightings!$A$17,Weightings!$E$41)</f>
        <v>1E-4</v>
      </c>
      <c r="N30" s="321">
        <f t="shared" si="1"/>
        <v>1.0000000000000001E-9</v>
      </c>
      <c r="O30" s="258">
        <f t="shared" si="3"/>
        <v>5.7471264355925517E-12</v>
      </c>
      <c r="P30" s="258">
        <f t="shared" si="4"/>
        <v>7.1839080444906897E-13</v>
      </c>
    </row>
    <row r="31" spans="1:16" s="224" customFormat="1" x14ac:dyDescent="0.2">
      <c r="A31" s="54" t="s">
        <v>746</v>
      </c>
      <c r="B31" s="228" t="s">
        <v>6</v>
      </c>
      <c r="C31" s="330" t="s">
        <v>232</v>
      </c>
      <c r="D31" s="362"/>
      <c r="E31" s="276" t="s">
        <v>63</v>
      </c>
      <c r="F31" s="261" t="s">
        <v>15</v>
      </c>
      <c r="G31" s="262">
        <f>VLOOKUP(F31,Weightings!$A$46:$B$51,2,FALSE)</f>
        <v>1.0000000000000001E-5</v>
      </c>
      <c r="H31" s="261" t="s">
        <v>15</v>
      </c>
      <c r="I31" s="261" t="s">
        <v>15</v>
      </c>
      <c r="J31" s="264">
        <f>VLOOKUP(I31,[4]Lists!$A$36:$B$41,2,FALSE)</f>
        <v>1E-4</v>
      </c>
      <c r="K31" s="321">
        <f t="shared" si="0"/>
        <v>1.0000000000000001E-9</v>
      </c>
      <c r="L31" s="265">
        <f t="shared" si="5"/>
        <v>1</v>
      </c>
      <c r="M31" s="321">
        <f>IF(B31=Weightings!$A$15,Weightings!$E$36)+IF(B31=Weightings!$A$16,Weightings!$E$41)+IF(B31=Weightings!$A$17,Weightings!$E$41)</f>
        <v>1E-4</v>
      </c>
      <c r="N31" s="321">
        <f t="shared" si="1"/>
        <v>1.0000000000000001E-9</v>
      </c>
      <c r="O31" s="258">
        <f t="shared" si="3"/>
        <v>5.7471264355925517E-12</v>
      </c>
      <c r="P31" s="258">
        <f t="shared" si="4"/>
        <v>7.1839080444906897E-13</v>
      </c>
    </row>
    <row r="32" spans="1:16" s="82" customFormat="1" x14ac:dyDescent="0.2">
      <c r="A32" s="81" t="s">
        <v>75</v>
      </c>
      <c r="B32" s="81"/>
      <c r="C32" s="322" t="s">
        <v>222</v>
      </c>
      <c r="D32" s="322"/>
      <c r="E32" s="48"/>
      <c r="F32" s="272" t="s">
        <v>15</v>
      </c>
      <c r="G32" s="48"/>
      <c r="H32" s="272" t="s">
        <v>15</v>
      </c>
      <c r="I32" s="272" t="s">
        <v>15</v>
      </c>
      <c r="J32" s="272">
        <f>VLOOKUP(I32,[2]Lists!$A$35:$B$40,2,FALSE)</f>
        <v>1E-4</v>
      </c>
      <c r="K32" s="272">
        <f t="shared" si="0"/>
        <v>0</v>
      </c>
      <c r="L32" s="272" t="str">
        <f t="shared" si="2"/>
        <v>n/a</v>
      </c>
      <c r="M32" s="272">
        <f>IF(B32=[2]Lists!$A$14,[2]Lists!$E$35)+IF(B32=[2]Lists!$A$15,[2]Lists!$E$40)+IF(B32=[2]Lists!$A$16,[2]Lists!$E$40)</f>
        <v>0</v>
      </c>
      <c r="N32" s="272">
        <f t="shared" si="1"/>
        <v>0</v>
      </c>
      <c r="O32" s="272" t="str">
        <f t="shared" si="3"/>
        <v>n/a</v>
      </c>
      <c r="P32" s="272" t="str">
        <f t="shared" si="4"/>
        <v>n/a</v>
      </c>
    </row>
    <row r="33" spans="1:16" s="224" customFormat="1" ht="38.25" x14ac:dyDescent="0.2">
      <c r="A33" s="222" t="s">
        <v>103</v>
      </c>
      <c r="B33" s="261" t="s">
        <v>6</v>
      </c>
      <c r="C33" s="112" t="s">
        <v>674</v>
      </c>
      <c r="D33" s="362"/>
      <c r="E33" s="276" t="s">
        <v>63</v>
      </c>
      <c r="F33" s="261" t="s">
        <v>15</v>
      </c>
      <c r="G33" s="262">
        <f>VLOOKUP(F33,Weightings!$A$46:$B$51,2,FALSE)</f>
        <v>1.0000000000000001E-5</v>
      </c>
      <c r="H33" s="261" t="s">
        <v>15</v>
      </c>
      <c r="I33" s="261" t="s">
        <v>15</v>
      </c>
      <c r="J33" s="264">
        <f>VLOOKUP(I33,[2]Lists!$A$35:$B$40,2,FALSE)</f>
        <v>1E-4</v>
      </c>
      <c r="K33" s="321">
        <f t="shared" si="0"/>
        <v>1.0000000000000001E-9</v>
      </c>
      <c r="L33" s="265">
        <f t="shared" si="2"/>
        <v>1</v>
      </c>
      <c r="M33" s="321">
        <f>IF(B33=Weightings!$A$15,Weightings!$E$36)+IF(B33=Weightings!$A$16,Weightings!$E$41)+IF(B33=Weightings!$A$17,Weightings!$E$41)</f>
        <v>1E-4</v>
      </c>
      <c r="N33" s="321">
        <f t="shared" si="1"/>
        <v>1.0000000000000001E-9</v>
      </c>
      <c r="O33" s="226">
        <f t="shared" si="3"/>
        <v>5.7471264355925517E-12</v>
      </c>
      <c r="P33" s="227">
        <f t="shared" si="4"/>
        <v>7.1839080444906897E-13</v>
      </c>
    </row>
    <row r="34" spans="1:16" s="224" customFormat="1" ht="38.25" x14ac:dyDescent="0.2">
      <c r="A34" s="222" t="s">
        <v>147</v>
      </c>
      <c r="B34" s="222" t="s">
        <v>8</v>
      </c>
      <c r="C34" s="223" t="s">
        <v>675</v>
      </c>
      <c r="D34" s="273"/>
      <c r="E34" s="266"/>
      <c r="F34" s="261" t="s">
        <v>47</v>
      </c>
      <c r="G34" s="262">
        <f>VLOOKUP(F34,Weightings!$A$46:$B$51,2,FALSE)</f>
        <v>8</v>
      </c>
      <c r="H34" s="261" t="s">
        <v>23</v>
      </c>
      <c r="I34" s="263" t="s">
        <v>34</v>
      </c>
      <c r="J34" s="264">
        <f>VLOOKUP(I34,[2]Lists!$A$35:$B$40,2,FALSE)</f>
        <v>6</v>
      </c>
      <c r="K34" s="321">
        <f t="shared" si="0"/>
        <v>48</v>
      </c>
      <c r="L34" s="265">
        <f t="shared" si="2"/>
        <v>1</v>
      </c>
      <c r="M34" s="321">
        <f>IF(B34=Weightings!$A$15,Weightings!$E$36)+IF(B34=Weightings!$A$16,Weightings!$E$41)+IF(B34=Weightings!$A$17,Weightings!$E$41)</f>
        <v>6</v>
      </c>
      <c r="N34" s="321">
        <f t="shared" si="1"/>
        <v>48</v>
      </c>
      <c r="O34" s="267">
        <f t="shared" si="3"/>
        <v>0.2758620689084425</v>
      </c>
      <c r="P34" s="268">
        <f t="shared" si="4"/>
        <v>3.4482758613555313E-2</v>
      </c>
    </row>
    <row r="35" spans="1:16" s="83" customFormat="1" ht="25.5" x14ac:dyDescent="0.2">
      <c r="A35" s="222" t="s">
        <v>104</v>
      </c>
      <c r="B35" s="261" t="s">
        <v>6</v>
      </c>
      <c r="C35" s="229" t="s">
        <v>676</v>
      </c>
      <c r="D35" s="362"/>
      <c r="E35" s="276" t="s">
        <v>63</v>
      </c>
      <c r="F35" s="261" t="s">
        <v>15</v>
      </c>
      <c r="G35" s="262">
        <f>VLOOKUP(F35,Weightings!$A$46:$B$51,2,FALSE)</f>
        <v>1.0000000000000001E-5</v>
      </c>
      <c r="H35" s="261" t="s">
        <v>15</v>
      </c>
      <c r="I35" s="261" t="s">
        <v>15</v>
      </c>
      <c r="J35" s="264">
        <f>VLOOKUP(I35,[2]Lists!$A$35:$B$40,2,FALSE)</f>
        <v>1E-4</v>
      </c>
      <c r="K35" s="321">
        <f t="shared" si="0"/>
        <v>1.0000000000000001E-9</v>
      </c>
      <c r="L35" s="265">
        <f t="shared" si="2"/>
        <v>1</v>
      </c>
      <c r="M35" s="321">
        <f>IF(B35=Weightings!$A$15,Weightings!$E$36)+IF(B35=Weightings!$A$16,Weightings!$E$41)+IF(B35=Weightings!$A$17,Weightings!$E$41)</f>
        <v>1E-4</v>
      </c>
      <c r="N35" s="321">
        <f t="shared" si="1"/>
        <v>1.0000000000000001E-9</v>
      </c>
      <c r="O35" s="226">
        <f t="shared" si="3"/>
        <v>5.7471264355925517E-12</v>
      </c>
      <c r="P35" s="227">
        <f t="shared" si="4"/>
        <v>7.1839080444906897E-13</v>
      </c>
    </row>
    <row r="36" spans="1:16" s="56" customFormat="1" ht="25.5" x14ac:dyDescent="0.2">
      <c r="A36" s="222" t="s">
        <v>677</v>
      </c>
      <c r="B36" s="261" t="s">
        <v>6</v>
      </c>
      <c r="C36" s="106" t="s">
        <v>678</v>
      </c>
      <c r="D36" s="362"/>
      <c r="E36" s="276" t="s">
        <v>63</v>
      </c>
      <c r="F36" s="261" t="s">
        <v>15</v>
      </c>
      <c r="G36" s="262">
        <f>VLOOKUP(F36,Weightings!$A$46:$B$51,2,FALSE)</f>
        <v>1.0000000000000001E-5</v>
      </c>
      <c r="H36" s="261" t="s">
        <v>15</v>
      </c>
      <c r="I36" s="261" t="s">
        <v>15</v>
      </c>
      <c r="J36" s="264">
        <f>VLOOKUP(I36,[2]Lists!$A$35:$B$40,2,FALSE)</f>
        <v>1E-4</v>
      </c>
      <c r="K36" s="321">
        <f t="shared" si="0"/>
        <v>1.0000000000000001E-9</v>
      </c>
      <c r="L36" s="265">
        <f t="shared" si="2"/>
        <v>1</v>
      </c>
      <c r="M36" s="321">
        <f>IF(B36=Weightings!$A$15,Weightings!$E$36)+IF(B36=Weightings!$A$16,Weightings!$E$41)+IF(B36=Weightings!$A$17,Weightings!$E$41)</f>
        <v>1E-4</v>
      </c>
      <c r="N36" s="321">
        <f t="shared" si="1"/>
        <v>1.0000000000000001E-9</v>
      </c>
      <c r="O36" s="226">
        <f t="shared" si="3"/>
        <v>5.7471264355925517E-12</v>
      </c>
      <c r="P36" s="227">
        <f t="shared" si="4"/>
        <v>7.1839080444906897E-13</v>
      </c>
    </row>
    <row r="37" spans="1:16" s="97" customFormat="1" ht="38.25" x14ac:dyDescent="0.2">
      <c r="A37" s="222" t="s">
        <v>679</v>
      </c>
      <c r="B37" s="222" t="s">
        <v>8</v>
      </c>
      <c r="C37" s="107" t="s">
        <v>680</v>
      </c>
      <c r="D37" s="273"/>
      <c r="E37" s="266"/>
      <c r="F37" s="261" t="s">
        <v>48</v>
      </c>
      <c r="G37" s="262">
        <f>VLOOKUP(F37,Weightings!$A$46:$B$51,2,FALSE)</f>
        <v>3</v>
      </c>
      <c r="H37" s="261" t="s">
        <v>23</v>
      </c>
      <c r="I37" s="263" t="s">
        <v>34</v>
      </c>
      <c r="J37" s="264">
        <f>VLOOKUP(I37,[2]Lists!$A$35:$B$40,2,FALSE)</f>
        <v>6</v>
      </c>
      <c r="K37" s="321">
        <f t="shared" si="0"/>
        <v>18</v>
      </c>
      <c r="L37" s="265">
        <f t="shared" si="2"/>
        <v>1</v>
      </c>
      <c r="M37" s="321">
        <f>IF(B37=Weightings!$A$15,Weightings!$E$36)+IF(B37=Weightings!$A$16,Weightings!$E$41)+IF(B37=Weightings!$A$17,Weightings!$E$41)</f>
        <v>6</v>
      </c>
      <c r="N37" s="321">
        <f t="shared" si="1"/>
        <v>18</v>
      </c>
      <c r="O37" s="267">
        <f t="shared" si="3"/>
        <v>0.10344827584066593</v>
      </c>
      <c r="P37" s="268">
        <f t="shared" si="4"/>
        <v>1.2931034480083241E-2</v>
      </c>
    </row>
    <row r="38" spans="1:16" s="56" customFormat="1" ht="25.5" x14ac:dyDescent="0.2">
      <c r="A38" s="222" t="s">
        <v>681</v>
      </c>
      <c r="B38" s="261" t="s">
        <v>6</v>
      </c>
      <c r="C38" s="106" t="s">
        <v>682</v>
      </c>
      <c r="D38" s="362"/>
      <c r="E38" s="276" t="s">
        <v>63</v>
      </c>
      <c r="F38" s="261" t="s">
        <v>15</v>
      </c>
      <c r="G38" s="262">
        <f>VLOOKUP(F38,Weightings!$A$46:$B$51,2,FALSE)</f>
        <v>1.0000000000000001E-5</v>
      </c>
      <c r="H38" s="261" t="s">
        <v>15</v>
      </c>
      <c r="I38" s="261" t="s">
        <v>15</v>
      </c>
      <c r="J38" s="264">
        <f>VLOOKUP(I38,[2]Lists!$A$35:$B$40,2,FALSE)</f>
        <v>1E-4</v>
      </c>
      <c r="K38" s="321">
        <f t="shared" si="0"/>
        <v>1.0000000000000001E-9</v>
      </c>
      <c r="L38" s="265">
        <f t="shared" si="2"/>
        <v>1</v>
      </c>
      <c r="M38" s="321">
        <f>IF(B38=Weightings!$A$15,Weightings!$E$36)+IF(B38=Weightings!$A$16,Weightings!$E$41)+IF(B38=Weightings!$A$17,Weightings!$E$41)</f>
        <v>1E-4</v>
      </c>
      <c r="N38" s="321">
        <f t="shared" si="1"/>
        <v>1.0000000000000001E-9</v>
      </c>
      <c r="O38" s="226">
        <f t="shared" si="3"/>
        <v>5.7471264355925517E-12</v>
      </c>
      <c r="P38" s="227">
        <f t="shared" si="4"/>
        <v>7.1839080444906897E-13</v>
      </c>
    </row>
    <row r="39" spans="1:16" s="224" customFormat="1" ht="25.5" x14ac:dyDescent="0.2">
      <c r="A39" s="222" t="s">
        <v>683</v>
      </c>
      <c r="B39" s="261" t="s">
        <v>6</v>
      </c>
      <c r="C39" s="236" t="s">
        <v>684</v>
      </c>
      <c r="D39" s="362"/>
      <c r="E39" s="276" t="s">
        <v>63</v>
      </c>
      <c r="F39" s="261" t="s">
        <v>15</v>
      </c>
      <c r="G39" s="262">
        <f>VLOOKUP(F39,Weightings!$A$46:$B$51,2,FALSE)</f>
        <v>1.0000000000000001E-5</v>
      </c>
      <c r="H39" s="261" t="s">
        <v>15</v>
      </c>
      <c r="I39" s="261" t="s">
        <v>15</v>
      </c>
      <c r="J39" s="264">
        <f>VLOOKUP(I39,[2]Lists!$A$35:$B$40,2,FALSE)</f>
        <v>1E-4</v>
      </c>
      <c r="K39" s="321">
        <f t="shared" si="0"/>
        <v>1.0000000000000001E-9</v>
      </c>
      <c r="L39" s="265">
        <f t="shared" si="2"/>
        <v>1</v>
      </c>
      <c r="M39" s="321">
        <f>IF(B39=Weightings!$A$15,Weightings!$E$36)+IF(B39=Weightings!$A$16,Weightings!$E$41)+IF(B39=Weightings!$A$17,Weightings!$E$41)</f>
        <v>1E-4</v>
      </c>
      <c r="N39" s="321">
        <f t="shared" si="1"/>
        <v>1.0000000000000001E-9</v>
      </c>
      <c r="O39" s="226">
        <f t="shared" si="3"/>
        <v>5.7471264355925517E-12</v>
      </c>
      <c r="P39" s="227">
        <f t="shared" si="4"/>
        <v>7.1839080444906897E-13</v>
      </c>
    </row>
    <row r="40" spans="1:16" s="224" customFormat="1" ht="18.600000000000001" customHeight="1" x14ac:dyDescent="0.2">
      <c r="A40" s="222" t="s">
        <v>685</v>
      </c>
      <c r="B40" s="261" t="s">
        <v>6</v>
      </c>
      <c r="C40" s="253" t="s">
        <v>686</v>
      </c>
      <c r="D40" s="362"/>
      <c r="E40" s="276" t="s">
        <v>63</v>
      </c>
      <c r="F40" s="261" t="s">
        <v>15</v>
      </c>
      <c r="G40" s="262">
        <f>VLOOKUP(F40,Weightings!$A$46:$B$51,2,FALSE)</f>
        <v>1.0000000000000001E-5</v>
      </c>
      <c r="H40" s="261" t="s">
        <v>15</v>
      </c>
      <c r="I40" s="261" t="s">
        <v>15</v>
      </c>
      <c r="J40" s="264">
        <f>VLOOKUP(I40,[2]Lists!$A$35:$B$40,2,FALSE)</f>
        <v>1E-4</v>
      </c>
      <c r="K40" s="321">
        <f t="shared" si="0"/>
        <v>1.0000000000000001E-9</v>
      </c>
      <c r="L40" s="265">
        <f t="shared" si="2"/>
        <v>1</v>
      </c>
      <c r="M40" s="321">
        <f>IF(B40=Weightings!$A$15,Weightings!$E$36)+IF(B40=Weightings!$A$16,Weightings!$E$41)+IF(B40=Weightings!$A$17,Weightings!$E$41)</f>
        <v>1E-4</v>
      </c>
      <c r="N40" s="321">
        <f t="shared" si="1"/>
        <v>1.0000000000000001E-9</v>
      </c>
      <c r="O40" s="226">
        <f t="shared" si="3"/>
        <v>5.7471264355925517E-12</v>
      </c>
      <c r="P40" s="227">
        <f t="shared" si="4"/>
        <v>7.1839080444906897E-13</v>
      </c>
    </row>
    <row r="41" spans="1:16" s="224" customFormat="1" ht="38.25" x14ac:dyDescent="0.2">
      <c r="A41" s="222" t="s">
        <v>687</v>
      </c>
      <c r="B41" s="261" t="s">
        <v>6</v>
      </c>
      <c r="C41" s="112" t="s">
        <v>688</v>
      </c>
      <c r="D41" s="362"/>
      <c r="E41" s="276" t="s">
        <v>63</v>
      </c>
      <c r="F41" s="261" t="s">
        <v>15</v>
      </c>
      <c r="G41" s="262">
        <f>VLOOKUP(F41,Weightings!$A$46:$B$51,2,FALSE)</f>
        <v>1.0000000000000001E-5</v>
      </c>
      <c r="H41" s="261" t="s">
        <v>15</v>
      </c>
      <c r="I41" s="261" t="s">
        <v>15</v>
      </c>
      <c r="J41" s="264">
        <f>VLOOKUP(I41,[2]Lists!$A$35:$B$40,2,FALSE)</f>
        <v>1E-4</v>
      </c>
      <c r="K41" s="321">
        <f t="shared" si="0"/>
        <v>1.0000000000000001E-9</v>
      </c>
      <c r="L41" s="265">
        <f t="shared" si="2"/>
        <v>1</v>
      </c>
      <c r="M41" s="321">
        <f>IF(B41=Weightings!$A$15,Weightings!$E$36)+IF(B41=Weightings!$A$16,Weightings!$E$41)+IF(B41=Weightings!$A$17,Weightings!$E$41)</f>
        <v>1E-4</v>
      </c>
      <c r="N41" s="321">
        <f t="shared" si="1"/>
        <v>1.0000000000000001E-9</v>
      </c>
      <c r="O41" s="226">
        <f t="shared" si="3"/>
        <v>5.7471264355925517E-12</v>
      </c>
      <c r="P41" s="227">
        <f t="shared" si="4"/>
        <v>7.1839080444906897E-13</v>
      </c>
    </row>
    <row r="42" spans="1:16" s="55" customFormat="1" ht="57.75" customHeight="1" x14ac:dyDescent="0.2">
      <c r="A42" s="222" t="s">
        <v>689</v>
      </c>
      <c r="B42" s="59" t="s">
        <v>6</v>
      </c>
      <c r="C42" s="106" t="s">
        <v>690</v>
      </c>
      <c r="D42" s="362"/>
      <c r="E42" s="276" t="s">
        <v>63</v>
      </c>
      <c r="F42" s="261" t="s">
        <v>15</v>
      </c>
      <c r="G42" s="262">
        <f>VLOOKUP(F42,Weightings!$A$46:$B$51,2,FALSE)</f>
        <v>1.0000000000000001E-5</v>
      </c>
      <c r="H42" s="261" t="s">
        <v>15</v>
      </c>
      <c r="I42" s="261" t="s">
        <v>15</v>
      </c>
      <c r="J42" s="264">
        <f>VLOOKUP(I42,[2]Lists!$A$35:$B$40,2,FALSE)</f>
        <v>1E-4</v>
      </c>
      <c r="K42" s="321">
        <f t="shared" si="0"/>
        <v>1.0000000000000001E-9</v>
      </c>
      <c r="L42" s="265">
        <f t="shared" si="2"/>
        <v>1</v>
      </c>
      <c r="M42" s="321">
        <f>IF(B42=Weightings!$A$15,Weightings!$E$36)+IF(B42=Weightings!$A$16,Weightings!$E$41)+IF(B42=Weightings!$A$17,Weightings!$E$41)</f>
        <v>1E-4</v>
      </c>
      <c r="N42" s="321">
        <f t="shared" si="1"/>
        <v>1.0000000000000001E-9</v>
      </c>
      <c r="O42" s="226">
        <f t="shared" si="3"/>
        <v>5.7471264355925517E-12</v>
      </c>
      <c r="P42" s="227">
        <f t="shared" si="4"/>
        <v>7.1839080444906897E-13</v>
      </c>
    </row>
    <row r="43" spans="1:16" s="224" customFormat="1" ht="46.5" customHeight="1" x14ac:dyDescent="0.2">
      <c r="A43" s="222" t="s">
        <v>691</v>
      </c>
      <c r="B43" s="261" t="s">
        <v>6</v>
      </c>
      <c r="C43" s="253" t="s">
        <v>692</v>
      </c>
      <c r="D43" s="362"/>
      <c r="E43" s="276" t="s">
        <v>63</v>
      </c>
      <c r="F43" s="261" t="s">
        <v>15</v>
      </c>
      <c r="G43" s="262">
        <f>VLOOKUP(F43,Weightings!$A$46:$B$51,2,FALSE)</f>
        <v>1.0000000000000001E-5</v>
      </c>
      <c r="H43" s="261" t="s">
        <v>15</v>
      </c>
      <c r="I43" s="261" t="s">
        <v>15</v>
      </c>
      <c r="J43" s="264">
        <f>VLOOKUP(I43,[2]Lists!$A$35:$B$40,2,FALSE)</f>
        <v>1E-4</v>
      </c>
      <c r="K43" s="321">
        <f t="shared" si="0"/>
        <v>1.0000000000000001E-9</v>
      </c>
      <c r="L43" s="265">
        <f t="shared" si="2"/>
        <v>1</v>
      </c>
      <c r="M43" s="321">
        <f>IF(B43=Weightings!$A$15,Weightings!$E$36)+IF(B43=Weightings!$A$16,Weightings!$E$41)+IF(B43=Weightings!$A$17,Weightings!$E$41)</f>
        <v>1E-4</v>
      </c>
      <c r="N43" s="321">
        <f t="shared" si="1"/>
        <v>1.0000000000000001E-9</v>
      </c>
      <c r="O43" s="226">
        <f t="shared" si="3"/>
        <v>5.7471264355925517E-12</v>
      </c>
      <c r="P43" s="227">
        <f t="shared" si="4"/>
        <v>7.1839080444906897E-13</v>
      </c>
    </row>
    <row r="44" spans="1:16" s="56" customFormat="1" ht="25.5" x14ac:dyDescent="0.2">
      <c r="A44" s="222" t="s">
        <v>693</v>
      </c>
      <c r="B44" s="222" t="s">
        <v>8</v>
      </c>
      <c r="C44" s="239" t="s">
        <v>694</v>
      </c>
      <c r="D44" s="273"/>
      <c r="E44" s="266"/>
      <c r="F44" s="261" t="s">
        <v>47</v>
      </c>
      <c r="G44" s="262">
        <f>VLOOKUP(F44,Weightings!$A$46:$B$51,2,FALSE)</f>
        <v>8</v>
      </c>
      <c r="H44" s="261" t="s">
        <v>25</v>
      </c>
      <c r="I44" s="263" t="s">
        <v>34</v>
      </c>
      <c r="J44" s="264">
        <f>VLOOKUP(I44,[2]Lists!$A$35:$B$40,2,FALSE)</f>
        <v>6</v>
      </c>
      <c r="K44" s="321">
        <f t="shared" si="0"/>
        <v>48</v>
      </c>
      <c r="L44" s="265">
        <f t="shared" si="2"/>
        <v>1</v>
      </c>
      <c r="M44" s="321">
        <f>IF(B44=Weightings!$A$15,Weightings!$E$36)+IF(B44=Weightings!$A$16,Weightings!$E$41)+IF(B44=Weightings!$A$17,Weightings!$E$41)</f>
        <v>6</v>
      </c>
      <c r="N44" s="321">
        <f t="shared" si="1"/>
        <v>48</v>
      </c>
      <c r="O44" s="267">
        <f t="shared" si="3"/>
        <v>0.2758620689084425</v>
      </c>
      <c r="P44" s="268">
        <f t="shared" si="4"/>
        <v>3.4482758613555313E-2</v>
      </c>
    </row>
    <row r="45" spans="1:16" s="82" customFormat="1" x14ac:dyDescent="0.2">
      <c r="A45" s="81" t="s">
        <v>76</v>
      </c>
      <c r="B45" s="81"/>
      <c r="C45" s="322" t="s">
        <v>695</v>
      </c>
      <c r="D45" s="322"/>
      <c r="E45" s="48"/>
      <c r="F45" s="272" t="s">
        <v>15</v>
      </c>
      <c r="G45" s="48"/>
      <c r="H45" s="272" t="s">
        <v>15</v>
      </c>
      <c r="I45" s="272" t="s">
        <v>15</v>
      </c>
      <c r="J45" s="272">
        <f>VLOOKUP(I45,[2]Lists!$A$35:$B$40,2,FALSE)</f>
        <v>1E-4</v>
      </c>
      <c r="K45" s="272">
        <f t="shared" si="0"/>
        <v>0</v>
      </c>
      <c r="L45" s="272" t="str">
        <f t="shared" si="2"/>
        <v>n/a</v>
      </c>
      <c r="M45" s="272">
        <f>IF(B45=[2]Lists!$A$14,[2]Lists!$E$35)+IF(B45=[2]Lists!$A$15,[2]Lists!$E$40)+IF(B45=[2]Lists!$A$16,[2]Lists!$E$40)</f>
        <v>0</v>
      </c>
      <c r="N45" s="272">
        <f t="shared" si="1"/>
        <v>0</v>
      </c>
      <c r="O45" s="272" t="str">
        <f t="shared" si="3"/>
        <v>n/a</v>
      </c>
      <c r="P45" s="272" t="str">
        <f t="shared" si="4"/>
        <v>n/a</v>
      </c>
    </row>
    <row r="46" spans="1:16" s="56" customFormat="1" ht="72.599999999999994" customHeight="1" x14ac:dyDescent="0.2">
      <c r="A46" s="222" t="s">
        <v>148</v>
      </c>
      <c r="B46" s="261" t="s">
        <v>6</v>
      </c>
      <c r="C46" s="112" t="s">
        <v>463</v>
      </c>
      <c r="D46" s="362"/>
      <c r="E46" s="276" t="s">
        <v>63</v>
      </c>
      <c r="F46" s="261" t="s">
        <v>15</v>
      </c>
      <c r="G46" s="262">
        <f>VLOOKUP(F46,Weightings!$A$46:$B$51,2,FALSE)</f>
        <v>1.0000000000000001E-5</v>
      </c>
      <c r="H46" s="261" t="s">
        <v>15</v>
      </c>
      <c r="I46" s="261" t="s">
        <v>15</v>
      </c>
      <c r="J46" s="264">
        <f>VLOOKUP(I46,[2]Lists!$A$35:$B$40,2,FALSE)</f>
        <v>1E-4</v>
      </c>
      <c r="K46" s="321">
        <f t="shared" si="0"/>
        <v>1.0000000000000001E-9</v>
      </c>
      <c r="L46" s="265">
        <f t="shared" si="2"/>
        <v>1</v>
      </c>
      <c r="M46" s="321">
        <f>IF(B46=Weightings!$A$15,Weightings!$E$36)+IF(B46=Weightings!$A$16,Weightings!$E$41)+IF(B46=Weightings!$A$17,Weightings!$E$41)</f>
        <v>1E-4</v>
      </c>
      <c r="N46" s="321">
        <f t="shared" si="1"/>
        <v>1.0000000000000001E-9</v>
      </c>
      <c r="O46" s="226">
        <f t="shared" si="3"/>
        <v>5.7471264355925517E-12</v>
      </c>
      <c r="P46" s="227">
        <f t="shared" si="4"/>
        <v>7.1839080444906897E-13</v>
      </c>
    </row>
    <row r="47" spans="1:16" s="224" customFormat="1" ht="45.6" customHeight="1" x14ac:dyDescent="0.2">
      <c r="A47" s="222" t="s">
        <v>149</v>
      </c>
      <c r="B47" s="263" t="s">
        <v>6</v>
      </c>
      <c r="C47" s="112" t="s">
        <v>464</v>
      </c>
      <c r="D47" s="362"/>
      <c r="E47" s="276" t="s">
        <v>63</v>
      </c>
      <c r="F47" s="261" t="s">
        <v>15</v>
      </c>
      <c r="G47" s="262">
        <f>VLOOKUP(F47,Weightings!$A$46:$B$51,2,FALSE)</f>
        <v>1.0000000000000001E-5</v>
      </c>
      <c r="H47" s="261" t="s">
        <v>15</v>
      </c>
      <c r="I47" s="261" t="s">
        <v>15</v>
      </c>
      <c r="J47" s="264">
        <f>VLOOKUP(I47,[2]Lists!$A$35:$B$40,2,FALSE)</f>
        <v>1E-4</v>
      </c>
      <c r="K47" s="321">
        <f t="shared" si="0"/>
        <v>1.0000000000000001E-9</v>
      </c>
      <c r="L47" s="265">
        <f t="shared" si="2"/>
        <v>1</v>
      </c>
      <c r="M47" s="321">
        <f>IF(B47=Weightings!$A$15,Weightings!$E$36)+IF(B47=Weightings!$A$16,Weightings!$E$41)+IF(B47=Weightings!$A$17,Weightings!$E$41)</f>
        <v>1E-4</v>
      </c>
      <c r="N47" s="321">
        <f t="shared" si="1"/>
        <v>1.0000000000000001E-9</v>
      </c>
      <c r="O47" s="226">
        <f t="shared" si="3"/>
        <v>5.7471264355925517E-12</v>
      </c>
      <c r="P47" s="227">
        <f t="shared" si="4"/>
        <v>7.1839080444906897E-13</v>
      </c>
    </row>
    <row r="48" spans="1:16" s="224" customFormat="1" ht="45" customHeight="1" x14ac:dyDescent="0.2">
      <c r="A48" s="222" t="s">
        <v>150</v>
      </c>
      <c r="B48" s="261" t="s">
        <v>6</v>
      </c>
      <c r="C48" s="106" t="s">
        <v>787</v>
      </c>
      <c r="D48" s="362"/>
      <c r="E48" s="276" t="s">
        <v>63</v>
      </c>
      <c r="F48" s="261" t="s">
        <v>15</v>
      </c>
      <c r="G48" s="262">
        <f>VLOOKUP(F48,Weightings!$A$46:$B$51,2,FALSE)</f>
        <v>1.0000000000000001E-5</v>
      </c>
      <c r="H48" s="261" t="s">
        <v>15</v>
      </c>
      <c r="I48" s="261" t="s">
        <v>15</v>
      </c>
      <c r="J48" s="264">
        <f>VLOOKUP(I48,[2]Lists!$A$35:$B$40,2,FALSE)</f>
        <v>1E-4</v>
      </c>
      <c r="K48" s="321">
        <f t="shared" si="0"/>
        <v>1.0000000000000001E-9</v>
      </c>
      <c r="L48" s="265">
        <f t="shared" si="2"/>
        <v>1</v>
      </c>
      <c r="M48" s="321">
        <f>IF(B48=Weightings!$A$15,Weightings!$E$36)+IF(B48=Weightings!$A$16,Weightings!$E$41)+IF(B48=Weightings!$A$17,Weightings!$E$41)</f>
        <v>1E-4</v>
      </c>
      <c r="N48" s="321">
        <f t="shared" si="1"/>
        <v>1.0000000000000001E-9</v>
      </c>
      <c r="O48" s="226">
        <f t="shared" si="3"/>
        <v>5.7471264355925517E-12</v>
      </c>
      <c r="P48" s="227">
        <f t="shared" si="4"/>
        <v>7.1839080444906897E-13</v>
      </c>
    </row>
    <row r="49" spans="1:16" s="55" customFormat="1" ht="110.25" customHeight="1" x14ac:dyDescent="0.2">
      <c r="A49" s="222" t="s">
        <v>151</v>
      </c>
      <c r="B49" s="59" t="s">
        <v>6</v>
      </c>
      <c r="C49" s="106" t="s">
        <v>465</v>
      </c>
      <c r="D49" s="362"/>
      <c r="E49" s="276" t="s">
        <v>63</v>
      </c>
      <c r="F49" s="261" t="s">
        <v>15</v>
      </c>
      <c r="G49" s="262">
        <f>VLOOKUP(F49,Weightings!$A$46:$B$51,2,FALSE)</f>
        <v>1.0000000000000001E-5</v>
      </c>
      <c r="H49" s="261" t="s">
        <v>15</v>
      </c>
      <c r="I49" s="261" t="s">
        <v>15</v>
      </c>
      <c r="J49" s="264">
        <f>VLOOKUP(I49,[2]Lists!$A$35:$B$40,2,FALSE)</f>
        <v>1E-4</v>
      </c>
      <c r="K49" s="321">
        <f t="shared" si="0"/>
        <v>1.0000000000000001E-9</v>
      </c>
      <c r="L49" s="265">
        <f t="shared" si="2"/>
        <v>1</v>
      </c>
      <c r="M49" s="321">
        <f>IF(B49=Weightings!$A$15,Weightings!$E$36)+IF(B49=Weightings!$A$16,Weightings!$E$41)+IF(B49=Weightings!$A$17,Weightings!$E$41)</f>
        <v>1E-4</v>
      </c>
      <c r="N49" s="321">
        <f t="shared" si="1"/>
        <v>1.0000000000000001E-9</v>
      </c>
      <c r="O49" s="226">
        <f t="shared" si="3"/>
        <v>5.7471264355925517E-12</v>
      </c>
      <c r="P49" s="227">
        <f t="shared" si="4"/>
        <v>7.1839080444906897E-13</v>
      </c>
    </row>
    <row r="50" spans="1:16" s="97" customFormat="1" x14ac:dyDescent="0.2">
      <c r="A50" s="232"/>
      <c r="B50" s="96"/>
      <c r="C50" s="96"/>
      <c r="D50" s="296"/>
      <c r="E50" s="294"/>
      <c r="F50" s="96"/>
      <c r="G50" s="96"/>
      <c r="H50" s="96"/>
      <c r="I50" s="96"/>
      <c r="J50" s="96"/>
      <c r="K50" s="96"/>
      <c r="L50" s="96"/>
      <c r="M50" s="96"/>
      <c r="N50" s="96"/>
    </row>
    <row r="51" spans="1:16" s="97" customFormat="1" x14ac:dyDescent="0.2">
      <c r="A51" s="232"/>
      <c r="B51" s="96"/>
      <c r="C51" s="96"/>
      <c r="D51" s="51"/>
      <c r="E51" s="294"/>
      <c r="F51" s="294"/>
      <c r="G51" s="294"/>
      <c r="H51" s="294"/>
      <c r="I51" s="294"/>
      <c r="J51" s="294"/>
      <c r="K51" s="294"/>
      <c r="L51" s="294"/>
      <c r="M51" s="294"/>
      <c r="N51" s="294"/>
      <c r="P51" s="294"/>
    </row>
    <row r="52" spans="1:16" s="97" customFormat="1" x14ac:dyDescent="0.2">
      <c r="A52" s="232"/>
      <c r="B52" s="96"/>
      <c r="C52" s="96"/>
      <c r="D52" s="51"/>
      <c r="E52" s="294"/>
      <c r="F52" s="96"/>
      <c r="G52" s="294"/>
      <c r="H52" s="294"/>
      <c r="I52" s="294"/>
      <c r="J52" s="294"/>
      <c r="K52" s="294"/>
      <c r="L52" s="294"/>
      <c r="M52" s="294"/>
      <c r="N52" s="294"/>
    </row>
    <row r="53" spans="1:16" s="97" customFormat="1" x14ac:dyDescent="0.2">
      <c r="A53" s="232"/>
      <c r="B53" s="96"/>
      <c r="C53" s="96"/>
      <c r="D53" s="51"/>
      <c r="E53" s="294"/>
      <c r="F53" s="96"/>
      <c r="G53" s="294"/>
      <c r="H53" s="294"/>
      <c r="I53" s="294"/>
      <c r="J53" s="294"/>
      <c r="K53" s="294"/>
      <c r="L53" s="294"/>
      <c r="M53" s="294"/>
      <c r="N53" s="294"/>
    </row>
    <row r="54" spans="1:16" s="97" customFormat="1" x14ac:dyDescent="0.2">
      <c r="A54" s="232"/>
      <c r="B54" s="96"/>
      <c r="C54" s="96"/>
      <c r="D54" s="51"/>
      <c r="E54" s="294"/>
      <c r="F54" s="96"/>
      <c r="G54" s="294"/>
      <c r="H54" s="294"/>
      <c r="I54" s="294"/>
      <c r="J54" s="294"/>
      <c r="K54" s="294"/>
      <c r="L54" s="294"/>
      <c r="M54" s="294"/>
      <c r="N54" s="294"/>
    </row>
    <row r="55" spans="1:16" s="97" customFormat="1" x14ac:dyDescent="0.2">
      <c r="A55" s="232"/>
      <c r="B55" s="96"/>
      <c r="C55" s="96"/>
      <c r="D55" s="51"/>
      <c r="E55" s="294"/>
      <c r="F55" s="96"/>
      <c r="G55" s="294"/>
      <c r="H55" s="294"/>
      <c r="I55" s="294"/>
      <c r="J55" s="294"/>
      <c r="K55" s="294"/>
      <c r="L55" s="294"/>
      <c r="M55" s="294"/>
      <c r="N55" s="294"/>
    </row>
    <row r="56" spans="1:16" s="97" customFormat="1" x14ac:dyDescent="0.2">
      <c r="A56" s="232"/>
      <c r="B56" s="96"/>
      <c r="C56" s="96"/>
      <c r="D56" s="51"/>
      <c r="E56" s="294"/>
      <c r="F56" s="96"/>
      <c r="G56" s="294"/>
      <c r="H56" s="294"/>
      <c r="I56" s="294"/>
      <c r="J56" s="294"/>
      <c r="K56" s="294"/>
      <c r="L56" s="294"/>
      <c r="M56" s="294"/>
      <c r="N56" s="294"/>
    </row>
    <row r="57" spans="1:16" s="97" customFormat="1" x14ac:dyDescent="0.2">
      <c r="A57" s="232"/>
      <c r="B57" s="96"/>
      <c r="C57" s="96"/>
      <c r="D57" s="51"/>
      <c r="E57" s="294"/>
      <c r="F57" s="96"/>
      <c r="G57" s="294"/>
      <c r="H57" s="294"/>
      <c r="I57" s="294"/>
      <c r="J57" s="294"/>
      <c r="K57" s="294"/>
      <c r="L57" s="294"/>
      <c r="M57" s="294"/>
      <c r="N57" s="294"/>
    </row>
  </sheetData>
  <sheetProtection password="ED47" sheet="1" objects="1" scenarios="1" formatCells="0" formatColumns="0" formatRows="0" autoFilter="0"/>
  <autoFilter ref="A5:P49"/>
  <mergeCells count="2">
    <mergeCell ref="E1:H1"/>
    <mergeCell ref="A1:B1"/>
  </mergeCells>
  <dataValidations count="7">
    <dataValidation type="list" allowBlank="1" showDropDown="1" showInputMessage="1" showErrorMessage="1" sqref="H7">
      <formula1>Adj_Evidence</formula1>
    </dataValidation>
    <dataValidation type="list" allowBlank="1" showInputMessage="1" showErrorMessage="1" sqref="D2 C1:C1048576 B2:B1048576">
      <formula1>Spec_Compl_Adj</formula1>
    </dataValidation>
    <dataValidation allowBlank="1" showDropDown="1" showInputMessage="1" showErrorMessage="1" sqref="D44 I7"/>
    <dataValidation type="list" allowBlank="1" showInputMessage="1" showErrorMessage="1" sqref="I44:I45 I32 I34 I37 I6 I8">
      <formula1>Adj_Service</formula1>
    </dataValidation>
    <dataValidation type="list" allowBlank="1" showInputMessage="1" showErrorMessage="1" sqref="F52:F65553 F5:F8 F32 F34 F37 F44:F45 F50:N50">
      <formula1>Adj_Weight</formula1>
    </dataValidation>
    <dataValidation type="list" allowBlank="1" showInputMessage="1" showErrorMessage="1" sqref="H44:H45 H32 H34 H37 H6 H8">
      <formula1>Adj_Evidence</formula1>
    </dataValidation>
    <dataValidation type="list" allowBlank="1" showInputMessage="1" showErrorMessage="1" sqref="D35:D36 D38:D43 D9:D31 D33 D46:D49">
      <formula1>"Yes,No"</formula1>
    </dataValidation>
  </dataValidations>
  <printOptions headings="1"/>
  <pageMargins left="0.70866141732283472" right="0.70866141732283472" top="0.74803149606299213" bottom="0.74803149606299213" header="0.31496062992125984" footer="0.31496062992125984"/>
  <pageSetup paperSize="9" scale="74" fitToHeight="0" orientation="landscape" r:id="rId1"/>
  <headerFooter>
    <oddHeader>&amp;A&amp;RPage &amp;P</oddHeader>
    <oddFooter>&amp;F</oddFooter>
  </headerFooter>
  <drawing r:id="rId2"/>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[2]Lists!#REF!</xm:f>
          </x14:formula1>
          <xm:sqref>D34 D37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P44"/>
  <sheetViews>
    <sheetView zoomScaleNormal="100" workbookViewId="0">
      <pane ySplit="5" topLeftCell="A6" activePane="bottomLeft" state="frozen"/>
      <selection activeCell="C5" sqref="C5"/>
      <selection pane="bottomLeft" activeCell="A6" sqref="A6"/>
    </sheetView>
  </sheetViews>
  <sheetFormatPr defaultColWidth="8.88671875" defaultRowHeight="12.75" x14ac:dyDescent="0.2"/>
  <cols>
    <col min="1" max="1" width="9.6640625" style="324" customWidth="1"/>
    <col min="2" max="2" width="11.6640625" style="324" customWidth="1"/>
    <col min="3" max="3" width="70.77734375" style="324" customWidth="1"/>
    <col min="4" max="4" width="21.77734375" style="324" customWidth="1"/>
    <col min="5" max="5" width="50.77734375" style="324" customWidth="1"/>
    <col min="6" max="6" width="10.6640625" style="324" customWidth="1"/>
    <col min="7" max="7" width="11" style="324" hidden="1" customWidth="1"/>
    <col min="8" max="8" width="13.77734375" style="324" customWidth="1"/>
    <col min="9" max="9" width="13.21875" style="324" hidden="1" customWidth="1"/>
    <col min="10" max="10" width="13.109375" style="324" hidden="1" customWidth="1"/>
    <col min="11" max="11" width="15.21875" style="324" hidden="1" customWidth="1"/>
    <col min="12" max="14" width="11" style="324" hidden="1" customWidth="1"/>
    <col min="15" max="16384" width="8.88671875" style="324"/>
  </cols>
  <sheetData>
    <row r="1" spans="1:16" ht="22.9" customHeight="1" x14ac:dyDescent="0.2">
      <c r="A1" s="340" t="s">
        <v>747</v>
      </c>
      <c r="B1" s="340"/>
      <c r="D1" s="327">
        <f>COUNTIF(D5:D97,"NO")</f>
        <v>0</v>
      </c>
      <c r="E1" s="361" t="s">
        <v>537</v>
      </c>
      <c r="F1" s="361"/>
      <c r="G1" s="361"/>
    </row>
    <row r="2" spans="1:16" ht="12" customHeight="1" x14ac:dyDescent="0.2">
      <c r="B2" s="327">
        <f>COUNTIF(B5:B100,"Compliance Yes/No")+COUNTIF(B5:B100,"Specification")</f>
        <v>22</v>
      </c>
      <c r="C2" s="327"/>
      <c r="D2" s="327">
        <f>COUNTIF(D5:D97,"YES")</f>
        <v>0</v>
      </c>
      <c r="I2" s="121" t="s">
        <v>74</v>
      </c>
      <c r="J2" s="122"/>
      <c r="K2" s="123">
        <f>SUM(K7:K39)</f>
        <v>192.00000002499991</v>
      </c>
      <c r="L2" s="124">
        <f>K2/N2</f>
        <v>0.76190476194047629</v>
      </c>
      <c r="M2" s="123"/>
      <c r="N2" s="123">
        <f>SUM(N7:N39)</f>
        <v>252.00000002099983</v>
      </c>
      <c r="O2" s="125">
        <f>SUM(O7:O39)</f>
        <v>1.0000000000000009</v>
      </c>
      <c r="P2" s="126">
        <f>SUM(P7:P39)</f>
        <v>0.12500000000000011</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696</v>
      </c>
      <c r="B4" s="100"/>
      <c r="C4" s="100"/>
      <c r="D4" s="98"/>
      <c r="E4" s="67">
        <f>Introduction!B10</f>
        <v>0</v>
      </c>
      <c r="F4" s="67"/>
      <c r="G4" s="67"/>
      <c r="H4" s="67"/>
      <c r="I4" s="67"/>
      <c r="J4" s="67"/>
      <c r="K4" s="67"/>
      <c r="L4" s="67"/>
      <c r="M4" s="67"/>
      <c r="N4" s="67"/>
      <c r="O4" s="71"/>
      <c r="P4" s="71"/>
    </row>
    <row r="5" spans="1:16" s="129" customFormat="1" ht="51" x14ac:dyDescent="0.2">
      <c r="A5" s="109" t="s">
        <v>53</v>
      </c>
      <c r="B5" s="222"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72"/>
      <c r="F6" s="74" t="s">
        <v>15</v>
      </c>
      <c r="G6" s="74">
        <f>VLOOKUP(F6,[2]Lists!$A$45:$B$50,2,FALSE)</f>
        <v>1.0000000000000001E-5</v>
      </c>
      <c r="H6" s="74" t="s">
        <v>15</v>
      </c>
      <c r="I6" s="74" t="s">
        <v>15</v>
      </c>
      <c r="J6" s="74">
        <f>VLOOKUP(I6,[2]Lists!$A$35:$B$40,2,FALSE)</f>
        <v>1E-4</v>
      </c>
      <c r="K6" s="74" t="e">
        <f>J6*#REF!*G6</f>
        <v>#REF!</v>
      </c>
      <c r="L6" s="74" t="str">
        <f>IF(ISERROR(K6/N6),"n/a",K6/N6)</f>
        <v>n/a</v>
      </c>
      <c r="M6" s="74">
        <f>IF(B6=[2]Lists!$A$14,[2]Lists!$E$35)+IF(B6=[2]Lists!$A$15,[2]Lists!$E$40)+IF(B6=[2]Lists!$A$16,[2]Lists!$E$40)</f>
        <v>0</v>
      </c>
      <c r="N6" s="74">
        <f>G6*M6</f>
        <v>0</v>
      </c>
      <c r="O6" s="70"/>
      <c r="P6" s="70"/>
    </row>
    <row r="7" spans="1:16" s="47" customFormat="1" ht="49.15" customHeight="1" x14ac:dyDescent="0.2">
      <c r="A7" s="222" t="s">
        <v>105</v>
      </c>
      <c r="B7" s="261" t="s">
        <v>7</v>
      </c>
      <c r="C7" s="112" t="s">
        <v>187</v>
      </c>
      <c r="D7" s="295">
        <f>COUNTIF(D9:D100,"Yes")/(B2-1)</f>
        <v>0</v>
      </c>
      <c r="E7" s="271"/>
      <c r="F7" s="261" t="s">
        <v>44</v>
      </c>
      <c r="G7" s="262">
        <f>VLOOKUP(F7,Weightings!$A$46:$B$51,2,FALSE)</f>
        <v>10</v>
      </c>
      <c r="H7" s="274"/>
      <c r="I7" s="263" t="s">
        <v>836</v>
      </c>
      <c r="J7" s="264">
        <f>IF(D7&gt;=0.97,6,IF(D7&gt;=0.9,4,IF(D7&gt;=0.8,2,IF(D7&gt;=0.7,1,0))))</f>
        <v>0</v>
      </c>
      <c r="K7" s="321">
        <f t="shared" ref="K7:K37" si="0">J7*G7</f>
        <v>0</v>
      </c>
      <c r="L7" s="265">
        <f>IF(ISERROR(K7/N7),"n/a",K7/N7)</f>
        <v>0</v>
      </c>
      <c r="M7" s="321">
        <f>IF(B7=Weightings!$A$15,Weightings!$E$36)+IF(B7=Weightings!$A$16,Weightings!$E$41)+IF(B7=Weightings!$A$17,Weightings!$E$41)</f>
        <v>6</v>
      </c>
      <c r="N7" s="321">
        <f t="shared" ref="N7:N39" si="1">G7*M7</f>
        <v>60</v>
      </c>
      <c r="O7" s="269">
        <f>IF((N7/$N$2)&gt;0,N7/$N$2,"n/a")</f>
        <v>0.23809523807539698</v>
      </c>
      <c r="P7" s="270">
        <f>IF(ISERROR(O7*0.125),"n/a",O7*0.125)</f>
        <v>2.9761904759424623E-2</v>
      </c>
    </row>
    <row r="8" spans="1:16" s="82" customFormat="1" x14ac:dyDescent="0.2">
      <c r="A8" s="84" t="s">
        <v>106</v>
      </c>
      <c r="B8" s="322"/>
      <c r="C8" s="103" t="s">
        <v>697</v>
      </c>
      <c r="D8" s="103"/>
      <c r="E8" s="85"/>
      <c r="F8" s="74" t="s">
        <v>15</v>
      </c>
      <c r="G8" s="74">
        <f>VLOOKUP(F8,[2]Lists!$A$45:$B$50,2,FALSE)</f>
        <v>1.0000000000000001E-5</v>
      </c>
      <c r="H8" s="74" t="s">
        <v>15</v>
      </c>
      <c r="I8" s="74" t="s">
        <v>15</v>
      </c>
      <c r="J8" s="74">
        <f>VLOOKUP(I8,[2]Lists!$A$35:$B$40,2,FALSE)</f>
        <v>1E-4</v>
      </c>
      <c r="K8" s="74">
        <f t="shared" si="0"/>
        <v>1.0000000000000001E-9</v>
      </c>
      <c r="L8" s="74" t="str">
        <f t="shared" ref="L8:L37" si="2">IF(ISERROR(K8/N8),"n/a",K8/N8)</f>
        <v>n/a</v>
      </c>
      <c r="M8" s="74">
        <f>IF(B8=[2]Lists!$A$14,[2]Lists!$E$35)+IF(B8=[2]Lists!$A$15,[2]Lists!$E$40)+IF(B8=[2]Lists!$A$16,[2]Lists!$E$40)</f>
        <v>0</v>
      </c>
      <c r="N8" s="74">
        <f t="shared" si="1"/>
        <v>0</v>
      </c>
      <c r="O8" s="74" t="str">
        <f t="shared" ref="O8:O39" si="3">IF((N8/$N$2)&gt;0,N8/$N$2,"n/a")</f>
        <v>n/a</v>
      </c>
      <c r="P8" s="70" t="str">
        <f t="shared" ref="P8:P39" si="4">IF(ISERROR(O8*0.125),"n/a",O8*0.125)</f>
        <v>n/a</v>
      </c>
    </row>
    <row r="9" spans="1:16" s="47" customFormat="1" ht="33" customHeight="1" x14ac:dyDescent="0.2">
      <c r="A9" s="222" t="s">
        <v>107</v>
      </c>
      <c r="B9" s="228" t="s">
        <v>6</v>
      </c>
      <c r="C9" s="113" t="s">
        <v>788</v>
      </c>
      <c r="D9" s="362"/>
      <c r="E9" s="276" t="s">
        <v>63</v>
      </c>
      <c r="F9" s="261" t="s">
        <v>15</v>
      </c>
      <c r="G9" s="262">
        <f>VLOOKUP(F9,Weightings!$A$46:$B$51,2,FALSE)</f>
        <v>1.0000000000000001E-5</v>
      </c>
      <c r="H9" s="261" t="s">
        <v>15</v>
      </c>
      <c r="I9" s="261" t="s">
        <v>15</v>
      </c>
      <c r="J9" s="264">
        <f>VLOOKUP(I9,[2]Lists!$A$35:$B$40,2,FALSE)</f>
        <v>1E-4</v>
      </c>
      <c r="K9" s="321">
        <f t="shared" si="0"/>
        <v>1.0000000000000001E-9</v>
      </c>
      <c r="L9" s="265">
        <f t="shared" si="2"/>
        <v>1</v>
      </c>
      <c r="M9" s="321">
        <f>IF(B9=Weightings!$A$15,Weightings!$E$36)+IF(B9=Weightings!$A$16,Weightings!$E$41)+IF(B9=Weightings!$A$17,Weightings!$E$41)</f>
        <v>1E-4</v>
      </c>
      <c r="N9" s="321">
        <f t="shared" si="1"/>
        <v>1.0000000000000001E-9</v>
      </c>
      <c r="O9" s="226">
        <f t="shared" si="3"/>
        <v>3.9682539679232829E-12</v>
      </c>
      <c r="P9" s="227">
        <f t="shared" si="4"/>
        <v>4.9603174599041036E-13</v>
      </c>
    </row>
    <row r="10" spans="1:16" s="82" customFormat="1" x14ac:dyDescent="0.2">
      <c r="A10" s="84" t="s">
        <v>77</v>
      </c>
      <c r="B10" s="322"/>
      <c r="C10" s="322" t="s">
        <v>698</v>
      </c>
      <c r="D10" s="322"/>
      <c r="E10" s="85"/>
      <c r="F10" s="74" t="s">
        <v>15</v>
      </c>
      <c r="G10" s="74">
        <f>VLOOKUP(F10,[2]Lists!$A$45:$B$50,2,FALSE)</f>
        <v>1.0000000000000001E-5</v>
      </c>
      <c r="H10" s="74" t="s">
        <v>15</v>
      </c>
      <c r="I10" s="74" t="s">
        <v>15</v>
      </c>
      <c r="J10" s="74">
        <f>VLOOKUP(I10,[2]Lists!$A$35:$B$40,2,FALSE)</f>
        <v>1E-4</v>
      </c>
      <c r="K10" s="74">
        <f t="shared" si="0"/>
        <v>1.0000000000000001E-9</v>
      </c>
      <c r="L10" s="74" t="str">
        <f t="shared" si="2"/>
        <v>n/a</v>
      </c>
      <c r="M10" s="74">
        <f>IF(B10=[2]Lists!$A$14,[2]Lists!$E$35)+IF(B10=[2]Lists!$A$15,[2]Lists!$E$40)+IF(B10=[2]Lists!$A$16,[2]Lists!$E$40)</f>
        <v>0</v>
      </c>
      <c r="N10" s="74">
        <f t="shared" si="1"/>
        <v>0</v>
      </c>
      <c r="O10" s="74" t="str">
        <f t="shared" si="3"/>
        <v>n/a</v>
      </c>
      <c r="P10" s="70" t="str">
        <f t="shared" si="4"/>
        <v>n/a</v>
      </c>
    </row>
    <row r="11" spans="1:16" s="224" customFormat="1" ht="38.25" x14ac:dyDescent="0.2">
      <c r="A11" s="222" t="s">
        <v>108</v>
      </c>
      <c r="B11" s="228" t="s">
        <v>6</v>
      </c>
      <c r="C11" s="118" t="s">
        <v>699</v>
      </c>
      <c r="D11" s="362"/>
      <c r="E11" s="276" t="s">
        <v>63</v>
      </c>
      <c r="F11" s="261" t="s">
        <v>15</v>
      </c>
      <c r="G11" s="262">
        <f>VLOOKUP(F11,Weightings!$A$46:$B$51,2,FALSE)</f>
        <v>1.0000000000000001E-5</v>
      </c>
      <c r="H11" s="261" t="s">
        <v>15</v>
      </c>
      <c r="I11" s="261" t="s">
        <v>15</v>
      </c>
      <c r="J11" s="264">
        <f>VLOOKUP(I11,[2]Lists!$A$35:$B$40,2,FALSE)</f>
        <v>1E-4</v>
      </c>
      <c r="K11" s="321">
        <f t="shared" si="0"/>
        <v>1.0000000000000001E-9</v>
      </c>
      <c r="L11" s="265">
        <f t="shared" si="2"/>
        <v>1</v>
      </c>
      <c r="M11" s="321">
        <f>IF(B11=Weightings!$A$15,Weightings!$E$36)+IF(B11=Weightings!$A$16,Weightings!$E$41)+IF(B11=Weightings!$A$17,Weightings!$E$41)</f>
        <v>1E-4</v>
      </c>
      <c r="N11" s="321">
        <f t="shared" si="1"/>
        <v>1.0000000000000001E-9</v>
      </c>
      <c r="O11" s="226">
        <f t="shared" si="3"/>
        <v>3.9682539679232829E-12</v>
      </c>
      <c r="P11" s="227">
        <f t="shared" si="4"/>
        <v>4.9603174599041036E-13</v>
      </c>
    </row>
    <row r="12" spans="1:16" s="224" customFormat="1" ht="162" customHeight="1" x14ac:dyDescent="0.2">
      <c r="A12" s="222" t="s">
        <v>109</v>
      </c>
      <c r="B12" s="228" t="s">
        <v>6</v>
      </c>
      <c r="C12" s="118" t="s">
        <v>700</v>
      </c>
      <c r="D12" s="362"/>
      <c r="E12" s="276" t="s">
        <v>63</v>
      </c>
      <c r="F12" s="261" t="s">
        <v>15</v>
      </c>
      <c r="G12" s="262">
        <f>VLOOKUP(F12,Weightings!$A$46:$B$51,2,FALSE)</f>
        <v>1.0000000000000001E-5</v>
      </c>
      <c r="H12" s="261" t="s">
        <v>15</v>
      </c>
      <c r="I12" s="261" t="s">
        <v>15</v>
      </c>
      <c r="J12" s="264">
        <f>VLOOKUP(I12,[2]Lists!$A$35:$B$40,2,FALSE)</f>
        <v>1E-4</v>
      </c>
      <c r="K12" s="321">
        <f t="shared" si="0"/>
        <v>1.0000000000000001E-9</v>
      </c>
      <c r="L12" s="265">
        <f t="shared" si="2"/>
        <v>1</v>
      </c>
      <c r="M12" s="321">
        <f>IF(B12=Weightings!$A$15,Weightings!$E$36)+IF(B12=Weightings!$A$16,Weightings!$E$41)+IF(B12=Weightings!$A$17,Weightings!$E$41)</f>
        <v>1E-4</v>
      </c>
      <c r="N12" s="321">
        <f t="shared" si="1"/>
        <v>1.0000000000000001E-9</v>
      </c>
      <c r="O12" s="226">
        <f t="shared" si="3"/>
        <v>3.9682539679232829E-12</v>
      </c>
      <c r="P12" s="227">
        <f t="shared" si="4"/>
        <v>4.9603174599041036E-13</v>
      </c>
    </row>
    <row r="13" spans="1:16" s="55" customFormat="1" ht="43.9" customHeight="1" x14ac:dyDescent="0.2">
      <c r="A13" s="222" t="s">
        <v>152</v>
      </c>
      <c r="B13" s="59" t="s">
        <v>6</v>
      </c>
      <c r="C13" s="229" t="s">
        <v>190</v>
      </c>
      <c r="D13" s="362"/>
      <c r="E13" s="276" t="s">
        <v>63</v>
      </c>
      <c r="F13" s="261" t="s">
        <v>15</v>
      </c>
      <c r="G13" s="262">
        <f>VLOOKUP(F13,Weightings!$A$46:$B$51,2,FALSE)</f>
        <v>1.0000000000000001E-5</v>
      </c>
      <c r="H13" s="261" t="s">
        <v>15</v>
      </c>
      <c r="I13" s="261" t="s">
        <v>15</v>
      </c>
      <c r="J13" s="264">
        <f>VLOOKUP(I13,[4]Lists!$A$36:$B$41,2,FALSE)</f>
        <v>1E-4</v>
      </c>
      <c r="K13" s="321">
        <f t="shared" si="0"/>
        <v>1.0000000000000001E-9</v>
      </c>
      <c r="L13" s="265">
        <f t="shared" si="2"/>
        <v>1</v>
      </c>
      <c r="M13" s="321">
        <f>IF(B13=Weightings!$A$15,Weightings!$E$36)+IF(B13=Weightings!$A$16,Weightings!$E$41)+IF(B13=Weightings!$A$17,Weightings!$E$41)</f>
        <v>1E-4</v>
      </c>
      <c r="N13" s="321">
        <f t="shared" si="1"/>
        <v>1.0000000000000001E-9</v>
      </c>
      <c r="O13" s="258">
        <f t="shared" si="3"/>
        <v>3.9682539679232829E-12</v>
      </c>
      <c r="P13" s="258">
        <f t="shared" si="4"/>
        <v>4.9603174599041036E-13</v>
      </c>
    </row>
    <row r="14" spans="1:16" s="224" customFormat="1" ht="25.5" x14ac:dyDescent="0.2">
      <c r="A14" s="222" t="s">
        <v>253</v>
      </c>
      <c r="B14" s="225" t="s">
        <v>8</v>
      </c>
      <c r="C14" s="225" t="s">
        <v>701</v>
      </c>
      <c r="D14" s="273"/>
      <c r="E14" s="266"/>
      <c r="F14" s="261" t="s">
        <v>43</v>
      </c>
      <c r="G14" s="262">
        <f>VLOOKUP(F14,Weightings!$A$46:$B$51,2,FALSE)</f>
        <v>5</v>
      </c>
      <c r="H14" s="261" t="s">
        <v>25</v>
      </c>
      <c r="I14" s="263" t="s">
        <v>34</v>
      </c>
      <c r="J14" s="264">
        <f>VLOOKUP(I14,[2]Lists!$A$35:$B$40,2,FALSE)</f>
        <v>6</v>
      </c>
      <c r="K14" s="321">
        <f t="shared" si="0"/>
        <v>30</v>
      </c>
      <c r="L14" s="265">
        <f t="shared" si="2"/>
        <v>1</v>
      </c>
      <c r="M14" s="321">
        <f>IF(B14=Weightings!$A$15,Weightings!$E$36)+IF(B14=Weightings!$A$16,Weightings!$E$41)+IF(B14=Weightings!$A$17,Weightings!$E$41)</f>
        <v>6</v>
      </c>
      <c r="N14" s="321">
        <f t="shared" si="1"/>
        <v>30</v>
      </c>
      <c r="O14" s="267">
        <f t="shared" si="3"/>
        <v>0.11904761903769849</v>
      </c>
      <c r="P14" s="268">
        <f t="shared" si="4"/>
        <v>1.4880952379712311E-2</v>
      </c>
    </row>
    <row r="15" spans="1:16" s="224" customFormat="1" ht="36.6" customHeight="1" x14ac:dyDescent="0.2">
      <c r="A15" s="222" t="s">
        <v>153</v>
      </c>
      <c r="B15" s="228" t="s">
        <v>6</v>
      </c>
      <c r="C15" s="246" t="s">
        <v>702</v>
      </c>
      <c r="D15" s="362"/>
      <c r="E15" s="276" t="s">
        <v>63</v>
      </c>
      <c r="F15" s="261" t="s">
        <v>15</v>
      </c>
      <c r="G15" s="262">
        <f>VLOOKUP(F15,Weightings!$A$46:$B$51,2,FALSE)</f>
        <v>1.0000000000000001E-5</v>
      </c>
      <c r="H15" s="261" t="s">
        <v>15</v>
      </c>
      <c r="I15" s="261" t="s">
        <v>15</v>
      </c>
      <c r="J15" s="264">
        <f>VLOOKUP(I15,[2]Lists!$A$35:$B$40,2,FALSE)</f>
        <v>1E-4</v>
      </c>
      <c r="K15" s="321">
        <f t="shared" si="0"/>
        <v>1.0000000000000001E-9</v>
      </c>
      <c r="L15" s="265">
        <f t="shared" si="2"/>
        <v>1</v>
      </c>
      <c r="M15" s="321">
        <f>IF(B15=Weightings!$A$15,Weightings!$E$36)+IF(B15=Weightings!$A$16,Weightings!$E$41)+IF(B15=Weightings!$A$17,Weightings!$E$41)</f>
        <v>1E-4</v>
      </c>
      <c r="N15" s="321">
        <f t="shared" si="1"/>
        <v>1.0000000000000001E-9</v>
      </c>
      <c r="O15" s="226">
        <f t="shared" si="3"/>
        <v>3.9682539679232829E-12</v>
      </c>
      <c r="P15" s="227">
        <f t="shared" si="4"/>
        <v>4.9603174599041036E-13</v>
      </c>
    </row>
    <row r="16" spans="1:16" s="224" customFormat="1" ht="64.900000000000006" customHeight="1" x14ac:dyDescent="0.2">
      <c r="A16" s="222" t="s">
        <v>789</v>
      </c>
      <c r="B16" s="228" t="s">
        <v>6</v>
      </c>
      <c r="C16" s="246" t="s">
        <v>703</v>
      </c>
      <c r="D16" s="362"/>
      <c r="E16" s="276" t="s">
        <v>63</v>
      </c>
      <c r="F16" s="261" t="s">
        <v>15</v>
      </c>
      <c r="G16" s="262">
        <f>VLOOKUP(F16,Weightings!$A$46:$B$51,2,FALSE)</f>
        <v>1.0000000000000001E-5</v>
      </c>
      <c r="H16" s="261" t="s">
        <v>15</v>
      </c>
      <c r="I16" s="261" t="s">
        <v>15</v>
      </c>
      <c r="J16" s="264">
        <f>VLOOKUP(I16,[2]Lists!$A$35:$B$40,2,FALSE)</f>
        <v>1E-4</v>
      </c>
      <c r="K16" s="321">
        <f t="shared" si="0"/>
        <v>1.0000000000000001E-9</v>
      </c>
      <c r="L16" s="265">
        <f t="shared" si="2"/>
        <v>1</v>
      </c>
      <c r="M16" s="321">
        <f>IF(B16=Weightings!$A$15,Weightings!$E$36)+IF(B16=Weightings!$A$16,Weightings!$E$41)+IF(B16=Weightings!$A$17,Weightings!$E$41)</f>
        <v>1E-4</v>
      </c>
      <c r="N16" s="321">
        <f t="shared" si="1"/>
        <v>1.0000000000000001E-9</v>
      </c>
      <c r="O16" s="226">
        <f t="shared" si="3"/>
        <v>3.9682539679232829E-12</v>
      </c>
      <c r="P16" s="227">
        <f t="shared" si="4"/>
        <v>4.9603174599041036E-13</v>
      </c>
    </row>
    <row r="17" spans="1:16" s="224" customFormat="1" ht="25.5" x14ac:dyDescent="0.2">
      <c r="A17" s="222" t="s">
        <v>790</v>
      </c>
      <c r="B17" s="225" t="s">
        <v>8</v>
      </c>
      <c r="C17" s="104" t="s">
        <v>704</v>
      </c>
      <c r="D17" s="273"/>
      <c r="E17" s="266"/>
      <c r="F17" s="261" t="s">
        <v>47</v>
      </c>
      <c r="G17" s="262">
        <f>VLOOKUP(F17,Weightings!$A$46:$B$51,2,FALSE)</f>
        <v>8</v>
      </c>
      <c r="H17" s="261" t="s">
        <v>24</v>
      </c>
      <c r="I17" s="263" t="s">
        <v>34</v>
      </c>
      <c r="J17" s="264">
        <f>VLOOKUP(I17,[2]Lists!$A$35:$B$40,2,FALSE)</f>
        <v>6</v>
      </c>
      <c r="K17" s="321">
        <f t="shared" si="0"/>
        <v>48</v>
      </c>
      <c r="L17" s="265">
        <f t="shared" si="2"/>
        <v>1</v>
      </c>
      <c r="M17" s="321">
        <f>IF(B17=Weightings!$A$15,Weightings!$E$36)+IF(B17=Weightings!$A$16,Weightings!$E$41)+IF(B17=Weightings!$A$17,Weightings!$E$41)</f>
        <v>6</v>
      </c>
      <c r="N17" s="321">
        <f t="shared" si="1"/>
        <v>48</v>
      </c>
      <c r="O17" s="267">
        <f t="shared" si="3"/>
        <v>0.19047619046031758</v>
      </c>
      <c r="P17" s="268">
        <f t="shared" si="4"/>
        <v>2.3809523807539697E-2</v>
      </c>
    </row>
    <row r="18" spans="1:16" s="82" customFormat="1" x14ac:dyDescent="0.2">
      <c r="A18" s="84" t="s">
        <v>78</v>
      </c>
      <c r="B18" s="322"/>
      <c r="C18" s="322" t="s">
        <v>705</v>
      </c>
      <c r="D18" s="322"/>
      <c r="E18" s="85"/>
      <c r="F18" s="74" t="s">
        <v>15</v>
      </c>
      <c r="G18" s="74">
        <f>VLOOKUP(F18,[2]Lists!$A$45:$B$50,2,FALSE)</f>
        <v>1.0000000000000001E-5</v>
      </c>
      <c r="H18" s="74" t="s">
        <v>15</v>
      </c>
      <c r="I18" s="74" t="s">
        <v>15</v>
      </c>
      <c r="J18" s="74">
        <f>VLOOKUP(I18,[2]Lists!$A$35:$B$40,2,FALSE)</f>
        <v>1E-4</v>
      </c>
      <c r="K18" s="74">
        <f t="shared" si="0"/>
        <v>1.0000000000000001E-9</v>
      </c>
      <c r="L18" s="74" t="str">
        <f t="shared" si="2"/>
        <v>n/a</v>
      </c>
      <c r="M18" s="74">
        <f>IF(B18=[2]Lists!$A$14,[2]Lists!$E$35)+IF(B18=[2]Lists!$A$15,[2]Lists!$E$40)+IF(B18=[2]Lists!$A$16,[2]Lists!$E$40)</f>
        <v>0</v>
      </c>
      <c r="N18" s="74">
        <f t="shared" si="1"/>
        <v>0</v>
      </c>
      <c r="O18" s="74" t="str">
        <f t="shared" si="3"/>
        <v>n/a</v>
      </c>
      <c r="P18" s="74" t="str">
        <f t="shared" si="4"/>
        <v>n/a</v>
      </c>
    </row>
    <row r="19" spans="1:16" s="224" customFormat="1" ht="30" customHeight="1" x14ac:dyDescent="0.2">
      <c r="A19" s="222" t="s">
        <v>706</v>
      </c>
      <c r="B19" s="228" t="s">
        <v>6</v>
      </c>
      <c r="C19" s="119" t="s">
        <v>81</v>
      </c>
      <c r="D19" s="362"/>
      <c r="E19" s="276" t="s">
        <v>63</v>
      </c>
      <c r="F19" s="261" t="s">
        <v>15</v>
      </c>
      <c r="G19" s="262">
        <f>VLOOKUP(F19,Weightings!$A$46:$B$51,2,FALSE)</f>
        <v>1.0000000000000001E-5</v>
      </c>
      <c r="H19" s="261" t="s">
        <v>15</v>
      </c>
      <c r="I19" s="261" t="s">
        <v>15</v>
      </c>
      <c r="J19" s="264">
        <f>VLOOKUP(I19,[2]Lists!$A$35:$B$40,2,FALSE)</f>
        <v>1E-4</v>
      </c>
      <c r="K19" s="321">
        <f t="shared" si="0"/>
        <v>1.0000000000000001E-9</v>
      </c>
      <c r="L19" s="265">
        <f t="shared" si="2"/>
        <v>1</v>
      </c>
      <c r="M19" s="321">
        <f>IF(B19=Weightings!$A$15,Weightings!$E$36)+IF(B19=Weightings!$A$16,Weightings!$E$41)+IF(B19=Weightings!$A$17,Weightings!$E$41)</f>
        <v>1E-4</v>
      </c>
      <c r="N19" s="321">
        <f t="shared" si="1"/>
        <v>1.0000000000000001E-9</v>
      </c>
      <c r="O19" s="226">
        <f t="shared" si="3"/>
        <v>3.9682539679232829E-12</v>
      </c>
      <c r="P19" s="227">
        <f t="shared" si="4"/>
        <v>4.9603174599041036E-13</v>
      </c>
    </row>
    <row r="20" spans="1:16" s="224" customFormat="1" ht="36" customHeight="1" x14ac:dyDescent="0.2">
      <c r="A20" s="222" t="s">
        <v>707</v>
      </c>
      <c r="B20" s="228" t="s">
        <v>6</v>
      </c>
      <c r="C20" s="246" t="s">
        <v>708</v>
      </c>
      <c r="D20" s="362"/>
      <c r="E20" s="276" t="s">
        <v>63</v>
      </c>
      <c r="F20" s="261" t="s">
        <v>15</v>
      </c>
      <c r="G20" s="262">
        <f>VLOOKUP(F20,Weightings!$A$46:$B$51,2,FALSE)</f>
        <v>1.0000000000000001E-5</v>
      </c>
      <c r="H20" s="261" t="s">
        <v>15</v>
      </c>
      <c r="I20" s="261" t="s">
        <v>15</v>
      </c>
      <c r="J20" s="264">
        <f>VLOOKUP(I20,[2]Lists!$A$35:$B$40,2,FALSE)</f>
        <v>1E-4</v>
      </c>
      <c r="K20" s="321">
        <f t="shared" si="0"/>
        <v>1.0000000000000001E-9</v>
      </c>
      <c r="L20" s="265">
        <f t="shared" si="2"/>
        <v>1</v>
      </c>
      <c r="M20" s="321">
        <f>IF(B20=Weightings!$A$15,Weightings!$E$36)+IF(B20=Weightings!$A$16,Weightings!$E$41)+IF(B20=Weightings!$A$17,Weightings!$E$41)</f>
        <v>1E-4</v>
      </c>
      <c r="N20" s="321">
        <f t="shared" si="1"/>
        <v>1.0000000000000001E-9</v>
      </c>
      <c r="O20" s="226">
        <f t="shared" si="3"/>
        <v>3.9682539679232829E-12</v>
      </c>
      <c r="P20" s="227">
        <f t="shared" si="4"/>
        <v>4.9603174599041036E-13</v>
      </c>
    </row>
    <row r="21" spans="1:16" s="224" customFormat="1" ht="163.5" customHeight="1" x14ac:dyDescent="0.2">
      <c r="A21" s="222" t="s">
        <v>709</v>
      </c>
      <c r="B21" s="228" t="s">
        <v>6</v>
      </c>
      <c r="C21" s="246" t="s">
        <v>710</v>
      </c>
      <c r="D21" s="362"/>
      <c r="E21" s="276" t="s">
        <v>63</v>
      </c>
      <c r="F21" s="261" t="s">
        <v>15</v>
      </c>
      <c r="G21" s="262">
        <f>VLOOKUP(F21,Weightings!$A$46:$B$51,2,FALSE)</f>
        <v>1.0000000000000001E-5</v>
      </c>
      <c r="H21" s="261" t="s">
        <v>15</v>
      </c>
      <c r="I21" s="261" t="s">
        <v>15</v>
      </c>
      <c r="J21" s="264">
        <f>VLOOKUP(I21,[2]Lists!$A$35:$B$40,2,FALSE)</f>
        <v>1E-4</v>
      </c>
      <c r="K21" s="321">
        <f t="shared" si="0"/>
        <v>1.0000000000000001E-9</v>
      </c>
      <c r="L21" s="265">
        <f t="shared" si="2"/>
        <v>1</v>
      </c>
      <c r="M21" s="321">
        <f>IF(B21=Weightings!$A$15,Weightings!$E$36)+IF(B21=Weightings!$A$16,Weightings!$E$41)+IF(B21=Weightings!$A$17,Weightings!$E$41)</f>
        <v>1E-4</v>
      </c>
      <c r="N21" s="321">
        <f t="shared" si="1"/>
        <v>1.0000000000000001E-9</v>
      </c>
      <c r="O21" s="226">
        <f t="shared" si="3"/>
        <v>3.9682539679232829E-12</v>
      </c>
      <c r="P21" s="227">
        <f t="shared" si="4"/>
        <v>4.9603174599041036E-13</v>
      </c>
    </row>
    <row r="22" spans="1:16" s="224" customFormat="1" ht="25.5" x14ac:dyDescent="0.2">
      <c r="A22" s="222" t="s">
        <v>711</v>
      </c>
      <c r="B22" s="225" t="s">
        <v>8</v>
      </c>
      <c r="C22" s="225" t="s">
        <v>712</v>
      </c>
      <c r="D22" s="273"/>
      <c r="E22" s="266"/>
      <c r="F22" s="261" t="s">
        <v>47</v>
      </c>
      <c r="G22" s="262">
        <f>VLOOKUP(F22,Weightings!$A$46:$B$51,2,FALSE)</f>
        <v>8</v>
      </c>
      <c r="H22" s="261" t="s">
        <v>23</v>
      </c>
      <c r="I22" s="263" t="s">
        <v>34</v>
      </c>
      <c r="J22" s="264">
        <f>VLOOKUP(I22,[2]Lists!$A$35:$B$40,2,FALSE)</f>
        <v>6</v>
      </c>
      <c r="K22" s="321">
        <f t="shared" si="0"/>
        <v>48</v>
      </c>
      <c r="L22" s="265">
        <f t="shared" si="2"/>
        <v>1</v>
      </c>
      <c r="M22" s="321">
        <f>IF(B22=Weightings!$A$15,Weightings!$E$36)+IF(B22=Weightings!$A$16,Weightings!$E$41)+IF(B22=Weightings!$A$17,Weightings!$E$41)</f>
        <v>6</v>
      </c>
      <c r="N22" s="321">
        <f t="shared" si="1"/>
        <v>48</v>
      </c>
      <c r="O22" s="267">
        <f t="shared" si="3"/>
        <v>0.19047619046031758</v>
      </c>
      <c r="P22" s="268">
        <f t="shared" si="4"/>
        <v>2.3809523807539697E-2</v>
      </c>
    </row>
    <row r="23" spans="1:16" s="224" customFormat="1" ht="25.5" x14ac:dyDescent="0.2">
      <c r="A23" s="222" t="s">
        <v>713</v>
      </c>
      <c r="B23" s="228" t="s">
        <v>6</v>
      </c>
      <c r="C23" s="246" t="s">
        <v>714</v>
      </c>
      <c r="D23" s="362"/>
      <c r="E23" s="276" t="s">
        <v>63</v>
      </c>
      <c r="F23" s="261" t="s">
        <v>15</v>
      </c>
      <c r="G23" s="262">
        <f>VLOOKUP(F23,Weightings!$A$46:$B$51,2,FALSE)</f>
        <v>1.0000000000000001E-5</v>
      </c>
      <c r="H23" s="261" t="s">
        <v>15</v>
      </c>
      <c r="I23" s="261" t="s">
        <v>15</v>
      </c>
      <c r="J23" s="264">
        <f>VLOOKUP(I23,[2]Lists!$A$35:$B$40,2,FALSE)</f>
        <v>1E-4</v>
      </c>
      <c r="K23" s="321">
        <f t="shared" si="0"/>
        <v>1.0000000000000001E-9</v>
      </c>
      <c r="L23" s="265">
        <f t="shared" si="2"/>
        <v>1</v>
      </c>
      <c r="M23" s="321">
        <f>IF(B23=Weightings!$A$15,Weightings!$E$36)+IF(B23=Weightings!$A$16,Weightings!$E$41)+IF(B23=Weightings!$A$17,Weightings!$E$41)</f>
        <v>1E-4</v>
      </c>
      <c r="N23" s="321">
        <f t="shared" si="1"/>
        <v>1.0000000000000001E-9</v>
      </c>
      <c r="O23" s="226">
        <f t="shared" si="3"/>
        <v>3.9682539679232829E-12</v>
      </c>
      <c r="P23" s="227">
        <f t="shared" si="4"/>
        <v>4.9603174599041036E-13</v>
      </c>
    </row>
    <row r="24" spans="1:16" s="224" customFormat="1" ht="38.25" x14ac:dyDescent="0.2">
      <c r="A24" s="222" t="s">
        <v>154</v>
      </c>
      <c r="B24" s="228" t="s">
        <v>6</v>
      </c>
      <c r="C24" s="246" t="s">
        <v>715</v>
      </c>
      <c r="D24" s="362"/>
      <c r="E24" s="276" t="s">
        <v>63</v>
      </c>
      <c r="F24" s="261" t="s">
        <v>15</v>
      </c>
      <c r="G24" s="262">
        <f>VLOOKUP(F24,Weightings!$A$46:$B$51,2,FALSE)</f>
        <v>1.0000000000000001E-5</v>
      </c>
      <c r="H24" s="261" t="s">
        <v>15</v>
      </c>
      <c r="I24" s="261" t="s">
        <v>15</v>
      </c>
      <c r="J24" s="264">
        <f>VLOOKUP(I24,[2]Lists!$A$35:$B$40,2,FALSE)</f>
        <v>1E-4</v>
      </c>
      <c r="K24" s="321">
        <f t="shared" si="0"/>
        <v>1.0000000000000001E-9</v>
      </c>
      <c r="L24" s="265">
        <f t="shared" si="2"/>
        <v>1</v>
      </c>
      <c r="M24" s="321">
        <f>IF(B24=Weightings!$A$15,Weightings!$E$36)+IF(B24=Weightings!$A$16,Weightings!$E$41)+IF(B24=Weightings!$A$17,Weightings!$E$41)</f>
        <v>1E-4</v>
      </c>
      <c r="N24" s="321">
        <f t="shared" si="1"/>
        <v>1.0000000000000001E-9</v>
      </c>
      <c r="O24" s="226">
        <f t="shared" si="3"/>
        <v>3.9682539679232829E-12</v>
      </c>
      <c r="P24" s="227">
        <f t="shared" si="4"/>
        <v>4.9603174599041036E-13</v>
      </c>
    </row>
    <row r="25" spans="1:16" s="224" customFormat="1" ht="25.5" x14ac:dyDescent="0.2">
      <c r="A25" s="222" t="s">
        <v>156</v>
      </c>
      <c r="B25" s="225" t="s">
        <v>8</v>
      </c>
      <c r="C25" s="104" t="s">
        <v>716</v>
      </c>
      <c r="D25" s="289"/>
      <c r="E25" s="266"/>
      <c r="F25" s="261" t="s">
        <v>48</v>
      </c>
      <c r="G25" s="262">
        <f>VLOOKUP(F25,Weightings!$A$46:$B$51,2,FALSE)</f>
        <v>3</v>
      </c>
      <c r="H25" s="261" t="s">
        <v>23</v>
      </c>
      <c r="I25" s="263" t="s">
        <v>34</v>
      </c>
      <c r="J25" s="264">
        <f>VLOOKUP(I25,[2]Lists!$A$35:$B$40,2,FALSE)</f>
        <v>6</v>
      </c>
      <c r="K25" s="321">
        <f t="shared" si="0"/>
        <v>18</v>
      </c>
      <c r="L25" s="265">
        <f t="shared" si="2"/>
        <v>1</v>
      </c>
      <c r="M25" s="321">
        <f>IF(B25=Weightings!$A$15,Weightings!$E$36)+IF(B25=Weightings!$A$16,Weightings!$E$41)+IF(B25=Weightings!$A$17,Weightings!$E$41)</f>
        <v>6</v>
      </c>
      <c r="N25" s="321">
        <f t="shared" si="1"/>
        <v>18</v>
      </c>
      <c r="O25" s="267">
        <f t="shared" si="3"/>
        <v>7.1428571422619089E-2</v>
      </c>
      <c r="P25" s="268">
        <f t="shared" si="4"/>
        <v>8.9285714278273861E-3</v>
      </c>
    </row>
    <row r="26" spans="1:16" s="97" customFormat="1" ht="59.25" customHeight="1" x14ac:dyDescent="0.2">
      <c r="A26" s="222" t="s">
        <v>155</v>
      </c>
      <c r="B26" s="228" t="s">
        <v>6</v>
      </c>
      <c r="C26" s="297" t="s">
        <v>717</v>
      </c>
      <c r="D26" s="362"/>
      <c r="E26" s="276" t="s">
        <v>63</v>
      </c>
      <c r="F26" s="261" t="s">
        <v>15</v>
      </c>
      <c r="G26" s="262">
        <f>VLOOKUP(F26,Weightings!$A$46:$B$51,2,FALSE)</f>
        <v>1.0000000000000001E-5</v>
      </c>
      <c r="H26" s="261" t="s">
        <v>15</v>
      </c>
      <c r="I26" s="261" t="s">
        <v>15</v>
      </c>
      <c r="J26" s="264">
        <f>VLOOKUP(I26,[2]Lists!$A$35:$B$40,2,FALSE)</f>
        <v>1E-4</v>
      </c>
      <c r="K26" s="321">
        <f t="shared" si="0"/>
        <v>1.0000000000000001E-9</v>
      </c>
      <c r="L26" s="265">
        <f t="shared" si="2"/>
        <v>1</v>
      </c>
      <c r="M26" s="321">
        <f>IF(B26=Weightings!$A$15,Weightings!$E$36)+IF(B26=Weightings!$A$16,Weightings!$E$41)+IF(B26=Weightings!$A$17,Weightings!$E$41)</f>
        <v>1E-4</v>
      </c>
      <c r="N26" s="321">
        <f t="shared" si="1"/>
        <v>1.0000000000000001E-9</v>
      </c>
      <c r="O26" s="226">
        <f t="shared" si="3"/>
        <v>3.9682539679232829E-12</v>
      </c>
      <c r="P26" s="227">
        <f t="shared" si="4"/>
        <v>4.9603174599041036E-13</v>
      </c>
    </row>
    <row r="27" spans="1:16" s="82" customFormat="1" x14ac:dyDescent="0.2">
      <c r="A27" s="81" t="s">
        <v>79</v>
      </c>
      <c r="B27" s="322"/>
      <c r="C27" s="322" t="s">
        <v>718</v>
      </c>
      <c r="D27" s="322"/>
      <c r="E27" s="85"/>
      <c r="F27" s="74" t="s">
        <v>15</v>
      </c>
      <c r="G27" s="74">
        <f>VLOOKUP(F27,[2]Lists!$A$45:$B$50,2,FALSE)</f>
        <v>1.0000000000000001E-5</v>
      </c>
      <c r="H27" s="74" t="s">
        <v>15</v>
      </c>
      <c r="I27" s="74" t="s">
        <v>15</v>
      </c>
      <c r="J27" s="74">
        <f>VLOOKUP(I27,[2]Lists!$A$35:$B$40,2,FALSE)</f>
        <v>1E-4</v>
      </c>
      <c r="K27" s="74">
        <f t="shared" si="0"/>
        <v>1.0000000000000001E-9</v>
      </c>
      <c r="L27" s="74" t="str">
        <f t="shared" si="2"/>
        <v>n/a</v>
      </c>
      <c r="M27" s="74">
        <f>IF(B27=[2]Lists!$A$14,[2]Lists!$E$35)+IF(B27=[2]Lists!$A$15,[2]Lists!$E$40)+IF(B27=[2]Lists!$A$16,[2]Lists!$E$40)</f>
        <v>0</v>
      </c>
      <c r="N27" s="74">
        <f t="shared" si="1"/>
        <v>0</v>
      </c>
      <c r="O27" s="70" t="str">
        <f t="shared" si="3"/>
        <v>n/a</v>
      </c>
      <c r="P27" s="70" t="str">
        <f t="shared" si="4"/>
        <v>n/a</v>
      </c>
    </row>
    <row r="28" spans="1:16" s="224" customFormat="1" ht="25.5" x14ac:dyDescent="0.2">
      <c r="A28" s="222" t="s">
        <v>157</v>
      </c>
      <c r="B28" s="228" t="s">
        <v>6</v>
      </c>
      <c r="C28" s="246" t="s">
        <v>719</v>
      </c>
      <c r="D28" s="362"/>
      <c r="E28" s="276" t="s">
        <v>63</v>
      </c>
      <c r="F28" s="261" t="s">
        <v>15</v>
      </c>
      <c r="G28" s="262">
        <f>VLOOKUP(F28,Weightings!$A$46:$B$51,2,FALSE)</f>
        <v>1.0000000000000001E-5</v>
      </c>
      <c r="H28" s="261" t="s">
        <v>15</v>
      </c>
      <c r="I28" s="261" t="s">
        <v>15</v>
      </c>
      <c r="J28" s="264">
        <f>VLOOKUP(I28,[2]Lists!$A$35:$B$40,2,FALSE)</f>
        <v>1E-4</v>
      </c>
      <c r="K28" s="321">
        <f t="shared" si="0"/>
        <v>1.0000000000000001E-9</v>
      </c>
      <c r="L28" s="265">
        <f t="shared" si="2"/>
        <v>1</v>
      </c>
      <c r="M28" s="321">
        <f>IF(B28=Weightings!$A$15,Weightings!$E$36)+IF(B28=Weightings!$A$16,Weightings!$E$41)+IF(B28=Weightings!$A$17,Weightings!$E$41)</f>
        <v>1E-4</v>
      </c>
      <c r="N28" s="321">
        <f t="shared" si="1"/>
        <v>1.0000000000000001E-9</v>
      </c>
      <c r="O28" s="226">
        <f t="shared" si="3"/>
        <v>3.9682539679232829E-12</v>
      </c>
      <c r="P28" s="227">
        <f t="shared" si="4"/>
        <v>4.9603174599041036E-13</v>
      </c>
    </row>
    <row r="29" spans="1:16" s="224" customFormat="1" ht="30.75" customHeight="1" x14ac:dyDescent="0.2">
      <c r="A29" s="222" t="s">
        <v>158</v>
      </c>
      <c r="B29" s="228" t="s">
        <v>6</v>
      </c>
      <c r="C29" s="246" t="s">
        <v>720</v>
      </c>
      <c r="D29" s="362"/>
      <c r="E29" s="276" t="s">
        <v>63</v>
      </c>
      <c r="F29" s="261" t="s">
        <v>15</v>
      </c>
      <c r="G29" s="262">
        <f>VLOOKUP(F29,Weightings!$A$46:$B$51,2,FALSE)</f>
        <v>1.0000000000000001E-5</v>
      </c>
      <c r="H29" s="261" t="s">
        <v>15</v>
      </c>
      <c r="I29" s="261" t="s">
        <v>15</v>
      </c>
      <c r="J29" s="264">
        <f>VLOOKUP(I29,[2]Lists!$A$35:$B$40,2,FALSE)</f>
        <v>1E-4</v>
      </c>
      <c r="K29" s="321">
        <f t="shared" si="0"/>
        <v>1.0000000000000001E-9</v>
      </c>
      <c r="L29" s="265">
        <f t="shared" si="2"/>
        <v>1</v>
      </c>
      <c r="M29" s="321">
        <f>IF(B29=Weightings!$A$15,Weightings!$E$36)+IF(B29=Weightings!$A$16,Weightings!$E$41)+IF(B29=Weightings!$A$17,Weightings!$E$41)</f>
        <v>1E-4</v>
      </c>
      <c r="N29" s="321">
        <f t="shared" si="1"/>
        <v>1.0000000000000001E-9</v>
      </c>
      <c r="O29" s="226">
        <f t="shared" si="3"/>
        <v>3.9682539679232829E-12</v>
      </c>
      <c r="P29" s="227">
        <f t="shared" si="4"/>
        <v>4.9603174599041036E-13</v>
      </c>
    </row>
    <row r="30" spans="1:16" s="224" customFormat="1" ht="40.5" customHeight="1" x14ac:dyDescent="0.2">
      <c r="A30" s="222" t="s">
        <v>721</v>
      </c>
      <c r="B30" s="225" t="s">
        <v>8</v>
      </c>
      <c r="C30" s="104" t="s">
        <v>722</v>
      </c>
      <c r="D30" s="273"/>
      <c r="E30" s="266"/>
      <c r="F30" s="261" t="s">
        <v>47</v>
      </c>
      <c r="G30" s="262">
        <f>VLOOKUP(F30,Weightings!$A$46:$B$51,2,FALSE)</f>
        <v>8</v>
      </c>
      <c r="H30" s="261" t="s">
        <v>25</v>
      </c>
      <c r="I30" s="263" t="s">
        <v>34</v>
      </c>
      <c r="J30" s="264">
        <f>VLOOKUP(I30,[2]Lists!$A$35:$B$40,2,FALSE)</f>
        <v>6</v>
      </c>
      <c r="K30" s="321">
        <f t="shared" si="0"/>
        <v>48</v>
      </c>
      <c r="L30" s="265">
        <f t="shared" si="2"/>
        <v>1</v>
      </c>
      <c r="M30" s="321">
        <f>IF(B30=Weightings!$A$15,Weightings!$E$36)+IF(B30=Weightings!$A$16,Weightings!$E$41)+IF(B30=Weightings!$A$17,Weightings!$E$41)</f>
        <v>6</v>
      </c>
      <c r="N30" s="321">
        <f t="shared" si="1"/>
        <v>48</v>
      </c>
      <c r="O30" s="267">
        <f t="shared" si="3"/>
        <v>0.19047619046031758</v>
      </c>
      <c r="P30" s="268">
        <f t="shared" si="4"/>
        <v>2.3809523807539697E-2</v>
      </c>
    </row>
    <row r="31" spans="1:16" s="224" customFormat="1" ht="25.5" x14ac:dyDescent="0.2">
      <c r="A31" s="222" t="s">
        <v>159</v>
      </c>
      <c r="B31" s="228" t="s">
        <v>6</v>
      </c>
      <c r="C31" s="246" t="s">
        <v>791</v>
      </c>
      <c r="D31" s="362"/>
      <c r="E31" s="276" t="s">
        <v>63</v>
      </c>
      <c r="F31" s="261" t="s">
        <v>15</v>
      </c>
      <c r="G31" s="262">
        <f>VLOOKUP(F31,Weightings!$A$46:$B$51,2,FALSE)</f>
        <v>1.0000000000000001E-5</v>
      </c>
      <c r="H31" s="261" t="s">
        <v>15</v>
      </c>
      <c r="I31" s="261" t="s">
        <v>15</v>
      </c>
      <c r="J31" s="264">
        <f>VLOOKUP(I31,[2]Lists!$A$35:$B$40,2,FALSE)</f>
        <v>1E-4</v>
      </c>
      <c r="K31" s="321">
        <f t="shared" si="0"/>
        <v>1.0000000000000001E-9</v>
      </c>
      <c r="L31" s="265">
        <f t="shared" si="2"/>
        <v>1</v>
      </c>
      <c r="M31" s="321">
        <f>IF(B31=Weightings!$A$15,Weightings!$E$36)+IF(B31=Weightings!$A$16,Weightings!$E$41)+IF(B31=Weightings!$A$17,Weightings!$E$41)</f>
        <v>1E-4</v>
      </c>
      <c r="N31" s="321">
        <f t="shared" si="1"/>
        <v>1.0000000000000001E-9</v>
      </c>
      <c r="O31" s="226">
        <f t="shared" si="3"/>
        <v>3.9682539679232829E-12</v>
      </c>
      <c r="P31" s="227">
        <f t="shared" si="4"/>
        <v>4.9603174599041036E-13</v>
      </c>
    </row>
    <row r="32" spans="1:16" s="224" customFormat="1" ht="78.75" customHeight="1" x14ac:dyDescent="0.2">
      <c r="A32" s="222" t="s">
        <v>160</v>
      </c>
      <c r="B32" s="228" t="s">
        <v>6</v>
      </c>
      <c r="C32" s="113" t="s">
        <v>723</v>
      </c>
      <c r="D32" s="362"/>
      <c r="E32" s="276" t="s">
        <v>63</v>
      </c>
      <c r="F32" s="261" t="s">
        <v>15</v>
      </c>
      <c r="G32" s="262">
        <f>VLOOKUP(F32,Weightings!$A$46:$B$51,2,FALSE)</f>
        <v>1.0000000000000001E-5</v>
      </c>
      <c r="H32" s="261" t="s">
        <v>15</v>
      </c>
      <c r="I32" s="261" t="s">
        <v>15</v>
      </c>
      <c r="J32" s="264">
        <f>VLOOKUP(I32,[2]Lists!$A$35:$B$40,2,FALSE)</f>
        <v>1E-4</v>
      </c>
      <c r="K32" s="321">
        <f t="shared" si="0"/>
        <v>1.0000000000000001E-9</v>
      </c>
      <c r="L32" s="265">
        <f t="shared" si="2"/>
        <v>1</v>
      </c>
      <c r="M32" s="321">
        <f>IF(B32=Weightings!$A$15,Weightings!$E$36)+IF(B32=Weightings!$A$16,Weightings!$E$41)+IF(B32=Weightings!$A$17,Weightings!$E$41)</f>
        <v>1E-4</v>
      </c>
      <c r="N32" s="321">
        <f t="shared" si="1"/>
        <v>1.0000000000000001E-9</v>
      </c>
      <c r="O32" s="226">
        <f t="shared" si="3"/>
        <v>3.9682539679232829E-12</v>
      </c>
      <c r="P32" s="227">
        <f t="shared" si="4"/>
        <v>4.9603174599041036E-13</v>
      </c>
    </row>
    <row r="33" spans="1:16" s="224" customFormat="1" ht="49.15" customHeight="1" x14ac:dyDescent="0.2">
      <c r="A33" s="222" t="s">
        <v>161</v>
      </c>
      <c r="B33" s="228" t="s">
        <v>6</v>
      </c>
      <c r="C33" s="246" t="s">
        <v>724</v>
      </c>
      <c r="D33" s="362"/>
      <c r="E33" s="276" t="s">
        <v>63</v>
      </c>
      <c r="F33" s="261" t="s">
        <v>15</v>
      </c>
      <c r="G33" s="262">
        <f>VLOOKUP(F33,Weightings!$A$46:$B$51,2,FALSE)</f>
        <v>1.0000000000000001E-5</v>
      </c>
      <c r="H33" s="261" t="s">
        <v>15</v>
      </c>
      <c r="I33" s="261" t="s">
        <v>15</v>
      </c>
      <c r="J33" s="264">
        <f>VLOOKUP(I33,[2]Lists!$A$35:$B$40,2,FALSE)</f>
        <v>1E-4</v>
      </c>
      <c r="K33" s="321">
        <f t="shared" si="0"/>
        <v>1.0000000000000001E-9</v>
      </c>
      <c r="L33" s="265">
        <f t="shared" si="2"/>
        <v>1</v>
      </c>
      <c r="M33" s="321">
        <f>IF(B33=Weightings!$A$15,Weightings!$E$36)+IF(B33=Weightings!$A$16,Weightings!$E$41)+IF(B33=Weightings!$A$17,Weightings!$E$41)</f>
        <v>1E-4</v>
      </c>
      <c r="N33" s="321">
        <f t="shared" si="1"/>
        <v>1.0000000000000001E-9</v>
      </c>
      <c r="O33" s="226">
        <f t="shared" si="3"/>
        <v>3.9682539679232829E-12</v>
      </c>
      <c r="P33" s="227">
        <f t="shared" si="4"/>
        <v>4.9603174599041036E-13</v>
      </c>
    </row>
    <row r="34" spans="1:16" s="224" customFormat="1" ht="32.25" customHeight="1" x14ac:dyDescent="0.2">
      <c r="A34" s="222" t="s">
        <v>162</v>
      </c>
      <c r="B34" s="228" t="s">
        <v>6</v>
      </c>
      <c r="C34" s="118" t="s">
        <v>725</v>
      </c>
      <c r="D34" s="362"/>
      <c r="E34" s="276" t="s">
        <v>63</v>
      </c>
      <c r="F34" s="261" t="s">
        <v>15</v>
      </c>
      <c r="G34" s="262">
        <f>VLOOKUP(F34,Weightings!$A$46:$B$51,2,FALSE)</f>
        <v>1.0000000000000001E-5</v>
      </c>
      <c r="H34" s="261" t="s">
        <v>15</v>
      </c>
      <c r="I34" s="261" t="s">
        <v>15</v>
      </c>
      <c r="J34" s="264">
        <f>VLOOKUP(I34,[2]Lists!$A$35:$B$40,2,FALSE)</f>
        <v>1E-4</v>
      </c>
      <c r="K34" s="321">
        <f t="shared" si="0"/>
        <v>1.0000000000000001E-9</v>
      </c>
      <c r="L34" s="265">
        <f t="shared" si="2"/>
        <v>1</v>
      </c>
      <c r="M34" s="321">
        <f>IF(B34=Weightings!$A$15,Weightings!$E$36)+IF(B34=Weightings!$A$16,Weightings!$E$41)+IF(B34=Weightings!$A$17,Weightings!$E$41)</f>
        <v>1E-4</v>
      </c>
      <c r="N34" s="321">
        <f t="shared" si="1"/>
        <v>1.0000000000000001E-9</v>
      </c>
      <c r="O34" s="226">
        <f t="shared" si="3"/>
        <v>3.9682539679232829E-12</v>
      </c>
      <c r="P34" s="227">
        <f t="shared" si="4"/>
        <v>4.9603174599041036E-13</v>
      </c>
    </row>
    <row r="35" spans="1:16" s="82" customFormat="1" x14ac:dyDescent="0.2">
      <c r="A35" s="81" t="s">
        <v>80</v>
      </c>
      <c r="B35" s="322"/>
      <c r="C35" s="322" t="s">
        <v>726</v>
      </c>
      <c r="D35" s="322"/>
      <c r="E35" s="85"/>
      <c r="F35" s="74"/>
      <c r="G35" s="74"/>
      <c r="H35" s="74"/>
      <c r="I35" s="74"/>
      <c r="J35" s="74"/>
      <c r="K35" s="74"/>
      <c r="L35" s="74"/>
      <c r="M35" s="74"/>
      <c r="N35" s="74"/>
      <c r="O35" s="70"/>
      <c r="P35" s="70">
        <f t="shared" si="4"/>
        <v>0</v>
      </c>
    </row>
    <row r="36" spans="1:16" s="224" customFormat="1" ht="25.5" x14ac:dyDescent="0.2">
      <c r="A36" s="222" t="s">
        <v>163</v>
      </c>
      <c r="B36" s="228" t="s">
        <v>6</v>
      </c>
      <c r="C36" s="246" t="s">
        <v>727</v>
      </c>
      <c r="D36" s="362"/>
      <c r="E36" s="276" t="s">
        <v>63</v>
      </c>
      <c r="F36" s="261" t="s">
        <v>15</v>
      </c>
      <c r="G36" s="262">
        <f>VLOOKUP(F36,Weightings!$A$46:$B$51,2,FALSE)</f>
        <v>1.0000000000000001E-5</v>
      </c>
      <c r="H36" s="261" t="s">
        <v>15</v>
      </c>
      <c r="I36" s="261" t="s">
        <v>15</v>
      </c>
      <c r="J36" s="264">
        <f>VLOOKUP(I36,[2]Lists!$A$35:$B$40,2,FALSE)</f>
        <v>1E-4</v>
      </c>
      <c r="K36" s="321">
        <f t="shared" si="0"/>
        <v>1.0000000000000001E-9</v>
      </c>
      <c r="L36" s="265">
        <f t="shared" si="2"/>
        <v>1</v>
      </c>
      <c r="M36" s="321">
        <f>IF(B36=Weightings!$A$15,Weightings!$E$36)+IF(B36=Weightings!$A$16,Weightings!$E$41)+IF(B36=Weightings!$A$17,Weightings!$E$41)</f>
        <v>1E-4</v>
      </c>
      <c r="N36" s="321">
        <f t="shared" si="1"/>
        <v>1.0000000000000001E-9</v>
      </c>
      <c r="O36" s="226">
        <f t="shared" si="3"/>
        <v>3.9682539679232829E-12</v>
      </c>
      <c r="P36" s="227">
        <f t="shared" si="4"/>
        <v>4.9603174599041036E-13</v>
      </c>
    </row>
    <row r="37" spans="1:16" s="224" customFormat="1" ht="75.599999999999994" customHeight="1" x14ac:dyDescent="0.2">
      <c r="A37" s="222" t="s">
        <v>164</v>
      </c>
      <c r="B37" s="228" t="s">
        <v>6</v>
      </c>
      <c r="C37" s="118" t="s">
        <v>728</v>
      </c>
      <c r="D37" s="362"/>
      <c r="E37" s="276" t="s">
        <v>63</v>
      </c>
      <c r="F37" s="261" t="s">
        <v>15</v>
      </c>
      <c r="G37" s="262">
        <f>VLOOKUP(F37,Weightings!$A$46:$B$51,2,FALSE)</f>
        <v>1.0000000000000001E-5</v>
      </c>
      <c r="H37" s="261" t="s">
        <v>15</v>
      </c>
      <c r="I37" s="261" t="s">
        <v>15</v>
      </c>
      <c r="J37" s="264">
        <f>VLOOKUP(I37,[2]Lists!$A$35:$B$40,2,FALSE)</f>
        <v>1E-4</v>
      </c>
      <c r="K37" s="321">
        <f t="shared" si="0"/>
        <v>1.0000000000000001E-9</v>
      </c>
      <c r="L37" s="265">
        <f t="shared" si="2"/>
        <v>1</v>
      </c>
      <c r="M37" s="321">
        <f>IF(B37=Weightings!$A$15,Weightings!$E$36)+IF(B37=Weightings!$A$16,Weightings!$E$41)+IF(B37=Weightings!$A$17,Weightings!$E$41)</f>
        <v>1E-4</v>
      </c>
      <c r="N37" s="321">
        <f t="shared" si="1"/>
        <v>1.0000000000000001E-9</v>
      </c>
      <c r="O37" s="226">
        <f t="shared" si="3"/>
        <v>3.9682539679232829E-12</v>
      </c>
      <c r="P37" s="227">
        <f t="shared" si="4"/>
        <v>4.9603174599041036E-13</v>
      </c>
    </row>
    <row r="38" spans="1:16" s="56" customFormat="1" x14ac:dyDescent="0.2">
      <c r="A38" s="298" t="s">
        <v>792</v>
      </c>
      <c r="B38" s="299"/>
      <c r="C38" s="300" t="s">
        <v>729</v>
      </c>
      <c r="D38" s="301"/>
      <c r="E38" s="301"/>
      <c r="F38" s="301"/>
      <c r="G38" s="301"/>
      <c r="H38" s="301"/>
      <c r="I38" s="301" t="s">
        <v>175</v>
      </c>
      <c r="J38" s="301"/>
      <c r="K38" s="301"/>
      <c r="L38" s="301"/>
      <c r="M38" s="301"/>
      <c r="N38" s="301">
        <f t="shared" si="1"/>
        <v>0</v>
      </c>
      <c r="O38" s="301"/>
      <c r="P38" s="70">
        <f t="shared" si="4"/>
        <v>0</v>
      </c>
    </row>
    <row r="39" spans="1:16" s="56" customFormat="1" ht="27.75" customHeight="1" x14ac:dyDescent="0.2">
      <c r="A39" s="105" t="s">
        <v>179</v>
      </c>
      <c r="B39" s="228" t="s">
        <v>6</v>
      </c>
      <c r="C39" s="114" t="s">
        <v>751</v>
      </c>
      <c r="D39" s="362"/>
      <c r="E39" s="276" t="s">
        <v>63</v>
      </c>
      <c r="F39" s="261" t="s">
        <v>15</v>
      </c>
      <c r="G39" s="262">
        <f>VLOOKUP(F39,Weightings!$A$46:$B$51,2,FALSE)</f>
        <v>1.0000000000000001E-5</v>
      </c>
      <c r="H39" s="261" t="s">
        <v>15</v>
      </c>
      <c r="I39" s="261" t="s">
        <v>15</v>
      </c>
      <c r="J39" s="264">
        <f>VLOOKUP(I39,[5]Lists!$A$35:$B$40,2,FALSE)</f>
        <v>1E-4</v>
      </c>
      <c r="K39" s="321">
        <f>J39*G39</f>
        <v>1.0000000000000001E-9</v>
      </c>
      <c r="L39" s="265">
        <f t="shared" ref="L39" si="5">IF(ISERROR(K39/N39),"n/a",K39/N39)</f>
        <v>1</v>
      </c>
      <c r="M39" s="321">
        <f>IF(B39=Weightings!$A$15,Weightings!$E$36)+IF(B39=Weightings!$A$16,Weightings!$E$41)+IF(B39=Weightings!$A$17,Weightings!$E$41)</f>
        <v>1E-4</v>
      </c>
      <c r="N39" s="321">
        <f t="shared" si="1"/>
        <v>1.0000000000000001E-9</v>
      </c>
      <c r="O39" s="226">
        <f t="shared" si="3"/>
        <v>3.9682539679232829E-12</v>
      </c>
      <c r="P39" s="227">
        <f t="shared" si="4"/>
        <v>4.9603174599041036E-13</v>
      </c>
    </row>
    <row r="40" spans="1:16" s="56" customFormat="1" x14ac:dyDescent="0.2">
      <c r="B40" s="51"/>
      <c r="C40" s="51"/>
      <c r="E40" s="293"/>
      <c r="F40" s="96"/>
      <c r="G40" s="58"/>
      <c r="H40" s="96"/>
      <c r="I40" s="96"/>
      <c r="J40" s="58"/>
      <c r="K40" s="58"/>
      <c r="L40" s="58"/>
      <c r="M40" s="58"/>
      <c r="N40" s="58"/>
    </row>
    <row r="41" spans="1:16" s="56" customFormat="1" x14ac:dyDescent="0.2">
      <c r="B41" s="51"/>
      <c r="C41" s="51"/>
      <c r="E41" s="293"/>
      <c r="F41" s="96"/>
      <c r="G41" s="58"/>
      <c r="H41" s="96"/>
      <c r="I41" s="96"/>
      <c r="J41" s="58"/>
      <c r="K41" s="58"/>
      <c r="L41" s="58"/>
      <c r="M41" s="58"/>
      <c r="N41" s="58"/>
    </row>
    <row r="42" spans="1:16" s="56" customFormat="1" x14ac:dyDescent="0.2">
      <c r="B42" s="51"/>
      <c r="C42" s="51"/>
      <c r="E42" s="293"/>
      <c r="F42" s="96"/>
      <c r="G42" s="58"/>
      <c r="H42" s="96"/>
      <c r="I42" s="96"/>
      <c r="J42" s="58"/>
      <c r="K42" s="58"/>
      <c r="L42" s="58"/>
      <c r="M42" s="58"/>
      <c r="N42" s="58"/>
    </row>
    <row r="43" spans="1:16" s="56" customFormat="1" x14ac:dyDescent="0.2">
      <c r="B43" s="51"/>
      <c r="C43" s="51"/>
      <c r="E43" s="293"/>
      <c r="F43" s="96"/>
      <c r="G43" s="58"/>
      <c r="H43" s="96"/>
      <c r="I43" s="96"/>
      <c r="J43" s="58"/>
      <c r="K43" s="58"/>
      <c r="L43" s="58"/>
      <c r="M43" s="58"/>
      <c r="N43" s="58"/>
    </row>
    <row r="44" spans="1:16" s="56" customFormat="1" x14ac:dyDescent="0.2">
      <c r="B44" s="51"/>
      <c r="C44" s="51"/>
      <c r="E44" s="293"/>
      <c r="F44" s="96"/>
      <c r="G44" s="58"/>
      <c r="H44" s="96"/>
      <c r="I44" s="96"/>
      <c r="J44" s="58"/>
      <c r="K44" s="58"/>
      <c r="L44" s="58"/>
      <c r="M44" s="58"/>
      <c r="N44" s="58"/>
    </row>
  </sheetData>
  <sheetProtection password="ED47" sheet="1" objects="1" scenarios="1" formatCells="0" formatColumns="0" formatRows="0"/>
  <autoFilter ref="A5:P39"/>
  <mergeCells count="2">
    <mergeCell ref="E1:G1"/>
    <mergeCell ref="A1:B1"/>
  </mergeCells>
  <dataValidations count="7">
    <dataValidation allowBlank="1" showDropDown="1" showInputMessage="1" showErrorMessage="1" sqref="I7"/>
    <dataValidation type="list" allowBlank="1" showDropDown="1" showInputMessage="1" showErrorMessage="1" sqref="H7">
      <formula1>Adj_Evidence</formula1>
    </dataValidation>
    <dataValidation type="list" allowBlank="1" showInputMessage="1" showErrorMessage="1" sqref="B2 E1 D2 B3:C38">
      <formula1>Spec_Compl_Adj</formula1>
    </dataValidation>
    <dataValidation type="list" allowBlank="1" showInputMessage="1" showErrorMessage="1" sqref="I35 I10 I14 I17:I18 I22 I25 I27 I30 I6 I8">
      <formula1>Adj_Service</formula1>
    </dataValidation>
    <dataValidation type="list" allowBlank="1" showInputMessage="1" showErrorMessage="1" sqref="H38 H10 H14 H17:H18 H22 H25 H27 H30 H35 H6 H8">
      <formula1>Adj_Evidence</formula1>
    </dataValidation>
    <dataValidation type="list" allowBlank="1" showInputMessage="1" showErrorMessage="1" sqref="F6:F8 F10 F14 F17:F18 F22 F25 F27 F30 F35 F38">
      <formula1>Adj_Weight</formula1>
    </dataValidation>
    <dataValidation type="list" allowBlank="1" showInputMessage="1" showErrorMessage="1" sqref="D9 D36:D37 D11:D13 D15:D16 D19:D21 D23:D24 D26 D28:D29 D31:D34 D39">
      <formula1>"Yes,No"</formula1>
    </dataValidation>
  </dataValidations>
  <printOptions headings="1"/>
  <pageMargins left="0.70866141732283472" right="0.70866141732283472" top="0.74803149606299213" bottom="0.74803149606299213" header="0.31496062992125984" footer="0.31496062992125984"/>
  <pageSetup paperSize="9" scale="81" fitToHeight="0"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2">
        <x14:dataValidation type="list" allowBlank="1" showDropDown="1" showInputMessage="1" showErrorMessage="1">
          <x14:formula1>
            <xm:f>[2]Lists!#REF!</xm:f>
          </x14:formula1>
          <xm:sqref>D14 D17 D22 D30</xm:sqref>
        </x14:dataValidation>
        <x14:dataValidation type="list" allowBlank="1" showInputMessage="1" showErrorMessage="1">
          <x14:formula1>
            <xm:f>[2]Lists!#REF!</xm:f>
          </x14:formula1>
          <xm:sqref>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P22"/>
  <sheetViews>
    <sheetView zoomScaleNormal="100" workbookViewId="0">
      <pane ySplit="5" topLeftCell="A6" activePane="bottomLeft" state="frozen"/>
      <selection activeCell="C5" sqref="C5"/>
      <selection pane="bottomLeft" activeCell="A6" sqref="A6"/>
    </sheetView>
  </sheetViews>
  <sheetFormatPr defaultColWidth="8.88671875" defaultRowHeight="12.75" x14ac:dyDescent="0.2"/>
  <cols>
    <col min="1" max="1" width="9.6640625" style="324" customWidth="1"/>
    <col min="2" max="2" width="17.33203125" style="324" customWidth="1"/>
    <col min="3" max="3" width="70.77734375" style="324" customWidth="1"/>
    <col min="4" max="4" width="19.44140625" style="324" customWidth="1"/>
    <col min="5" max="5" width="50.77734375" style="324" customWidth="1"/>
    <col min="6" max="6" width="10.6640625" style="324" customWidth="1"/>
    <col min="7" max="7" width="11" style="324" hidden="1" customWidth="1"/>
    <col min="8" max="8" width="13.77734375" style="324" customWidth="1"/>
    <col min="9" max="9" width="13.21875" style="324" hidden="1" customWidth="1"/>
    <col min="10" max="10" width="13.109375" style="324" hidden="1" customWidth="1"/>
    <col min="11" max="11" width="15.21875" style="324" hidden="1" customWidth="1"/>
    <col min="12" max="14" width="11" style="324" hidden="1" customWidth="1"/>
    <col min="15" max="16384" width="8.88671875" style="324"/>
  </cols>
  <sheetData>
    <row r="1" spans="1:16" ht="24" customHeight="1" x14ac:dyDescent="0.25">
      <c r="A1" s="340" t="s">
        <v>747</v>
      </c>
      <c r="B1" s="340"/>
      <c r="D1" s="327">
        <f>COUNTIF(D5:D22,"NO")</f>
        <v>0</v>
      </c>
      <c r="E1" s="341" t="s">
        <v>269</v>
      </c>
      <c r="F1" s="341"/>
      <c r="G1" s="341"/>
      <c r="H1" s="341"/>
      <c r="I1" s="341"/>
      <c r="J1" s="341"/>
    </row>
    <row r="2" spans="1:16" ht="12.6" customHeight="1" x14ac:dyDescent="0.2">
      <c r="B2" s="327">
        <f>COUNTIF(B5:B22,"Compliance Yes/No")+COUNTIF(B5:B22,"Specification")</f>
        <v>9</v>
      </c>
      <c r="D2" s="327">
        <f>COUNTIF(D5:D22,"YES")</f>
        <v>0</v>
      </c>
      <c r="I2" s="121" t="s">
        <v>74</v>
      </c>
      <c r="J2" s="122"/>
      <c r="K2" s="123">
        <f>SUM(K7:K22)</f>
        <v>234.00000000799997</v>
      </c>
      <c r="L2" s="124">
        <f>K2/N2</f>
        <v>0.795918367352492</v>
      </c>
      <c r="M2" s="123"/>
      <c r="N2" s="123">
        <f>SUM(N7:N22)</f>
        <v>294.00000000799997</v>
      </c>
      <c r="O2" s="125">
        <f>SUM(O7:O22)</f>
        <v>1.0000000000000002</v>
      </c>
      <c r="P2" s="126">
        <f>SUM(P7:P22)</f>
        <v>0.12500000000000003</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266</v>
      </c>
      <c r="B4" s="100"/>
      <c r="C4" s="100"/>
      <c r="D4" s="98"/>
      <c r="E4" s="67">
        <f>Introduction!B10</f>
        <v>0</v>
      </c>
      <c r="F4" s="67"/>
      <c r="G4" s="67"/>
      <c r="H4" s="67"/>
      <c r="I4" s="67"/>
      <c r="J4" s="67"/>
      <c r="K4" s="67"/>
      <c r="L4" s="67"/>
      <c r="M4" s="67"/>
      <c r="N4" s="67"/>
      <c r="O4" s="71"/>
      <c r="P4" s="71"/>
    </row>
    <row r="5" spans="1:16" s="129" customFormat="1" ht="63.75" x14ac:dyDescent="0.2">
      <c r="A5" s="109" t="s">
        <v>53</v>
      </c>
      <c r="B5" s="222"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72"/>
      <c r="F6" s="74" t="s">
        <v>15</v>
      </c>
      <c r="G6" s="74">
        <f>VLOOKUP(F6,Weightings!$A$46:$B$51,2,FALSE)</f>
        <v>1.0000000000000001E-5</v>
      </c>
      <c r="H6" s="74" t="s">
        <v>15</v>
      </c>
      <c r="I6" s="74" t="s">
        <v>15</v>
      </c>
      <c r="J6" s="74">
        <f>VLOOKUP(I6,Weightings!$A$36:$B$41,2,FALSE)</f>
        <v>1E-4</v>
      </c>
      <c r="K6" s="74" t="e">
        <f>J6*#REF!*G6</f>
        <v>#REF!</v>
      </c>
      <c r="L6" s="74" t="str">
        <f>IF(ISERROR(K6/N6),"n/a",K6/N6)</f>
        <v>n/a</v>
      </c>
      <c r="M6" s="74">
        <f>IF(B6=Weightings!$A$15,Weightings!$E$36)+IF(B6=Weightings!$A$16,Weightings!$E$41)+IF(B6=Weightings!$A$17,Weightings!$E$41)</f>
        <v>0</v>
      </c>
      <c r="N6" s="74">
        <f>G6*M6</f>
        <v>0</v>
      </c>
      <c r="O6" s="70"/>
      <c r="P6" s="70"/>
    </row>
    <row r="7" spans="1:16" s="47" customFormat="1" ht="50.45" customHeight="1" x14ac:dyDescent="0.2">
      <c r="A7" s="222" t="s">
        <v>793</v>
      </c>
      <c r="B7" s="261" t="s">
        <v>7</v>
      </c>
      <c r="C7" s="112" t="s">
        <v>187</v>
      </c>
      <c r="D7" s="275">
        <f>ROUND(COUNTIF(D9:D129,"Yes")/(B2-1),2)</f>
        <v>0</v>
      </c>
      <c r="E7" s="271"/>
      <c r="F7" s="261" t="s">
        <v>44</v>
      </c>
      <c r="G7" s="262">
        <f>VLOOKUP(F7,Weightings!$A$46:$B$51,2,FALSE)</f>
        <v>10</v>
      </c>
      <c r="H7" s="274"/>
      <c r="I7" s="263" t="s">
        <v>836</v>
      </c>
      <c r="J7" s="264">
        <f>IF(D7&gt;=0.97,6,IF(D7&gt;=0.9,4,IF(D7&gt;=0.8,2,IF(D7&gt;=0.7,1,0))))</f>
        <v>0</v>
      </c>
      <c r="K7" s="321">
        <f t="shared" ref="K7" si="0">J7*G7</f>
        <v>0</v>
      </c>
      <c r="L7" s="265">
        <f t="shared" ref="L7" si="1">IF(ISERROR(K7/N7),"n/a",K7/N7)</f>
        <v>0</v>
      </c>
      <c r="M7" s="321">
        <f>IF(B7=Weightings!$A$15,Weightings!$E$36)+IF(B7=Weightings!$A$16,Weightings!$E$41)+IF(B7=Weightings!$A$17,Weightings!$E$41)</f>
        <v>6</v>
      </c>
      <c r="N7" s="321">
        <f>G7*M7</f>
        <v>60</v>
      </c>
      <c r="O7" s="269">
        <f>IF((N7/$N$2)&gt;0.0001,N7/$N$2,"n/a")</f>
        <v>0.204081632647508</v>
      </c>
      <c r="P7" s="270">
        <f>IF(ISERROR(O7*0.125),"n/a",O7*0.125)</f>
        <v>2.5510204080938501E-2</v>
      </c>
    </row>
    <row r="8" spans="1:16" s="82" customFormat="1" x14ac:dyDescent="0.2">
      <c r="A8" s="84" t="s">
        <v>794</v>
      </c>
      <c r="B8" s="322"/>
      <c r="C8" s="103" t="s">
        <v>233</v>
      </c>
      <c r="D8" s="103"/>
      <c r="E8" s="85"/>
      <c r="F8" s="74"/>
      <c r="G8" s="74"/>
      <c r="H8" s="74"/>
      <c r="I8" s="74"/>
      <c r="J8" s="74"/>
      <c r="K8" s="74"/>
      <c r="L8" s="74"/>
      <c r="M8" s="74"/>
      <c r="N8" s="74"/>
      <c r="O8" s="74"/>
      <c r="P8" s="70">
        <f t="shared" ref="P8:P22" si="2">IF(ISERROR(O8*0.125),"n/a",O8*0.125)</f>
        <v>0</v>
      </c>
    </row>
    <row r="9" spans="1:16" s="47" customFormat="1" ht="42.75" customHeight="1" x14ac:dyDescent="0.2">
      <c r="A9" s="222" t="s">
        <v>238</v>
      </c>
      <c r="B9" s="228" t="s">
        <v>6</v>
      </c>
      <c r="C9" s="255" t="s">
        <v>234</v>
      </c>
      <c r="D9" s="363"/>
      <c r="E9" s="276" t="s">
        <v>63</v>
      </c>
      <c r="F9" s="261" t="s">
        <v>15</v>
      </c>
      <c r="G9" s="262">
        <f>VLOOKUP(F9,Weightings!$A$46:$B$51,2,FALSE)</f>
        <v>1.0000000000000001E-5</v>
      </c>
      <c r="H9" s="261" t="s">
        <v>15</v>
      </c>
      <c r="I9" s="261" t="s">
        <v>15</v>
      </c>
      <c r="J9" s="264">
        <v>1E-4</v>
      </c>
      <c r="K9" s="321">
        <f t="shared" ref="K9:K11" si="3">J9*G9</f>
        <v>1.0000000000000001E-9</v>
      </c>
      <c r="L9" s="265">
        <f t="shared" ref="L9:L11" si="4">IF(ISERROR(K9/N9),"n/a",K9/N9)</f>
        <v>1</v>
      </c>
      <c r="M9" s="321">
        <f>IF(B9=Weightings!$A$15,Weightings!$E$36)+IF(B9=Weightings!$A$16,Weightings!$E$41)+IF(B9=Weightings!$A$17,Weightings!$E$41)</f>
        <v>1E-4</v>
      </c>
      <c r="N9" s="321">
        <f t="shared" ref="N9:N11" si="5">G9*M9</f>
        <v>1.0000000000000001E-9</v>
      </c>
      <c r="O9" s="226">
        <f t="shared" ref="O9:O11" si="6">IF((N9/$N$2)&gt;0,N9/$N$2,"n/a")</f>
        <v>3.4013605441251337E-12</v>
      </c>
      <c r="P9" s="227">
        <f t="shared" si="2"/>
        <v>4.2517006801564172E-13</v>
      </c>
    </row>
    <row r="10" spans="1:16" s="47" customFormat="1" ht="31.15" customHeight="1" x14ac:dyDescent="0.2">
      <c r="A10" s="222" t="s">
        <v>239</v>
      </c>
      <c r="B10" s="228" t="s">
        <v>6</v>
      </c>
      <c r="C10" s="256" t="s">
        <v>235</v>
      </c>
      <c r="D10" s="363"/>
      <c r="E10" s="276" t="s">
        <v>63</v>
      </c>
      <c r="F10" s="261" t="s">
        <v>15</v>
      </c>
      <c r="G10" s="262">
        <f>VLOOKUP(F10,Weightings!$A$46:$B$51,2,FALSE)</f>
        <v>1.0000000000000001E-5</v>
      </c>
      <c r="H10" s="261" t="s">
        <v>15</v>
      </c>
      <c r="I10" s="261" t="s">
        <v>15</v>
      </c>
      <c r="J10" s="264">
        <v>1E-4</v>
      </c>
      <c r="K10" s="321">
        <f t="shared" si="3"/>
        <v>1.0000000000000001E-9</v>
      </c>
      <c r="L10" s="265">
        <f t="shared" si="4"/>
        <v>1</v>
      </c>
      <c r="M10" s="321">
        <f>IF(B10=Weightings!$A$15,Weightings!$E$36)+IF(B10=Weightings!$A$16,Weightings!$E$41)+IF(B10=Weightings!$A$17,Weightings!$E$41)</f>
        <v>1E-4</v>
      </c>
      <c r="N10" s="321">
        <f t="shared" si="5"/>
        <v>1.0000000000000001E-9</v>
      </c>
      <c r="O10" s="226">
        <f t="shared" si="6"/>
        <v>3.4013605441251337E-12</v>
      </c>
      <c r="P10" s="227">
        <f t="shared" si="2"/>
        <v>4.2517006801564172E-13</v>
      </c>
    </row>
    <row r="11" spans="1:16" s="82" customFormat="1" ht="46.15" customHeight="1" x14ac:dyDescent="0.2">
      <c r="A11" s="222" t="s">
        <v>240</v>
      </c>
      <c r="B11" s="228" t="s">
        <v>6</v>
      </c>
      <c r="C11" s="257" t="s">
        <v>237</v>
      </c>
      <c r="D11" s="363"/>
      <c r="E11" s="276" t="s">
        <v>63</v>
      </c>
      <c r="F11" s="261" t="s">
        <v>15</v>
      </c>
      <c r="G11" s="262">
        <f>VLOOKUP(F11,Weightings!$A$46:$B$51,2,FALSE)</f>
        <v>1.0000000000000001E-5</v>
      </c>
      <c r="H11" s="261" t="s">
        <v>15</v>
      </c>
      <c r="I11" s="261" t="s">
        <v>15</v>
      </c>
      <c r="J11" s="264">
        <v>1E-4</v>
      </c>
      <c r="K11" s="321">
        <f t="shared" si="3"/>
        <v>1.0000000000000001E-9</v>
      </c>
      <c r="L11" s="265">
        <f t="shared" si="4"/>
        <v>1</v>
      </c>
      <c r="M11" s="321">
        <f>IF(B11=Weightings!$A$15,Weightings!$E$36)+IF(B11=Weightings!$A$16,Weightings!$E$41)+IF(B11=Weightings!$A$17,Weightings!$E$41)</f>
        <v>1E-4</v>
      </c>
      <c r="N11" s="321">
        <f t="shared" si="5"/>
        <v>1.0000000000000001E-9</v>
      </c>
      <c r="O11" s="226">
        <f t="shared" si="6"/>
        <v>3.4013605441251337E-12</v>
      </c>
      <c r="P11" s="227">
        <f t="shared" si="2"/>
        <v>4.2517006801564172E-13</v>
      </c>
    </row>
    <row r="12" spans="1:16" s="224" customFormat="1" ht="35.450000000000003" customHeight="1" x14ac:dyDescent="0.2">
      <c r="A12" s="222" t="s">
        <v>242</v>
      </c>
      <c r="B12" s="222" t="s">
        <v>8</v>
      </c>
      <c r="C12" s="223" t="s">
        <v>270</v>
      </c>
      <c r="D12" s="273"/>
      <c r="E12" s="266"/>
      <c r="F12" s="261" t="s">
        <v>47</v>
      </c>
      <c r="G12" s="262">
        <f>VLOOKUP(F12,Weightings!$A$46:$B$51,2,FALSE)</f>
        <v>8</v>
      </c>
      <c r="H12" s="261" t="s">
        <v>25</v>
      </c>
      <c r="I12" s="263" t="s">
        <v>34</v>
      </c>
      <c r="J12" s="264">
        <f>VLOOKUP(I12,Weightings!$A$36:$B$41,2,FALSE)</f>
        <v>6</v>
      </c>
      <c r="K12" s="321">
        <f t="shared" ref="K12:K17" si="7">J12*G12</f>
        <v>48</v>
      </c>
      <c r="L12" s="265">
        <f t="shared" ref="L12:L17" si="8">IF(ISERROR(K12/N12),"n/a",K12/N12)</f>
        <v>1</v>
      </c>
      <c r="M12" s="321">
        <f>IF(B12=Weightings!$A$15,Weightings!$E$36)+IF(B12=Weightings!$A$16,Weightings!$E$41)+IF(B12=Weightings!$A$17,Weightings!$E$41)</f>
        <v>6</v>
      </c>
      <c r="N12" s="321">
        <f t="shared" ref="N12:N17" si="9">G12*M12</f>
        <v>48</v>
      </c>
      <c r="O12" s="267">
        <f t="shared" ref="O12:O17" si="10">IF((N12/$N$2)&gt;0,N12/$N$2,"n/a")</f>
        <v>0.16326530611800641</v>
      </c>
      <c r="P12" s="268">
        <f t="shared" si="2"/>
        <v>2.0408163264750801E-2</v>
      </c>
    </row>
    <row r="13" spans="1:16" s="224" customFormat="1" ht="42" customHeight="1" x14ac:dyDescent="0.2">
      <c r="A13" s="222" t="s">
        <v>241</v>
      </c>
      <c r="B13" s="228" t="s">
        <v>6</v>
      </c>
      <c r="C13" s="207" t="s">
        <v>236</v>
      </c>
      <c r="D13" s="363"/>
      <c r="E13" s="276" t="s">
        <v>63</v>
      </c>
      <c r="F13" s="261" t="s">
        <v>15</v>
      </c>
      <c r="G13" s="262">
        <f>VLOOKUP(F13,Weightings!$A$46:$B$51,2,FALSE)</f>
        <v>1.0000000000000001E-5</v>
      </c>
      <c r="H13" s="261" t="s">
        <v>15</v>
      </c>
      <c r="I13" s="261" t="s">
        <v>15</v>
      </c>
      <c r="J13" s="264">
        <v>1E-4</v>
      </c>
      <c r="K13" s="321">
        <f t="shared" si="7"/>
        <v>1.0000000000000001E-9</v>
      </c>
      <c r="L13" s="265">
        <f t="shared" si="8"/>
        <v>1</v>
      </c>
      <c r="M13" s="321">
        <f>IF(B13=Weightings!$A$15,Weightings!$E$36)+IF(B13=Weightings!$A$16,Weightings!$E$41)+IF(B13=Weightings!$A$17,Weightings!$E$41)</f>
        <v>1E-4</v>
      </c>
      <c r="N13" s="321">
        <f t="shared" si="9"/>
        <v>1.0000000000000001E-9</v>
      </c>
      <c r="O13" s="226">
        <f t="shared" si="10"/>
        <v>3.4013605441251337E-12</v>
      </c>
      <c r="P13" s="227">
        <f t="shared" si="2"/>
        <v>4.2517006801564172E-13</v>
      </c>
    </row>
    <row r="14" spans="1:16" s="224" customFormat="1" x14ac:dyDescent="0.2">
      <c r="A14" s="84" t="s">
        <v>244</v>
      </c>
      <c r="B14" s="322"/>
      <c r="C14" s="322" t="s">
        <v>243</v>
      </c>
      <c r="D14" s="322"/>
      <c r="E14" s="85"/>
      <c r="F14" s="74"/>
      <c r="G14" s="74"/>
      <c r="H14" s="74"/>
      <c r="I14" s="74"/>
      <c r="J14" s="74"/>
      <c r="K14" s="74"/>
      <c r="L14" s="74"/>
      <c r="M14" s="74"/>
      <c r="N14" s="74"/>
      <c r="O14" s="74"/>
      <c r="P14" s="70">
        <f t="shared" si="2"/>
        <v>0</v>
      </c>
    </row>
    <row r="15" spans="1:16" s="224" customFormat="1" ht="49.15" customHeight="1" x14ac:dyDescent="0.2">
      <c r="A15" s="222" t="s">
        <v>246</v>
      </c>
      <c r="B15" s="228" t="s">
        <v>6</v>
      </c>
      <c r="C15" s="208" t="s">
        <v>245</v>
      </c>
      <c r="D15" s="363"/>
      <c r="E15" s="276" t="s">
        <v>63</v>
      </c>
      <c r="F15" s="261" t="s">
        <v>15</v>
      </c>
      <c r="G15" s="262">
        <f>VLOOKUP(F15,Weightings!$A$46:$B$51,2,FALSE)</f>
        <v>1.0000000000000001E-5</v>
      </c>
      <c r="H15" s="261" t="s">
        <v>15</v>
      </c>
      <c r="I15" s="261" t="s">
        <v>15</v>
      </c>
      <c r="J15" s="264">
        <v>1E-4</v>
      </c>
      <c r="K15" s="321">
        <f t="shared" ref="K15:K16" si="11">J15*G15</f>
        <v>1.0000000000000001E-9</v>
      </c>
      <c r="L15" s="265">
        <f t="shared" ref="L15:L16" si="12">IF(ISERROR(K15/N15),"n/a",K15/N15)</f>
        <v>1</v>
      </c>
      <c r="M15" s="321">
        <f>IF(B15=Weightings!$A$15,Weightings!$E$36)+IF(B15=Weightings!$A$16,Weightings!$E$41)+IF(B15=Weightings!$A$17,Weightings!$E$41)</f>
        <v>1E-4</v>
      </c>
      <c r="N15" s="321">
        <f t="shared" ref="N15:N16" si="13">G15*M15</f>
        <v>1.0000000000000001E-9</v>
      </c>
      <c r="O15" s="226">
        <f t="shared" ref="O15:O16" si="14">IF((N15/$N$2)&gt;0,N15/$N$2,"n/a")</f>
        <v>3.4013605441251337E-12</v>
      </c>
      <c r="P15" s="227">
        <f t="shared" si="2"/>
        <v>4.2517006801564172E-13</v>
      </c>
    </row>
    <row r="16" spans="1:16" s="224" customFormat="1" ht="34.15" customHeight="1" x14ac:dyDescent="0.2">
      <c r="A16" s="222" t="s">
        <v>247</v>
      </c>
      <c r="B16" s="222" t="s">
        <v>8</v>
      </c>
      <c r="C16" s="221" t="s">
        <v>271</v>
      </c>
      <c r="D16" s="273"/>
      <c r="E16" s="266"/>
      <c r="F16" s="261" t="s">
        <v>47</v>
      </c>
      <c r="G16" s="262">
        <f>VLOOKUP(F16,Weightings!$A$46:$B$51,2,FALSE)</f>
        <v>8</v>
      </c>
      <c r="H16" s="261" t="s">
        <v>20</v>
      </c>
      <c r="I16" s="263" t="s">
        <v>34</v>
      </c>
      <c r="J16" s="264">
        <f>VLOOKUP(I16,Weightings!$A$36:$B$41,2,FALSE)</f>
        <v>6</v>
      </c>
      <c r="K16" s="321">
        <f t="shared" si="11"/>
        <v>48</v>
      </c>
      <c r="L16" s="265">
        <f t="shared" si="12"/>
        <v>1</v>
      </c>
      <c r="M16" s="321">
        <f>IF(B16=Weightings!$A$15,Weightings!$E$36)+IF(B16=Weightings!$A$16,Weightings!$E$41)+IF(B16=Weightings!$A$17,Weightings!$E$41)</f>
        <v>6</v>
      </c>
      <c r="N16" s="321">
        <f t="shared" si="13"/>
        <v>48</v>
      </c>
      <c r="O16" s="267">
        <f t="shared" si="14"/>
        <v>0.16326530611800641</v>
      </c>
      <c r="P16" s="268">
        <f t="shared" si="2"/>
        <v>2.0408163264750801E-2</v>
      </c>
    </row>
    <row r="17" spans="1:16" s="224" customFormat="1" ht="37.15" customHeight="1" x14ac:dyDescent="0.2">
      <c r="A17" s="222" t="s">
        <v>795</v>
      </c>
      <c r="B17" s="228" t="s">
        <v>6</v>
      </c>
      <c r="C17" s="209" t="s">
        <v>248</v>
      </c>
      <c r="D17" s="363"/>
      <c r="E17" s="276" t="s">
        <v>63</v>
      </c>
      <c r="F17" s="261" t="s">
        <v>15</v>
      </c>
      <c r="G17" s="262">
        <f>VLOOKUP(F17,Weightings!$A$46:$B$51,2,FALSE)</f>
        <v>1.0000000000000001E-5</v>
      </c>
      <c r="H17" s="261" t="s">
        <v>15</v>
      </c>
      <c r="I17" s="261" t="s">
        <v>15</v>
      </c>
      <c r="J17" s="264">
        <v>1E-4</v>
      </c>
      <c r="K17" s="321">
        <f t="shared" si="7"/>
        <v>1.0000000000000001E-9</v>
      </c>
      <c r="L17" s="265">
        <f t="shared" si="8"/>
        <v>1</v>
      </c>
      <c r="M17" s="321">
        <f>IF(B17=Weightings!$A$15,Weightings!$E$36)+IF(B17=Weightings!$A$16,Weightings!$E$41)+IF(B17=Weightings!$A$17,Weightings!$E$41)</f>
        <v>1E-4</v>
      </c>
      <c r="N17" s="321">
        <f t="shared" si="9"/>
        <v>1.0000000000000001E-9</v>
      </c>
      <c r="O17" s="226">
        <f t="shared" si="10"/>
        <v>3.4013605441251337E-12</v>
      </c>
      <c r="P17" s="227">
        <f t="shared" si="2"/>
        <v>4.2517006801564172E-13</v>
      </c>
    </row>
    <row r="18" spans="1:16" s="97" customFormat="1" ht="25.5" x14ac:dyDescent="0.2">
      <c r="A18" s="222" t="s">
        <v>796</v>
      </c>
      <c r="B18" s="225" t="s">
        <v>8</v>
      </c>
      <c r="C18" s="104" t="s">
        <v>249</v>
      </c>
      <c r="D18" s="273"/>
      <c r="E18" s="266"/>
      <c r="F18" s="261" t="s">
        <v>44</v>
      </c>
      <c r="G18" s="262">
        <f>VLOOKUP(F18,Weightings!$A$46:$B$51,2,FALSE)</f>
        <v>10</v>
      </c>
      <c r="H18" s="261" t="s">
        <v>20</v>
      </c>
      <c r="I18" s="263" t="s">
        <v>34</v>
      </c>
      <c r="J18" s="264">
        <f>VLOOKUP(I18,Weightings!$A$36:$B$41,2,FALSE)</f>
        <v>6</v>
      </c>
      <c r="K18" s="321">
        <f t="shared" ref="K18" si="15">J18*G18</f>
        <v>60</v>
      </c>
      <c r="L18" s="265">
        <f t="shared" ref="L18" si="16">IF(ISERROR(K18/N18),"n/a",K18/N18)</f>
        <v>1</v>
      </c>
      <c r="M18" s="321">
        <f>IF(B18=Weightings!$A$15,Weightings!$E$36)+IF(B18=Weightings!$A$16,Weightings!$E$41)+IF(B18=Weightings!$A$17,Weightings!$E$41)</f>
        <v>6</v>
      </c>
      <c r="N18" s="321">
        <f t="shared" ref="N18" si="17">G18*M18</f>
        <v>60</v>
      </c>
      <c r="O18" s="267">
        <f t="shared" ref="O18" si="18">IF((N18/$N$2)&gt;0,N18/$N$2,"n/a")</f>
        <v>0.204081632647508</v>
      </c>
      <c r="P18" s="268">
        <f t="shared" si="2"/>
        <v>2.5510204080938501E-2</v>
      </c>
    </row>
    <row r="19" spans="1:16" s="224" customFormat="1" ht="35.450000000000003" customHeight="1" x14ac:dyDescent="0.2">
      <c r="A19" s="222" t="s">
        <v>797</v>
      </c>
      <c r="B19" s="228" t="s">
        <v>6</v>
      </c>
      <c r="C19" s="210" t="s">
        <v>250</v>
      </c>
      <c r="D19" s="363"/>
      <c r="E19" s="276" t="s">
        <v>63</v>
      </c>
      <c r="F19" s="261" t="s">
        <v>15</v>
      </c>
      <c r="G19" s="262">
        <f>VLOOKUP(F19,Weightings!$A$46:$B$51,2,FALSE)</f>
        <v>1.0000000000000001E-5</v>
      </c>
      <c r="H19" s="261" t="s">
        <v>15</v>
      </c>
      <c r="I19" s="261" t="s">
        <v>15</v>
      </c>
      <c r="J19" s="264">
        <v>1E-4</v>
      </c>
      <c r="K19" s="321">
        <f t="shared" ref="K19:K20" si="19">J19*G19</f>
        <v>1.0000000000000001E-9</v>
      </c>
      <c r="L19" s="265">
        <f t="shared" ref="L19:L20" si="20">IF(ISERROR(K19/N19),"n/a",K19/N19)</f>
        <v>1</v>
      </c>
      <c r="M19" s="321">
        <f>IF(B19=Weightings!$A$15,Weightings!$E$36)+IF(B19=Weightings!$A$16,Weightings!$E$41)+IF(B19=Weightings!$A$17,Weightings!$E$41)</f>
        <v>1E-4</v>
      </c>
      <c r="N19" s="321">
        <f t="shared" ref="N19:N20" si="21">G19*M19</f>
        <v>1.0000000000000001E-9</v>
      </c>
      <c r="O19" s="226">
        <f t="shared" ref="O19:O20" si="22">IF((N19/$N$2)&gt;0,N19/$N$2,"n/a")</f>
        <v>3.4013605441251337E-12</v>
      </c>
      <c r="P19" s="227">
        <f t="shared" si="2"/>
        <v>4.2517006801564172E-13</v>
      </c>
    </row>
    <row r="20" spans="1:16" s="97" customFormat="1" ht="33.6" customHeight="1" x14ac:dyDescent="0.2">
      <c r="A20" s="222" t="s">
        <v>798</v>
      </c>
      <c r="B20" s="225" t="s">
        <v>8</v>
      </c>
      <c r="C20" s="104" t="s">
        <v>530</v>
      </c>
      <c r="D20" s="273"/>
      <c r="E20" s="266"/>
      <c r="F20" s="261" t="s">
        <v>43</v>
      </c>
      <c r="G20" s="262">
        <f>VLOOKUP(F20,Weightings!$A$46:$B$51,2,FALSE)</f>
        <v>5</v>
      </c>
      <c r="H20" s="261" t="s">
        <v>20</v>
      </c>
      <c r="I20" s="263" t="s">
        <v>34</v>
      </c>
      <c r="J20" s="264">
        <f>VLOOKUP(I20,Weightings!$A$36:$B$41,2,FALSE)</f>
        <v>6</v>
      </c>
      <c r="K20" s="321">
        <f t="shared" si="19"/>
        <v>30</v>
      </c>
      <c r="L20" s="265">
        <f t="shared" si="20"/>
        <v>1</v>
      </c>
      <c r="M20" s="321">
        <f>IF(B20=Weightings!$A$15,Weightings!$E$36)+IF(B20=Weightings!$A$16,Weightings!$E$41)+IF(B20=Weightings!$A$17,Weightings!$E$41)</f>
        <v>6</v>
      </c>
      <c r="N20" s="321">
        <f t="shared" si="21"/>
        <v>30</v>
      </c>
      <c r="O20" s="267">
        <f t="shared" si="22"/>
        <v>0.102040816323754</v>
      </c>
      <c r="P20" s="268">
        <f t="shared" si="2"/>
        <v>1.275510204046925E-2</v>
      </c>
    </row>
    <row r="21" spans="1:16" s="224" customFormat="1" ht="148.9" customHeight="1" x14ac:dyDescent="0.2">
      <c r="A21" s="222" t="s">
        <v>799</v>
      </c>
      <c r="B21" s="228" t="s">
        <v>6</v>
      </c>
      <c r="C21" s="211" t="s">
        <v>251</v>
      </c>
      <c r="D21" s="363"/>
      <c r="E21" s="276" t="s">
        <v>63</v>
      </c>
      <c r="F21" s="261" t="s">
        <v>15</v>
      </c>
      <c r="G21" s="262">
        <f>VLOOKUP(F21,Weightings!$A$46:$B$51,2,FALSE)</f>
        <v>1.0000000000000001E-5</v>
      </c>
      <c r="H21" s="261" t="s">
        <v>15</v>
      </c>
      <c r="I21" s="261" t="s">
        <v>15</v>
      </c>
      <c r="J21" s="264">
        <v>1E-4</v>
      </c>
      <c r="K21" s="321">
        <f t="shared" ref="K21:K22" si="23">J21*G21</f>
        <v>1.0000000000000001E-9</v>
      </c>
      <c r="L21" s="265">
        <f t="shared" ref="L21:L22" si="24">IF(ISERROR(K21/N21),"n/a",K21/N21)</f>
        <v>1</v>
      </c>
      <c r="M21" s="321">
        <f>IF(B21=Weightings!$A$15,Weightings!$E$36)+IF(B21=Weightings!$A$16,Weightings!$E$41)+IF(B21=Weightings!$A$17,Weightings!$E$41)</f>
        <v>1E-4</v>
      </c>
      <c r="N21" s="321">
        <f t="shared" ref="N21:N22" si="25">G21*M21</f>
        <v>1.0000000000000001E-9</v>
      </c>
      <c r="O21" s="226">
        <f t="shared" ref="O21:O22" si="26">IF((N21/$N$2)&gt;0,N21/$N$2,"n/a")</f>
        <v>3.4013605441251337E-12</v>
      </c>
      <c r="P21" s="227">
        <f t="shared" si="2"/>
        <v>4.2517006801564172E-13</v>
      </c>
    </row>
    <row r="22" spans="1:16" s="97" customFormat="1" ht="31.9" customHeight="1" x14ac:dyDescent="0.2">
      <c r="A22" s="222" t="s">
        <v>800</v>
      </c>
      <c r="B22" s="225" t="s">
        <v>8</v>
      </c>
      <c r="C22" s="104" t="s">
        <v>252</v>
      </c>
      <c r="D22" s="273"/>
      <c r="E22" s="266"/>
      <c r="F22" s="261" t="s">
        <v>47</v>
      </c>
      <c r="G22" s="262">
        <f>VLOOKUP(F22,Weightings!$A$46:$B$51,2,FALSE)</f>
        <v>8</v>
      </c>
      <c r="H22" s="261" t="s">
        <v>20</v>
      </c>
      <c r="I22" s="263" t="s">
        <v>34</v>
      </c>
      <c r="J22" s="264">
        <f>VLOOKUP(I22,Weightings!$A$36:$B$41,2,FALSE)</f>
        <v>6</v>
      </c>
      <c r="K22" s="321">
        <f t="shared" si="23"/>
        <v>48</v>
      </c>
      <c r="L22" s="265">
        <f t="shared" si="24"/>
        <v>1</v>
      </c>
      <c r="M22" s="321">
        <f>IF(B22=Weightings!$A$15,Weightings!$E$36)+IF(B22=Weightings!$A$16,Weightings!$E$41)+IF(B22=Weightings!$A$17,Weightings!$E$41)</f>
        <v>6</v>
      </c>
      <c r="N22" s="321">
        <f t="shared" si="25"/>
        <v>48</v>
      </c>
      <c r="O22" s="267">
        <f t="shared" si="26"/>
        <v>0.16326530611800641</v>
      </c>
      <c r="P22" s="268">
        <f t="shared" si="2"/>
        <v>2.0408163264750801E-2</v>
      </c>
    </row>
  </sheetData>
  <sheetProtection password="ED47" sheet="1" objects="1" scenarios="1" formatCells="0" formatColumns="0" formatRows="0"/>
  <autoFilter ref="A5:P22"/>
  <mergeCells count="2">
    <mergeCell ref="E1:J1"/>
    <mergeCell ref="A1:B1"/>
  </mergeCells>
  <dataValidations count="6">
    <dataValidation allowBlank="1" showDropDown="1" showInputMessage="1" showErrorMessage="1" sqref="I7"/>
    <dataValidation type="list" allowBlank="1" showInputMessage="1" showErrorMessage="1" sqref="B2 E1 D2 B3:C22">
      <formula1>Spec_Compl_Adj</formula1>
    </dataValidation>
    <dataValidation type="list" allowBlank="1" showInputMessage="1" showErrorMessage="1" sqref="I8 I20 I6 I18 I14 I16 I12 I22">
      <formula1>Adj_Service</formula1>
    </dataValidation>
    <dataValidation type="list" allowBlank="1" showInputMessage="1" showErrorMessage="1" sqref="H20 H14 H18 H6:H8 H16 H12 H22">
      <formula1>Adj_Evidence</formula1>
    </dataValidation>
    <dataValidation type="list" allowBlank="1" showInputMessage="1" showErrorMessage="1" sqref="F14 F20 F18 F6:F8 F16 F12 F22">
      <formula1>Adj_Weight</formula1>
    </dataValidation>
    <dataValidation type="list" allowBlank="1" showInputMessage="1" showErrorMessage="1" sqref="D17 D19 D9:D11 D13 D15 D21">
      <formula1>"Yes,No"</formula1>
    </dataValidation>
  </dataValidations>
  <printOptions headings="1"/>
  <pageMargins left="0.70866141732283472" right="0.70866141732283472" top="0.74803149606299213" bottom="0.74803149606299213" header="0.31496062992125984" footer="0.31496062992125984"/>
  <pageSetup paperSize="9" scale="81" fitToHeight="0"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Weightings!$I$36:$I$37</xm:f>
          </x14:formula1>
          <xm:sqref>D12 D16 D18 D20 D22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zoomScaleNormal="100" workbookViewId="0">
      <pane ySplit="5" topLeftCell="A6" activePane="bottomLeft" state="frozen"/>
      <selection activeCell="C5" sqref="C5"/>
      <selection pane="bottomLeft" activeCell="A6" sqref="A6"/>
    </sheetView>
  </sheetViews>
  <sheetFormatPr defaultColWidth="8.88671875" defaultRowHeight="12.75" x14ac:dyDescent="0.2"/>
  <cols>
    <col min="1" max="1" width="8.33203125" style="324" customWidth="1"/>
    <col min="2" max="2" width="16.6640625" style="324" customWidth="1"/>
    <col min="3" max="3" width="56" style="324" customWidth="1"/>
    <col min="4" max="4" width="21.44140625" style="324" customWidth="1"/>
    <col min="5" max="5" width="51.44140625" style="324" customWidth="1"/>
    <col min="6" max="6" width="10.6640625" style="324" customWidth="1"/>
    <col min="7" max="7" width="9.5546875" style="324" hidden="1" customWidth="1"/>
    <col min="8" max="8" width="10" style="324" customWidth="1"/>
    <col min="9" max="9" width="11.109375" style="324" hidden="1" customWidth="1"/>
    <col min="10" max="10" width="8" style="324" hidden="1" customWidth="1"/>
    <col min="11" max="11" width="7.109375" style="324" hidden="1" customWidth="1"/>
    <col min="12" max="12" width="9.44140625" style="324" hidden="1" customWidth="1"/>
    <col min="13" max="13" width="10.5546875" style="324" hidden="1" customWidth="1"/>
    <col min="14" max="14" width="13.5546875" style="324" hidden="1" customWidth="1"/>
    <col min="15" max="15" width="8.88671875" style="324" customWidth="1"/>
    <col min="16" max="16384" width="8.88671875" style="324"/>
  </cols>
  <sheetData>
    <row r="1" spans="1:16" ht="23.25" customHeight="1" x14ac:dyDescent="0.25">
      <c r="A1" s="340" t="s">
        <v>747</v>
      </c>
      <c r="B1" s="340"/>
      <c r="D1" s="328">
        <f>COUNTIF(D5:D20,"NO")</f>
        <v>0</v>
      </c>
      <c r="E1" s="341" t="s">
        <v>269</v>
      </c>
      <c r="F1" s="341"/>
      <c r="G1" s="341"/>
      <c r="H1" s="341"/>
      <c r="I1" s="341"/>
      <c r="J1" s="341"/>
    </row>
    <row r="2" spans="1:16" ht="22.15" customHeight="1" x14ac:dyDescent="0.2">
      <c r="B2" s="328">
        <f>COUNTIF(B5:B20,"Compliance Yes/No")+COUNTIF(B5:B20,"Specification")</f>
        <v>12</v>
      </c>
      <c r="C2" s="128"/>
      <c r="D2" s="328">
        <f>COUNTIF(D5:D20,"YES")</f>
        <v>0</v>
      </c>
      <c r="F2" s="261"/>
      <c r="G2" s="262"/>
      <c r="H2" s="261"/>
      <c r="I2" s="53" t="s">
        <v>82</v>
      </c>
      <c r="J2" s="44"/>
      <c r="K2" s="45">
        <f>SUM($K$7:$K$20)</f>
        <v>1.3000000000000004E-8</v>
      </c>
      <c r="L2" s="68">
        <f>K2/N2</f>
        <v>2.1666666662694465E-10</v>
      </c>
      <c r="M2" s="45"/>
      <c r="N2" s="45">
        <f>SUM($N$7:$N$20)</f>
        <v>60.000000010999962</v>
      </c>
      <c r="O2" s="69">
        <f>SUM($O$7:$O$20)</f>
        <v>1.0000000000000007</v>
      </c>
      <c r="P2" s="92">
        <f>SUM($P$7:$P$20)</f>
        <v>0.12500000000000008</v>
      </c>
    </row>
    <row r="3" spans="1:16" ht="15.75" x14ac:dyDescent="0.2">
      <c r="A3" s="98" t="s">
        <v>776</v>
      </c>
      <c r="B3" s="99"/>
      <c r="C3" s="99"/>
      <c r="D3" s="66"/>
      <c r="E3" s="66"/>
      <c r="F3" s="66"/>
      <c r="G3" s="66"/>
      <c r="H3" s="66"/>
      <c r="I3" s="66"/>
      <c r="J3" s="66"/>
      <c r="K3" s="66"/>
      <c r="L3" s="66"/>
      <c r="M3" s="66"/>
      <c r="N3" s="66"/>
      <c r="O3" s="66"/>
      <c r="P3" s="66"/>
    </row>
    <row r="4" spans="1:16" s="50" customFormat="1" ht="17.25" customHeight="1" x14ac:dyDescent="0.2">
      <c r="A4" s="98" t="s">
        <v>165</v>
      </c>
      <c r="B4" s="100"/>
      <c r="C4" s="100"/>
      <c r="D4" s="98"/>
      <c r="E4" s="67">
        <f>Introduction!B10</f>
        <v>0</v>
      </c>
      <c r="F4" s="67"/>
      <c r="G4" s="67"/>
      <c r="H4" s="67"/>
      <c r="I4" s="67"/>
      <c r="J4" s="67"/>
      <c r="K4" s="67"/>
      <c r="L4" s="67"/>
      <c r="M4" s="67"/>
      <c r="N4" s="67"/>
      <c r="O4" s="71"/>
      <c r="P4" s="71"/>
    </row>
    <row r="5" spans="1:16" s="129" customFormat="1" ht="56.25" customHeight="1" thickBot="1" x14ac:dyDescent="0.25">
      <c r="A5" s="87"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48"/>
      <c r="C6" s="322" t="s">
        <v>146</v>
      </c>
      <c r="D6" s="322"/>
      <c r="E6" s="272"/>
      <c r="F6" s="74" t="s">
        <v>15</v>
      </c>
      <c r="G6" s="74">
        <f>VLOOKUP(F6,Weightings!$A$46:$B$51,2,FALSE)</f>
        <v>1.0000000000000001E-5</v>
      </c>
      <c r="H6" s="74" t="s">
        <v>15</v>
      </c>
      <c r="I6" s="75" t="s">
        <v>15</v>
      </c>
      <c r="J6" s="74">
        <f>VLOOKUP(I6,Weightings!$A$36:$B$41,2,FALSE)</f>
        <v>1E-4</v>
      </c>
      <c r="K6" s="76">
        <f t="shared" ref="K6:K7" si="0">J6*G6</f>
        <v>1.0000000000000001E-9</v>
      </c>
      <c r="L6" s="77" t="e">
        <f t="shared" ref="L6" si="1">K6/N6</f>
        <v>#DIV/0!</v>
      </c>
      <c r="M6" s="76">
        <f>IF(B6=Weightings!$A$15,Weightings!$E$36)+IF(B6=Weightings!$A$16,Weightings!$E$41)+IF(B6=Weightings!$A$17,Weightings!$E$41)</f>
        <v>0</v>
      </c>
      <c r="N6" s="76">
        <f t="shared" ref="N6" si="2">G6*M6</f>
        <v>0</v>
      </c>
      <c r="O6" s="78"/>
      <c r="P6" s="70"/>
    </row>
    <row r="7" spans="1:16" s="47" customFormat="1" ht="48" customHeight="1" x14ac:dyDescent="0.2">
      <c r="A7" s="222" t="s">
        <v>166</v>
      </c>
      <c r="B7" s="261" t="s">
        <v>7</v>
      </c>
      <c r="C7" s="112" t="s">
        <v>187</v>
      </c>
      <c r="D7" s="275">
        <f>ROUND(COUNTIF(D8:D16,"Yes")/(B2-1),2)</f>
        <v>0</v>
      </c>
      <c r="E7" s="271"/>
      <c r="F7" s="261" t="s">
        <v>44</v>
      </c>
      <c r="G7" s="262">
        <f>VLOOKUP(F7,Weightings!$A$46:$B$51,2,FALSE)</f>
        <v>10</v>
      </c>
      <c r="H7" s="274"/>
      <c r="I7" s="263" t="s">
        <v>836</v>
      </c>
      <c r="J7" s="264">
        <f>IF(D7&gt;=0.97,6,IF(D7&gt;=0.9,4,IF(D7&gt;=0.8,2,IF(D7&gt;=0.7,1,0))))</f>
        <v>0</v>
      </c>
      <c r="K7" s="321">
        <f t="shared" si="0"/>
        <v>0</v>
      </c>
      <c r="L7" s="265">
        <f t="shared" ref="L7" si="3">IF(ISERROR(K7/N7),"n/a",K7/N7)</f>
        <v>0</v>
      </c>
      <c r="M7" s="321">
        <f>IF(B7=Weightings!$A$15,Weightings!$E$36)+IF(B7=Weightings!$A$16,Weightings!$E$41)+IF(B7=Weightings!$A$17,Weightings!$E$41)</f>
        <v>6</v>
      </c>
      <c r="N7" s="321">
        <f>G7*M7</f>
        <v>60</v>
      </c>
      <c r="O7" s="269">
        <f>IF((N7/$N$2)&gt;0,N7/$N$2,"n/a")</f>
        <v>0.99999999981666732</v>
      </c>
      <c r="P7" s="270">
        <f>IF(ISERROR(O7*0.125),"n/a",O7*0.125)</f>
        <v>0.12499999997708341</v>
      </c>
    </row>
    <row r="8" spans="1:16" s="55" customFormat="1" x14ac:dyDescent="0.2">
      <c r="A8" s="323" t="s">
        <v>843</v>
      </c>
      <c r="B8" s="48"/>
      <c r="C8" s="322" t="s">
        <v>254</v>
      </c>
      <c r="D8" s="322"/>
      <c r="E8" s="272" t="s">
        <v>63</v>
      </c>
      <c r="F8" s="74" t="s">
        <v>15</v>
      </c>
      <c r="G8" s="76">
        <f>VLOOKUP(F8,Weightings!$A$46:$B$51,2,FALSE)</f>
        <v>1.0000000000000001E-5</v>
      </c>
      <c r="H8" s="74" t="s">
        <v>15</v>
      </c>
      <c r="I8" s="75" t="s">
        <v>15</v>
      </c>
      <c r="J8" s="76">
        <f>VLOOKUP(I8,Weightings!$A$36:$B$41,2,FALSE)</f>
        <v>1E-4</v>
      </c>
      <c r="K8" s="76">
        <f t="shared" ref="K8:K20" si="4">J8*G8</f>
        <v>1.0000000000000001E-9</v>
      </c>
      <c r="L8" s="77" t="str">
        <f t="shared" ref="L8:L20" si="5">IF(ISERROR(K8/N8),"n/a",K8/N8)</f>
        <v>n/a</v>
      </c>
      <c r="M8" s="76">
        <f>IF(B8=Weightings!$A$15,Weightings!$E$36)+IF(B8=Weightings!$A$16,Weightings!$E$41)+IF(B8=Weightings!$A$17,Weightings!$E$41)</f>
        <v>0</v>
      </c>
      <c r="N8" s="76">
        <f t="shared" ref="N8:N20" si="6">G8*M8</f>
        <v>0</v>
      </c>
      <c r="O8" s="78" t="str">
        <f t="shared" ref="O8:O20" si="7">IF((N8/$N$2)&gt;0,N8/$N$2,"n/a")</f>
        <v>n/a</v>
      </c>
      <c r="P8" s="70" t="str">
        <f t="shared" ref="P8:P20" si="8">IF(ISERROR(O8*0.125),"n/a",O8*0.125)</f>
        <v>n/a</v>
      </c>
    </row>
    <row r="9" spans="1:16" s="224" customFormat="1" ht="126.6" customHeight="1" x14ac:dyDescent="0.2">
      <c r="A9" s="222" t="s">
        <v>844</v>
      </c>
      <c r="B9" s="261" t="s">
        <v>6</v>
      </c>
      <c r="C9" s="212" t="s">
        <v>830</v>
      </c>
      <c r="D9" s="363"/>
      <c r="E9" s="276" t="s">
        <v>63</v>
      </c>
      <c r="F9" s="261" t="s">
        <v>15</v>
      </c>
      <c r="G9" s="262">
        <f>VLOOKUP(F9,Weightings!$A$46:$B$51,2,FALSE)</f>
        <v>1.0000000000000001E-5</v>
      </c>
      <c r="H9" s="261" t="s">
        <v>15</v>
      </c>
      <c r="I9" s="261" t="s">
        <v>15</v>
      </c>
      <c r="J9" s="264">
        <v>1E-4</v>
      </c>
      <c r="K9" s="321">
        <f t="shared" si="4"/>
        <v>1.0000000000000001E-9</v>
      </c>
      <c r="L9" s="265">
        <f t="shared" si="5"/>
        <v>1</v>
      </c>
      <c r="M9" s="321">
        <f>IF(B9=Weightings!$A$15,Weightings!$E$36)+IF(B9=Weightings!$A$16,Weightings!$E$41)+IF(B9=Weightings!$A$17,Weightings!$E$41)</f>
        <v>1E-4</v>
      </c>
      <c r="N9" s="321">
        <f t="shared" si="6"/>
        <v>1.0000000000000001E-9</v>
      </c>
      <c r="O9" s="226">
        <f t="shared" si="7"/>
        <v>1.6666666663611123E-11</v>
      </c>
      <c r="P9" s="227">
        <f t="shared" si="8"/>
        <v>2.0833333329513904E-12</v>
      </c>
    </row>
    <row r="10" spans="1:16" s="224" customFormat="1" ht="89.25" x14ac:dyDescent="0.2">
      <c r="A10" s="222" t="s">
        <v>845</v>
      </c>
      <c r="B10" s="261" t="s">
        <v>6</v>
      </c>
      <c r="C10" s="213" t="s">
        <v>255</v>
      </c>
      <c r="D10" s="363"/>
      <c r="E10" s="276" t="s">
        <v>63</v>
      </c>
      <c r="F10" s="261" t="s">
        <v>15</v>
      </c>
      <c r="G10" s="262">
        <f>VLOOKUP(F10,Weightings!$A$46:$B$51,2,FALSE)</f>
        <v>1.0000000000000001E-5</v>
      </c>
      <c r="H10" s="261" t="s">
        <v>15</v>
      </c>
      <c r="I10" s="261" t="s">
        <v>15</v>
      </c>
      <c r="J10" s="264">
        <v>1E-4</v>
      </c>
      <c r="K10" s="321">
        <f t="shared" si="4"/>
        <v>1.0000000000000001E-9</v>
      </c>
      <c r="L10" s="265">
        <f t="shared" si="5"/>
        <v>1</v>
      </c>
      <c r="M10" s="321">
        <f>IF(B10=Weightings!$A$15,Weightings!$E$36)+IF(B10=Weightings!$A$16,Weightings!$E$41)+IF(B10=Weightings!$A$17,Weightings!$E$41)</f>
        <v>1E-4</v>
      </c>
      <c r="N10" s="321">
        <f t="shared" si="6"/>
        <v>1.0000000000000001E-9</v>
      </c>
      <c r="O10" s="226">
        <f t="shared" si="7"/>
        <v>1.6666666663611123E-11</v>
      </c>
      <c r="P10" s="227">
        <f t="shared" si="8"/>
        <v>2.0833333329513904E-12</v>
      </c>
    </row>
    <row r="11" spans="1:16" s="224" customFormat="1" ht="63.75" x14ac:dyDescent="0.2">
      <c r="A11" s="54" t="s">
        <v>846</v>
      </c>
      <c r="B11" s="120" t="s">
        <v>6</v>
      </c>
      <c r="C11" s="214" t="s">
        <v>256</v>
      </c>
      <c r="D11" s="363"/>
      <c r="E11" s="276" t="s">
        <v>63</v>
      </c>
      <c r="F11" s="261" t="s">
        <v>15</v>
      </c>
      <c r="G11" s="262">
        <f>VLOOKUP(F11,Weightings!$A$46:$B$51,2,FALSE)</f>
        <v>1.0000000000000001E-5</v>
      </c>
      <c r="H11" s="261" t="s">
        <v>15</v>
      </c>
      <c r="I11" s="261" t="s">
        <v>15</v>
      </c>
      <c r="J11" s="264">
        <v>1E-4</v>
      </c>
      <c r="K11" s="321">
        <f t="shared" si="4"/>
        <v>1.0000000000000001E-9</v>
      </c>
      <c r="L11" s="265">
        <f t="shared" si="5"/>
        <v>1</v>
      </c>
      <c r="M11" s="321">
        <f>IF(B11=Weightings!$A$15,Weightings!$E$36)+IF(B11=Weightings!$A$16,Weightings!$E$41)+IF(B11=Weightings!$A$17,Weightings!$E$41)</f>
        <v>1E-4</v>
      </c>
      <c r="N11" s="321">
        <f t="shared" si="6"/>
        <v>1.0000000000000001E-9</v>
      </c>
      <c r="O11" s="226">
        <f t="shared" si="7"/>
        <v>1.6666666663611123E-11</v>
      </c>
      <c r="P11" s="227">
        <f t="shared" si="8"/>
        <v>2.0833333329513904E-12</v>
      </c>
    </row>
    <row r="12" spans="1:16" s="224" customFormat="1" ht="47.45" customHeight="1" x14ac:dyDescent="0.2">
      <c r="A12" s="222" t="s">
        <v>847</v>
      </c>
      <c r="B12" s="120" t="s">
        <v>6</v>
      </c>
      <c r="C12" s="260" t="s">
        <v>259</v>
      </c>
      <c r="D12" s="363"/>
      <c r="E12" s="276" t="s">
        <v>63</v>
      </c>
      <c r="F12" s="261" t="s">
        <v>15</v>
      </c>
      <c r="G12" s="262">
        <f>VLOOKUP(F12,Weightings!$A$46:$B$51,2,FALSE)</f>
        <v>1.0000000000000001E-5</v>
      </c>
      <c r="H12" s="261" t="s">
        <v>15</v>
      </c>
      <c r="I12" s="261" t="s">
        <v>15</v>
      </c>
      <c r="J12" s="264">
        <v>1E-4</v>
      </c>
      <c r="K12" s="321">
        <f t="shared" si="4"/>
        <v>1.0000000000000001E-9</v>
      </c>
      <c r="L12" s="265">
        <f t="shared" si="5"/>
        <v>1</v>
      </c>
      <c r="M12" s="321">
        <f>IF(B12=Weightings!$A$15,Weightings!$E$36)+IF(B12=Weightings!$A$16,Weightings!$E$41)+IF(B12=Weightings!$A$17,Weightings!$E$41)</f>
        <v>1E-4</v>
      </c>
      <c r="N12" s="321">
        <f t="shared" si="6"/>
        <v>1.0000000000000001E-9</v>
      </c>
      <c r="O12" s="90">
        <f t="shared" si="7"/>
        <v>1.6666666663611123E-11</v>
      </c>
      <c r="P12" s="91">
        <f t="shared" si="8"/>
        <v>2.0833333329513904E-12</v>
      </c>
    </row>
    <row r="13" spans="1:16" s="224" customFormat="1" ht="46.15" customHeight="1" x14ac:dyDescent="0.2">
      <c r="A13" s="222" t="s">
        <v>848</v>
      </c>
      <c r="B13" s="120" t="s">
        <v>6</v>
      </c>
      <c r="C13" s="259" t="s">
        <v>260</v>
      </c>
      <c r="D13" s="363"/>
      <c r="E13" s="276" t="s">
        <v>63</v>
      </c>
      <c r="F13" s="261" t="s">
        <v>15</v>
      </c>
      <c r="G13" s="262">
        <f>VLOOKUP(F13,Weightings!$A$46:$B$51,2,FALSE)</f>
        <v>1.0000000000000001E-5</v>
      </c>
      <c r="H13" s="261" t="s">
        <v>15</v>
      </c>
      <c r="I13" s="261" t="s">
        <v>15</v>
      </c>
      <c r="J13" s="264">
        <v>1E-4</v>
      </c>
      <c r="K13" s="321">
        <f t="shared" si="4"/>
        <v>1.0000000000000001E-9</v>
      </c>
      <c r="L13" s="265">
        <f t="shared" si="5"/>
        <v>1</v>
      </c>
      <c r="M13" s="321">
        <f>IF(B13=Weightings!$A$15,Weightings!$E$36)+IF(B13=Weightings!$A$16,Weightings!$E$41)+IF(B13=Weightings!$A$17,Weightings!$E$41)</f>
        <v>1E-4</v>
      </c>
      <c r="N13" s="321">
        <f t="shared" si="6"/>
        <v>1.0000000000000001E-9</v>
      </c>
      <c r="O13" s="90">
        <f t="shared" si="7"/>
        <v>1.6666666663611123E-11</v>
      </c>
      <c r="P13" s="91">
        <f t="shared" si="8"/>
        <v>2.0833333329513904E-12</v>
      </c>
    </row>
    <row r="14" spans="1:16" s="55" customFormat="1" x14ac:dyDescent="0.2">
      <c r="A14" s="323" t="s">
        <v>83</v>
      </c>
      <c r="B14" s="48"/>
      <c r="C14" s="322" t="s">
        <v>261</v>
      </c>
      <c r="D14" s="322"/>
      <c r="E14" s="272" t="s">
        <v>63</v>
      </c>
      <c r="F14" s="74" t="s">
        <v>15</v>
      </c>
      <c r="G14" s="76">
        <f>VLOOKUP(F14,Weightings!$A$46:$B$51,2,FALSE)</f>
        <v>1.0000000000000001E-5</v>
      </c>
      <c r="H14" s="74" t="s">
        <v>15</v>
      </c>
      <c r="I14" s="75" t="s">
        <v>15</v>
      </c>
      <c r="J14" s="76">
        <f>VLOOKUP(I14,Weightings!$A$36:$B$41,2,FALSE)</f>
        <v>1E-4</v>
      </c>
      <c r="K14" s="76">
        <f t="shared" si="4"/>
        <v>1.0000000000000001E-9</v>
      </c>
      <c r="L14" s="77" t="str">
        <f t="shared" si="5"/>
        <v>n/a</v>
      </c>
      <c r="M14" s="76">
        <f>IF(B14=Weightings!$A$15,Weightings!$E$36)+IF(B14=Weightings!$A$16,Weightings!$E$41)+IF(B14=Weightings!$A$17,Weightings!$E$41)</f>
        <v>0</v>
      </c>
      <c r="N14" s="76">
        <f t="shared" si="6"/>
        <v>0</v>
      </c>
      <c r="O14" s="78" t="str">
        <f t="shared" si="7"/>
        <v>n/a</v>
      </c>
      <c r="P14" s="70" t="str">
        <f t="shared" si="8"/>
        <v>n/a</v>
      </c>
    </row>
    <row r="15" spans="1:16" s="224" customFormat="1" ht="32.450000000000003" customHeight="1" x14ac:dyDescent="0.2">
      <c r="A15" s="222" t="s">
        <v>167</v>
      </c>
      <c r="B15" s="261" t="s">
        <v>6</v>
      </c>
      <c r="C15" s="215" t="s">
        <v>262</v>
      </c>
      <c r="D15" s="363"/>
      <c r="E15" s="276" t="s">
        <v>63</v>
      </c>
      <c r="F15" s="261" t="s">
        <v>15</v>
      </c>
      <c r="G15" s="262">
        <f>VLOOKUP(F15,Weightings!$A$46:$B$51,2,FALSE)</f>
        <v>1.0000000000000001E-5</v>
      </c>
      <c r="H15" s="261" t="s">
        <v>15</v>
      </c>
      <c r="I15" s="261" t="s">
        <v>15</v>
      </c>
      <c r="J15" s="264">
        <v>1E-4</v>
      </c>
      <c r="K15" s="321">
        <f t="shared" si="4"/>
        <v>1.0000000000000001E-9</v>
      </c>
      <c r="L15" s="265">
        <f t="shared" si="5"/>
        <v>1</v>
      </c>
      <c r="M15" s="321">
        <f>IF(B15=Weightings!$A$15,Weightings!$E$36)+IF(B15=Weightings!$A$16,Weightings!$E$41)+IF(B15=Weightings!$A$17,Weightings!$E$41)</f>
        <v>1E-4</v>
      </c>
      <c r="N15" s="321">
        <f t="shared" si="6"/>
        <v>1.0000000000000001E-9</v>
      </c>
      <c r="O15" s="226">
        <f t="shared" si="7"/>
        <v>1.6666666663611123E-11</v>
      </c>
      <c r="P15" s="227">
        <f t="shared" si="8"/>
        <v>2.0833333329513904E-12</v>
      </c>
    </row>
    <row r="16" spans="1:16" s="56" customFormat="1" ht="84.75" customHeight="1" x14ac:dyDescent="0.2">
      <c r="A16" s="222" t="s">
        <v>168</v>
      </c>
      <c r="B16" s="261" t="s">
        <v>6</v>
      </c>
      <c r="C16" s="216" t="s">
        <v>778</v>
      </c>
      <c r="D16" s="363"/>
      <c r="E16" s="276" t="s">
        <v>63</v>
      </c>
      <c r="F16" s="261" t="s">
        <v>15</v>
      </c>
      <c r="G16" s="262">
        <f>VLOOKUP(F16,Weightings!$A$46:$B$51,2,FALSE)</f>
        <v>1.0000000000000001E-5</v>
      </c>
      <c r="H16" s="261" t="s">
        <v>15</v>
      </c>
      <c r="I16" s="261" t="s">
        <v>15</v>
      </c>
      <c r="J16" s="264">
        <v>1E-4</v>
      </c>
      <c r="K16" s="321">
        <f t="shared" si="4"/>
        <v>1.0000000000000001E-9</v>
      </c>
      <c r="L16" s="265">
        <f t="shared" si="5"/>
        <v>1</v>
      </c>
      <c r="M16" s="321">
        <f>IF(B16=Weightings!$A$15,Weightings!$E$36)+IF(B16=Weightings!$A$16,Weightings!$E$41)+IF(B16=Weightings!$A$17,Weightings!$E$41)</f>
        <v>1E-4</v>
      </c>
      <c r="N16" s="321">
        <f t="shared" si="6"/>
        <v>1.0000000000000001E-9</v>
      </c>
      <c r="O16" s="226">
        <f t="shared" si="7"/>
        <v>1.6666666663611123E-11</v>
      </c>
      <c r="P16" s="227">
        <f t="shared" si="8"/>
        <v>2.0833333329513904E-12</v>
      </c>
    </row>
    <row r="17" spans="1:16" s="56" customFormat="1" ht="69.599999999999994" customHeight="1" x14ac:dyDescent="0.2">
      <c r="A17" s="222" t="s">
        <v>180</v>
      </c>
      <c r="B17" s="261" t="s">
        <v>6</v>
      </c>
      <c r="C17" s="217" t="s">
        <v>263</v>
      </c>
      <c r="D17" s="363"/>
      <c r="E17" s="276" t="s">
        <v>63</v>
      </c>
      <c r="F17" s="261" t="s">
        <v>15</v>
      </c>
      <c r="G17" s="262">
        <f>VLOOKUP(F17,Weightings!$A$46:$B$51,2,FALSE)</f>
        <v>1.0000000000000001E-5</v>
      </c>
      <c r="H17" s="261" t="s">
        <v>15</v>
      </c>
      <c r="I17" s="261" t="s">
        <v>15</v>
      </c>
      <c r="J17" s="264">
        <v>1E-4</v>
      </c>
      <c r="K17" s="321">
        <f t="shared" si="4"/>
        <v>1.0000000000000001E-9</v>
      </c>
      <c r="L17" s="265">
        <f t="shared" si="5"/>
        <v>1</v>
      </c>
      <c r="M17" s="321">
        <f>IF(B17=Weightings!$A$15,Weightings!$E$36)+IF(B17=Weightings!$A$16,Weightings!$E$41)+IF(B17=Weightings!$A$17,Weightings!$E$41)</f>
        <v>1E-4</v>
      </c>
      <c r="N17" s="321">
        <f t="shared" si="6"/>
        <v>1.0000000000000001E-9</v>
      </c>
      <c r="O17" s="226">
        <f t="shared" si="7"/>
        <v>1.6666666663611123E-11</v>
      </c>
      <c r="P17" s="227">
        <f t="shared" si="8"/>
        <v>2.0833333329513904E-12</v>
      </c>
    </row>
    <row r="18" spans="1:16" s="56" customFormat="1" ht="54.6" customHeight="1" x14ac:dyDescent="0.2">
      <c r="A18" s="222" t="s">
        <v>257</v>
      </c>
      <c r="B18" s="261" t="s">
        <v>6</v>
      </c>
      <c r="C18" s="218" t="s">
        <v>264</v>
      </c>
      <c r="D18" s="363"/>
      <c r="E18" s="276" t="s">
        <v>63</v>
      </c>
      <c r="F18" s="261" t="s">
        <v>15</v>
      </c>
      <c r="G18" s="262">
        <f>VLOOKUP(F18,Weightings!$A$46:$B$51,2,FALSE)</f>
        <v>1.0000000000000001E-5</v>
      </c>
      <c r="H18" s="261" t="s">
        <v>15</v>
      </c>
      <c r="I18" s="261" t="s">
        <v>15</v>
      </c>
      <c r="J18" s="264">
        <v>1E-4</v>
      </c>
      <c r="K18" s="321">
        <f t="shared" si="4"/>
        <v>1.0000000000000001E-9</v>
      </c>
      <c r="L18" s="265">
        <f t="shared" si="5"/>
        <v>1</v>
      </c>
      <c r="M18" s="321">
        <f>IF(B18=Weightings!$A$15,Weightings!$E$36)+IF(B18=Weightings!$A$16,Weightings!$E$41)+IF(B18=Weightings!$A$17,Weightings!$E$41)</f>
        <v>1E-4</v>
      </c>
      <c r="N18" s="321">
        <f t="shared" si="6"/>
        <v>1.0000000000000001E-9</v>
      </c>
      <c r="O18" s="226">
        <f t="shared" si="7"/>
        <v>1.6666666663611123E-11</v>
      </c>
      <c r="P18" s="227">
        <f t="shared" si="8"/>
        <v>2.0833333329513904E-12</v>
      </c>
    </row>
    <row r="19" spans="1:16" s="56" customFormat="1" ht="100.15" customHeight="1" x14ac:dyDescent="0.2">
      <c r="A19" s="222" t="s">
        <v>258</v>
      </c>
      <c r="B19" s="261" t="s">
        <v>6</v>
      </c>
      <c r="C19" s="219" t="s">
        <v>801</v>
      </c>
      <c r="D19" s="363"/>
      <c r="E19" s="276" t="s">
        <v>63</v>
      </c>
      <c r="F19" s="261" t="s">
        <v>15</v>
      </c>
      <c r="G19" s="262">
        <f>VLOOKUP(F19,Weightings!$A$46:$B$51,2,FALSE)</f>
        <v>1.0000000000000001E-5</v>
      </c>
      <c r="H19" s="261" t="s">
        <v>15</v>
      </c>
      <c r="I19" s="261" t="s">
        <v>15</v>
      </c>
      <c r="J19" s="264">
        <v>1E-4</v>
      </c>
      <c r="K19" s="321">
        <f t="shared" si="4"/>
        <v>1.0000000000000001E-9</v>
      </c>
      <c r="L19" s="265">
        <f t="shared" si="5"/>
        <v>1</v>
      </c>
      <c r="M19" s="321">
        <f>IF(B19=Weightings!$A$15,Weightings!$E$36)+IF(B19=Weightings!$A$16,Weightings!$E$41)+IF(B19=Weightings!$A$17,Weightings!$E$41)</f>
        <v>1E-4</v>
      </c>
      <c r="N19" s="321">
        <f t="shared" si="6"/>
        <v>1.0000000000000001E-9</v>
      </c>
      <c r="O19" s="226">
        <f t="shared" si="7"/>
        <v>1.6666666663611123E-11</v>
      </c>
      <c r="P19" s="227">
        <f t="shared" si="8"/>
        <v>2.0833333329513904E-12</v>
      </c>
    </row>
    <row r="20" spans="1:16" s="224" customFormat="1" ht="25.5" x14ac:dyDescent="0.2">
      <c r="A20" s="222" t="s">
        <v>849</v>
      </c>
      <c r="B20" s="263" t="s">
        <v>6</v>
      </c>
      <c r="C20" s="220" t="s">
        <v>265</v>
      </c>
      <c r="D20" s="363"/>
      <c r="E20" s="276" t="s">
        <v>63</v>
      </c>
      <c r="F20" s="261" t="s">
        <v>15</v>
      </c>
      <c r="G20" s="262">
        <f>VLOOKUP(F20,Weightings!$A$46:$B$51,2,FALSE)</f>
        <v>1.0000000000000001E-5</v>
      </c>
      <c r="H20" s="261" t="s">
        <v>15</v>
      </c>
      <c r="I20" s="261" t="s">
        <v>15</v>
      </c>
      <c r="J20" s="264">
        <v>1E-4</v>
      </c>
      <c r="K20" s="321">
        <f t="shared" si="4"/>
        <v>1.0000000000000001E-9</v>
      </c>
      <c r="L20" s="265">
        <f t="shared" si="5"/>
        <v>1</v>
      </c>
      <c r="M20" s="321">
        <f>IF(B20=Weightings!$A$15,Weightings!$E$36)+IF(B20=Weightings!$A$16,Weightings!$E$41)+IF(B20=Weightings!$A$17,Weightings!$E$41)</f>
        <v>1E-4</v>
      </c>
      <c r="N20" s="321">
        <f t="shared" si="6"/>
        <v>1.0000000000000001E-9</v>
      </c>
      <c r="O20" s="226">
        <f t="shared" si="7"/>
        <v>1.6666666663611123E-11</v>
      </c>
      <c r="P20" s="227">
        <f t="shared" si="8"/>
        <v>2.0833333329513904E-12</v>
      </c>
    </row>
    <row r="21" spans="1:16" s="56" customFormat="1" x14ac:dyDescent="0.2">
      <c r="A21" s="51"/>
      <c r="B21" s="96"/>
      <c r="C21" s="96"/>
      <c r="D21" s="57"/>
      <c r="E21" s="96"/>
      <c r="F21" s="96"/>
      <c r="G21" s="58"/>
      <c r="H21" s="96"/>
      <c r="I21" s="96"/>
      <c r="J21" s="58"/>
      <c r="K21" s="58"/>
      <c r="L21" s="58"/>
      <c r="M21" s="58"/>
      <c r="N21" s="58"/>
    </row>
    <row r="22" spans="1:16" s="56" customFormat="1" x14ac:dyDescent="0.2">
      <c r="A22" s="51"/>
      <c r="B22" s="96"/>
      <c r="C22" s="96"/>
      <c r="D22" s="57"/>
      <c r="E22" s="96"/>
      <c r="F22" s="96"/>
      <c r="G22" s="58"/>
      <c r="H22" s="96"/>
      <c r="I22" s="96"/>
      <c r="J22" s="58"/>
      <c r="K22" s="58"/>
      <c r="L22" s="58"/>
      <c r="M22" s="58"/>
      <c r="N22" s="58"/>
    </row>
    <row r="23" spans="1:16" s="56" customFormat="1" x14ac:dyDescent="0.2">
      <c r="A23" s="51"/>
      <c r="B23" s="96"/>
      <c r="C23" s="96"/>
      <c r="D23" s="57"/>
      <c r="E23" s="96"/>
      <c r="F23" s="96"/>
      <c r="G23" s="58"/>
      <c r="H23" s="96"/>
      <c r="I23" s="96"/>
      <c r="J23" s="58"/>
      <c r="K23" s="58"/>
      <c r="L23" s="58"/>
      <c r="M23" s="58"/>
      <c r="N23" s="58"/>
    </row>
  </sheetData>
  <sheetProtection password="ED47" sheet="1" objects="1" scenarios="1" formatCells="0" formatColumns="0" formatRows="0" autoFilter="0"/>
  <autoFilter ref="A5:P20"/>
  <mergeCells count="2">
    <mergeCell ref="E1:J1"/>
    <mergeCell ref="A1:B1"/>
  </mergeCells>
  <dataValidations count="6">
    <dataValidation type="list" allowBlank="1" showInputMessage="1" showErrorMessage="1" sqref="H14 H6:H8">
      <formula1>Adj_Evidence</formula1>
    </dataValidation>
    <dataValidation type="list" allowBlank="1" showInputMessage="1" showErrorMessage="1" sqref="F14 F6:F8">
      <formula1>Adj_Weight</formula1>
    </dataValidation>
    <dataValidation type="list" allowBlank="1" showInputMessage="1" showErrorMessage="1" sqref="I8 I14 I6">
      <formula1>Adj_service</formula1>
    </dataValidation>
    <dataValidation type="list" allowBlank="1" showInputMessage="1" showErrorMessage="1" sqref="D2 C3:C1048576 B1:B1048576">
      <formula1>Spec_Compl_Adj</formula1>
    </dataValidation>
    <dataValidation allowBlank="1" showDropDown="1" showInputMessage="1" showErrorMessage="1" sqref="I7"/>
    <dataValidation type="list" allowBlank="1" showInputMessage="1" showErrorMessage="1" sqref="D9:D13 D15:D20">
      <formula1>"Yes,No"</formula1>
    </dataValidation>
  </dataValidations>
  <printOptions headings="1"/>
  <pageMargins left="0.70866141732283472" right="0.70866141732283472" top="0.74803149606299213" bottom="0.74803149606299213" header="0.31496062992125984" footer="0.31496062992125984"/>
  <pageSetup paperSize="9" scale="96" fitToHeight="0" orientation="landscape" r:id="rId1"/>
  <headerFooter>
    <oddHeader>&amp;A&amp;RPage &amp;P</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zoomScaleNormal="100" workbookViewId="0">
      <pane ySplit="5" topLeftCell="A6" activePane="bottomLeft" state="frozen"/>
      <selection activeCell="C5" sqref="C5"/>
      <selection pane="bottomLeft" activeCell="A6" sqref="A6"/>
    </sheetView>
  </sheetViews>
  <sheetFormatPr defaultColWidth="8.88671875" defaultRowHeight="12.75" x14ac:dyDescent="0.2"/>
  <cols>
    <col min="1" max="1" width="8.33203125" style="324" customWidth="1"/>
    <col min="2" max="2" width="11.44140625" style="324" customWidth="1"/>
    <col min="3" max="3" width="63.6640625" style="324" customWidth="1"/>
    <col min="4" max="4" width="18.5546875" style="324" customWidth="1"/>
    <col min="5" max="5" width="51.5546875" style="324" customWidth="1"/>
    <col min="6" max="6" width="10.33203125" style="324" customWidth="1"/>
    <col min="7" max="7" width="9.6640625" style="324" hidden="1" customWidth="1"/>
    <col min="8" max="8" width="9" style="324" customWidth="1"/>
    <col min="9" max="9" width="11.88671875" style="324" hidden="1" customWidth="1"/>
    <col min="10" max="11" width="13.109375" style="324" hidden="1" customWidth="1"/>
    <col min="12" max="14" width="11" style="324" hidden="1" customWidth="1"/>
    <col min="15" max="15" width="8.5546875" style="324" customWidth="1"/>
    <col min="16" max="16" width="8.6640625" style="324" customWidth="1"/>
    <col min="17" max="16384" width="8.88671875" style="324"/>
  </cols>
  <sheetData>
    <row r="1" spans="1:16" ht="19.149999999999999" customHeight="1" x14ac:dyDescent="0.25">
      <c r="A1" s="340" t="s">
        <v>747</v>
      </c>
      <c r="B1" s="340"/>
      <c r="D1" s="327">
        <f>COUNTIF(D5:D19,"NO")</f>
        <v>0</v>
      </c>
      <c r="E1" s="341" t="s">
        <v>269</v>
      </c>
      <c r="F1" s="341"/>
      <c r="G1" s="341"/>
      <c r="H1" s="341"/>
      <c r="I1" s="341"/>
      <c r="J1" s="341"/>
    </row>
    <row r="2" spans="1:16" ht="13.15" customHeight="1" x14ac:dyDescent="0.2">
      <c r="B2" s="327">
        <f>COUNTIF(B5:B19,"Compliance Yes/No")+COUNTIF(B5:B19,"Specification")</f>
        <v>8</v>
      </c>
      <c r="C2" s="128"/>
      <c r="D2" s="327">
        <f>COUNTIF(D5:D19,"YES")</f>
        <v>0</v>
      </c>
      <c r="F2" s="261"/>
      <c r="G2" s="262"/>
      <c r="H2" s="261"/>
      <c r="I2" s="53" t="s">
        <v>82</v>
      </c>
      <c r="J2" s="44"/>
      <c r="K2" s="45">
        <f>SUM($K$7:$K$19)</f>
        <v>144.00000000899999</v>
      </c>
      <c r="L2" s="68">
        <f>K2/N2</f>
        <v>0.70588235296107271</v>
      </c>
      <c r="M2" s="45"/>
      <c r="N2" s="45">
        <f>SUM($N$7:$N$19)</f>
        <v>204.00000000699998</v>
      </c>
      <c r="O2" s="69">
        <f>SUM($O$7:$O$19)</f>
        <v>1.0000000000000002</v>
      </c>
      <c r="P2" s="92">
        <f>SUM($P$7:$P$19)</f>
        <v>0.12500000000000003</v>
      </c>
    </row>
    <row r="3" spans="1:16" ht="15.75" x14ac:dyDescent="0.2">
      <c r="A3" s="98" t="s">
        <v>776</v>
      </c>
      <c r="B3" s="99"/>
      <c r="C3" s="99"/>
      <c r="D3" s="66"/>
      <c r="E3" s="66"/>
      <c r="F3" s="66"/>
      <c r="G3" s="66"/>
      <c r="H3" s="66"/>
      <c r="I3" s="66"/>
      <c r="J3" s="66"/>
      <c r="K3" s="66"/>
      <c r="L3" s="66"/>
      <c r="M3" s="66"/>
      <c r="N3" s="66"/>
      <c r="O3" s="66"/>
      <c r="P3" s="66"/>
    </row>
    <row r="4" spans="1:16" s="50" customFormat="1" ht="17.25" customHeight="1" x14ac:dyDescent="0.2">
      <c r="A4" s="98" t="s">
        <v>281</v>
      </c>
      <c r="B4" s="100"/>
      <c r="C4" s="100"/>
      <c r="D4" s="98"/>
      <c r="E4" s="67">
        <f>Introduction!B10</f>
        <v>0</v>
      </c>
      <c r="F4" s="67"/>
      <c r="G4" s="67"/>
      <c r="H4" s="67"/>
      <c r="I4" s="67"/>
      <c r="J4" s="67"/>
      <c r="K4" s="67"/>
      <c r="L4" s="67"/>
      <c r="M4" s="67"/>
      <c r="N4" s="67"/>
      <c r="O4" s="71"/>
      <c r="P4" s="71"/>
    </row>
    <row r="5" spans="1:16" s="129" customFormat="1" ht="72" customHeight="1" thickBot="1" x14ac:dyDescent="0.25">
      <c r="A5" s="87"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48"/>
      <c r="C6" s="322" t="s">
        <v>146</v>
      </c>
      <c r="D6" s="322"/>
      <c r="E6" s="272"/>
      <c r="F6" s="74" t="s">
        <v>15</v>
      </c>
      <c r="G6" s="74">
        <f>VLOOKUP(F6,[2]Lists!$A$45:$B$50,2,FALSE)</f>
        <v>1.0000000000000001E-5</v>
      </c>
      <c r="H6" s="74" t="s">
        <v>15</v>
      </c>
      <c r="I6" s="75" t="s">
        <v>15</v>
      </c>
      <c r="J6" s="74">
        <f>VLOOKUP(I6,[2]Lists!$A$35:$B$40,2,FALSE)</f>
        <v>1E-4</v>
      </c>
      <c r="K6" s="76">
        <f t="shared" ref="K6:K7" si="0">J6*G6</f>
        <v>1.0000000000000001E-9</v>
      </c>
      <c r="L6" s="77" t="str">
        <f t="shared" ref="L6:L7" si="1">IF(ISERROR(K6/N6),"n/a",K6/N6)</f>
        <v>n/a</v>
      </c>
      <c r="M6" s="76">
        <f>IF(B6=[2]Lists!$A$14,[2]Lists!$E$35)+IF(B6=[2]Lists!$A$15,[2]Lists!$E$40)+IF(B6=[2]Lists!$A$16,[2]Lists!$E$40)</f>
        <v>0</v>
      </c>
      <c r="N6" s="76">
        <f t="shared" ref="N6" si="2">G6*M6</f>
        <v>0</v>
      </c>
      <c r="O6" s="78"/>
      <c r="P6" s="70"/>
    </row>
    <row r="7" spans="1:16" s="47" customFormat="1" ht="46.15" customHeight="1" x14ac:dyDescent="0.2">
      <c r="A7" s="222" t="s">
        <v>169</v>
      </c>
      <c r="B7" s="261" t="s">
        <v>7</v>
      </c>
      <c r="C7" s="112" t="s">
        <v>187</v>
      </c>
      <c r="D7" s="275">
        <f>ROUND(COUNTIF(D9:D19,"Yes")/(B2-1),2)</f>
        <v>0</v>
      </c>
      <c r="E7" s="271"/>
      <c r="F7" s="261" t="s">
        <v>44</v>
      </c>
      <c r="G7" s="262">
        <f>VLOOKUP(F7,Weightings!$A$46:$B$51,2,FALSE)</f>
        <v>10</v>
      </c>
      <c r="H7" s="274"/>
      <c r="I7" s="263" t="s">
        <v>836</v>
      </c>
      <c r="J7" s="264">
        <f>IF(D7&gt;=0.97,6,IF(D7&gt;=0.9,4,IF(D7&gt;=0.8,2,IF(D7&gt;=0.7,1,0))))</f>
        <v>0</v>
      </c>
      <c r="K7" s="321">
        <f t="shared" si="0"/>
        <v>0</v>
      </c>
      <c r="L7" s="265">
        <f t="shared" si="1"/>
        <v>0</v>
      </c>
      <c r="M7" s="321">
        <f>IF(B7=Weightings!$A$15,Weightings!$E$36)+IF(B7=Weightings!$A$16,Weightings!$E$41)+IF(B7=Weightings!$A$17,Weightings!$E$41)</f>
        <v>6</v>
      </c>
      <c r="N7" s="321">
        <f>G7*M7</f>
        <v>60</v>
      </c>
      <c r="O7" s="269">
        <f>IF((N7/$N$2)&gt;0,N7/$N$2,"n/a")</f>
        <v>0.29411764704873128</v>
      </c>
      <c r="P7" s="270">
        <f>IF(ISERROR(O7*0.125),"n/a",O7*0.125)</f>
        <v>3.676470588109141E-2</v>
      </c>
    </row>
    <row r="8" spans="1:16" s="55" customFormat="1" x14ac:dyDescent="0.2">
      <c r="A8" s="323" t="s">
        <v>802</v>
      </c>
      <c r="B8" s="48"/>
      <c r="C8" s="322" t="s">
        <v>280</v>
      </c>
      <c r="D8" s="322"/>
      <c r="E8" s="272" t="s">
        <v>63</v>
      </c>
      <c r="F8" s="272" t="s">
        <v>15</v>
      </c>
      <c r="G8" s="272">
        <f>VLOOKUP(F8,Weightings!$A$46:$B$51,2,FALSE)</f>
        <v>1.0000000000000001E-5</v>
      </c>
      <c r="H8" s="272" t="s">
        <v>15</v>
      </c>
      <c r="I8" s="88" t="s">
        <v>15</v>
      </c>
      <c r="J8" s="272">
        <f>VLOOKUP(I8,[2]Lists!$A$35:$B$40,2,FALSE)</f>
        <v>1E-4</v>
      </c>
      <c r="K8" s="76">
        <f t="shared" ref="K8:K18" si="3">J8*G8</f>
        <v>1.0000000000000001E-9</v>
      </c>
      <c r="L8" s="77" t="str">
        <f t="shared" ref="L8:L18" si="4">IF(ISERROR(K8/N8),"n/a",K8/N8)</f>
        <v>n/a</v>
      </c>
      <c r="M8" s="76">
        <f>IF(B8=Weightings!$A$15,Weightings!$E$36)+IF(B8=Weightings!$A$16,Weightings!$E$41)+IF(B8=Weightings!$A$17,Weightings!$E$41)</f>
        <v>0</v>
      </c>
      <c r="N8" s="76">
        <f t="shared" ref="N8:N18" si="5">G8*M8</f>
        <v>0</v>
      </c>
      <c r="O8" s="78" t="str">
        <f t="shared" ref="O8:O18" si="6">IF((N8/$N$2)&gt;0,N8/$N$2,"n/a")</f>
        <v>n/a</v>
      </c>
      <c r="P8" s="78" t="str">
        <f t="shared" ref="P8:P19" si="7">IF(ISERROR(O8*0.125),"n/a",O8*0.125)</f>
        <v>n/a</v>
      </c>
    </row>
    <row r="9" spans="1:16" s="97" customFormat="1" ht="165" customHeight="1" x14ac:dyDescent="0.2">
      <c r="A9" s="222" t="s">
        <v>803</v>
      </c>
      <c r="B9" s="261" t="s">
        <v>6</v>
      </c>
      <c r="C9" s="113" t="s">
        <v>750</v>
      </c>
      <c r="D9" s="363"/>
      <c r="E9" s="276" t="s">
        <v>63</v>
      </c>
      <c r="F9" s="261" t="s">
        <v>15</v>
      </c>
      <c r="G9" s="262">
        <f>VLOOKUP(F9,Weightings!$A$46:$B$51,2,FALSE)</f>
        <v>1.0000000000000001E-5</v>
      </c>
      <c r="H9" s="261" t="s">
        <v>15</v>
      </c>
      <c r="I9" s="263" t="s">
        <v>15</v>
      </c>
      <c r="J9" s="264">
        <v>1E-4</v>
      </c>
      <c r="K9" s="321">
        <f t="shared" si="3"/>
        <v>1.0000000000000001E-9</v>
      </c>
      <c r="L9" s="265">
        <f t="shared" si="4"/>
        <v>1</v>
      </c>
      <c r="M9" s="321">
        <f>IF(B9=Weightings!$A$15,Weightings!$E$36)+IF(B9=Weightings!$A$16,Weightings!$E$41)+IF(B9=Weightings!$A$17,Weightings!$E$41)</f>
        <v>1E-4</v>
      </c>
      <c r="N9" s="321">
        <f t="shared" si="5"/>
        <v>1.0000000000000001E-9</v>
      </c>
      <c r="O9" s="226">
        <f t="shared" si="6"/>
        <v>4.901960784145522E-12</v>
      </c>
      <c r="P9" s="227">
        <f t="shared" si="7"/>
        <v>6.1274509801819025E-13</v>
      </c>
    </row>
    <row r="10" spans="1:16" s="224" customFormat="1" ht="38.25" x14ac:dyDescent="0.2">
      <c r="A10" s="222" t="s">
        <v>813</v>
      </c>
      <c r="B10" s="222" t="s">
        <v>8</v>
      </c>
      <c r="C10" s="109" t="s">
        <v>279</v>
      </c>
      <c r="D10" s="273"/>
      <c r="E10" s="266"/>
      <c r="F10" s="261" t="s">
        <v>47</v>
      </c>
      <c r="G10" s="262">
        <f>VLOOKUP(F10,Weightings!$A$46:$B$51,2,FALSE)</f>
        <v>8</v>
      </c>
      <c r="H10" s="261" t="s">
        <v>23</v>
      </c>
      <c r="I10" s="263" t="s">
        <v>34</v>
      </c>
      <c r="J10" s="264">
        <f>VLOOKUP(I10,Weightings!$A$36:$B$41,2,FALSE)</f>
        <v>6</v>
      </c>
      <c r="K10" s="321">
        <f t="shared" si="3"/>
        <v>48</v>
      </c>
      <c r="L10" s="265">
        <f t="shared" si="4"/>
        <v>1</v>
      </c>
      <c r="M10" s="321">
        <f>IF(B10=Weightings!$A$15,Weightings!$E$36)+IF(B10=Weightings!$A$16,Weightings!$E$41)+IF(B10=Weightings!$A$17,Weightings!$E$41)</f>
        <v>6</v>
      </c>
      <c r="N10" s="321">
        <f t="shared" si="5"/>
        <v>48</v>
      </c>
      <c r="O10" s="267">
        <f t="shared" si="6"/>
        <v>0.23529411763898503</v>
      </c>
      <c r="P10" s="268">
        <f t="shared" si="7"/>
        <v>2.9411764704873129E-2</v>
      </c>
    </row>
    <row r="11" spans="1:16" s="224" customFormat="1" ht="25.5" x14ac:dyDescent="0.2">
      <c r="A11" s="222" t="s">
        <v>804</v>
      </c>
      <c r="B11" s="261" t="s">
        <v>6</v>
      </c>
      <c r="C11" s="117" t="s">
        <v>278</v>
      </c>
      <c r="D11" s="363"/>
      <c r="E11" s="276" t="s">
        <v>63</v>
      </c>
      <c r="F11" s="261" t="s">
        <v>15</v>
      </c>
      <c r="G11" s="262">
        <f>VLOOKUP(F11,Weightings!$A$46:$B$51,2,FALSE)</f>
        <v>1.0000000000000001E-5</v>
      </c>
      <c r="H11" s="261" t="s">
        <v>15</v>
      </c>
      <c r="I11" s="263" t="s">
        <v>15</v>
      </c>
      <c r="J11" s="264">
        <v>1E-4</v>
      </c>
      <c r="K11" s="321">
        <f t="shared" si="3"/>
        <v>1.0000000000000001E-9</v>
      </c>
      <c r="L11" s="265">
        <f t="shared" si="4"/>
        <v>1</v>
      </c>
      <c r="M11" s="321">
        <f>IF(B11=Weightings!$A$15,Weightings!$E$36)+IF(B11=Weightings!$A$16,Weightings!$E$41)+IF(B11=Weightings!$A$17,Weightings!$E$41)</f>
        <v>1E-4</v>
      </c>
      <c r="N11" s="321">
        <f t="shared" si="5"/>
        <v>1.0000000000000001E-9</v>
      </c>
      <c r="O11" s="226">
        <f t="shared" si="6"/>
        <v>4.901960784145522E-12</v>
      </c>
      <c r="P11" s="227">
        <f t="shared" si="7"/>
        <v>6.1274509801819025E-13</v>
      </c>
    </row>
    <row r="12" spans="1:16" s="224" customFormat="1" ht="57.6" customHeight="1" x14ac:dyDescent="0.2">
      <c r="A12" s="222" t="s">
        <v>805</v>
      </c>
      <c r="B12" s="261" t="s">
        <v>6</v>
      </c>
      <c r="C12" s="115" t="s">
        <v>277</v>
      </c>
      <c r="D12" s="363"/>
      <c r="E12" s="276" t="s">
        <v>63</v>
      </c>
      <c r="F12" s="261" t="s">
        <v>15</v>
      </c>
      <c r="G12" s="262">
        <f>VLOOKUP(F12,Weightings!$A$46:$B$51,2,FALSE)</f>
        <v>1.0000000000000001E-5</v>
      </c>
      <c r="H12" s="261" t="s">
        <v>15</v>
      </c>
      <c r="I12" s="263" t="s">
        <v>15</v>
      </c>
      <c r="J12" s="264">
        <v>1E-4</v>
      </c>
      <c r="K12" s="321">
        <f t="shared" si="3"/>
        <v>1.0000000000000001E-9</v>
      </c>
      <c r="L12" s="265">
        <f t="shared" si="4"/>
        <v>1</v>
      </c>
      <c r="M12" s="321">
        <f>IF(B12=Weightings!$A$15,Weightings!$E$36)+IF(B12=Weightings!$A$16,Weightings!$E$41)+IF(B12=Weightings!$A$17,Weightings!$E$41)</f>
        <v>1E-4</v>
      </c>
      <c r="N12" s="321">
        <f t="shared" si="5"/>
        <v>1.0000000000000001E-9</v>
      </c>
      <c r="O12" s="226">
        <f t="shared" si="6"/>
        <v>4.901960784145522E-12</v>
      </c>
      <c r="P12" s="227">
        <f t="shared" si="7"/>
        <v>6.1274509801819025E-13</v>
      </c>
    </row>
    <row r="13" spans="1:16" s="224" customFormat="1" ht="42" customHeight="1" x14ac:dyDescent="0.2">
      <c r="A13" s="222" t="s">
        <v>806</v>
      </c>
      <c r="B13" s="261" t="s">
        <v>6</v>
      </c>
      <c r="C13" s="115" t="s">
        <v>276</v>
      </c>
      <c r="D13" s="363"/>
      <c r="E13" s="276" t="s">
        <v>63</v>
      </c>
      <c r="F13" s="261" t="s">
        <v>15</v>
      </c>
      <c r="G13" s="262">
        <f>VLOOKUP(F13,Weightings!$A$46:$B$51,2,FALSE)</f>
        <v>1.0000000000000001E-5</v>
      </c>
      <c r="H13" s="261" t="s">
        <v>15</v>
      </c>
      <c r="I13" s="263" t="s">
        <v>15</v>
      </c>
      <c r="J13" s="264">
        <v>1E-4</v>
      </c>
      <c r="K13" s="321">
        <f t="shared" si="3"/>
        <v>1.0000000000000001E-9</v>
      </c>
      <c r="L13" s="265">
        <f t="shared" si="4"/>
        <v>1</v>
      </c>
      <c r="M13" s="321">
        <f>IF(B13=Weightings!$A$15,Weightings!$E$36)+IF(B13=Weightings!$A$16,Weightings!$E$41)+IF(B13=Weightings!$A$17,Weightings!$E$41)</f>
        <v>1E-4</v>
      </c>
      <c r="N13" s="321">
        <f t="shared" si="5"/>
        <v>1.0000000000000001E-9</v>
      </c>
      <c r="O13" s="226">
        <f t="shared" si="6"/>
        <v>4.901960784145522E-12</v>
      </c>
      <c r="P13" s="227">
        <f t="shared" si="7"/>
        <v>6.1274509801819025E-13</v>
      </c>
    </row>
    <row r="14" spans="1:16" s="224" customFormat="1" ht="45" customHeight="1" x14ac:dyDescent="0.2">
      <c r="A14" s="222" t="s">
        <v>807</v>
      </c>
      <c r="B14" s="261" t="s">
        <v>6</v>
      </c>
      <c r="C14" s="117" t="s">
        <v>275</v>
      </c>
      <c r="D14" s="363"/>
      <c r="E14" s="276" t="s">
        <v>63</v>
      </c>
      <c r="F14" s="261" t="s">
        <v>15</v>
      </c>
      <c r="G14" s="262">
        <f>VLOOKUP(F14,Weightings!$A$46:$B$51,2,FALSE)</f>
        <v>1.0000000000000001E-5</v>
      </c>
      <c r="H14" s="261" t="s">
        <v>15</v>
      </c>
      <c r="I14" s="263" t="s">
        <v>15</v>
      </c>
      <c r="J14" s="264">
        <v>1E-4</v>
      </c>
      <c r="K14" s="321">
        <f t="shared" si="3"/>
        <v>1.0000000000000001E-9</v>
      </c>
      <c r="L14" s="265">
        <f t="shared" si="4"/>
        <v>1</v>
      </c>
      <c r="M14" s="321">
        <f>IF(B14=Weightings!$A$15,Weightings!$E$36)+IF(B14=Weightings!$A$16,Weightings!$E$41)+IF(B14=Weightings!$A$17,Weightings!$E$41)</f>
        <v>1E-4</v>
      </c>
      <c r="N14" s="321">
        <f t="shared" si="5"/>
        <v>1.0000000000000001E-9</v>
      </c>
      <c r="O14" s="226">
        <f t="shared" si="6"/>
        <v>4.901960784145522E-12</v>
      </c>
      <c r="P14" s="227">
        <f t="shared" si="7"/>
        <v>6.1274509801819025E-13</v>
      </c>
    </row>
    <row r="15" spans="1:16" s="224" customFormat="1" ht="96.6" customHeight="1" x14ac:dyDescent="0.2">
      <c r="A15" s="222" t="s">
        <v>808</v>
      </c>
      <c r="B15" s="261" t="s">
        <v>6</v>
      </c>
      <c r="C15" s="117" t="s">
        <v>814</v>
      </c>
      <c r="D15" s="363"/>
      <c r="E15" s="276" t="s">
        <v>63</v>
      </c>
      <c r="F15" s="261" t="s">
        <v>15</v>
      </c>
      <c r="G15" s="262">
        <f>VLOOKUP(F15,Weightings!$A$46:$B$51,2,FALSE)</f>
        <v>1.0000000000000001E-5</v>
      </c>
      <c r="H15" s="261" t="s">
        <v>15</v>
      </c>
      <c r="I15" s="263" t="s">
        <v>15</v>
      </c>
      <c r="J15" s="264">
        <v>1E-4</v>
      </c>
      <c r="K15" s="321">
        <f t="shared" si="3"/>
        <v>1.0000000000000001E-9</v>
      </c>
      <c r="L15" s="265">
        <f t="shared" si="4"/>
        <v>1</v>
      </c>
      <c r="M15" s="321">
        <f>IF(B15=Weightings!$A$15,Weightings!$E$36)+IF(B15=Weightings!$A$16,Weightings!$E$41)+IF(B15=Weightings!$A$17,Weightings!$E$41)</f>
        <v>1E-4</v>
      </c>
      <c r="N15" s="321">
        <f t="shared" si="5"/>
        <v>1.0000000000000001E-9</v>
      </c>
      <c r="O15" s="226">
        <f t="shared" si="6"/>
        <v>4.901960784145522E-12</v>
      </c>
      <c r="P15" s="227">
        <f t="shared" si="7"/>
        <v>6.1274509801819025E-13</v>
      </c>
    </row>
    <row r="16" spans="1:16" s="224" customFormat="1" ht="30.6" customHeight="1" x14ac:dyDescent="0.2">
      <c r="A16" s="222" t="s">
        <v>809</v>
      </c>
      <c r="B16" s="222" t="s">
        <v>8</v>
      </c>
      <c r="C16" s="235" t="s">
        <v>274</v>
      </c>
      <c r="D16" s="273"/>
      <c r="E16" s="266"/>
      <c r="F16" s="261" t="s">
        <v>47</v>
      </c>
      <c r="G16" s="262">
        <f>VLOOKUP(F16,Weightings!$A$46:$B$51,2,FALSE)</f>
        <v>8</v>
      </c>
      <c r="H16" s="261" t="s">
        <v>20</v>
      </c>
      <c r="I16" s="263" t="s">
        <v>34</v>
      </c>
      <c r="J16" s="264">
        <f>VLOOKUP(I16,Weightings!$A$36:$B$41,2,FALSE)</f>
        <v>6</v>
      </c>
      <c r="K16" s="321">
        <f t="shared" ref="K16" si="8">J16*G16</f>
        <v>48</v>
      </c>
      <c r="L16" s="265">
        <f t="shared" ref="L16" si="9">IF(ISERROR(K16/N16),"n/a",K16/N16)</f>
        <v>1</v>
      </c>
      <c r="M16" s="321">
        <f>IF(B16=Weightings!$A$15,Weightings!$E$36)+IF(B16=Weightings!$A$16,Weightings!$E$41)+IF(B16=Weightings!$A$17,Weightings!$E$41)</f>
        <v>6</v>
      </c>
      <c r="N16" s="321">
        <f t="shared" ref="N16" si="10">G16*M16</f>
        <v>48</v>
      </c>
      <c r="O16" s="267">
        <f t="shared" ref="O16" si="11">IF((N16/$N$2)&gt;0,N16/$N$2,"n/a")</f>
        <v>0.23529411763898503</v>
      </c>
      <c r="P16" s="268">
        <f t="shared" si="7"/>
        <v>2.9411764704873129E-2</v>
      </c>
    </row>
    <row r="17" spans="1:16" s="55" customFormat="1" ht="25.5" x14ac:dyDescent="0.2">
      <c r="A17" s="323" t="s">
        <v>810</v>
      </c>
      <c r="B17" s="48"/>
      <c r="C17" s="322" t="s">
        <v>273</v>
      </c>
      <c r="D17" s="322"/>
      <c r="E17" s="272" t="s">
        <v>63</v>
      </c>
      <c r="F17" s="272" t="s">
        <v>15</v>
      </c>
      <c r="G17" s="272">
        <f>VLOOKUP(F17,Weightings!$A$46:$B$51,2,FALSE)</f>
        <v>1.0000000000000001E-5</v>
      </c>
      <c r="H17" s="272" t="s">
        <v>15</v>
      </c>
      <c r="I17" s="88" t="s">
        <v>15</v>
      </c>
      <c r="J17" s="272">
        <f>VLOOKUP(I17,Weightings!$A$36:$B$41,2,FALSE)</f>
        <v>1E-4</v>
      </c>
      <c r="K17" s="76">
        <f t="shared" si="3"/>
        <v>1.0000000000000001E-9</v>
      </c>
      <c r="L17" s="77" t="str">
        <f t="shared" si="4"/>
        <v>n/a</v>
      </c>
      <c r="M17" s="76">
        <f>IF(B17=Weightings!$A$15,Weightings!$E$36)+IF(B17=Weightings!$A$16,Weightings!$E$41)+IF(B17=Weightings!$A$17,Weightings!$E$41)</f>
        <v>0</v>
      </c>
      <c r="N17" s="76">
        <f t="shared" si="5"/>
        <v>0</v>
      </c>
      <c r="O17" s="78" t="str">
        <f t="shared" si="6"/>
        <v>n/a</v>
      </c>
      <c r="P17" s="78" t="str">
        <f t="shared" si="7"/>
        <v>n/a</v>
      </c>
    </row>
    <row r="18" spans="1:16" s="224" customFormat="1" ht="69.599999999999994" customHeight="1" x14ac:dyDescent="0.2">
      <c r="A18" s="222" t="s">
        <v>811</v>
      </c>
      <c r="B18" s="261" t="s">
        <v>6</v>
      </c>
      <c r="C18" s="112" t="s">
        <v>531</v>
      </c>
      <c r="D18" s="363"/>
      <c r="E18" s="276" t="s">
        <v>63</v>
      </c>
      <c r="F18" s="261" t="s">
        <v>15</v>
      </c>
      <c r="G18" s="262">
        <f>VLOOKUP(F18,Weightings!$A$46:$B$51,2,FALSE)</f>
        <v>1.0000000000000001E-5</v>
      </c>
      <c r="H18" s="261" t="s">
        <v>15</v>
      </c>
      <c r="I18" s="263" t="s">
        <v>15</v>
      </c>
      <c r="J18" s="264">
        <v>1E-4</v>
      </c>
      <c r="K18" s="321">
        <f t="shared" si="3"/>
        <v>1.0000000000000001E-9</v>
      </c>
      <c r="L18" s="265">
        <f t="shared" si="4"/>
        <v>1</v>
      </c>
      <c r="M18" s="321">
        <f>IF(B18=Weightings!$A$15,Weightings!$E$36)+IF(B18=Weightings!$A$16,Weightings!$E$41)+IF(B18=Weightings!$A$17,Weightings!$E$41)</f>
        <v>1E-4</v>
      </c>
      <c r="N18" s="321">
        <f t="shared" si="5"/>
        <v>1.0000000000000001E-9</v>
      </c>
      <c r="O18" s="226">
        <f t="shared" si="6"/>
        <v>4.901960784145522E-12</v>
      </c>
      <c r="P18" s="227">
        <f t="shared" si="7"/>
        <v>6.1274509801819025E-13</v>
      </c>
    </row>
    <row r="19" spans="1:16" s="233" customFormat="1" ht="30.6" customHeight="1" x14ac:dyDescent="0.2">
      <c r="A19" s="222" t="s">
        <v>812</v>
      </c>
      <c r="B19" s="54" t="s">
        <v>8</v>
      </c>
      <c r="C19" s="234" t="s">
        <v>272</v>
      </c>
      <c r="D19" s="273"/>
      <c r="E19" s="266"/>
      <c r="F19" s="261" t="s">
        <v>47</v>
      </c>
      <c r="G19" s="262">
        <f>VLOOKUP(F19,Weightings!$A$46:$B$51,2,FALSE)</f>
        <v>8</v>
      </c>
      <c r="H19" s="261" t="s">
        <v>20</v>
      </c>
      <c r="I19" s="263" t="s">
        <v>34</v>
      </c>
      <c r="J19" s="264">
        <f>VLOOKUP(I19,Weightings!$A$36:$B$41,2,FALSE)</f>
        <v>6</v>
      </c>
      <c r="K19" s="321">
        <f t="shared" ref="K19" si="12">J19*G19</f>
        <v>48</v>
      </c>
      <c r="L19" s="265">
        <f t="shared" ref="L19" si="13">IF(ISERROR(K19/N19),"n/a",K19/N19)</f>
        <v>1</v>
      </c>
      <c r="M19" s="321">
        <f>IF(B19=Weightings!$A$15,Weightings!$E$36)+IF(B19=Weightings!$A$16,Weightings!$E$41)+IF(B19=Weightings!$A$17,Weightings!$E$41)</f>
        <v>6</v>
      </c>
      <c r="N19" s="321">
        <f t="shared" ref="N19" si="14">G19*M19</f>
        <v>48</v>
      </c>
      <c r="O19" s="267">
        <f t="shared" ref="O19" si="15">IF((N19/$N$2)&gt;0,N19/$N$2,"n/a")</f>
        <v>0.23529411763898503</v>
      </c>
      <c r="P19" s="268">
        <f t="shared" si="7"/>
        <v>2.9411764704873129E-2</v>
      </c>
    </row>
    <row r="20" spans="1:16" s="97" customFormat="1" x14ac:dyDescent="0.2">
      <c r="A20" s="232"/>
      <c r="B20" s="96"/>
      <c r="C20" s="96"/>
      <c r="D20" s="51"/>
      <c r="E20" s="231"/>
      <c r="F20" s="231"/>
      <c r="G20" s="231"/>
      <c r="H20" s="231"/>
      <c r="I20" s="231"/>
      <c r="J20" s="231"/>
      <c r="K20" s="231"/>
      <c r="L20" s="231"/>
      <c r="M20" s="231"/>
      <c r="N20" s="231"/>
    </row>
    <row r="21" spans="1:16" s="97" customFormat="1" x14ac:dyDescent="0.2">
      <c r="A21" s="96"/>
      <c r="D21" s="56"/>
      <c r="E21" s="231"/>
      <c r="F21" s="231"/>
      <c r="G21" s="231"/>
      <c r="H21" s="231"/>
      <c r="I21" s="231"/>
      <c r="J21" s="231"/>
      <c r="K21" s="231"/>
      <c r="L21" s="231"/>
      <c r="M21" s="231"/>
      <c r="N21" s="231"/>
    </row>
    <row r="22" spans="1:16" s="97" customFormat="1" x14ac:dyDescent="0.2">
      <c r="A22" s="96"/>
      <c r="D22" s="56"/>
      <c r="E22" s="231"/>
      <c r="F22" s="231"/>
      <c r="G22" s="231"/>
      <c r="H22" s="231"/>
      <c r="I22" s="231"/>
      <c r="J22" s="231"/>
      <c r="K22" s="231"/>
      <c r="L22" s="231"/>
      <c r="M22" s="231"/>
      <c r="N22" s="231"/>
    </row>
    <row r="23" spans="1:16" s="97" customFormat="1" x14ac:dyDescent="0.2">
      <c r="A23" s="96"/>
      <c r="D23" s="56"/>
      <c r="E23" s="231"/>
      <c r="F23" s="231"/>
      <c r="G23" s="231"/>
      <c r="H23" s="231"/>
      <c r="I23" s="231"/>
      <c r="J23" s="231"/>
      <c r="K23" s="231"/>
      <c r="L23" s="231"/>
      <c r="M23" s="231"/>
      <c r="N23" s="231"/>
    </row>
  </sheetData>
  <sheetProtection password="ED47" sheet="1" objects="1" scenarios="1" formatCells="0" formatColumns="0" formatRows="0" autoFilter="0"/>
  <autoFilter ref="A5:N19"/>
  <mergeCells count="2">
    <mergeCell ref="A1:B1"/>
    <mergeCell ref="E1:J1"/>
  </mergeCells>
  <dataValidations count="6">
    <dataValidation allowBlank="1" showDropDown="1" showInputMessage="1" showErrorMessage="1" sqref="I7"/>
    <dataValidation type="list" allowBlank="1" showInputMessage="1" showErrorMessage="1" sqref="D2 B1 B2:C1048576">
      <formula1>Spec_Compl_Adj</formula1>
    </dataValidation>
    <dataValidation type="list" allowBlank="1" showInputMessage="1" showErrorMessage="1" sqref="H16:H17 H10 H6:H8 H19">
      <formula1>Adj_Evidence</formula1>
    </dataValidation>
    <dataValidation type="list" allowBlank="1" showInputMessage="1" showErrorMessage="1" sqref="F16:F17 F10 F6:F8 F19">
      <formula1>Adj_Weight</formula1>
    </dataValidation>
    <dataValidation type="list" allowBlank="1" showInputMessage="1" showErrorMessage="1" sqref="I16:I17 I10 I8 I6 I19">
      <formula1>Adj_Service</formula1>
    </dataValidation>
    <dataValidation type="list" allowBlank="1" showInputMessage="1" showErrorMessage="1" sqref="D9 D11:D15 D18">
      <formula1>"Yes,No"</formula1>
    </dataValidation>
  </dataValidations>
  <printOptions headings="1"/>
  <pageMargins left="0.70866141732283472" right="0.70866141732283472" top="0.74803149606299213" bottom="0.74803149606299213" header="0.31496062992125984" footer="0.31496062992125984"/>
  <pageSetup paperSize="9" scale="92" fitToHeight="0" orientation="landscape" r:id="rId1"/>
  <headerFooter>
    <oddHeader>&amp;A&amp;RPage &amp;P</oddHeader>
    <oddFooter>&amp;F</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[2]Lists!#REF!</xm:f>
          </x14:formula1>
          <xm:sqref>D10 D16 D19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40</vt:i4>
      </vt:variant>
    </vt:vector>
  </HeadingPairs>
  <TitlesOfParts>
    <vt:vector size="51" baseType="lpstr">
      <vt:lpstr>Instructions</vt:lpstr>
      <vt:lpstr>Introduction</vt:lpstr>
      <vt:lpstr>Weightings</vt:lpstr>
      <vt:lpstr>5a_General</vt:lpstr>
      <vt:lpstr>5b_Prescribing&amp;Dispensing</vt:lpstr>
      <vt:lpstr>5c_Delivery</vt:lpstr>
      <vt:lpstr>5d_Training</vt:lpstr>
      <vt:lpstr>5e_Equipment</vt:lpstr>
      <vt:lpstr>5f_HomeAccess</vt:lpstr>
      <vt:lpstr>5g_Governance</vt:lpstr>
      <vt:lpstr>5h_Finance</vt:lpstr>
      <vt:lpstr>'5a_General'!Adj_Evidence</vt:lpstr>
      <vt:lpstr>'5b_Prescribing&amp;Dispensing'!Adj_Evidence</vt:lpstr>
      <vt:lpstr>'5c_Delivery'!Adj_Evidence</vt:lpstr>
      <vt:lpstr>'5d_Training'!Adj_Evidence</vt:lpstr>
      <vt:lpstr>'5e_Equipment'!Adj_Evidence</vt:lpstr>
      <vt:lpstr>'5f_HomeAccess'!Adj_Evidence</vt:lpstr>
      <vt:lpstr>'5g_Governance'!Adj_Evidence</vt:lpstr>
      <vt:lpstr>'5h_Finance'!Adj_Evidence</vt:lpstr>
      <vt:lpstr>Adj_Evidence</vt:lpstr>
      <vt:lpstr>'5a_General'!Adj_Service</vt:lpstr>
      <vt:lpstr>'5b_Prescribing&amp;Dispensing'!Adj_Service</vt:lpstr>
      <vt:lpstr>'5c_Delivery'!Adj_Service</vt:lpstr>
      <vt:lpstr>'5d_Training'!Adj_Service</vt:lpstr>
      <vt:lpstr>'5e_Equipment'!Adj_service</vt:lpstr>
      <vt:lpstr>'5f_HomeAccess'!Adj_Service</vt:lpstr>
      <vt:lpstr>'5g_Governance'!Adj_Service</vt:lpstr>
      <vt:lpstr>'5h_Finance'!Adj_Service</vt:lpstr>
      <vt:lpstr>Adj_Service</vt:lpstr>
      <vt:lpstr>'5a_General'!Adj_Weight</vt:lpstr>
      <vt:lpstr>'5b_Prescribing&amp;Dispensing'!Adj_Weight</vt:lpstr>
      <vt:lpstr>'5c_Delivery'!Adj_Weight</vt:lpstr>
      <vt:lpstr>'5d_Training'!Adj_Weight</vt:lpstr>
      <vt:lpstr>'5e_Equipment'!Adj_Weight</vt:lpstr>
      <vt:lpstr>'5f_HomeAccess'!Adj_Weight</vt:lpstr>
      <vt:lpstr>'5g_Governance'!Adj_Weight</vt:lpstr>
      <vt:lpstr>'5h_Finance'!Adj_Weight</vt:lpstr>
      <vt:lpstr>Adj_Weight</vt:lpstr>
      <vt:lpstr>'5a_General'!Print_Area</vt:lpstr>
      <vt:lpstr>'5b_Prescribing&amp;Dispensing'!Print_Area</vt:lpstr>
      <vt:lpstr>'5c_Delivery'!Print_Area</vt:lpstr>
      <vt:lpstr>'5d_Training'!Print_Area</vt:lpstr>
      <vt:lpstr>'5e_Equipment'!Print_Area</vt:lpstr>
      <vt:lpstr>'5f_HomeAccess'!Print_Area</vt:lpstr>
      <vt:lpstr>'5g_Governance'!Print_Area</vt:lpstr>
      <vt:lpstr>'5h_Finance'!Print_Area</vt:lpstr>
      <vt:lpstr>Instructions!Print_Area</vt:lpstr>
      <vt:lpstr>Introduction!Print_Area</vt:lpstr>
      <vt:lpstr>Weightings!Print_Area</vt:lpstr>
      <vt:lpstr>Introduction!Print_Titles</vt:lpstr>
      <vt:lpstr>Spec_Compl_Adj</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Radosevic, Dubravka</dc:creator>
  <cp:lastModifiedBy>Adebeso, Azeezat</cp:lastModifiedBy>
  <cp:lastPrinted>2018-02-07T11:35:33Z</cp:lastPrinted>
  <dcterms:created xsi:type="dcterms:W3CDTF">2015-04-22T12:08:40Z</dcterms:created>
  <dcterms:modified xsi:type="dcterms:W3CDTF">2018-02-13T17:09:29Z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A2404940</vt:lpwstr>
  </property>
  <property fmtid="{D5CDD505-2E9C-101B-9397-08002B2CF9AE}" pid="4" name="Objective-Title">
    <vt:lpwstr>DRAFT Document No. 05 - BChd Specification 5480</vt:lpwstr>
  </property>
  <property fmtid="{D5CDD505-2E9C-101B-9397-08002B2CF9AE}" pid="5" name="Objective-Comment">
    <vt:lpwstr>
    </vt:lpwstr>
  </property>
  <property fmtid="{D5CDD505-2E9C-101B-9397-08002B2CF9AE}" pid="6" name="Objective-CreationStamp">
    <vt:filetime>2017-11-07T15:49:09Z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2018-02-13T16:29:29Z</vt:filetime>
  </property>
  <property fmtid="{D5CDD505-2E9C-101B-9397-08002B2CF9AE}" pid="11" name="Objective-Owner">
    <vt:lpwstr>Radosevic, Dubra</vt:lpwstr>
  </property>
  <property fmtid="{D5CDD505-2E9C-101B-9397-08002B2CF9AE}" pid="12" name="Objective-Path">
    <vt:lpwstr>Global Folder:04 Homecare and Services Projects and Contracts:Live Projects:Homecare - Contracts 2017:CM/MSR/15/5480 - Home Delivery Service - Blood Clotting Factors:zz_Data:5480 Specification:</vt:lpwstr>
  </property>
  <property fmtid="{D5CDD505-2E9C-101B-9397-08002B2CF9AE}" pid="13" name="Objective-Parent">
    <vt:lpwstr>5480 Specification</vt:lpwstr>
  </property>
  <property fmtid="{D5CDD505-2E9C-101B-9397-08002B2CF9AE}" pid="14" name="Objective-State">
    <vt:lpwstr>Being Edited</vt:lpwstr>
  </property>
  <property fmtid="{D5CDD505-2E9C-101B-9397-08002B2CF9AE}" pid="15" name="Objective-Version">
    <vt:lpwstr>56.1</vt:lpwstr>
  </property>
  <property fmtid="{D5CDD505-2E9C-101B-9397-08002B2CF9AE}" pid="16" name="Objective-VersionNumber">
    <vt:i4>57</vt:i4>
  </property>
  <property fmtid="{D5CDD505-2E9C-101B-9397-08002B2CF9AE}" pid="17" name="Objective-VersionComment">
    <vt:lpwstr>
    </vt:lpwstr>
  </property>
  <property fmtid="{D5CDD505-2E9C-101B-9397-08002B2CF9AE}" pid="18" name="Objective-FileNumber">
    <vt:lpwstr>qA18347</vt:lpwstr>
  </property>
  <property fmtid="{D5CDD505-2E9C-101B-9397-08002B2CF9AE}" pid="19" name="Objective-Classification">
    <vt:lpwstr>[Inherited - none]</vt:lpwstr>
  </property>
  <property fmtid="{D5CDD505-2E9C-101B-9397-08002B2CF9AE}" pid="20" name="Objective-Caveats">
    <vt:lpwstr>
    </vt:lpwstr>
  </property>
</Properties>
</file>