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55" windowWidth="18840" windowHeight="7560"/>
  </bookViews>
  <sheets>
    <sheet name="Shipment INC_2015_03" sheetId="1" r:id="rId1"/>
    <sheet name="Sheet1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N26" i="1" l="1"/>
  <c r="Z141" i="1" l="1"/>
  <c r="Z140" i="1"/>
  <c r="Z139" i="1"/>
  <c r="Z138" i="1"/>
  <c r="U13" i="1" l="1"/>
  <c r="AG12" i="1"/>
  <c r="AG13" i="1" s="1"/>
  <c r="AF12" i="1"/>
  <c r="AF13" i="1" s="1"/>
  <c r="AE12" i="1"/>
  <c r="AE13" i="1" s="1"/>
  <c r="AD12" i="1"/>
  <c r="AD13" i="1" s="1"/>
  <c r="AC12" i="1"/>
  <c r="AC13" i="1" s="1"/>
  <c r="AB12" i="1"/>
  <c r="AB13" i="1" s="1"/>
  <c r="Y12" i="1"/>
  <c r="Y13" i="1" s="1"/>
  <c r="W12" i="1"/>
  <c r="W13" i="1" s="1"/>
  <c r="V12" i="1"/>
  <c r="V13" i="1" s="1"/>
  <c r="U12" i="1"/>
  <c r="T12" i="1"/>
  <c r="R12" i="1"/>
  <c r="R13" i="1" s="1"/>
  <c r="P12" i="1"/>
  <c r="P13" i="1" s="1"/>
  <c r="AG9" i="1"/>
  <c r="AG10" i="1" s="1"/>
  <c r="AF9" i="1"/>
  <c r="AF10" i="1" s="1"/>
  <c r="AE9" i="1"/>
  <c r="AE10" i="1" s="1"/>
  <c r="AD9" i="1"/>
  <c r="AD10" i="1" s="1"/>
  <c r="AC9" i="1"/>
  <c r="AC10" i="1" s="1"/>
  <c r="AB9" i="1"/>
  <c r="AB10" i="1" s="1"/>
  <c r="W9" i="1"/>
  <c r="W10" i="1" s="1"/>
  <c r="V9" i="1"/>
  <c r="V10" i="1" s="1"/>
  <c r="U9" i="1"/>
  <c r="U10" i="1" s="1"/>
  <c r="T9" i="1"/>
  <c r="R9" i="1"/>
  <c r="R10" i="1" s="1"/>
  <c r="AG6" i="1"/>
  <c r="AG7" i="1" s="1"/>
  <c r="AF6" i="1"/>
  <c r="AF7" i="1" s="1"/>
  <c r="AE6" i="1"/>
  <c r="AE7" i="1" s="1"/>
  <c r="AD6" i="1"/>
  <c r="AD7" i="1" s="1"/>
  <c r="AC6" i="1"/>
  <c r="AC7" i="1" s="1"/>
  <c r="AB6" i="1"/>
  <c r="AB7" i="1" s="1"/>
  <c r="Y6" i="1"/>
  <c r="Y7" i="1" s="1"/>
  <c r="W6" i="1"/>
  <c r="W7" i="1" s="1"/>
  <c r="V6" i="1"/>
  <c r="V7" i="1" s="1"/>
  <c r="U6" i="1"/>
  <c r="U7" i="1" s="1"/>
  <c r="T6" i="1"/>
  <c r="R6" i="1"/>
  <c r="R7" i="1" s="1"/>
  <c r="AG33" i="1"/>
  <c r="AG34" i="1" s="1"/>
  <c r="AF33" i="1"/>
  <c r="AF34" i="1" s="1"/>
  <c r="AE33" i="1"/>
  <c r="AE34" i="1" s="1"/>
  <c r="AD33" i="1"/>
  <c r="AD34" i="1" s="1"/>
  <c r="AC33" i="1"/>
  <c r="AC34" i="1" s="1"/>
  <c r="AB33" i="1"/>
  <c r="AB34" i="1" s="1"/>
  <c r="Y33" i="1"/>
  <c r="Y34" i="1" s="1"/>
  <c r="X33" i="1"/>
  <c r="X34" i="1" s="1"/>
  <c r="W33" i="1"/>
  <c r="W34" i="1" s="1"/>
  <c r="V33" i="1"/>
  <c r="V34" i="1" s="1"/>
  <c r="U33" i="1"/>
  <c r="U34" i="1" s="1"/>
  <c r="T33" i="1"/>
  <c r="R33" i="1"/>
  <c r="R34" i="1" s="1"/>
  <c r="AG30" i="1"/>
  <c r="AG31" i="1" s="1"/>
  <c r="AF30" i="1"/>
  <c r="AF31" i="1" s="1"/>
  <c r="AE30" i="1"/>
  <c r="AE31" i="1" s="1"/>
  <c r="AD30" i="1"/>
  <c r="AD31" i="1" s="1"/>
  <c r="AC30" i="1"/>
  <c r="AC31" i="1" s="1"/>
  <c r="AB30" i="1"/>
  <c r="AB31" i="1" s="1"/>
  <c r="Y30" i="1"/>
  <c r="Y31" i="1" s="1"/>
  <c r="W30" i="1"/>
  <c r="W31" i="1" s="1"/>
  <c r="V30" i="1"/>
  <c r="V31" i="1" s="1"/>
  <c r="U30" i="1"/>
  <c r="U31" i="1" s="1"/>
  <c r="T30" i="1"/>
  <c r="R30" i="1"/>
  <c r="R31" i="1" s="1"/>
  <c r="P30" i="1"/>
  <c r="P31" i="1" s="1"/>
  <c r="AG27" i="1"/>
  <c r="AG28" i="1" s="1"/>
  <c r="AF27" i="1"/>
  <c r="AF28" i="1" s="1"/>
  <c r="AE27" i="1"/>
  <c r="AE28" i="1" s="1"/>
  <c r="AD27" i="1"/>
  <c r="AD28" i="1" s="1"/>
  <c r="AB27" i="1"/>
  <c r="AB28" i="1" s="1"/>
  <c r="W27" i="1"/>
  <c r="W28" i="1" s="1"/>
  <c r="V27" i="1"/>
  <c r="V28" i="1" s="1"/>
  <c r="U27" i="1"/>
  <c r="U28" i="1" s="1"/>
  <c r="T27" i="1"/>
  <c r="R27" i="1"/>
  <c r="R28" i="1" s="1"/>
  <c r="AB25" i="1"/>
  <c r="AG24" i="1"/>
  <c r="AG25" i="1" s="1"/>
  <c r="AF24" i="1"/>
  <c r="AF25" i="1" s="1"/>
  <c r="AE24" i="1"/>
  <c r="AE25" i="1" s="1"/>
  <c r="AD24" i="1"/>
  <c r="AD25" i="1" s="1"/>
  <c r="AC24" i="1"/>
  <c r="AC25" i="1" s="1"/>
  <c r="AB24" i="1"/>
  <c r="Y24" i="1"/>
  <c r="Y25" i="1" s="1"/>
  <c r="X24" i="1"/>
  <c r="X25" i="1" s="1"/>
  <c r="W24" i="1"/>
  <c r="W25" i="1" s="1"/>
  <c r="V24" i="1"/>
  <c r="V25" i="1" s="1"/>
  <c r="U24" i="1"/>
  <c r="U25" i="1" s="1"/>
  <c r="T24" i="1"/>
  <c r="R24" i="1"/>
  <c r="R25" i="1" s="1"/>
  <c r="AG22" i="1"/>
  <c r="AG21" i="1"/>
  <c r="AF21" i="1"/>
  <c r="AF22" i="1" s="1"/>
  <c r="AE21" i="1"/>
  <c r="AE22" i="1" s="1"/>
  <c r="AD21" i="1"/>
  <c r="AD22" i="1" s="1"/>
  <c r="AC21" i="1"/>
  <c r="AC22" i="1" s="1"/>
  <c r="AB21" i="1"/>
  <c r="AB22" i="1" s="1"/>
  <c r="Y21" i="1"/>
  <c r="Y22" i="1" s="1"/>
  <c r="W21" i="1"/>
  <c r="W22" i="1" s="1"/>
  <c r="V21" i="1"/>
  <c r="V22" i="1" s="1"/>
  <c r="U21" i="1"/>
  <c r="U22" i="1" s="1"/>
  <c r="T21" i="1"/>
  <c r="R21" i="1"/>
  <c r="R22" i="1" s="1"/>
  <c r="AG18" i="1"/>
  <c r="AG19" i="1" s="1"/>
  <c r="AF18" i="1"/>
  <c r="AF19" i="1" s="1"/>
  <c r="AE18" i="1"/>
  <c r="AE19" i="1" s="1"/>
  <c r="AD18" i="1"/>
  <c r="AD19" i="1" s="1"/>
  <c r="AC18" i="1"/>
  <c r="AC19" i="1" s="1"/>
  <c r="AB18" i="1"/>
  <c r="AB19" i="1" s="1"/>
  <c r="Y18" i="1"/>
  <c r="Y19" i="1" s="1"/>
  <c r="W18" i="1"/>
  <c r="W19" i="1" s="1"/>
  <c r="V18" i="1"/>
  <c r="V19" i="1" s="1"/>
  <c r="U18" i="1"/>
  <c r="U19" i="1" s="1"/>
  <c r="T18" i="1"/>
  <c r="R18" i="1"/>
  <c r="R19" i="1" s="1"/>
  <c r="P18" i="1"/>
  <c r="P19" i="1" s="1"/>
  <c r="AG15" i="1"/>
  <c r="AG16" i="1" s="1"/>
  <c r="AF15" i="1"/>
  <c r="AF16" i="1" s="1"/>
  <c r="AE15" i="1"/>
  <c r="AE16" i="1" s="1"/>
  <c r="AD15" i="1"/>
  <c r="AD16" i="1" s="1"/>
  <c r="AB15" i="1"/>
  <c r="AB16" i="1" s="1"/>
  <c r="W15" i="1"/>
  <c r="W16" i="1" s="1"/>
  <c r="V15" i="1"/>
  <c r="V16" i="1" s="1"/>
  <c r="U15" i="1"/>
  <c r="U16" i="1" s="1"/>
  <c r="T15" i="1"/>
  <c r="R15" i="1"/>
  <c r="R16" i="1" s="1"/>
  <c r="X5" i="1"/>
  <c r="X6" i="1" s="1"/>
  <c r="X7" i="1" s="1"/>
  <c r="S5" i="1"/>
  <c r="S6" i="1" s="1"/>
  <c r="S7" i="1" s="1"/>
  <c r="P5" i="1"/>
  <c r="P6" i="1" s="1"/>
  <c r="P7" i="1" s="1"/>
  <c r="Q5" i="1"/>
  <c r="Q6" i="1" s="1"/>
  <c r="Q7" i="1" s="1"/>
  <c r="AA5" i="1"/>
  <c r="AA6" i="1" s="1"/>
  <c r="AA7" i="1" s="1"/>
  <c r="Z5" i="1"/>
  <c r="Z6" i="1" s="1"/>
  <c r="Z7" i="1" s="1"/>
  <c r="N5" i="1"/>
  <c r="N6" i="1" s="1"/>
  <c r="N7" i="1" s="1"/>
  <c r="AA8" i="1"/>
  <c r="AA9" i="1" s="1"/>
  <c r="AA10" i="1" s="1"/>
  <c r="Z8" i="1"/>
  <c r="Z9" i="1" s="1"/>
  <c r="Z10" i="1" s="1"/>
  <c r="Y8" i="1"/>
  <c r="Y9" i="1" s="1"/>
  <c r="Y10" i="1" s="1"/>
  <c r="X8" i="1"/>
  <c r="X9" i="1" s="1"/>
  <c r="X10" i="1" s="1"/>
  <c r="S8" i="1"/>
  <c r="S9" i="1" s="1"/>
  <c r="S10" i="1" s="1"/>
  <c r="P8" i="1"/>
  <c r="P9" i="1" s="1"/>
  <c r="P10" i="1" s="1"/>
  <c r="N8" i="1"/>
  <c r="N9" i="1" s="1"/>
  <c r="N10" i="1" s="1"/>
  <c r="X11" i="1"/>
  <c r="X12" i="1" s="1"/>
  <c r="X13" i="1" s="1"/>
  <c r="S11" i="1"/>
  <c r="S12" i="1" s="1"/>
  <c r="S13" i="1" s="1"/>
  <c r="AA11" i="1"/>
  <c r="AA12" i="1" s="1"/>
  <c r="AA13" i="1" s="1"/>
  <c r="Z11" i="1"/>
  <c r="Z12" i="1" s="1"/>
  <c r="Z13" i="1" s="1"/>
  <c r="N11" i="1"/>
  <c r="N12" i="1" s="1"/>
  <c r="N13" i="1" s="1"/>
  <c r="AC14" i="1"/>
  <c r="AC15" i="1" s="1"/>
  <c r="AC16" i="1" s="1"/>
  <c r="AA14" i="1"/>
  <c r="AA15" i="1" s="1"/>
  <c r="AA16" i="1" s="1"/>
  <c r="Z14" i="1"/>
  <c r="Z15" i="1" s="1"/>
  <c r="Z16" i="1" s="1"/>
  <c r="Y14" i="1"/>
  <c r="Y15" i="1" s="1"/>
  <c r="Y16" i="1" s="1"/>
  <c r="X14" i="1"/>
  <c r="X15" i="1" s="1"/>
  <c r="X16" i="1" s="1"/>
  <c r="S14" i="1"/>
  <c r="S15" i="1" s="1"/>
  <c r="S16" i="1" s="1"/>
  <c r="P14" i="1"/>
  <c r="P15" i="1" s="1"/>
  <c r="P16" i="1" s="1"/>
  <c r="N14" i="1"/>
  <c r="N15" i="1" s="1"/>
  <c r="N16" i="1" s="1"/>
  <c r="AA17" i="1"/>
  <c r="AA18" i="1" s="1"/>
  <c r="AA19" i="1" s="1"/>
  <c r="Z17" i="1"/>
  <c r="Z18" i="1" s="1"/>
  <c r="Z19" i="1" s="1"/>
  <c r="X17" i="1"/>
  <c r="X18" i="1" s="1"/>
  <c r="X19" i="1" s="1"/>
  <c r="S17" i="1"/>
  <c r="S18" i="1" s="1"/>
  <c r="S19" i="1" s="1"/>
  <c r="N17" i="1"/>
  <c r="N18" i="1" s="1"/>
  <c r="N19" i="1" s="1"/>
  <c r="AA20" i="1"/>
  <c r="AA21" i="1" s="1"/>
  <c r="AA22" i="1" s="1"/>
  <c r="Z20" i="1"/>
  <c r="Z21" i="1" s="1"/>
  <c r="Z22" i="1" s="1"/>
  <c r="X20" i="1"/>
  <c r="X21" i="1" s="1"/>
  <c r="X22" i="1" s="1"/>
  <c r="S20" i="1"/>
  <c r="S21" i="1" s="1"/>
  <c r="S22" i="1" s="1"/>
  <c r="P20" i="1"/>
  <c r="P21" i="1" s="1"/>
  <c r="P22" i="1" s="1"/>
  <c r="N20" i="1"/>
  <c r="N21" i="1" s="1"/>
  <c r="N22" i="1" s="1"/>
  <c r="AA23" i="1"/>
  <c r="AA24" i="1" s="1"/>
  <c r="AA25" i="1" s="1"/>
  <c r="Z23" i="1"/>
  <c r="Z24" i="1" s="1"/>
  <c r="Z25" i="1" s="1"/>
  <c r="S23" i="1"/>
  <c r="S24" i="1" s="1"/>
  <c r="S25" i="1" s="1"/>
  <c r="P23" i="1"/>
  <c r="P24" i="1" s="1"/>
  <c r="P25" i="1" s="1"/>
  <c r="N23" i="1"/>
  <c r="N24" i="1" s="1"/>
  <c r="N25" i="1" s="1"/>
  <c r="X26" i="1"/>
  <c r="X27" i="1" s="1"/>
  <c r="X28" i="1" s="1"/>
  <c r="P26" i="1"/>
  <c r="P27" i="1" s="1"/>
  <c r="P28" i="1" s="1"/>
  <c r="Y26" i="1"/>
  <c r="Y27" i="1" s="1"/>
  <c r="Y28" i="1" s="1"/>
  <c r="S26" i="1"/>
  <c r="S27" i="1" s="1"/>
  <c r="S28" i="1" s="1"/>
  <c r="AC26" i="1"/>
  <c r="AC27" i="1" s="1"/>
  <c r="AC28" i="1" s="1"/>
  <c r="AA26" i="1"/>
  <c r="AA27" i="1" s="1"/>
  <c r="AA28" i="1" s="1"/>
  <c r="Z26" i="1"/>
  <c r="Z27" i="1" s="1"/>
  <c r="Z28" i="1" s="1"/>
  <c r="N27" i="1"/>
  <c r="N28" i="1" s="1"/>
  <c r="X29" i="1"/>
  <c r="X30" i="1" s="1"/>
  <c r="X31" i="1" s="1"/>
  <c r="P32" i="1"/>
  <c r="P33" i="1" s="1"/>
  <c r="P34" i="1" s="1"/>
  <c r="S29" i="1"/>
  <c r="S30" i="1" s="1"/>
  <c r="S31" i="1" s="1"/>
  <c r="AA29" i="1"/>
  <c r="AA30" i="1" s="1"/>
  <c r="AA31" i="1" s="1"/>
  <c r="Z29" i="1"/>
  <c r="Z30" i="1" s="1"/>
  <c r="Z31" i="1" s="1"/>
  <c r="N29" i="1"/>
  <c r="N30" i="1" s="1"/>
  <c r="N31" i="1" s="1"/>
  <c r="S32" i="1"/>
  <c r="S33" i="1" s="1"/>
  <c r="S34" i="1" s="1"/>
  <c r="AA32" i="1"/>
  <c r="AA33" i="1" s="1"/>
  <c r="AA34" i="1" s="1"/>
  <c r="Z32" i="1"/>
  <c r="Z33" i="1" s="1"/>
  <c r="Z34" i="1" s="1"/>
  <c r="N32" i="1"/>
  <c r="N33" i="1" s="1"/>
  <c r="N34" i="1" s="1"/>
  <c r="AA35" i="1"/>
  <c r="Z35" i="1"/>
  <c r="S35" i="1"/>
  <c r="P35" i="1"/>
  <c r="N35" i="1"/>
  <c r="Q35" i="1"/>
  <c r="Q32" i="1"/>
  <c r="Q33" i="1" s="1"/>
  <c r="Q34" i="1" s="1"/>
  <c r="Q29" i="1"/>
  <c r="Q30" i="1" s="1"/>
  <c r="Q31" i="1" s="1"/>
  <c r="Q23" i="1"/>
  <c r="Q24" i="1" s="1"/>
  <c r="Q25" i="1" s="1"/>
  <c r="Q26" i="1"/>
  <c r="Q27" i="1" s="1"/>
  <c r="Q28" i="1" s="1"/>
  <c r="Q20" i="1"/>
  <c r="Q21" i="1" s="1"/>
  <c r="Q22" i="1" s="1"/>
  <c r="Q14" i="1"/>
  <c r="Q15" i="1" s="1"/>
  <c r="Q16" i="1" s="1"/>
  <c r="Q17" i="1"/>
  <c r="Q18" i="1" s="1"/>
  <c r="Q19" i="1" s="1"/>
  <c r="Q11" i="1"/>
  <c r="Q12" i="1" s="1"/>
  <c r="Q13" i="1" s="1"/>
  <c r="Q8" i="1"/>
  <c r="Q9" i="1" s="1"/>
  <c r="Q10" i="1" s="1"/>
  <c r="AK14" i="1" l="1"/>
  <c r="AL151" i="1"/>
  <c r="AK149" i="1"/>
  <c r="AK148" i="1"/>
  <c r="AL148" i="1" s="1"/>
  <c r="AK147" i="1"/>
  <c r="AK146" i="1"/>
  <c r="AK145" i="1"/>
  <c r="AL145" i="1" s="1"/>
  <c r="AK144" i="1"/>
  <c r="AK143" i="1"/>
  <c r="AL143" i="1" s="1"/>
  <c r="S142" i="1"/>
  <c r="AK142" i="1" s="1"/>
  <c r="AK141" i="1"/>
  <c r="AL141" i="1" s="1"/>
  <c r="AK140" i="1"/>
  <c r="AL140" i="1" s="1"/>
  <c r="AK139" i="1"/>
  <c r="AL139" i="1" s="1"/>
  <c r="AK138" i="1"/>
  <c r="AL138" i="1" s="1"/>
  <c r="AG136" i="1"/>
  <c r="AG137" i="1" s="1"/>
  <c r="AF136" i="1"/>
  <c r="AF137" i="1" s="1"/>
  <c r="AE136" i="1"/>
  <c r="AE137" i="1" s="1"/>
  <c r="AD136" i="1"/>
  <c r="AD137" i="1" s="1"/>
  <c r="AC136" i="1"/>
  <c r="AC137" i="1" s="1"/>
  <c r="AB136" i="1"/>
  <c r="AB137" i="1" s="1"/>
  <c r="AA136" i="1"/>
  <c r="AA137" i="1" s="1"/>
  <c r="Y136" i="1"/>
  <c r="Y137" i="1" s="1"/>
  <c r="X136" i="1"/>
  <c r="X137" i="1" s="1"/>
  <c r="W136" i="1"/>
  <c r="W137" i="1" s="1"/>
  <c r="V136" i="1"/>
  <c r="V137" i="1" s="1"/>
  <c r="U136" i="1"/>
  <c r="U137" i="1" s="1"/>
  <c r="T136" i="1"/>
  <c r="S136" i="1"/>
  <c r="S137" i="1" s="1"/>
  <c r="R136" i="1"/>
  <c r="R137" i="1" s="1"/>
  <c r="Q136" i="1"/>
  <c r="Q137" i="1" s="1"/>
  <c r="P136" i="1"/>
  <c r="P137" i="1" s="1"/>
  <c r="N135" i="1"/>
  <c r="N136" i="1" s="1"/>
  <c r="N137" i="1" s="1"/>
  <c r="AG133" i="1"/>
  <c r="AG134" i="1" s="1"/>
  <c r="AF133" i="1"/>
  <c r="AF134" i="1" s="1"/>
  <c r="AE133" i="1"/>
  <c r="AE134" i="1" s="1"/>
  <c r="AD133" i="1"/>
  <c r="AD134" i="1" s="1"/>
  <c r="AC133" i="1"/>
  <c r="AC134" i="1" s="1"/>
  <c r="AB133" i="1"/>
  <c r="AB134" i="1" s="1"/>
  <c r="AA133" i="1"/>
  <c r="AA134" i="1" s="1"/>
  <c r="Y133" i="1"/>
  <c r="Y134" i="1" s="1"/>
  <c r="X133" i="1"/>
  <c r="X134" i="1" s="1"/>
  <c r="W133" i="1"/>
  <c r="W134" i="1" s="1"/>
  <c r="V133" i="1"/>
  <c r="V134" i="1" s="1"/>
  <c r="U133" i="1"/>
  <c r="U134" i="1" s="1"/>
  <c r="T133" i="1"/>
  <c r="S133" i="1"/>
  <c r="S134" i="1" s="1"/>
  <c r="R133" i="1"/>
  <c r="R134" i="1" s="1"/>
  <c r="Q133" i="1"/>
  <c r="Q134" i="1" s="1"/>
  <c r="P133" i="1"/>
  <c r="P134" i="1" s="1"/>
  <c r="N132" i="1"/>
  <c r="N133" i="1" s="1"/>
  <c r="N134" i="1" s="1"/>
  <c r="AG130" i="1"/>
  <c r="AG131" i="1" s="1"/>
  <c r="AF130" i="1"/>
  <c r="AF131" i="1" s="1"/>
  <c r="AE130" i="1"/>
  <c r="AE131" i="1" s="1"/>
  <c r="AD130" i="1"/>
  <c r="AD131" i="1" s="1"/>
  <c r="AC130" i="1"/>
  <c r="AC131" i="1" s="1"/>
  <c r="AB130" i="1"/>
  <c r="AB131" i="1" s="1"/>
  <c r="AA130" i="1"/>
  <c r="AA131" i="1" s="1"/>
  <c r="Y130" i="1"/>
  <c r="Y131" i="1" s="1"/>
  <c r="X130" i="1"/>
  <c r="X131" i="1" s="1"/>
  <c r="W130" i="1"/>
  <c r="W131" i="1" s="1"/>
  <c r="V130" i="1"/>
  <c r="V131" i="1" s="1"/>
  <c r="U130" i="1"/>
  <c r="U131" i="1" s="1"/>
  <c r="T130" i="1"/>
  <c r="S130" i="1"/>
  <c r="S131" i="1" s="1"/>
  <c r="R130" i="1"/>
  <c r="R131" i="1" s="1"/>
  <c r="Q130" i="1"/>
  <c r="Q131" i="1" s="1"/>
  <c r="P130" i="1"/>
  <c r="P131" i="1" s="1"/>
  <c r="N129" i="1"/>
  <c r="N130" i="1" s="1"/>
  <c r="N131" i="1" s="1"/>
  <c r="X128" i="1"/>
  <c r="AG127" i="1"/>
  <c r="AG128" i="1" s="1"/>
  <c r="AF127" i="1"/>
  <c r="AF128" i="1" s="1"/>
  <c r="AE127" i="1"/>
  <c r="AE128" i="1" s="1"/>
  <c r="AD127" i="1"/>
  <c r="AD128" i="1" s="1"/>
  <c r="AC127" i="1"/>
  <c r="AC128" i="1" s="1"/>
  <c r="AB127" i="1"/>
  <c r="AB128" i="1" s="1"/>
  <c r="AA127" i="1"/>
  <c r="AA128" i="1" s="1"/>
  <c r="Y127" i="1"/>
  <c r="Y128" i="1" s="1"/>
  <c r="X127" i="1"/>
  <c r="W127" i="1"/>
  <c r="W128" i="1" s="1"/>
  <c r="V127" i="1"/>
  <c r="V128" i="1" s="1"/>
  <c r="U127" i="1"/>
  <c r="U128" i="1" s="1"/>
  <c r="T127" i="1"/>
  <c r="S127" i="1"/>
  <c r="S128" i="1" s="1"/>
  <c r="R127" i="1"/>
  <c r="R128" i="1" s="1"/>
  <c r="Q127" i="1"/>
  <c r="Q128" i="1" s="1"/>
  <c r="P127" i="1"/>
  <c r="P128" i="1" s="1"/>
  <c r="N126" i="1"/>
  <c r="Z126" i="1" s="1"/>
  <c r="Z127" i="1" s="1"/>
  <c r="Z128" i="1" s="1"/>
  <c r="AG124" i="1"/>
  <c r="AG125" i="1" s="1"/>
  <c r="AF124" i="1"/>
  <c r="AF125" i="1" s="1"/>
  <c r="AE124" i="1"/>
  <c r="AE125" i="1" s="1"/>
  <c r="AD124" i="1"/>
  <c r="AD125" i="1" s="1"/>
  <c r="AC124" i="1"/>
  <c r="AC125" i="1" s="1"/>
  <c r="AB124" i="1"/>
  <c r="AB125" i="1" s="1"/>
  <c r="AA124" i="1"/>
  <c r="AA125" i="1" s="1"/>
  <c r="Y124" i="1"/>
  <c r="Y125" i="1" s="1"/>
  <c r="X124" i="1"/>
  <c r="X125" i="1" s="1"/>
  <c r="W124" i="1"/>
  <c r="W125" i="1" s="1"/>
  <c r="V124" i="1"/>
  <c r="V125" i="1" s="1"/>
  <c r="U124" i="1"/>
  <c r="U125" i="1" s="1"/>
  <c r="T124" i="1"/>
  <c r="S124" i="1"/>
  <c r="S125" i="1" s="1"/>
  <c r="R124" i="1"/>
  <c r="R125" i="1" s="1"/>
  <c r="Q124" i="1"/>
  <c r="Q125" i="1" s="1"/>
  <c r="P124" i="1"/>
  <c r="P125" i="1" s="1"/>
  <c r="N123" i="1"/>
  <c r="N124" i="1" s="1"/>
  <c r="N125" i="1" s="1"/>
  <c r="AG121" i="1"/>
  <c r="AG122" i="1" s="1"/>
  <c r="AF121" i="1"/>
  <c r="AF122" i="1" s="1"/>
  <c r="AE121" i="1"/>
  <c r="AE122" i="1" s="1"/>
  <c r="AD121" i="1"/>
  <c r="AD122" i="1" s="1"/>
  <c r="AC121" i="1"/>
  <c r="AC122" i="1" s="1"/>
  <c r="AB121" i="1"/>
  <c r="AB122" i="1" s="1"/>
  <c r="AA121" i="1"/>
  <c r="AA122" i="1" s="1"/>
  <c r="Y121" i="1"/>
  <c r="Y122" i="1" s="1"/>
  <c r="X121" i="1"/>
  <c r="X122" i="1" s="1"/>
  <c r="W121" i="1"/>
  <c r="W122" i="1" s="1"/>
  <c r="V121" i="1"/>
  <c r="V122" i="1" s="1"/>
  <c r="U121" i="1"/>
  <c r="U122" i="1" s="1"/>
  <c r="T121" i="1"/>
  <c r="S121" i="1"/>
  <c r="S122" i="1" s="1"/>
  <c r="R121" i="1"/>
  <c r="R122" i="1" s="1"/>
  <c r="Q121" i="1"/>
  <c r="Q122" i="1" s="1"/>
  <c r="P121" i="1"/>
  <c r="P122" i="1" s="1"/>
  <c r="N120" i="1"/>
  <c r="N121" i="1" s="1"/>
  <c r="N122" i="1" s="1"/>
  <c r="AG118" i="1"/>
  <c r="AG119" i="1" s="1"/>
  <c r="AF118" i="1"/>
  <c r="AF119" i="1" s="1"/>
  <c r="AE118" i="1"/>
  <c r="AE119" i="1" s="1"/>
  <c r="AD118" i="1"/>
  <c r="AD119" i="1" s="1"/>
  <c r="AC118" i="1"/>
  <c r="AC119" i="1" s="1"/>
  <c r="AB118" i="1"/>
  <c r="AB119" i="1" s="1"/>
  <c r="AA118" i="1"/>
  <c r="AA119" i="1" s="1"/>
  <c r="Y118" i="1"/>
  <c r="Y119" i="1" s="1"/>
  <c r="X118" i="1"/>
  <c r="X119" i="1" s="1"/>
  <c r="W118" i="1"/>
  <c r="W119" i="1" s="1"/>
  <c r="V118" i="1"/>
  <c r="V119" i="1" s="1"/>
  <c r="U118" i="1"/>
  <c r="U119" i="1" s="1"/>
  <c r="T118" i="1"/>
  <c r="S118" i="1"/>
  <c r="S119" i="1" s="1"/>
  <c r="R118" i="1"/>
  <c r="R119" i="1" s="1"/>
  <c r="Q118" i="1"/>
  <c r="Q119" i="1" s="1"/>
  <c r="P118" i="1"/>
  <c r="P119" i="1" s="1"/>
  <c r="N117" i="1"/>
  <c r="AG115" i="1"/>
  <c r="AG116" i="1" s="1"/>
  <c r="AF115" i="1"/>
  <c r="AF116" i="1" s="1"/>
  <c r="AE115" i="1"/>
  <c r="AE116" i="1" s="1"/>
  <c r="AD115" i="1"/>
  <c r="AD116" i="1" s="1"/>
  <c r="AC115" i="1"/>
  <c r="AC116" i="1" s="1"/>
  <c r="AB115" i="1"/>
  <c r="AB116" i="1" s="1"/>
  <c r="AA115" i="1"/>
  <c r="AA116" i="1" s="1"/>
  <c r="Y115" i="1"/>
  <c r="Y116" i="1" s="1"/>
  <c r="X115" i="1"/>
  <c r="X116" i="1" s="1"/>
  <c r="W115" i="1"/>
  <c r="W116" i="1" s="1"/>
  <c r="V115" i="1"/>
  <c r="V116" i="1" s="1"/>
  <c r="U115" i="1"/>
  <c r="U116" i="1" s="1"/>
  <c r="T115" i="1"/>
  <c r="S115" i="1"/>
  <c r="S116" i="1" s="1"/>
  <c r="R115" i="1"/>
  <c r="R116" i="1" s="1"/>
  <c r="Q115" i="1"/>
  <c r="Q116" i="1" s="1"/>
  <c r="P115" i="1"/>
  <c r="P116" i="1" s="1"/>
  <c r="N114" i="1"/>
  <c r="AG112" i="1"/>
  <c r="AG113" i="1" s="1"/>
  <c r="AF112" i="1"/>
  <c r="AF113" i="1" s="1"/>
  <c r="AE112" i="1"/>
  <c r="AE113" i="1" s="1"/>
  <c r="AD112" i="1"/>
  <c r="AD113" i="1" s="1"/>
  <c r="AC112" i="1"/>
  <c r="AC113" i="1" s="1"/>
  <c r="AB112" i="1"/>
  <c r="AB113" i="1" s="1"/>
  <c r="AA112" i="1"/>
  <c r="AA113" i="1" s="1"/>
  <c r="Y112" i="1"/>
  <c r="Y113" i="1" s="1"/>
  <c r="X112" i="1"/>
  <c r="X113" i="1" s="1"/>
  <c r="W112" i="1"/>
  <c r="W113" i="1" s="1"/>
  <c r="V112" i="1"/>
  <c r="V113" i="1" s="1"/>
  <c r="U112" i="1"/>
  <c r="U113" i="1" s="1"/>
  <c r="T112" i="1"/>
  <c r="S112" i="1"/>
  <c r="S113" i="1" s="1"/>
  <c r="R112" i="1"/>
  <c r="R113" i="1" s="1"/>
  <c r="Q112" i="1"/>
  <c r="Q113" i="1" s="1"/>
  <c r="P112" i="1"/>
  <c r="P113" i="1" s="1"/>
  <c r="N111" i="1"/>
  <c r="AG109" i="1"/>
  <c r="AG110" i="1" s="1"/>
  <c r="AF109" i="1"/>
  <c r="AF110" i="1" s="1"/>
  <c r="AE109" i="1"/>
  <c r="AE110" i="1" s="1"/>
  <c r="AD109" i="1"/>
  <c r="AD110" i="1" s="1"/>
  <c r="AC109" i="1"/>
  <c r="AC110" i="1" s="1"/>
  <c r="AB109" i="1"/>
  <c r="AB110" i="1" s="1"/>
  <c r="AA109" i="1"/>
  <c r="AA110" i="1" s="1"/>
  <c r="Y109" i="1"/>
  <c r="Y110" i="1" s="1"/>
  <c r="X109" i="1"/>
  <c r="X110" i="1" s="1"/>
  <c r="W109" i="1"/>
  <c r="W110" i="1" s="1"/>
  <c r="V109" i="1"/>
  <c r="V110" i="1" s="1"/>
  <c r="U109" i="1"/>
  <c r="U110" i="1" s="1"/>
  <c r="T109" i="1"/>
  <c r="S109" i="1"/>
  <c r="S110" i="1" s="1"/>
  <c r="R109" i="1"/>
  <c r="R110" i="1" s="1"/>
  <c r="Q109" i="1"/>
  <c r="Q110" i="1" s="1"/>
  <c r="P109" i="1"/>
  <c r="P110" i="1" s="1"/>
  <c r="N108" i="1"/>
  <c r="AF106" i="1"/>
  <c r="AF107" i="1" s="1"/>
  <c r="AE106" i="1"/>
  <c r="AE107" i="1" s="1"/>
  <c r="AD106" i="1"/>
  <c r="AD107" i="1" s="1"/>
  <c r="AB106" i="1"/>
  <c r="AB107" i="1" s="1"/>
  <c r="X106" i="1"/>
  <c r="X107" i="1" s="1"/>
  <c r="W106" i="1"/>
  <c r="W107" i="1" s="1"/>
  <c r="V106" i="1"/>
  <c r="V107" i="1" s="1"/>
  <c r="U106" i="1"/>
  <c r="U107" i="1" s="1"/>
  <c r="T106" i="1"/>
  <c r="R106" i="1"/>
  <c r="R107" i="1" s="1"/>
  <c r="AG105" i="1"/>
  <c r="AG106" i="1" s="1"/>
  <c r="AG107" i="1" s="1"/>
  <c r="AC105" i="1"/>
  <c r="AC106" i="1" s="1"/>
  <c r="AC107" i="1" s="1"/>
  <c r="AA105" i="1"/>
  <c r="AA106" i="1" s="1"/>
  <c r="AA107" i="1" s="1"/>
  <c r="Z105" i="1"/>
  <c r="Z106" i="1" s="1"/>
  <c r="Z107" i="1" s="1"/>
  <c r="Y105" i="1"/>
  <c r="Y106" i="1" s="1"/>
  <c r="Y107" i="1" s="1"/>
  <c r="S105" i="1"/>
  <c r="S106" i="1" s="1"/>
  <c r="S107" i="1" s="1"/>
  <c r="Q105" i="1"/>
  <c r="Q106" i="1" s="1"/>
  <c r="Q107" i="1" s="1"/>
  <c r="P105" i="1"/>
  <c r="N105" i="1"/>
  <c r="N106" i="1" s="1"/>
  <c r="N107" i="1" s="1"/>
  <c r="AG103" i="1"/>
  <c r="AG104" i="1" s="1"/>
  <c r="AF103" i="1"/>
  <c r="AF104" i="1" s="1"/>
  <c r="AE103" i="1"/>
  <c r="AE104" i="1" s="1"/>
  <c r="AD103" i="1"/>
  <c r="AD104" i="1" s="1"/>
  <c r="AC103" i="1"/>
  <c r="AC104" i="1" s="1"/>
  <c r="AB103" i="1"/>
  <c r="AB104" i="1" s="1"/>
  <c r="AA103" i="1"/>
  <c r="AA104" i="1" s="1"/>
  <c r="Z103" i="1"/>
  <c r="Z104" i="1" s="1"/>
  <c r="Y103" i="1"/>
  <c r="Y104" i="1" s="1"/>
  <c r="X103" i="1"/>
  <c r="X104" i="1" s="1"/>
  <c r="W103" i="1"/>
  <c r="W104" i="1" s="1"/>
  <c r="V103" i="1"/>
  <c r="V104" i="1" s="1"/>
  <c r="U103" i="1"/>
  <c r="U104" i="1" s="1"/>
  <c r="T103" i="1"/>
  <c r="S103" i="1"/>
  <c r="S104" i="1" s="1"/>
  <c r="R103" i="1"/>
  <c r="R104" i="1" s="1"/>
  <c r="Q103" i="1"/>
  <c r="Q104" i="1" s="1"/>
  <c r="P103" i="1"/>
  <c r="P104" i="1" s="1"/>
  <c r="N102" i="1"/>
  <c r="AG100" i="1"/>
  <c r="AG101" i="1" s="1"/>
  <c r="AF100" i="1"/>
  <c r="AF101" i="1" s="1"/>
  <c r="AE100" i="1"/>
  <c r="AE101" i="1" s="1"/>
  <c r="AD100" i="1"/>
  <c r="AD101" i="1" s="1"/>
  <c r="AC100" i="1"/>
  <c r="AC101" i="1" s="1"/>
  <c r="AB100" i="1"/>
  <c r="AB101" i="1" s="1"/>
  <c r="AA100" i="1"/>
  <c r="AA101" i="1" s="1"/>
  <c r="Z100" i="1"/>
  <c r="Z101" i="1" s="1"/>
  <c r="Y100" i="1"/>
  <c r="Y101" i="1" s="1"/>
  <c r="X100" i="1"/>
  <c r="X101" i="1" s="1"/>
  <c r="W100" i="1"/>
  <c r="W101" i="1" s="1"/>
  <c r="V100" i="1"/>
  <c r="V101" i="1" s="1"/>
  <c r="U100" i="1"/>
  <c r="U101" i="1" s="1"/>
  <c r="T100" i="1"/>
  <c r="S100" i="1"/>
  <c r="S101" i="1" s="1"/>
  <c r="R100" i="1"/>
  <c r="R101" i="1" s="1"/>
  <c r="Q100" i="1"/>
  <c r="Q101" i="1" s="1"/>
  <c r="P100" i="1"/>
  <c r="P101" i="1" s="1"/>
  <c r="N99" i="1"/>
  <c r="O99" i="1" s="1"/>
  <c r="AG97" i="1"/>
  <c r="AG98" i="1" s="1"/>
  <c r="AF97" i="1"/>
  <c r="AF98" i="1" s="1"/>
  <c r="AE97" i="1"/>
  <c r="AE98" i="1" s="1"/>
  <c r="AD97" i="1"/>
  <c r="AD98" i="1" s="1"/>
  <c r="AC97" i="1"/>
  <c r="AC98" i="1" s="1"/>
  <c r="AB97" i="1"/>
  <c r="AB98" i="1" s="1"/>
  <c r="AA97" i="1"/>
  <c r="AA98" i="1" s="1"/>
  <c r="Z97" i="1"/>
  <c r="Z98" i="1" s="1"/>
  <c r="Y97" i="1"/>
  <c r="Y98" i="1" s="1"/>
  <c r="X97" i="1"/>
  <c r="X98" i="1" s="1"/>
  <c r="W97" i="1"/>
  <c r="W98" i="1" s="1"/>
  <c r="V97" i="1"/>
  <c r="V98" i="1" s="1"/>
  <c r="U97" i="1"/>
  <c r="U98" i="1" s="1"/>
  <c r="T97" i="1"/>
  <c r="S97" i="1"/>
  <c r="S98" i="1" s="1"/>
  <c r="R97" i="1"/>
  <c r="R98" i="1" s="1"/>
  <c r="Q97" i="1"/>
  <c r="Q98" i="1" s="1"/>
  <c r="P97" i="1"/>
  <c r="P98" i="1" s="1"/>
  <c r="N96" i="1"/>
  <c r="O96" i="1" s="1"/>
  <c r="AG94" i="1"/>
  <c r="AG95" i="1" s="1"/>
  <c r="AF94" i="1"/>
  <c r="AF95" i="1" s="1"/>
  <c r="AE94" i="1"/>
  <c r="AE95" i="1" s="1"/>
  <c r="AD94" i="1"/>
  <c r="AD95" i="1" s="1"/>
  <c r="AC94" i="1"/>
  <c r="AC95" i="1" s="1"/>
  <c r="AB94" i="1"/>
  <c r="AB95" i="1" s="1"/>
  <c r="AA94" i="1"/>
  <c r="AA95" i="1" s="1"/>
  <c r="Z94" i="1"/>
  <c r="Z95" i="1" s="1"/>
  <c r="Y94" i="1"/>
  <c r="Y95" i="1" s="1"/>
  <c r="X94" i="1"/>
  <c r="X95" i="1" s="1"/>
  <c r="W94" i="1"/>
  <c r="W95" i="1" s="1"/>
  <c r="V94" i="1"/>
  <c r="V95" i="1" s="1"/>
  <c r="U94" i="1"/>
  <c r="U95" i="1" s="1"/>
  <c r="T94" i="1"/>
  <c r="S94" i="1"/>
  <c r="S95" i="1" s="1"/>
  <c r="R94" i="1"/>
  <c r="R95" i="1" s="1"/>
  <c r="Q94" i="1"/>
  <c r="Q95" i="1" s="1"/>
  <c r="P94" i="1"/>
  <c r="P95" i="1" s="1"/>
  <c r="N93" i="1"/>
  <c r="AG91" i="1"/>
  <c r="AG92" i="1" s="1"/>
  <c r="AF91" i="1"/>
  <c r="AF92" i="1" s="1"/>
  <c r="AE91" i="1"/>
  <c r="AE92" i="1" s="1"/>
  <c r="AD91" i="1"/>
  <c r="AD92" i="1" s="1"/>
  <c r="AC91" i="1"/>
  <c r="AC92" i="1" s="1"/>
  <c r="AB91" i="1"/>
  <c r="AB92" i="1" s="1"/>
  <c r="AA91" i="1"/>
  <c r="AA92" i="1" s="1"/>
  <c r="Z91" i="1"/>
  <c r="Z92" i="1" s="1"/>
  <c r="Y91" i="1"/>
  <c r="Y92" i="1" s="1"/>
  <c r="X91" i="1"/>
  <c r="X92" i="1" s="1"/>
  <c r="W91" i="1"/>
  <c r="W92" i="1" s="1"/>
  <c r="V91" i="1"/>
  <c r="V92" i="1" s="1"/>
  <c r="U91" i="1"/>
  <c r="U92" i="1" s="1"/>
  <c r="T91" i="1"/>
  <c r="S91" i="1"/>
  <c r="S92" i="1" s="1"/>
  <c r="R91" i="1"/>
  <c r="R92" i="1" s="1"/>
  <c r="Q91" i="1"/>
  <c r="Q92" i="1" s="1"/>
  <c r="P91" i="1"/>
  <c r="P92" i="1" s="1"/>
  <c r="N90" i="1"/>
  <c r="N91" i="1" s="1"/>
  <c r="N92" i="1" s="1"/>
  <c r="AG88" i="1"/>
  <c r="AG89" i="1" s="1"/>
  <c r="AF88" i="1"/>
  <c r="AF89" i="1" s="1"/>
  <c r="AE88" i="1"/>
  <c r="AE89" i="1" s="1"/>
  <c r="AD88" i="1"/>
  <c r="AD89" i="1" s="1"/>
  <c r="AC88" i="1"/>
  <c r="AC89" i="1" s="1"/>
  <c r="AB88" i="1"/>
  <c r="AB89" i="1" s="1"/>
  <c r="AA88" i="1"/>
  <c r="AA89" i="1" s="1"/>
  <c r="Z88" i="1"/>
  <c r="Z89" i="1" s="1"/>
  <c r="Y88" i="1"/>
  <c r="Y89" i="1" s="1"/>
  <c r="X88" i="1"/>
  <c r="X89" i="1" s="1"/>
  <c r="W88" i="1"/>
  <c r="W89" i="1" s="1"/>
  <c r="V88" i="1"/>
  <c r="V89" i="1" s="1"/>
  <c r="U88" i="1"/>
  <c r="U89" i="1" s="1"/>
  <c r="T88" i="1"/>
  <c r="S88" i="1"/>
  <c r="S89" i="1" s="1"/>
  <c r="R88" i="1"/>
  <c r="R89" i="1" s="1"/>
  <c r="Q88" i="1"/>
  <c r="Q89" i="1" s="1"/>
  <c r="P88" i="1"/>
  <c r="P89" i="1" s="1"/>
  <c r="N87" i="1"/>
  <c r="O87" i="1" s="1"/>
  <c r="AG85" i="1"/>
  <c r="AG86" i="1" s="1"/>
  <c r="AF85" i="1"/>
  <c r="AF86" i="1" s="1"/>
  <c r="AE85" i="1"/>
  <c r="AE86" i="1" s="1"/>
  <c r="AD85" i="1"/>
  <c r="AD86" i="1" s="1"/>
  <c r="AC85" i="1"/>
  <c r="AC86" i="1" s="1"/>
  <c r="AB85" i="1"/>
  <c r="AB86" i="1" s="1"/>
  <c r="AA85" i="1"/>
  <c r="AA86" i="1" s="1"/>
  <c r="Z85" i="1"/>
  <c r="Z86" i="1" s="1"/>
  <c r="Y85" i="1"/>
  <c r="Y86" i="1" s="1"/>
  <c r="X85" i="1"/>
  <c r="X86" i="1" s="1"/>
  <c r="W85" i="1"/>
  <c r="W86" i="1" s="1"/>
  <c r="V85" i="1"/>
  <c r="V86" i="1" s="1"/>
  <c r="U85" i="1"/>
  <c r="U86" i="1" s="1"/>
  <c r="T85" i="1"/>
  <c r="S85" i="1"/>
  <c r="S86" i="1" s="1"/>
  <c r="R85" i="1"/>
  <c r="R86" i="1" s="1"/>
  <c r="Q85" i="1"/>
  <c r="Q86" i="1" s="1"/>
  <c r="P85" i="1"/>
  <c r="P86" i="1" s="1"/>
  <c r="N84" i="1"/>
  <c r="O84" i="1" s="1"/>
  <c r="AG82" i="1"/>
  <c r="AG83" i="1" s="1"/>
  <c r="AF82" i="1"/>
  <c r="AF83" i="1" s="1"/>
  <c r="AE82" i="1"/>
  <c r="AE83" i="1" s="1"/>
  <c r="AD82" i="1"/>
  <c r="AD83" i="1" s="1"/>
  <c r="AC82" i="1"/>
  <c r="AC83" i="1" s="1"/>
  <c r="AB82" i="1"/>
  <c r="AB83" i="1" s="1"/>
  <c r="AA82" i="1"/>
  <c r="AA83" i="1" s="1"/>
  <c r="Z82" i="1"/>
  <c r="Z83" i="1" s="1"/>
  <c r="Y82" i="1"/>
  <c r="Y83" i="1" s="1"/>
  <c r="X82" i="1"/>
  <c r="X83" i="1" s="1"/>
  <c r="W82" i="1"/>
  <c r="W83" i="1" s="1"/>
  <c r="V82" i="1"/>
  <c r="V83" i="1" s="1"/>
  <c r="U82" i="1"/>
  <c r="U83" i="1" s="1"/>
  <c r="T82" i="1"/>
  <c r="S82" i="1"/>
  <c r="S83" i="1" s="1"/>
  <c r="R82" i="1"/>
  <c r="R83" i="1" s="1"/>
  <c r="Q82" i="1"/>
  <c r="Q83" i="1" s="1"/>
  <c r="P82" i="1"/>
  <c r="P83" i="1" s="1"/>
  <c r="N81" i="1"/>
  <c r="N82" i="1" s="1"/>
  <c r="N83" i="1" s="1"/>
  <c r="U80" i="1"/>
  <c r="AG79" i="1"/>
  <c r="AG80" i="1" s="1"/>
  <c r="AF79" i="1"/>
  <c r="AF80" i="1" s="1"/>
  <c r="AE79" i="1"/>
  <c r="AE80" i="1" s="1"/>
  <c r="AD79" i="1"/>
  <c r="AD80" i="1" s="1"/>
  <c r="AC79" i="1"/>
  <c r="AC80" i="1" s="1"/>
  <c r="AB79" i="1"/>
  <c r="AB80" i="1" s="1"/>
  <c r="AA79" i="1"/>
  <c r="AA80" i="1" s="1"/>
  <c r="Z79" i="1"/>
  <c r="Z80" i="1" s="1"/>
  <c r="Y79" i="1"/>
  <c r="Y80" i="1" s="1"/>
  <c r="X79" i="1"/>
  <c r="X80" i="1" s="1"/>
  <c r="W79" i="1"/>
  <c r="W80" i="1" s="1"/>
  <c r="V79" i="1"/>
  <c r="V80" i="1" s="1"/>
  <c r="U79" i="1"/>
  <c r="T79" i="1"/>
  <c r="S79" i="1"/>
  <c r="S80" i="1" s="1"/>
  <c r="R79" i="1"/>
  <c r="R80" i="1" s="1"/>
  <c r="Q79" i="1"/>
  <c r="Q80" i="1" s="1"/>
  <c r="P79" i="1"/>
  <c r="P80" i="1" s="1"/>
  <c r="N79" i="1"/>
  <c r="N80" i="1" s="1"/>
  <c r="O78" i="1"/>
  <c r="AK78" i="1" s="1"/>
  <c r="N78" i="1"/>
  <c r="AG76" i="1"/>
  <c r="AG77" i="1" s="1"/>
  <c r="AF76" i="1"/>
  <c r="AF77" i="1" s="1"/>
  <c r="AE76" i="1"/>
  <c r="AE77" i="1" s="1"/>
  <c r="AD76" i="1"/>
  <c r="AD77" i="1" s="1"/>
  <c r="AC76" i="1"/>
  <c r="AC77" i="1" s="1"/>
  <c r="AB76" i="1"/>
  <c r="AB77" i="1" s="1"/>
  <c r="AA76" i="1"/>
  <c r="AA77" i="1" s="1"/>
  <c r="Z76" i="1"/>
  <c r="Z77" i="1" s="1"/>
  <c r="Y76" i="1"/>
  <c r="Y77" i="1" s="1"/>
  <c r="X76" i="1"/>
  <c r="X77" i="1" s="1"/>
  <c r="W76" i="1"/>
  <c r="W77" i="1" s="1"/>
  <c r="V76" i="1"/>
  <c r="V77" i="1" s="1"/>
  <c r="U76" i="1"/>
  <c r="U77" i="1" s="1"/>
  <c r="T76" i="1"/>
  <c r="S76" i="1"/>
  <c r="S77" i="1" s="1"/>
  <c r="R76" i="1"/>
  <c r="R77" i="1" s="1"/>
  <c r="Q76" i="1"/>
  <c r="Q77" i="1" s="1"/>
  <c r="P76" i="1"/>
  <c r="P77" i="1" s="1"/>
  <c r="O75" i="1"/>
  <c r="AK75" i="1" s="1"/>
  <c r="N75" i="1"/>
  <c r="N76" i="1" s="1"/>
  <c r="AG73" i="1"/>
  <c r="AG74" i="1" s="1"/>
  <c r="AF73" i="1"/>
  <c r="AF74" i="1" s="1"/>
  <c r="AE73" i="1"/>
  <c r="AE74" i="1" s="1"/>
  <c r="AD73" i="1"/>
  <c r="AD74" i="1" s="1"/>
  <c r="AC73" i="1"/>
  <c r="AC74" i="1" s="1"/>
  <c r="AB73" i="1"/>
  <c r="AB74" i="1" s="1"/>
  <c r="AA73" i="1"/>
  <c r="AA74" i="1" s="1"/>
  <c r="Z73" i="1"/>
  <c r="Z74" i="1" s="1"/>
  <c r="Y73" i="1"/>
  <c r="Y74" i="1" s="1"/>
  <c r="X73" i="1"/>
  <c r="X74" i="1" s="1"/>
  <c r="W73" i="1"/>
  <c r="W74" i="1" s="1"/>
  <c r="V73" i="1"/>
  <c r="V74" i="1" s="1"/>
  <c r="U73" i="1"/>
  <c r="U74" i="1" s="1"/>
  <c r="T73" i="1"/>
  <c r="S73" i="1"/>
  <c r="S74" i="1" s="1"/>
  <c r="R73" i="1"/>
  <c r="R74" i="1" s="1"/>
  <c r="Q73" i="1"/>
  <c r="Q74" i="1" s="1"/>
  <c r="P73" i="1"/>
  <c r="P74" i="1" s="1"/>
  <c r="N72" i="1"/>
  <c r="N73" i="1" s="1"/>
  <c r="N74" i="1" s="1"/>
  <c r="AG70" i="1"/>
  <c r="AG71" i="1" s="1"/>
  <c r="AF70" i="1"/>
  <c r="AF71" i="1" s="1"/>
  <c r="AE70" i="1"/>
  <c r="AE71" i="1" s="1"/>
  <c r="AD70" i="1"/>
  <c r="AD71" i="1" s="1"/>
  <c r="AC70" i="1"/>
  <c r="AC71" i="1" s="1"/>
  <c r="AB70" i="1"/>
  <c r="AB71" i="1" s="1"/>
  <c r="AA70" i="1"/>
  <c r="AA71" i="1" s="1"/>
  <c r="Z70" i="1"/>
  <c r="Z71" i="1" s="1"/>
  <c r="Y70" i="1"/>
  <c r="Y71" i="1" s="1"/>
  <c r="X70" i="1"/>
  <c r="X71" i="1" s="1"/>
  <c r="W70" i="1"/>
  <c r="W71" i="1" s="1"/>
  <c r="V70" i="1"/>
  <c r="V71" i="1" s="1"/>
  <c r="U70" i="1"/>
  <c r="U71" i="1" s="1"/>
  <c r="T70" i="1"/>
  <c r="S70" i="1"/>
  <c r="S71" i="1" s="1"/>
  <c r="R70" i="1"/>
  <c r="R71" i="1" s="1"/>
  <c r="Q70" i="1"/>
  <c r="Q71" i="1" s="1"/>
  <c r="P70" i="1"/>
  <c r="P71" i="1" s="1"/>
  <c r="N69" i="1"/>
  <c r="O69" i="1" s="1"/>
  <c r="AG67" i="1"/>
  <c r="AG68" i="1" s="1"/>
  <c r="AF67" i="1"/>
  <c r="AF68" i="1" s="1"/>
  <c r="AE67" i="1"/>
  <c r="AE68" i="1" s="1"/>
  <c r="AD67" i="1"/>
  <c r="AD68" i="1" s="1"/>
  <c r="AC67" i="1"/>
  <c r="AC68" i="1" s="1"/>
  <c r="AB67" i="1"/>
  <c r="AB68" i="1" s="1"/>
  <c r="AA67" i="1"/>
  <c r="AA68" i="1" s="1"/>
  <c r="Z67" i="1"/>
  <c r="Z68" i="1" s="1"/>
  <c r="Y67" i="1"/>
  <c r="Y68" i="1" s="1"/>
  <c r="X67" i="1"/>
  <c r="X68" i="1" s="1"/>
  <c r="W67" i="1"/>
  <c r="W68" i="1" s="1"/>
  <c r="V67" i="1"/>
  <c r="V68" i="1" s="1"/>
  <c r="U67" i="1"/>
  <c r="U68" i="1" s="1"/>
  <c r="T67" i="1"/>
  <c r="S67" i="1"/>
  <c r="S68" i="1" s="1"/>
  <c r="R67" i="1"/>
  <c r="R68" i="1" s="1"/>
  <c r="Q67" i="1"/>
  <c r="Q68" i="1" s="1"/>
  <c r="P67" i="1"/>
  <c r="P68" i="1" s="1"/>
  <c r="N66" i="1"/>
  <c r="N67" i="1" s="1"/>
  <c r="N68" i="1" s="1"/>
  <c r="AG64" i="1"/>
  <c r="AG65" i="1" s="1"/>
  <c r="AF64" i="1"/>
  <c r="AF65" i="1" s="1"/>
  <c r="AE64" i="1"/>
  <c r="AE65" i="1" s="1"/>
  <c r="AD64" i="1"/>
  <c r="AD65" i="1" s="1"/>
  <c r="AC64" i="1"/>
  <c r="AC65" i="1" s="1"/>
  <c r="AB64" i="1"/>
  <c r="AB65" i="1" s="1"/>
  <c r="AA64" i="1"/>
  <c r="AA65" i="1" s="1"/>
  <c r="Z64" i="1"/>
  <c r="Z65" i="1" s="1"/>
  <c r="Y64" i="1"/>
  <c r="Y65" i="1" s="1"/>
  <c r="X64" i="1"/>
  <c r="X65" i="1" s="1"/>
  <c r="W64" i="1"/>
  <c r="W65" i="1" s="1"/>
  <c r="V64" i="1"/>
  <c r="V65" i="1" s="1"/>
  <c r="U64" i="1"/>
  <c r="U65" i="1" s="1"/>
  <c r="T64" i="1"/>
  <c r="S64" i="1"/>
  <c r="S65" i="1" s="1"/>
  <c r="R64" i="1"/>
  <c r="R65" i="1" s="1"/>
  <c r="Q64" i="1"/>
  <c r="Q65" i="1" s="1"/>
  <c r="P64" i="1"/>
  <c r="P65" i="1" s="1"/>
  <c r="N63" i="1"/>
  <c r="N64" i="1" s="1"/>
  <c r="N65" i="1" s="1"/>
  <c r="AG61" i="1"/>
  <c r="AG62" i="1" s="1"/>
  <c r="AF61" i="1"/>
  <c r="AF62" i="1" s="1"/>
  <c r="AE61" i="1"/>
  <c r="AE62" i="1" s="1"/>
  <c r="AD61" i="1"/>
  <c r="AD62" i="1" s="1"/>
  <c r="AC61" i="1"/>
  <c r="AC62" i="1" s="1"/>
  <c r="AB61" i="1"/>
  <c r="AB62" i="1" s="1"/>
  <c r="AA61" i="1"/>
  <c r="AA62" i="1" s="1"/>
  <c r="Z61" i="1"/>
  <c r="Z62" i="1" s="1"/>
  <c r="Y61" i="1"/>
  <c r="Y62" i="1" s="1"/>
  <c r="X61" i="1"/>
  <c r="X62" i="1" s="1"/>
  <c r="W61" i="1"/>
  <c r="W62" i="1" s="1"/>
  <c r="V61" i="1"/>
  <c r="V62" i="1" s="1"/>
  <c r="U61" i="1"/>
  <c r="U62" i="1" s="1"/>
  <c r="T61" i="1"/>
  <c r="S61" i="1"/>
  <c r="S62" i="1" s="1"/>
  <c r="R61" i="1"/>
  <c r="R62" i="1" s="1"/>
  <c r="Q61" i="1"/>
  <c r="Q62" i="1" s="1"/>
  <c r="P61" i="1"/>
  <c r="P62" i="1" s="1"/>
  <c r="N60" i="1"/>
  <c r="O60" i="1" s="1"/>
  <c r="AA59" i="1"/>
  <c r="X59" i="1"/>
  <c r="W59" i="1"/>
  <c r="V59" i="1"/>
  <c r="U59" i="1"/>
  <c r="T59" i="1"/>
  <c r="S59" i="1"/>
  <c r="R59" i="1"/>
  <c r="Q59" i="1"/>
  <c r="P59" i="1"/>
  <c r="O59" i="1"/>
  <c r="N59" i="1"/>
  <c r="AA58" i="1"/>
  <c r="X58" i="1"/>
  <c r="W58" i="1"/>
  <c r="V58" i="1"/>
  <c r="U58" i="1"/>
  <c r="T58" i="1"/>
  <c r="S58" i="1"/>
  <c r="R58" i="1"/>
  <c r="Q58" i="1"/>
  <c r="P58" i="1"/>
  <c r="O58" i="1"/>
  <c r="N58" i="1"/>
  <c r="AA57" i="1"/>
  <c r="X57" i="1"/>
  <c r="W57" i="1"/>
  <c r="V57" i="1"/>
  <c r="U57" i="1"/>
  <c r="T57" i="1"/>
  <c r="S57" i="1"/>
  <c r="R57" i="1"/>
  <c r="Q57" i="1"/>
  <c r="P57" i="1"/>
  <c r="O57" i="1"/>
  <c r="N57" i="1"/>
  <c r="AA56" i="1"/>
  <c r="X56" i="1"/>
  <c r="W56" i="1"/>
  <c r="V56" i="1"/>
  <c r="U56" i="1"/>
  <c r="T56" i="1"/>
  <c r="S56" i="1"/>
  <c r="R56" i="1"/>
  <c r="Q56" i="1"/>
  <c r="P56" i="1"/>
  <c r="O56" i="1"/>
  <c r="N56" i="1"/>
  <c r="AG54" i="1"/>
  <c r="AG55" i="1" s="1"/>
  <c r="AF54" i="1"/>
  <c r="AF55" i="1" s="1"/>
  <c r="AE54" i="1"/>
  <c r="AE55" i="1" s="1"/>
  <c r="AD54" i="1"/>
  <c r="AD55" i="1" s="1"/>
  <c r="AC54" i="1"/>
  <c r="AC55" i="1" s="1"/>
  <c r="AB54" i="1"/>
  <c r="AB55" i="1" s="1"/>
  <c r="AA54" i="1"/>
  <c r="AA55" i="1" s="1"/>
  <c r="Z54" i="1"/>
  <c r="Z55" i="1" s="1"/>
  <c r="Y54" i="1"/>
  <c r="Y55" i="1" s="1"/>
  <c r="X54" i="1"/>
  <c r="X55" i="1" s="1"/>
  <c r="W54" i="1"/>
  <c r="W55" i="1" s="1"/>
  <c r="V54" i="1"/>
  <c r="V55" i="1" s="1"/>
  <c r="U54" i="1"/>
  <c r="U55" i="1" s="1"/>
  <c r="T54" i="1"/>
  <c r="S54" i="1"/>
  <c r="S55" i="1" s="1"/>
  <c r="R54" i="1"/>
  <c r="R55" i="1" s="1"/>
  <c r="Q54" i="1"/>
  <c r="Q55" i="1" s="1"/>
  <c r="P54" i="1"/>
  <c r="P55" i="1" s="1"/>
  <c r="O53" i="1"/>
  <c r="N53" i="1"/>
  <c r="AG51" i="1"/>
  <c r="AG52" i="1" s="1"/>
  <c r="AF51" i="1"/>
  <c r="AF52" i="1" s="1"/>
  <c r="AE51" i="1"/>
  <c r="AE52" i="1" s="1"/>
  <c r="AD51" i="1"/>
  <c r="AD52" i="1" s="1"/>
  <c r="AC51" i="1"/>
  <c r="AC52" i="1" s="1"/>
  <c r="AB51" i="1"/>
  <c r="AB52" i="1" s="1"/>
  <c r="AA51" i="1"/>
  <c r="AA52" i="1" s="1"/>
  <c r="Z51" i="1"/>
  <c r="Z52" i="1" s="1"/>
  <c r="Y51" i="1"/>
  <c r="Y52" i="1" s="1"/>
  <c r="X51" i="1"/>
  <c r="X52" i="1" s="1"/>
  <c r="W51" i="1"/>
  <c r="W52" i="1" s="1"/>
  <c r="V51" i="1"/>
  <c r="V52" i="1" s="1"/>
  <c r="U51" i="1"/>
  <c r="U52" i="1" s="1"/>
  <c r="T51" i="1"/>
  <c r="S51" i="1"/>
  <c r="S52" i="1" s="1"/>
  <c r="R51" i="1"/>
  <c r="R52" i="1" s="1"/>
  <c r="Q51" i="1"/>
  <c r="Q52" i="1" s="1"/>
  <c r="P51" i="1"/>
  <c r="P52" i="1" s="1"/>
  <c r="N50" i="1"/>
  <c r="AK50" i="1" s="1"/>
  <c r="G50" i="1"/>
  <c r="AG48" i="1"/>
  <c r="AG49" i="1" s="1"/>
  <c r="AF48" i="1"/>
  <c r="AF49" i="1" s="1"/>
  <c r="AE48" i="1"/>
  <c r="AE49" i="1" s="1"/>
  <c r="AD48" i="1"/>
  <c r="AD49" i="1" s="1"/>
  <c r="AC48" i="1"/>
  <c r="AC49" i="1" s="1"/>
  <c r="AB48" i="1"/>
  <c r="AB49" i="1" s="1"/>
  <c r="AA48" i="1"/>
  <c r="AA49" i="1" s="1"/>
  <c r="Z48" i="1"/>
  <c r="Z49" i="1" s="1"/>
  <c r="Y48" i="1"/>
  <c r="Y49" i="1" s="1"/>
  <c r="X48" i="1"/>
  <c r="X49" i="1" s="1"/>
  <c r="W48" i="1"/>
  <c r="W49" i="1" s="1"/>
  <c r="V48" i="1"/>
  <c r="V49" i="1" s="1"/>
  <c r="U48" i="1"/>
  <c r="U49" i="1" s="1"/>
  <c r="T48" i="1"/>
  <c r="S48" i="1"/>
  <c r="S49" i="1" s="1"/>
  <c r="R48" i="1"/>
  <c r="R49" i="1" s="1"/>
  <c r="Q48" i="1"/>
  <c r="Q49" i="1" s="1"/>
  <c r="P48" i="1"/>
  <c r="P49" i="1" s="1"/>
  <c r="N47" i="1"/>
  <c r="N48" i="1" s="1"/>
  <c r="N49" i="1" s="1"/>
  <c r="G47" i="1"/>
  <c r="AG45" i="1"/>
  <c r="AG46" i="1" s="1"/>
  <c r="AF45" i="1"/>
  <c r="AF46" i="1" s="1"/>
  <c r="AE45" i="1"/>
  <c r="AE46" i="1" s="1"/>
  <c r="AD45" i="1"/>
  <c r="AD46" i="1" s="1"/>
  <c r="AC45" i="1"/>
  <c r="AC46" i="1" s="1"/>
  <c r="AB45" i="1"/>
  <c r="AB46" i="1" s="1"/>
  <c r="AA45" i="1"/>
  <c r="AA46" i="1" s="1"/>
  <c r="Z45" i="1"/>
  <c r="Z46" i="1" s="1"/>
  <c r="Y45" i="1"/>
  <c r="Y46" i="1" s="1"/>
  <c r="X45" i="1"/>
  <c r="X46" i="1" s="1"/>
  <c r="W45" i="1"/>
  <c r="W46" i="1" s="1"/>
  <c r="V45" i="1"/>
  <c r="V46" i="1" s="1"/>
  <c r="U45" i="1"/>
  <c r="U46" i="1" s="1"/>
  <c r="T45" i="1"/>
  <c r="S45" i="1"/>
  <c r="S46" i="1" s="1"/>
  <c r="R45" i="1"/>
  <c r="R46" i="1" s="1"/>
  <c r="Q45" i="1"/>
  <c r="Q46" i="1" s="1"/>
  <c r="P45" i="1"/>
  <c r="P46" i="1" s="1"/>
  <c r="N44" i="1"/>
  <c r="N45" i="1" s="1"/>
  <c r="N46" i="1" s="1"/>
  <c r="G44" i="1"/>
  <c r="AG42" i="1"/>
  <c r="AG43" i="1" s="1"/>
  <c r="AF42" i="1"/>
  <c r="AF43" i="1" s="1"/>
  <c r="AE42" i="1"/>
  <c r="AE43" i="1" s="1"/>
  <c r="AD42" i="1"/>
  <c r="AD43" i="1" s="1"/>
  <c r="AC42" i="1"/>
  <c r="AC43" i="1" s="1"/>
  <c r="AB42" i="1"/>
  <c r="AB43" i="1" s="1"/>
  <c r="AA42" i="1"/>
  <c r="AA43" i="1" s="1"/>
  <c r="Z42" i="1"/>
  <c r="Z43" i="1" s="1"/>
  <c r="Y42" i="1"/>
  <c r="Y43" i="1" s="1"/>
  <c r="X42" i="1"/>
  <c r="X43" i="1" s="1"/>
  <c r="W42" i="1"/>
  <c r="W43" i="1" s="1"/>
  <c r="V42" i="1"/>
  <c r="V43" i="1" s="1"/>
  <c r="U42" i="1"/>
  <c r="U43" i="1" s="1"/>
  <c r="T42" i="1"/>
  <c r="S42" i="1"/>
  <c r="S43" i="1" s="1"/>
  <c r="R42" i="1"/>
  <c r="R43" i="1" s="1"/>
  <c r="Q42" i="1"/>
  <c r="Q43" i="1" s="1"/>
  <c r="P42" i="1"/>
  <c r="P43" i="1" s="1"/>
  <c r="N41" i="1"/>
  <c r="G41" i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S39" i="1"/>
  <c r="S40" i="1" s="1"/>
  <c r="R39" i="1"/>
  <c r="R40" i="1" s="1"/>
  <c r="Q39" i="1"/>
  <c r="Q40" i="1" s="1"/>
  <c r="P39" i="1"/>
  <c r="P40" i="1" s="1"/>
  <c r="N38" i="1"/>
  <c r="N39" i="1" s="1"/>
  <c r="N40" i="1" s="1"/>
  <c r="G38" i="1"/>
  <c r="AG36" i="1"/>
  <c r="AG37" i="1" s="1"/>
  <c r="AF36" i="1"/>
  <c r="AF37" i="1" s="1"/>
  <c r="AE36" i="1"/>
  <c r="AE37" i="1" s="1"/>
  <c r="AD36" i="1"/>
  <c r="AD37" i="1" s="1"/>
  <c r="AC36" i="1"/>
  <c r="AC37" i="1" s="1"/>
  <c r="AB36" i="1"/>
  <c r="AB37" i="1" s="1"/>
  <c r="Z36" i="1"/>
  <c r="Z37" i="1" s="1"/>
  <c r="Y36" i="1"/>
  <c r="Y37" i="1" s="1"/>
  <c r="X36" i="1"/>
  <c r="X37" i="1" s="1"/>
  <c r="W36" i="1"/>
  <c r="W37" i="1" s="1"/>
  <c r="V36" i="1"/>
  <c r="V37" i="1" s="1"/>
  <c r="T36" i="1"/>
  <c r="S36" i="1"/>
  <c r="S37" i="1" s="1"/>
  <c r="R36" i="1"/>
  <c r="R37" i="1" s="1"/>
  <c r="P36" i="1"/>
  <c r="P37" i="1" s="1"/>
  <c r="AA36" i="1"/>
  <c r="AA37" i="1" s="1"/>
  <c r="U36" i="1"/>
  <c r="U37" i="1" s="1"/>
  <c r="Q36" i="1"/>
  <c r="Q37" i="1" s="1"/>
  <c r="AK35" i="1"/>
  <c r="AK26" i="1"/>
  <c r="AK5" i="1"/>
  <c r="O81" i="1" l="1"/>
  <c r="O72" i="1"/>
  <c r="AK72" i="1" s="1"/>
  <c r="AK53" i="1"/>
  <c r="AL53" i="1" s="1"/>
  <c r="O90" i="1"/>
  <c r="AK90" i="1" s="1"/>
  <c r="AL90" i="1" s="1"/>
  <c r="Z129" i="1"/>
  <c r="AK129" i="1" s="1"/>
  <c r="AL129" i="1" s="1"/>
  <c r="O66" i="1"/>
  <c r="AK66" i="1" s="1"/>
  <c r="AL66" i="1" s="1"/>
  <c r="AK76" i="1"/>
  <c r="AL76" i="1" s="1"/>
  <c r="AK105" i="1"/>
  <c r="AL105" i="1" s="1"/>
  <c r="AK81" i="1"/>
  <c r="AL81" i="1" s="1"/>
  <c r="AK17" i="1"/>
  <c r="AK32" i="1"/>
  <c r="AK44" i="1"/>
  <c r="AK56" i="1"/>
  <c r="AL56" i="1" s="1"/>
  <c r="AK58" i="1"/>
  <c r="AL58" i="1" s="1"/>
  <c r="AK59" i="1"/>
  <c r="AK87" i="1"/>
  <c r="AL87" i="1" s="1"/>
  <c r="AL149" i="1"/>
  <c r="AK99" i="1"/>
  <c r="O102" i="1"/>
  <c r="AK102" i="1" s="1"/>
  <c r="N103" i="1"/>
  <c r="N104" i="1" s="1"/>
  <c r="AL144" i="1"/>
  <c r="AL146" i="1"/>
  <c r="AK20" i="1"/>
  <c r="AL20" i="1" s="1"/>
  <c r="AL35" i="1"/>
  <c r="AL50" i="1"/>
  <c r="AL10" i="1"/>
  <c r="AL32" i="1"/>
  <c r="AL5" i="1"/>
  <c r="AL14" i="1"/>
  <c r="AL26" i="1"/>
  <c r="AK23" i="1"/>
  <c r="AK38" i="1"/>
  <c r="AK29" i="1"/>
  <c r="AK47" i="1"/>
  <c r="AK57" i="1"/>
  <c r="N61" i="1"/>
  <c r="N62" i="1" s="1"/>
  <c r="AK60" i="1"/>
  <c r="AL72" i="1"/>
  <c r="AL78" i="1"/>
  <c r="AK11" i="1"/>
  <c r="AK8" i="1"/>
  <c r="N36" i="1"/>
  <c r="N37" i="1" s="1"/>
  <c r="N42" i="1"/>
  <c r="N43" i="1" s="1"/>
  <c r="AK41" i="1"/>
  <c r="N54" i="1"/>
  <c r="N55" i="1" s="1"/>
  <c r="N51" i="1"/>
  <c r="N52" i="1" s="1"/>
  <c r="AL75" i="1"/>
  <c r="AK68" i="1"/>
  <c r="O63" i="1"/>
  <c r="AK63" i="1" s="1"/>
  <c r="AK69" i="1"/>
  <c r="N77" i="1"/>
  <c r="O93" i="1"/>
  <c r="AK93" i="1" s="1"/>
  <c r="N94" i="1"/>
  <c r="N95" i="1" s="1"/>
  <c r="N100" i="1"/>
  <c r="N101" i="1" s="1"/>
  <c r="P106" i="1"/>
  <c r="P107" i="1" s="1"/>
  <c r="N88" i="1"/>
  <c r="N89" i="1" s="1"/>
  <c r="N109" i="1"/>
  <c r="N110" i="1" s="1"/>
  <c r="Z108" i="1"/>
  <c r="N97" i="1"/>
  <c r="N98" i="1" s="1"/>
  <c r="AK96" i="1"/>
  <c r="N70" i="1"/>
  <c r="N71" i="1" s="1"/>
  <c r="N85" i="1"/>
  <c r="N86" i="1" s="1"/>
  <c r="AK84" i="1"/>
  <c r="N115" i="1"/>
  <c r="N116" i="1" s="1"/>
  <c r="Z114" i="1"/>
  <c r="Z115" i="1" s="1"/>
  <c r="Z116" i="1" s="1"/>
  <c r="N112" i="1"/>
  <c r="N113" i="1" s="1"/>
  <c r="Z111" i="1"/>
  <c r="N118" i="1"/>
  <c r="N119" i="1" s="1"/>
  <c r="Z117" i="1"/>
  <c r="Z118" i="1" s="1"/>
  <c r="Z119" i="1" s="1"/>
  <c r="AL142" i="1"/>
  <c r="AK126" i="1"/>
  <c r="N127" i="1"/>
  <c r="N128" i="1" s="1"/>
  <c r="Z132" i="1"/>
  <c r="Z135" i="1"/>
  <c r="AL147" i="1"/>
  <c r="Z120" i="1"/>
  <c r="Z121" i="1" s="1"/>
  <c r="Z122" i="1" s="1"/>
  <c r="Z123" i="1"/>
  <c r="Z124" i="1" s="1"/>
  <c r="Z125" i="1" s="1"/>
  <c r="AK120" i="1" l="1"/>
  <c r="Z130" i="1"/>
  <c r="Z131" i="1" s="1"/>
  <c r="AK123" i="1"/>
  <c r="AK117" i="1"/>
  <c r="AL117" i="1" s="1"/>
  <c r="AL17" i="1"/>
  <c r="AL102" i="1"/>
  <c r="AL59" i="1"/>
  <c r="AL99" i="1"/>
  <c r="AL44" i="1"/>
  <c r="AL93" i="1"/>
  <c r="AK135" i="1"/>
  <c r="Z136" i="1"/>
  <c r="Z137" i="1" s="1"/>
  <c r="AL120" i="1"/>
  <c r="Z112" i="1"/>
  <c r="Z113" i="1" s="1"/>
  <c r="AK111" i="1"/>
  <c r="AL84" i="1"/>
  <c r="AL41" i="1"/>
  <c r="AK132" i="1"/>
  <c r="Z133" i="1"/>
  <c r="Z134" i="1" s="1"/>
  <c r="AL68" i="1"/>
  <c r="AL11" i="1"/>
  <c r="AL47" i="1"/>
  <c r="AL23" i="1"/>
  <c r="AL126" i="1"/>
  <c r="AL60" i="1"/>
  <c r="AL29" i="1"/>
  <c r="AL25" i="1"/>
  <c r="AL123" i="1"/>
  <c r="AK114" i="1"/>
  <c r="AL96" i="1"/>
  <c r="AK77" i="1"/>
  <c r="AL69" i="1"/>
  <c r="AL57" i="1"/>
  <c r="AL38" i="1"/>
  <c r="AL63" i="1"/>
  <c r="AL8" i="1"/>
  <c r="AK108" i="1"/>
  <c r="Z109" i="1"/>
  <c r="Z110" i="1" s="1"/>
  <c r="AL108" i="1" l="1"/>
  <c r="AL114" i="1"/>
  <c r="AL132" i="1"/>
  <c r="AL77" i="1"/>
  <c r="AL111" i="1"/>
  <c r="AL135" i="1"/>
</calcChain>
</file>

<file path=xl/comments1.xml><?xml version="1.0" encoding="utf-8"?>
<comments xmlns="http://schemas.openxmlformats.org/spreadsheetml/2006/main">
  <authors>
    <author>Sennewald, David (STFC,RAL,ISIS)</author>
    <author>McCrohon, Ruth (STFC,RAL,ISIS)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Sennewald, David (STFC,RAL,ISIS):</t>
        </r>
        <r>
          <rPr>
            <sz val="9"/>
            <color indexed="81"/>
            <rFont val="Tahoma"/>
            <family val="2"/>
          </rPr>
          <t xml:space="preserve">
Identified as B57 on studsvik report</t>
        </r>
      </text>
    </comment>
    <comment ref="B53" authorId="0">
      <text>
        <r>
          <rPr>
            <b/>
            <sz val="9"/>
            <color indexed="81"/>
            <rFont val="Tahoma"/>
            <family val="2"/>
          </rPr>
          <t>Sennewald, David (STFC,RAL,ISIS):</t>
        </r>
        <r>
          <rPr>
            <sz val="9"/>
            <color indexed="81"/>
            <rFont val="Tahoma"/>
            <family val="2"/>
          </rPr>
          <t xml:space="preserve">
In drum which previously contained AQ/00018</t>
        </r>
      </text>
    </comment>
    <comment ref="N53" authorId="0">
      <text>
        <r>
          <rPr>
            <b/>
            <sz val="9"/>
            <color indexed="81"/>
            <rFont val="Tahoma"/>
            <family val="2"/>
          </rPr>
          <t>Sennewald, David (STFC,RAL,ISIS):</t>
        </r>
        <r>
          <rPr>
            <sz val="9"/>
            <color indexed="81"/>
            <rFont val="Tahoma"/>
            <family val="2"/>
          </rPr>
          <t xml:space="preserve">
This activity assumes 1litre of the original liquid, 11 x 1GBq H-3 standard (ref date : 20/03/2000) and 10 x tritium vials used for calibration checks of the LSC.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Sennewald, David (STFC,RAL,ISIS):</t>
        </r>
        <r>
          <rPr>
            <sz val="9"/>
            <color indexed="81"/>
            <rFont val="Tahoma"/>
            <family val="2"/>
          </rPr>
          <t xml:space="preserve">
Discussed with PW and RMcC that the hold up of MEK would be less then 50ml therefore a calculation of the activity that there is 100ml left is pessimistic. The activity assessment was carried out for INC-2015-002 and copied into this spreadsheet using the (x0.1/25) to account for the reduction in volume in the jerry cans.</t>
        </r>
      </text>
    </comment>
    <comment ref="B57" authorId="0">
      <text>
        <r>
          <rPr>
            <b/>
            <sz val="9"/>
            <color indexed="81"/>
            <rFont val="Tahoma"/>
            <family val="2"/>
          </rPr>
          <t>Sennewald, David (STFC,RAL,ISIS):</t>
        </r>
        <r>
          <rPr>
            <sz val="9"/>
            <color indexed="81"/>
            <rFont val="Tahoma"/>
            <family val="2"/>
          </rPr>
          <t xml:space="preserve">
Discussed with PW and RMcC that the hold up of MEK would be less then 50ml therefore a calculation of the activity that there is 100ml left is pessimistic. The activity assessment was carried out for INC-2015-002 and copied into this spreadsheet using the (x0.1/25) to account for the reduction in volume in the jerry cans.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Sennewald, David (STFC,RAL,ISIS):</t>
        </r>
        <r>
          <rPr>
            <sz val="9"/>
            <color indexed="81"/>
            <rFont val="Tahoma"/>
            <family val="2"/>
          </rPr>
          <t xml:space="preserve">
Discussed with PW and RMcC that the hold up of MEK would be less then 50ml therefore a calculation of the activity that there is 100ml left is pessimistic. The activity assessment was carried out for INC-2015-002 and copied into this spreadsheet using the (x0.1/25) to account for the reduction in volume in the jerry cans.</t>
        </r>
      </text>
    </comment>
    <comment ref="B59" authorId="0">
      <text>
        <r>
          <rPr>
            <b/>
            <sz val="9"/>
            <color indexed="81"/>
            <rFont val="Tahoma"/>
            <family val="2"/>
          </rPr>
          <t>Sennewald, David (STFC,RAL,ISIS):</t>
        </r>
        <r>
          <rPr>
            <sz val="9"/>
            <color indexed="81"/>
            <rFont val="Tahoma"/>
            <family val="2"/>
          </rPr>
          <t xml:space="preserve">
Discussed with PW and RMcC that the hold up of MEK would be less then 50ml therefore a calculation of the activity that there is 100ml left is pessimistic. The activity assessment was carried out for INC-2015-002 and copied into this spreadsheet using the (x0.1/25) to account for the reduction in volume in the jerry cans.</t>
        </r>
      </text>
    </comment>
    <comment ref="B105" authorId="0">
      <text>
        <r>
          <rPr>
            <b/>
            <sz val="9"/>
            <color indexed="81"/>
            <rFont val="Tahoma"/>
            <family val="2"/>
          </rPr>
          <t>Sennewald, David (STFC,RAL,ISIS):</t>
        </r>
        <r>
          <rPr>
            <sz val="9"/>
            <color indexed="81"/>
            <rFont val="Tahoma"/>
            <family val="2"/>
          </rPr>
          <t xml:space="preserve">
Labelled B3 on the studsvik report</t>
        </r>
      </text>
    </comment>
    <comment ref="S142" authorId="0">
      <text>
        <r>
          <rPr>
            <b/>
            <sz val="9"/>
            <color indexed="81"/>
            <rFont val="Tahoma"/>
            <family val="2"/>
          </rPr>
          <t>Sennewald, David (STFC,RAL,ISIS):</t>
        </r>
        <r>
          <rPr>
            <sz val="9"/>
            <color indexed="81"/>
            <rFont val="Tahoma"/>
            <family val="2"/>
          </rPr>
          <t xml:space="preserve">
Calculation in activity assessment document. There are 25 tubes withing the coffin and the final factor of 2 represents the two ends of the tubes</t>
        </r>
      </text>
    </comment>
    <comment ref="E147" authorId="1">
      <text>
        <r>
          <rPr>
            <b/>
            <sz val="9"/>
            <color indexed="81"/>
            <rFont val="Tahoma"/>
            <family val="2"/>
          </rPr>
          <t>McCrohon, Ruth (STFC,RAL,ISIS):</t>
        </r>
        <r>
          <rPr>
            <sz val="9"/>
            <color indexed="81"/>
            <rFont val="Tahoma"/>
            <family val="2"/>
          </rPr>
          <t xml:space="preserve">
Samples from the IXC sent for LSC analysis
</t>
        </r>
      </text>
    </comment>
    <comment ref="N147" authorId="0">
      <text>
        <r>
          <rPr>
            <b/>
            <sz val="9"/>
            <color indexed="81"/>
            <rFont val="Tahoma"/>
            <family val="2"/>
          </rPr>
          <t>Sennewald, David (STFC,RAL,ISIS):</t>
        </r>
        <r>
          <rPr>
            <sz val="9"/>
            <color indexed="81"/>
            <rFont val="Tahoma"/>
            <family val="2"/>
          </rPr>
          <t xml:space="preserve">
15ml of liquid sample for IXC sent out in INC-2015-002. Results from INC-2015-002 used to calculate activity</t>
        </r>
      </text>
    </comment>
  </commentList>
</comments>
</file>

<file path=xl/sharedStrings.xml><?xml version="1.0" encoding="utf-8"?>
<sst xmlns="http://schemas.openxmlformats.org/spreadsheetml/2006/main" count="259" uniqueCount="128">
  <si>
    <t>Fullstock Consignment number: COM00015</t>
  </si>
  <si>
    <t>ID</t>
  </si>
  <si>
    <t>Proposed date of disposal</t>
  </si>
  <si>
    <t>Packaging</t>
  </si>
  <si>
    <t>Contents</t>
  </si>
  <si>
    <t>Net Weight (Kg)</t>
  </si>
  <si>
    <r>
      <t>Volume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</si>
  <si>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Dimentions (cm)</t>
  </si>
  <si>
    <t>Dose rate (µSv/hr)</t>
  </si>
  <si>
    <t>External Report Ref</t>
  </si>
  <si>
    <t>Data source for calculated values</t>
  </si>
  <si>
    <t>H-3     (Total Bq)</t>
  </si>
  <si>
    <t>C-14 (total Bq)</t>
  </si>
  <si>
    <t>Mn-54 (total Bq)</t>
  </si>
  <si>
    <t>Co-60 (total Bq)</t>
  </si>
  <si>
    <t>Be-7 (total Bq)</t>
  </si>
  <si>
    <t>Na-22 (total Bq)</t>
  </si>
  <si>
    <t>Sc-46 (total Bq)</t>
  </si>
  <si>
    <t>Co-57 (total Bq)</t>
  </si>
  <si>
    <t>Co-58 (total Bq)</t>
  </si>
  <si>
    <t>Zn-65 (total Bq)</t>
  </si>
  <si>
    <t>Ag-110m (total Bq)</t>
  </si>
  <si>
    <t>Ag-108m (total Bq)</t>
  </si>
  <si>
    <t>Fe-55 (total Bq)</t>
  </si>
  <si>
    <t>Ni-63 (Total Bq)</t>
  </si>
  <si>
    <t>Cs-137 (total Bq)</t>
  </si>
  <si>
    <t>Rh-101 (total Bq)</t>
  </si>
  <si>
    <t>Ti-44 (total Bq)</t>
  </si>
  <si>
    <t>Eu-152 (total Bq)</t>
  </si>
  <si>
    <t>Ba-133 (total Bq)</t>
  </si>
  <si>
    <t>Cd-113m (total Bq)</t>
  </si>
  <si>
    <t>W-181 (total Bq)</t>
  </si>
  <si>
    <t>Co-56 (total Bq)</t>
  </si>
  <si>
    <t>Ta-182 (total Bq)</t>
  </si>
  <si>
    <t>Total Beta</t>
  </si>
  <si>
    <t>Bq/g</t>
  </si>
  <si>
    <t>Height</t>
  </si>
  <si>
    <t>Width / Diameter</t>
  </si>
  <si>
    <t>Length</t>
  </si>
  <si>
    <t>Y2039</t>
  </si>
  <si>
    <t>Blue keg</t>
  </si>
  <si>
    <t>50% steel 50% plastic</t>
  </si>
  <si>
    <t>P0561_TR_002</t>
  </si>
  <si>
    <t>B7088</t>
  </si>
  <si>
    <t>B7133</t>
  </si>
  <si>
    <t>soft waste</t>
  </si>
  <si>
    <t>B07093</t>
  </si>
  <si>
    <t>Polythene sheeting</t>
  </si>
  <si>
    <t>B6023</t>
  </si>
  <si>
    <t>Scintalant vials</t>
  </si>
  <si>
    <t>B/A07128</t>
  </si>
  <si>
    <t>sock filters</t>
  </si>
  <si>
    <t>B7134</t>
  </si>
  <si>
    <t>Y02387/2</t>
  </si>
  <si>
    <t>B07094</t>
  </si>
  <si>
    <t>Pigmat + void filter</t>
  </si>
  <si>
    <t>B07089</t>
  </si>
  <si>
    <t>LSC vials</t>
  </si>
  <si>
    <t>B07091</t>
  </si>
  <si>
    <t>Blue Keg</t>
  </si>
  <si>
    <t>Softwaste</t>
  </si>
  <si>
    <t>Y02181</t>
  </si>
  <si>
    <t>PacTec Bag</t>
  </si>
  <si>
    <t>Ion Exchange Columns</t>
  </si>
  <si>
    <t>72631/TR/002</t>
  </si>
  <si>
    <t>B07251</t>
  </si>
  <si>
    <t>Y01671</t>
  </si>
  <si>
    <t>Y02385</t>
  </si>
  <si>
    <t>Y02386</t>
  </si>
  <si>
    <t>B06952</t>
  </si>
  <si>
    <t xml:space="preserve"> </t>
  </si>
  <si>
    <t>14/0741</t>
  </si>
  <si>
    <t>can inside a Plastic Keg</t>
  </si>
  <si>
    <t>RR0300</t>
  </si>
  <si>
    <t>14/0742</t>
  </si>
  <si>
    <t>14/0743</t>
  </si>
  <si>
    <t>14/0744</t>
  </si>
  <si>
    <t>15/0559</t>
  </si>
  <si>
    <t>Warboy</t>
  </si>
  <si>
    <t>Vac oil</t>
  </si>
  <si>
    <t>RR4568</t>
  </si>
  <si>
    <t>15/0560</t>
  </si>
  <si>
    <t>15/0564</t>
  </si>
  <si>
    <t>15/0556</t>
  </si>
  <si>
    <t>15/0561</t>
  </si>
  <si>
    <t>15/0563</t>
  </si>
  <si>
    <t>15/0557</t>
  </si>
  <si>
    <t>15/0558</t>
  </si>
  <si>
    <t>15/0565</t>
  </si>
  <si>
    <t>15/0579</t>
  </si>
  <si>
    <t>RR4696</t>
  </si>
  <si>
    <t>15/0580</t>
  </si>
  <si>
    <t>15/0581</t>
  </si>
  <si>
    <t>15/0583</t>
  </si>
  <si>
    <t>15/0584</t>
  </si>
  <si>
    <t>15/0585</t>
  </si>
  <si>
    <t>12/0860</t>
  </si>
  <si>
    <t>200litre black drum</t>
  </si>
  <si>
    <t>72631/TR/002 &amp; P0561/TR/002</t>
  </si>
  <si>
    <t>ISIS/DSU/011</t>
  </si>
  <si>
    <t>ISIS/DSU/012</t>
  </si>
  <si>
    <t>ISIS/DSU/013</t>
  </si>
  <si>
    <t>ISIS/DSU/014</t>
  </si>
  <si>
    <t>ISIS/DSU/015</t>
  </si>
  <si>
    <t>ISIS/DSU/016</t>
  </si>
  <si>
    <t>ISIS/DSU/017</t>
  </si>
  <si>
    <t>ISIS/DSU/018</t>
  </si>
  <si>
    <t>ISIS/DSU/019</t>
  </si>
  <si>
    <t>ISIS/DSU/020</t>
  </si>
  <si>
    <t>ISIS/PB/001</t>
  </si>
  <si>
    <t>Pactec Bag</t>
  </si>
  <si>
    <t>Filter</t>
  </si>
  <si>
    <t>ISIS/PB/002</t>
  </si>
  <si>
    <t>ISIS/PB/003</t>
  </si>
  <si>
    <t>ISIS/PB/004</t>
  </si>
  <si>
    <t>Coffin</t>
  </si>
  <si>
    <t>Fluorescent lights</t>
  </si>
  <si>
    <t>14/0828</t>
  </si>
  <si>
    <t>Inactive resin going for disposal</t>
  </si>
  <si>
    <t>14/0827</t>
  </si>
  <si>
    <t>15/0287</t>
  </si>
  <si>
    <t>Plastic</t>
  </si>
  <si>
    <t>Tace amounts of MEK</t>
  </si>
  <si>
    <t>Inaactive IXC Resin</t>
  </si>
  <si>
    <t>Aqueous samples</t>
  </si>
  <si>
    <t>Tritiated Polythene</t>
  </si>
  <si>
    <t>3s</t>
  </si>
  <si>
    <t>Exempt limit concentrations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</si>
</sst>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Tms Rmn"/>
    </font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Border="0" applyAlignment="0" applyProtection="0">
      <alignment horizontal="left"/>
    </xf>
    <xf numFmtId="43" fontId="8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2" borderId="2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11" fontId="0" fillId="2" borderId="23" xfId="0" applyNumberFormat="1" applyFill="1" applyBorder="1" applyAlignment="1">
      <alignment horizontal="center"/>
    </xf>
    <xf numFmtId="11" fontId="0" fillId="2" borderId="24" xfId="0" applyNumberFormat="1" applyFill="1" applyBorder="1" applyAlignment="1">
      <alignment horizontal="center"/>
    </xf>
    <xf numFmtId="11" fontId="3" fillId="2" borderId="9" xfId="0" applyNumberFormat="1" applyFont="1" applyFill="1" applyBorder="1" applyAlignment="1">
      <alignment horizontal="center" vertical="center"/>
    </xf>
    <xf numFmtId="11" fontId="3" fillId="2" borderId="7" xfId="0" applyNumberFormat="1" applyFont="1" applyFill="1" applyBorder="1" applyAlignment="1">
      <alignment horizontal="center" vertical="center"/>
    </xf>
    <xf numFmtId="11" fontId="0" fillId="2" borderId="25" xfId="0" applyNumberFormat="1" applyFill="1" applyBorder="1" applyAlignment="1">
      <alignment horizontal="center"/>
    </xf>
    <xf numFmtId="11" fontId="2" fillId="2" borderId="7" xfId="0" applyNumberFormat="1" applyFont="1" applyFill="1" applyBorder="1"/>
    <xf numFmtId="11" fontId="0" fillId="2" borderId="26" xfId="0" applyNumberForma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1" fontId="0" fillId="5" borderId="24" xfId="0" applyNumberFormat="1" applyFill="1" applyBorder="1" applyAlignment="1">
      <alignment horizontal="center"/>
    </xf>
    <xf numFmtId="11" fontId="0" fillId="5" borderId="23" xfId="0" applyNumberFormat="1" applyFill="1" applyBorder="1" applyAlignment="1">
      <alignment horizontal="center"/>
    </xf>
    <xf numFmtId="11" fontId="0" fillId="5" borderId="26" xfId="0" applyNumberForma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11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22" xfId="0" applyFill="1" applyBorder="1" applyAlignment="1">
      <alignment horizontal="left"/>
    </xf>
    <xf numFmtId="2" fontId="0" fillId="0" borderId="22" xfId="0" applyNumberFormat="1" applyFill="1" applyBorder="1" applyAlignment="1">
      <alignment horizontal="center"/>
    </xf>
    <xf numFmtId="11" fontId="0" fillId="2" borderId="1" xfId="0" applyNumberFormat="1" applyFill="1" applyBorder="1" applyAlignment="1"/>
    <xf numFmtId="11" fontId="0" fillId="2" borderId="0" xfId="0" applyNumberFormat="1" applyFill="1" applyBorder="1" applyAlignment="1"/>
    <xf numFmtId="11" fontId="0" fillId="2" borderId="25" xfId="0" applyNumberFormat="1" applyFill="1" applyBorder="1" applyAlignment="1"/>
    <xf numFmtId="11" fontId="0" fillId="5" borderId="0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1" fontId="0" fillId="5" borderId="25" xfId="0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11" fontId="0" fillId="5" borderId="16" xfId="0" applyNumberFormat="1" applyFill="1" applyBorder="1" applyAlignment="1">
      <alignment horizontal="center"/>
    </xf>
    <xf numFmtId="11" fontId="0" fillId="5" borderId="17" xfId="0" applyNumberFormat="1" applyFill="1" applyBorder="1" applyAlignment="1">
      <alignment horizontal="center"/>
    </xf>
    <xf numFmtId="11" fontId="0" fillId="5" borderId="12" xfId="0" applyNumberFormat="1" applyFill="1" applyBorder="1" applyAlignment="1">
      <alignment horizontal="center"/>
    </xf>
    <xf numFmtId="11" fontId="0" fillId="5" borderId="18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9" fillId="0" borderId="0" xfId="0" applyFont="1" applyBorder="1" applyAlignment="1">
      <alignment horizontal="center"/>
    </xf>
    <xf numFmtId="11" fontId="9" fillId="2" borderId="24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4" borderId="27" xfId="2" applyNumberFormat="1" applyFont="1" applyFill="1" applyBorder="1" applyAlignment="1">
      <alignment horizontal="center"/>
    </xf>
    <xf numFmtId="164" fontId="0" fillId="0" borderId="27" xfId="2" applyNumberFormat="1" applyFont="1" applyBorder="1" applyAlignment="1">
      <alignment horizontal="center"/>
    </xf>
    <xf numFmtId="164" fontId="0" fillId="0" borderId="20" xfId="2" applyNumberFormat="1" applyFont="1" applyBorder="1" applyAlignment="1">
      <alignment horizontal="center"/>
    </xf>
    <xf numFmtId="164" fontId="0" fillId="0" borderId="22" xfId="2" applyNumberFormat="1" applyFont="1" applyBorder="1" applyAlignment="1">
      <alignment horizontal="center"/>
    </xf>
    <xf numFmtId="164" fontId="0" fillId="0" borderId="14" xfId="2" applyNumberFormat="1" applyFont="1" applyBorder="1" applyAlignment="1">
      <alignment horizontal="center"/>
    </xf>
    <xf numFmtId="11" fontId="4" fillId="2" borderId="24" xfId="0" applyNumberFormat="1" applyFont="1" applyFill="1" applyBorder="1" applyAlignment="1">
      <alignment horizontal="center"/>
    </xf>
    <xf numFmtId="11" fontId="4" fillId="2" borderId="23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0" fillId="4" borderId="29" xfId="2" applyNumberFormat="1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164" fontId="0" fillId="0" borderId="11" xfId="2" applyNumberFormat="1" applyFont="1" applyBorder="1" applyAlignment="1">
      <alignment horizontal="center" vertical="center" wrapText="1"/>
    </xf>
    <xf numFmtId="164" fontId="0" fillId="0" borderId="27" xfId="2" applyNumberFormat="1" applyFont="1" applyBorder="1" applyAlignment="1">
      <alignment horizontal="center" vertical="center" wrapText="1"/>
    </xf>
    <xf numFmtId="164" fontId="0" fillId="0" borderId="2" xfId="2" applyNumberFormat="1" applyFont="1" applyBorder="1" applyAlignment="1">
      <alignment horizontal="center" vertical="center" wrapText="1"/>
    </xf>
    <xf numFmtId="164" fontId="0" fillId="0" borderId="22" xfId="2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Comma" xfId="2" builtinId="3"/>
    <cellStyle name="Excel" xfId="1"/>
    <cellStyle name="Normal" xfId="0" builtinId="0"/>
  </cellStyles>
  <dxfs count="4"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xh35985\Documents\INC-2015-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 INC_2015_03"/>
      <sheetName val="Calcs Fluoresent tubes"/>
      <sheetName val="Decay of Standards"/>
    </sheetNames>
    <sheetDataSet>
      <sheetData sheetId="0"/>
      <sheetData sheetId="1"/>
      <sheetData sheetId="2">
        <row r="8">
          <cell r="C8">
            <v>4625071078.3437958</v>
          </cell>
          <cell r="H8">
            <v>14124.629706817523</v>
          </cell>
          <cell r="L8">
            <v>18570.924799971595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B3:C153" totalsRowShown="0" headerRowDxfId="3" tableBorderDxfId="2">
  <autoFilter ref="B3:C153"/>
  <tableColumns count="2">
    <tableColumn id="1" name="ID" dataDxfId="1"/>
    <tableColumn id="2" name="Proposed date of disposal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N161"/>
  <sheetViews>
    <sheetView tabSelected="1" zoomScale="85" zoomScaleNormal="85" workbookViewId="0">
      <pane xSplit="5" ySplit="4" topLeftCell="F5" activePane="bottomRight" state="frozenSplit"/>
      <selection pane="topRight" activeCell="F1" sqref="F1"/>
      <selection pane="bottomLeft" activeCell="A90" sqref="A90"/>
      <selection pane="bottomRight" activeCell="D14" sqref="D14"/>
    </sheetView>
  </sheetViews>
  <sheetFormatPr defaultColWidth="9.140625" defaultRowHeight="15" x14ac:dyDescent="0.25"/>
  <cols>
    <col min="1" max="1" width="4" style="1" customWidth="1"/>
    <col min="2" max="2" width="16" style="1" bestFit="1" customWidth="1"/>
    <col min="3" max="3" width="26" style="1" customWidth="1"/>
    <col min="4" max="4" width="23.140625" style="1" customWidth="1"/>
    <col min="5" max="5" width="20.42578125" style="1" customWidth="1"/>
    <col min="6" max="8" width="12.42578125" style="1" customWidth="1"/>
    <col min="9" max="9" width="11.42578125" style="1" customWidth="1"/>
    <col min="10" max="10" width="12.42578125" style="1" customWidth="1"/>
    <col min="11" max="11" width="9.140625" style="1" customWidth="1"/>
    <col min="12" max="12" width="17" style="1" customWidth="1"/>
    <col min="13" max="13" width="30.5703125" style="1" customWidth="1"/>
    <col min="14" max="14" width="14.85546875" style="1" customWidth="1"/>
    <col min="15" max="26" width="9.140625" style="1" customWidth="1"/>
    <col min="27" max="27" width="10.140625" style="1" customWidth="1"/>
    <col min="28" max="36" width="9.140625" style="1" customWidth="1"/>
    <col min="37" max="37" width="18" style="58" bestFit="1" customWidth="1"/>
    <col min="38" max="38" width="14.28515625" style="58" bestFit="1" customWidth="1"/>
    <col min="39" max="40" width="9.140625" style="1"/>
    <col min="41" max="41" width="15.85546875" style="1" bestFit="1" customWidth="1"/>
    <col min="42" max="16384" width="9.140625" style="1"/>
  </cols>
  <sheetData>
    <row r="1" spans="1:38" x14ac:dyDescent="0.25">
      <c r="B1" s="2" t="s">
        <v>0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8" ht="15.75" thickBot="1" x14ac:dyDescent="0.3">
      <c r="M2" s="1" t="s">
        <v>127</v>
      </c>
      <c r="N2" s="3">
        <v>1000000</v>
      </c>
      <c r="O2" s="3">
        <v>10000</v>
      </c>
      <c r="P2" s="1">
        <v>10</v>
      </c>
      <c r="Q2" s="1">
        <v>10</v>
      </c>
      <c r="R2" s="1">
        <v>1000</v>
      </c>
      <c r="S2" s="1">
        <v>10</v>
      </c>
      <c r="T2" s="1">
        <v>10</v>
      </c>
      <c r="U2" s="1">
        <v>100</v>
      </c>
      <c r="V2" s="1">
        <v>10</v>
      </c>
      <c r="W2" s="1">
        <v>10</v>
      </c>
      <c r="X2" s="1">
        <v>10</v>
      </c>
      <c r="Y2" s="1">
        <v>10</v>
      </c>
      <c r="Z2" s="1">
        <v>10000</v>
      </c>
      <c r="AA2" s="1">
        <v>100</v>
      </c>
      <c r="AB2" s="1">
        <v>10</v>
      </c>
      <c r="AC2" s="1">
        <v>100</v>
      </c>
      <c r="AD2" s="1">
        <v>10</v>
      </c>
      <c r="AE2" s="1">
        <v>10</v>
      </c>
      <c r="AF2" s="1">
        <v>100</v>
      </c>
      <c r="AG2" s="1">
        <v>100</v>
      </c>
      <c r="AH2" s="1">
        <v>10</v>
      </c>
      <c r="AI2" s="1">
        <v>10</v>
      </c>
    </row>
    <row r="3" spans="1:38" ht="18" customHeight="1" thickBot="1" x14ac:dyDescent="0.3">
      <c r="B3" s="4" t="s">
        <v>1</v>
      </c>
      <c r="C3" s="5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90" t="s">
        <v>7</v>
      </c>
      <c r="I3" s="91"/>
      <c r="J3" s="92"/>
      <c r="K3" s="86" t="s">
        <v>8</v>
      </c>
      <c r="L3" s="86" t="s">
        <v>9</v>
      </c>
      <c r="M3" s="86" t="s">
        <v>10</v>
      </c>
      <c r="N3" s="88" t="s">
        <v>11</v>
      </c>
      <c r="O3" s="78" t="s">
        <v>12</v>
      </c>
      <c r="P3" s="78" t="s">
        <v>13</v>
      </c>
      <c r="Q3" s="80" t="s">
        <v>14</v>
      </c>
      <c r="R3" s="78" t="s">
        <v>15</v>
      </c>
      <c r="S3" s="80" t="s">
        <v>16</v>
      </c>
      <c r="T3" s="82" t="s">
        <v>17</v>
      </c>
      <c r="U3" s="78" t="s">
        <v>18</v>
      </c>
      <c r="V3" s="78" t="s">
        <v>19</v>
      </c>
      <c r="W3" s="78" t="s">
        <v>20</v>
      </c>
      <c r="X3" s="80" t="s">
        <v>21</v>
      </c>
      <c r="Y3" s="82" t="s">
        <v>22</v>
      </c>
      <c r="Z3" s="80" t="s">
        <v>23</v>
      </c>
      <c r="AA3" s="84" t="s">
        <v>24</v>
      </c>
      <c r="AB3" s="78" t="s">
        <v>25</v>
      </c>
      <c r="AC3" s="80" t="s">
        <v>26</v>
      </c>
      <c r="AD3" s="82" t="s">
        <v>27</v>
      </c>
      <c r="AE3" s="78" t="s">
        <v>28</v>
      </c>
      <c r="AF3" s="82" t="s">
        <v>29</v>
      </c>
      <c r="AG3" s="78" t="s">
        <v>30</v>
      </c>
      <c r="AH3" s="78" t="s">
        <v>31</v>
      </c>
      <c r="AI3" s="78" t="s">
        <v>32</v>
      </c>
      <c r="AJ3" s="78" t="s">
        <v>33</v>
      </c>
      <c r="AK3" s="74" t="s">
        <v>34</v>
      </c>
      <c r="AL3" s="76" t="s">
        <v>35</v>
      </c>
    </row>
    <row r="4" spans="1:38" s="6" customFormat="1" ht="31.5" customHeight="1" thickBot="1" x14ac:dyDescent="0.3">
      <c r="B4" s="7"/>
      <c r="C4" s="8"/>
      <c r="D4" s="87"/>
      <c r="E4" s="87"/>
      <c r="F4" s="87"/>
      <c r="G4" s="87"/>
      <c r="H4" s="9" t="s">
        <v>36</v>
      </c>
      <c r="I4" s="9" t="s">
        <v>37</v>
      </c>
      <c r="J4" s="10" t="s">
        <v>38</v>
      </c>
      <c r="K4" s="87"/>
      <c r="L4" s="87"/>
      <c r="M4" s="87"/>
      <c r="N4" s="89"/>
      <c r="O4" s="79"/>
      <c r="P4" s="79"/>
      <c r="Q4" s="81"/>
      <c r="R4" s="79"/>
      <c r="S4" s="81"/>
      <c r="T4" s="83"/>
      <c r="U4" s="79"/>
      <c r="V4" s="79"/>
      <c r="W4" s="79"/>
      <c r="X4" s="81"/>
      <c r="Y4" s="83"/>
      <c r="Z4" s="81"/>
      <c r="AA4" s="85"/>
      <c r="AB4" s="79"/>
      <c r="AC4" s="81"/>
      <c r="AD4" s="83"/>
      <c r="AE4" s="79"/>
      <c r="AF4" s="83"/>
      <c r="AG4" s="79"/>
      <c r="AH4" s="79"/>
      <c r="AI4" s="79"/>
      <c r="AJ4" s="79"/>
      <c r="AK4" s="75"/>
      <c r="AL4" s="77"/>
    </row>
    <row r="5" spans="1:38" x14ac:dyDescent="0.25">
      <c r="A5" s="11"/>
      <c r="B5" s="12" t="s">
        <v>39</v>
      </c>
      <c r="C5" s="13">
        <v>42356</v>
      </c>
      <c r="D5" s="14" t="s">
        <v>40</v>
      </c>
      <c r="E5" s="15" t="s">
        <v>41</v>
      </c>
      <c r="F5" s="15">
        <v>16</v>
      </c>
      <c r="G5" s="15">
        <v>0.22</v>
      </c>
      <c r="H5" s="15">
        <v>110</v>
      </c>
      <c r="I5" s="16">
        <v>50</v>
      </c>
      <c r="J5" s="15"/>
      <c r="K5" s="15">
        <v>5</v>
      </c>
      <c r="L5" s="17" t="s">
        <v>42</v>
      </c>
      <c r="M5" s="17"/>
      <c r="N5" s="18">
        <f>F5*1000*227000</f>
        <v>3632000000</v>
      </c>
      <c r="O5" s="19"/>
      <c r="P5" s="20">
        <f>1.88*1000*F5</f>
        <v>30080</v>
      </c>
      <c r="Q5" s="21">
        <f>42.5*1000*F5</f>
        <v>680000</v>
      </c>
      <c r="R5" s="22"/>
      <c r="S5" s="21">
        <f>0.57*1000*F5</f>
        <v>9120</v>
      </c>
      <c r="T5" s="22"/>
      <c r="U5" s="20"/>
      <c r="V5" s="23"/>
      <c r="W5" s="19"/>
      <c r="X5" s="19">
        <f>3.44*1000*F5</f>
        <v>55040</v>
      </c>
      <c r="Y5" s="19"/>
      <c r="Z5" s="19">
        <f>F5*1000*42.5</f>
        <v>680000</v>
      </c>
      <c r="AA5" s="19">
        <f>1000*29.8*F5</f>
        <v>476800</v>
      </c>
      <c r="AB5" s="19"/>
      <c r="AC5" s="19"/>
      <c r="AD5" s="19"/>
      <c r="AE5" s="19"/>
      <c r="AF5" s="19"/>
      <c r="AG5" s="21"/>
      <c r="AH5" s="24"/>
      <c r="AI5" s="24"/>
      <c r="AJ5" s="24"/>
      <c r="AK5" s="69">
        <f>SUM(N5:AJ5)</f>
        <v>3633931040</v>
      </c>
      <c r="AL5" s="69">
        <f>AK5/(F5*1000)</f>
        <v>227120.69</v>
      </c>
    </row>
    <row r="6" spans="1:38" ht="15" hidden="1" customHeight="1" x14ac:dyDescent="0.25">
      <c r="A6" s="11"/>
      <c r="B6" s="25"/>
      <c r="C6" s="26"/>
      <c r="D6" s="14"/>
      <c r="E6" s="15"/>
      <c r="F6" s="15"/>
      <c r="G6" s="15"/>
      <c r="H6" s="15"/>
      <c r="I6" s="15"/>
      <c r="J6" s="15"/>
      <c r="K6" s="15"/>
      <c r="L6" s="17"/>
      <c r="M6" s="17"/>
      <c r="N6" s="18">
        <f>N5/($F5*1000)</f>
        <v>227000</v>
      </c>
      <c r="O6" s="27"/>
      <c r="P6" s="28">
        <f t="shared" ref="P6:AG6" si="0">P5/($F5*1000)</f>
        <v>1.88</v>
      </c>
      <c r="Q6" s="28">
        <f t="shared" si="0"/>
        <v>42.5</v>
      </c>
      <c r="R6" s="28">
        <f t="shared" si="0"/>
        <v>0</v>
      </c>
      <c r="S6" s="28">
        <f t="shared" si="0"/>
        <v>0.56999999999999995</v>
      </c>
      <c r="T6" s="28">
        <f t="shared" si="0"/>
        <v>0</v>
      </c>
      <c r="U6" s="28">
        <f t="shared" si="0"/>
        <v>0</v>
      </c>
      <c r="V6" s="28">
        <f t="shared" si="0"/>
        <v>0</v>
      </c>
      <c r="W6" s="28">
        <f t="shared" si="0"/>
        <v>0</v>
      </c>
      <c r="X6" s="28">
        <f t="shared" si="0"/>
        <v>3.44</v>
      </c>
      <c r="Y6" s="28">
        <f t="shared" si="0"/>
        <v>0</v>
      </c>
      <c r="Z6" s="28">
        <f t="shared" si="0"/>
        <v>42.5</v>
      </c>
      <c r="AA6" s="28">
        <f t="shared" si="0"/>
        <v>29.8</v>
      </c>
      <c r="AB6" s="28">
        <f t="shared" si="0"/>
        <v>0</v>
      </c>
      <c r="AC6" s="28">
        <f t="shared" si="0"/>
        <v>0</v>
      </c>
      <c r="AD6" s="28">
        <f t="shared" si="0"/>
        <v>0</v>
      </c>
      <c r="AE6" s="28">
        <f t="shared" si="0"/>
        <v>0</v>
      </c>
      <c r="AF6" s="28">
        <f t="shared" si="0"/>
        <v>0</v>
      </c>
      <c r="AG6" s="28">
        <f t="shared" si="0"/>
        <v>0</v>
      </c>
      <c r="AH6" s="29"/>
      <c r="AI6" s="29"/>
      <c r="AJ6" s="29"/>
      <c r="AK6" s="59"/>
      <c r="AL6" s="59"/>
    </row>
    <row r="7" spans="1:38" ht="15.75" hidden="1" customHeight="1" x14ac:dyDescent="0.25">
      <c r="A7" s="11"/>
      <c r="B7" s="25"/>
      <c r="C7" s="26"/>
      <c r="D7" s="14"/>
      <c r="E7" s="15"/>
      <c r="F7" s="15"/>
      <c r="G7" s="15"/>
      <c r="H7" s="15"/>
      <c r="I7" s="15"/>
      <c r="J7" s="15"/>
      <c r="K7" s="15"/>
      <c r="L7" s="17"/>
      <c r="M7" s="17"/>
      <c r="N7" s="18">
        <f>N6/N$2</f>
        <v>0.22700000000000001</v>
      </c>
      <c r="O7" s="27"/>
      <c r="P7" s="28">
        <f>P6/P$2</f>
        <v>0.188</v>
      </c>
      <c r="Q7" s="28">
        <f>Q6/Q$2</f>
        <v>4.25</v>
      </c>
      <c r="R7" s="28">
        <f>R6/R$2</f>
        <v>0</v>
      </c>
      <c r="S7" s="28">
        <f>S6/S$2</f>
        <v>5.6999999999999995E-2</v>
      </c>
      <c r="T7" s="27"/>
      <c r="U7" s="28">
        <f t="shared" ref="U7:AG7" si="1">U6/U$2</f>
        <v>0</v>
      </c>
      <c r="V7" s="28">
        <f t="shared" si="1"/>
        <v>0</v>
      </c>
      <c r="W7" s="28">
        <f t="shared" si="1"/>
        <v>0</v>
      </c>
      <c r="X7" s="28">
        <f t="shared" si="1"/>
        <v>0.34399999999999997</v>
      </c>
      <c r="Y7" s="28">
        <f t="shared" si="1"/>
        <v>0</v>
      </c>
      <c r="Z7" s="28">
        <f t="shared" si="1"/>
        <v>4.2500000000000003E-3</v>
      </c>
      <c r="AA7" s="28">
        <f t="shared" si="1"/>
        <v>0.29799999999999999</v>
      </c>
      <c r="AB7" s="28">
        <f t="shared" si="1"/>
        <v>0</v>
      </c>
      <c r="AC7" s="28">
        <f t="shared" si="1"/>
        <v>0</v>
      </c>
      <c r="AD7" s="28">
        <f t="shared" si="1"/>
        <v>0</v>
      </c>
      <c r="AE7" s="28">
        <f t="shared" si="1"/>
        <v>0</v>
      </c>
      <c r="AF7" s="28">
        <f t="shared" si="1"/>
        <v>0</v>
      </c>
      <c r="AG7" s="28">
        <f t="shared" si="1"/>
        <v>0</v>
      </c>
      <c r="AH7" s="29"/>
      <c r="AI7" s="29"/>
      <c r="AJ7" s="29"/>
      <c r="AK7" s="59"/>
      <c r="AL7" s="59"/>
    </row>
    <row r="8" spans="1:38" ht="15.75" customHeight="1" x14ac:dyDescent="0.25">
      <c r="A8" s="11"/>
      <c r="B8" s="25" t="s">
        <v>43</v>
      </c>
      <c r="C8" s="13">
        <v>42356</v>
      </c>
      <c r="D8" s="14" t="s">
        <v>40</v>
      </c>
      <c r="E8" s="32" t="s">
        <v>121</v>
      </c>
      <c r="F8" s="15">
        <v>18</v>
      </c>
      <c r="G8" s="15">
        <v>0.12</v>
      </c>
      <c r="H8" s="15">
        <v>85</v>
      </c>
      <c r="I8" s="15">
        <v>50</v>
      </c>
      <c r="J8" s="15"/>
      <c r="K8" s="15">
        <v>1</v>
      </c>
      <c r="L8" s="17" t="s">
        <v>42</v>
      </c>
      <c r="M8" s="17"/>
      <c r="N8" s="18">
        <f>F8*1000*981000</f>
        <v>17658000000</v>
      </c>
      <c r="O8" s="19"/>
      <c r="P8" s="19">
        <f>F8*1000*0.116</f>
        <v>2088</v>
      </c>
      <c r="Q8" s="19">
        <f>F8*0.74*1000</f>
        <v>13320</v>
      </c>
      <c r="R8" s="19"/>
      <c r="S8" s="19">
        <f>F8*1000*0.33</f>
        <v>5940</v>
      </c>
      <c r="T8" s="19"/>
      <c r="U8" s="19"/>
      <c r="V8" s="19"/>
      <c r="W8" s="19"/>
      <c r="X8" s="19">
        <f>F8*1000*2.64</f>
        <v>47520</v>
      </c>
      <c r="Y8" s="19">
        <f>F8*1000*0.685</f>
        <v>12330.000000000002</v>
      </c>
      <c r="Z8" s="19">
        <f>F8*1000*1.85</f>
        <v>33300</v>
      </c>
      <c r="AA8" s="19">
        <f>0.117*1000*F8</f>
        <v>2106</v>
      </c>
      <c r="AB8" s="19"/>
      <c r="AC8" s="19"/>
      <c r="AD8" s="19"/>
      <c r="AE8" s="19"/>
      <c r="AF8" s="19"/>
      <c r="AG8" s="19"/>
      <c r="AH8" s="19"/>
      <c r="AI8" s="19"/>
      <c r="AJ8" s="19"/>
      <c r="AK8" s="59">
        <f>SUM(N8:AJ8)</f>
        <v>17658116604</v>
      </c>
      <c r="AL8" s="59">
        <f>AK8/(F8*1000)</f>
        <v>981006.478</v>
      </c>
    </row>
    <row r="9" spans="1:38" ht="15" hidden="1" customHeight="1" x14ac:dyDescent="0.25">
      <c r="A9" s="11"/>
      <c r="B9" s="30"/>
      <c r="C9" s="13">
        <v>42307</v>
      </c>
      <c r="D9" s="14"/>
      <c r="E9" s="15"/>
      <c r="F9" s="15"/>
      <c r="G9" s="15"/>
      <c r="H9" s="15"/>
      <c r="I9" s="15"/>
      <c r="J9" s="15"/>
      <c r="K9" s="15"/>
      <c r="L9" s="17" t="s">
        <v>42</v>
      </c>
      <c r="M9" s="17"/>
      <c r="N9" s="18">
        <f>N8/($F8*1000)</f>
        <v>981000</v>
      </c>
      <c r="O9" s="19"/>
      <c r="P9" s="19">
        <f t="shared" ref="P9:AG9" si="2">P8/($F8*1000)</f>
        <v>0.11600000000000001</v>
      </c>
      <c r="Q9" s="19">
        <f t="shared" si="2"/>
        <v>0.74</v>
      </c>
      <c r="R9" s="19">
        <f t="shared" si="2"/>
        <v>0</v>
      </c>
      <c r="S9" s="19">
        <f t="shared" si="2"/>
        <v>0.33</v>
      </c>
      <c r="T9" s="19">
        <f t="shared" si="2"/>
        <v>0</v>
      </c>
      <c r="U9" s="19">
        <f t="shared" si="2"/>
        <v>0</v>
      </c>
      <c r="V9" s="19">
        <f t="shared" si="2"/>
        <v>0</v>
      </c>
      <c r="W9" s="19">
        <f t="shared" si="2"/>
        <v>0</v>
      </c>
      <c r="X9" s="19">
        <f t="shared" si="2"/>
        <v>2.64</v>
      </c>
      <c r="Y9" s="19">
        <f t="shared" si="2"/>
        <v>0.68500000000000005</v>
      </c>
      <c r="Z9" s="19">
        <f t="shared" si="2"/>
        <v>1.85</v>
      </c>
      <c r="AA9" s="19">
        <f t="shared" si="2"/>
        <v>0.11700000000000001</v>
      </c>
      <c r="AB9" s="19">
        <f t="shared" si="2"/>
        <v>0</v>
      </c>
      <c r="AC9" s="19">
        <f t="shared" si="2"/>
        <v>0</v>
      </c>
      <c r="AD9" s="19">
        <f t="shared" si="2"/>
        <v>0</v>
      </c>
      <c r="AE9" s="19">
        <f t="shared" si="2"/>
        <v>0</v>
      </c>
      <c r="AF9" s="19">
        <f t="shared" si="2"/>
        <v>0</v>
      </c>
      <c r="AG9" s="19">
        <f t="shared" si="2"/>
        <v>0</v>
      </c>
      <c r="AH9" s="19"/>
      <c r="AI9" s="19"/>
      <c r="AJ9" s="19"/>
      <c r="AK9" s="59"/>
      <c r="AL9" s="59"/>
    </row>
    <row r="10" spans="1:38" ht="15" hidden="1" customHeight="1" x14ac:dyDescent="0.25">
      <c r="A10" s="11"/>
      <c r="B10" s="30"/>
      <c r="C10" s="13">
        <v>42307</v>
      </c>
      <c r="D10" s="14"/>
      <c r="E10" s="15"/>
      <c r="F10" s="15"/>
      <c r="G10" s="15"/>
      <c r="H10" s="15"/>
      <c r="I10" s="15"/>
      <c r="J10" s="15"/>
      <c r="K10" s="15"/>
      <c r="L10" s="17" t="s">
        <v>42</v>
      </c>
      <c r="M10" s="17"/>
      <c r="N10" s="18">
        <f>N9/N$2</f>
        <v>0.98099999999999998</v>
      </c>
      <c r="O10" s="19"/>
      <c r="P10" s="19">
        <f>P9/P$2</f>
        <v>1.1600000000000001E-2</v>
      </c>
      <c r="Q10" s="19">
        <f>Q9/Q$2</f>
        <v>7.3999999999999996E-2</v>
      </c>
      <c r="R10" s="19">
        <f>R9/R$2</f>
        <v>0</v>
      </c>
      <c r="S10" s="19">
        <f>S9/S$2</f>
        <v>3.3000000000000002E-2</v>
      </c>
      <c r="T10" s="19"/>
      <c r="U10" s="19">
        <f t="shared" ref="U10:AG10" si="3">U9/U$2</f>
        <v>0</v>
      </c>
      <c r="V10" s="19">
        <f t="shared" si="3"/>
        <v>0</v>
      </c>
      <c r="W10" s="19">
        <f t="shared" si="3"/>
        <v>0</v>
      </c>
      <c r="X10" s="19">
        <f t="shared" si="3"/>
        <v>0.26400000000000001</v>
      </c>
      <c r="Y10" s="19">
        <f t="shared" si="3"/>
        <v>6.8500000000000005E-2</v>
      </c>
      <c r="Z10" s="19">
        <f t="shared" si="3"/>
        <v>1.85E-4</v>
      </c>
      <c r="AA10" s="19">
        <f t="shared" si="3"/>
        <v>1.17E-3</v>
      </c>
      <c r="AB10" s="19">
        <f t="shared" si="3"/>
        <v>0</v>
      </c>
      <c r="AC10" s="19">
        <f t="shared" si="3"/>
        <v>0</v>
      </c>
      <c r="AD10" s="19">
        <f t="shared" si="3"/>
        <v>0</v>
      </c>
      <c r="AE10" s="19">
        <f t="shared" si="3"/>
        <v>0</v>
      </c>
      <c r="AF10" s="19">
        <f t="shared" si="3"/>
        <v>0</v>
      </c>
      <c r="AG10" s="19">
        <f t="shared" si="3"/>
        <v>0</v>
      </c>
      <c r="AH10" s="19"/>
      <c r="AI10" s="19"/>
      <c r="AJ10" s="19"/>
      <c r="AK10" s="59"/>
      <c r="AL10" s="59">
        <f>SUM(N10:Q10)</f>
        <v>1.0666</v>
      </c>
    </row>
    <row r="11" spans="1:38" x14ac:dyDescent="0.25">
      <c r="A11" s="11"/>
      <c r="B11" s="25" t="s">
        <v>44</v>
      </c>
      <c r="C11" s="13">
        <v>42356</v>
      </c>
      <c r="D11" s="14" t="s">
        <v>40</v>
      </c>
      <c r="E11" s="15" t="s">
        <v>45</v>
      </c>
      <c r="F11" s="31">
        <v>3.5</v>
      </c>
      <c r="G11" s="15">
        <v>0.12</v>
      </c>
      <c r="H11" s="15">
        <v>85</v>
      </c>
      <c r="I11" s="15">
        <v>45</v>
      </c>
      <c r="J11" s="15"/>
      <c r="K11" s="15">
        <v>1</v>
      </c>
      <c r="L11" s="17" t="s">
        <v>42</v>
      </c>
      <c r="M11" s="17"/>
      <c r="N11" s="18">
        <f>F11*1000*21500</f>
        <v>75250000</v>
      </c>
      <c r="O11" s="19"/>
      <c r="P11" s="19"/>
      <c r="Q11" s="19">
        <f>F11*1000*4.03</f>
        <v>14105</v>
      </c>
      <c r="R11" s="19"/>
      <c r="S11" s="19">
        <f>F11*1000*1.33</f>
        <v>4655</v>
      </c>
      <c r="T11" s="19"/>
      <c r="U11" s="19"/>
      <c r="V11" s="19"/>
      <c r="W11" s="19"/>
      <c r="X11" s="19">
        <f>F11*1000*0.952</f>
        <v>3332</v>
      </c>
      <c r="Y11" s="19"/>
      <c r="Z11" s="19">
        <f>F11*1000*4.03</f>
        <v>14105</v>
      </c>
      <c r="AA11" s="19">
        <f>F11*1000*2.82</f>
        <v>9870</v>
      </c>
      <c r="AB11" s="19"/>
      <c r="AC11" s="19"/>
      <c r="AD11" s="19"/>
      <c r="AE11" s="19"/>
      <c r="AF11" s="19"/>
      <c r="AG11" s="19"/>
      <c r="AH11" s="19"/>
      <c r="AI11" s="19"/>
      <c r="AJ11" s="19"/>
      <c r="AK11" s="59">
        <f>SUM(N11:AJ11)</f>
        <v>75296067</v>
      </c>
      <c r="AL11" s="59">
        <f>AK11/(F11*1000)</f>
        <v>21513.162</v>
      </c>
    </row>
    <row r="12" spans="1:38" ht="15" hidden="1" customHeight="1" x14ac:dyDescent="0.25">
      <c r="A12" s="11"/>
      <c r="B12" s="25"/>
      <c r="C12" s="13">
        <v>42356</v>
      </c>
      <c r="D12" s="14"/>
      <c r="E12" s="15"/>
      <c r="F12" s="31"/>
      <c r="G12" s="15"/>
      <c r="H12" s="15"/>
      <c r="I12" s="15"/>
      <c r="J12" s="15"/>
      <c r="K12" s="15"/>
      <c r="L12" s="17"/>
      <c r="M12" s="17"/>
      <c r="N12" s="18">
        <f>N11/($F11*1000)</f>
        <v>21500</v>
      </c>
      <c r="O12" s="19"/>
      <c r="P12" s="19">
        <f t="shared" ref="P12:AG12" si="4">P11/($F11*1000)</f>
        <v>0</v>
      </c>
      <c r="Q12" s="19">
        <f t="shared" si="4"/>
        <v>4.03</v>
      </c>
      <c r="R12" s="19">
        <f t="shared" si="4"/>
        <v>0</v>
      </c>
      <c r="S12" s="19">
        <f t="shared" si="4"/>
        <v>1.33</v>
      </c>
      <c r="T12" s="19">
        <f t="shared" si="4"/>
        <v>0</v>
      </c>
      <c r="U12" s="19">
        <f t="shared" si="4"/>
        <v>0</v>
      </c>
      <c r="V12" s="19">
        <f t="shared" si="4"/>
        <v>0</v>
      </c>
      <c r="W12" s="19">
        <f t="shared" si="4"/>
        <v>0</v>
      </c>
      <c r="X12" s="19">
        <f t="shared" si="4"/>
        <v>0.95199999999999996</v>
      </c>
      <c r="Y12" s="19">
        <f t="shared" si="4"/>
        <v>0</v>
      </c>
      <c r="Z12" s="19">
        <f t="shared" si="4"/>
        <v>4.03</v>
      </c>
      <c r="AA12" s="19">
        <f t="shared" si="4"/>
        <v>2.82</v>
      </c>
      <c r="AB12" s="19">
        <f t="shared" si="4"/>
        <v>0</v>
      </c>
      <c r="AC12" s="19">
        <f t="shared" si="4"/>
        <v>0</v>
      </c>
      <c r="AD12" s="19">
        <f t="shared" si="4"/>
        <v>0</v>
      </c>
      <c r="AE12" s="19">
        <f t="shared" si="4"/>
        <v>0</v>
      </c>
      <c r="AF12" s="19">
        <f t="shared" si="4"/>
        <v>0</v>
      </c>
      <c r="AG12" s="19">
        <f t="shared" si="4"/>
        <v>0</v>
      </c>
      <c r="AH12" s="19"/>
      <c r="AI12" s="19"/>
      <c r="AJ12" s="19"/>
      <c r="AK12" s="59"/>
      <c r="AL12" s="59"/>
    </row>
    <row r="13" spans="1:38" ht="15" hidden="1" customHeight="1" x14ac:dyDescent="0.25">
      <c r="A13" s="11"/>
      <c r="B13" s="25"/>
      <c r="C13" s="13">
        <v>42356</v>
      </c>
      <c r="D13" s="14"/>
      <c r="E13" s="15"/>
      <c r="F13" s="31"/>
      <c r="G13" s="15"/>
      <c r="H13" s="15"/>
      <c r="I13" s="15"/>
      <c r="J13" s="15"/>
      <c r="K13" s="15"/>
      <c r="L13" s="17"/>
      <c r="M13" s="17"/>
      <c r="N13" s="18">
        <f>N12/N$2</f>
        <v>2.1499999999999998E-2</v>
      </c>
      <c r="O13" s="19"/>
      <c r="P13" s="19">
        <f>P12/P$2</f>
        <v>0</v>
      </c>
      <c r="Q13" s="19">
        <f>Q12/Q$2</f>
        <v>0.40300000000000002</v>
      </c>
      <c r="R13" s="19">
        <f>R12/R$2</f>
        <v>0</v>
      </c>
      <c r="S13" s="19">
        <f>S12/S$2</f>
        <v>0.13300000000000001</v>
      </c>
      <c r="T13" s="19"/>
      <c r="U13" s="19">
        <f t="shared" ref="U13:AG13" si="5">U12/U$2</f>
        <v>0</v>
      </c>
      <c r="V13" s="19">
        <f t="shared" si="5"/>
        <v>0</v>
      </c>
      <c r="W13" s="19">
        <f t="shared" si="5"/>
        <v>0</v>
      </c>
      <c r="X13" s="19">
        <f t="shared" si="5"/>
        <v>9.5199999999999993E-2</v>
      </c>
      <c r="Y13" s="19">
        <f t="shared" si="5"/>
        <v>0</v>
      </c>
      <c r="Z13" s="19">
        <f t="shared" si="5"/>
        <v>4.0300000000000004E-4</v>
      </c>
      <c r="AA13" s="19">
        <f t="shared" si="5"/>
        <v>2.8199999999999999E-2</v>
      </c>
      <c r="AB13" s="19">
        <f t="shared" si="5"/>
        <v>0</v>
      </c>
      <c r="AC13" s="19">
        <f t="shared" si="5"/>
        <v>0</v>
      </c>
      <c r="AD13" s="19">
        <f t="shared" si="5"/>
        <v>0</v>
      </c>
      <c r="AE13" s="19">
        <f t="shared" si="5"/>
        <v>0</v>
      </c>
      <c r="AF13" s="19">
        <f t="shared" si="5"/>
        <v>0</v>
      </c>
      <c r="AG13" s="19">
        <f t="shared" si="5"/>
        <v>0</v>
      </c>
      <c r="AH13" s="19"/>
      <c r="AI13" s="19"/>
      <c r="AJ13" s="19"/>
      <c r="AK13" s="59"/>
      <c r="AL13" s="59"/>
    </row>
    <row r="14" spans="1:38" s="57" customFormat="1" x14ac:dyDescent="0.25">
      <c r="A14" s="55"/>
      <c r="B14" s="71" t="s">
        <v>46</v>
      </c>
      <c r="C14" s="72">
        <v>42356</v>
      </c>
      <c r="D14" s="73" t="s">
        <v>40</v>
      </c>
      <c r="E14" s="32" t="s">
        <v>47</v>
      </c>
      <c r="F14" s="66">
        <v>10.5</v>
      </c>
      <c r="G14" s="32">
        <v>0.12</v>
      </c>
      <c r="H14" s="32">
        <v>85</v>
      </c>
      <c r="I14" s="32">
        <v>45</v>
      </c>
      <c r="J14" s="32"/>
      <c r="K14" s="32">
        <v>1</v>
      </c>
      <c r="L14" s="67" t="s">
        <v>42</v>
      </c>
      <c r="M14" s="67"/>
      <c r="N14" s="65">
        <f>F14*1000*1050000</f>
        <v>11025000000</v>
      </c>
      <c r="O14" s="64"/>
      <c r="P14" s="64">
        <f>0.0574*1000*F14</f>
        <v>602.69999999999993</v>
      </c>
      <c r="Q14" s="64">
        <f>F14*1000*0.789</f>
        <v>8284.5</v>
      </c>
      <c r="R14" s="64"/>
      <c r="S14" s="64">
        <f>F14*1000*0.789</f>
        <v>8284.5</v>
      </c>
      <c r="T14" s="64"/>
      <c r="U14" s="64"/>
      <c r="V14" s="64"/>
      <c r="W14" s="64"/>
      <c r="X14" s="64">
        <f>0.146*1000*F14</f>
        <v>1533</v>
      </c>
      <c r="Y14" s="64">
        <f>0.31*1000*F14</f>
        <v>3255</v>
      </c>
      <c r="Z14" s="64">
        <f>1.97*1000*F14</f>
        <v>20685</v>
      </c>
      <c r="AA14" s="64">
        <f>0.124*1000*F14</f>
        <v>1302</v>
      </c>
      <c r="AB14" s="64"/>
      <c r="AC14" s="64">
        <f>0.0395*1000*F14</f>
        <v>414.75</v>
      </c>
      <c r="AD14" s="56"/>
      <c r="AE14" s="56"/>
      <c r="AF14" s="56"/>
      <c r="AG14" s="56"/>
      <c r="AH14" s="56"/>
      <c r="AI14" s="56"/>
      <c r="AJ14" s="56"/>
      <c r="AK14" s="59">
        <f>SUM(N14:AJ14)</f>
        <v>11025044361.450001</v>
      </c>
      <c r="AL14" s="59">
        <f>AK14/(F17*1000)</f>
        <v>22050088.722900003</v>
      </c>
    </row>
    <row r="15" spans="1:38" ht="15" hidden="1" customHeight="1" x14ac:dyDescent="0.25">
      <c r="A15" s="11"/>
      <c r="B15" s="71"/>
      <c r="C15" s="72">
        <v>42356</v>
      </c>
      <c r="D15" s="73"/>
      <c r="E15" s="32"/>
      <c r="F15" s="66"/>
      <c r="G15" s="32"/>
      <c r="H15" s="32"/>
      <c r="I15" s="32"/>
      <c r="J15" s="32"/>
      <c r="K15" s="32"/>
      <c r="L15" s="67"/>
      <c r="M15" s="67"/>
      <c r="N15" s="65">
        <f>N14/($F14*1000)</f>
        <v>1050000</v>
      </c>
      <c r="O15" s="64"/>
      <c r="P15" s="64">
        <f t="shared" ref="P15:AG15" si="6">P14/($F14*1000)</f>
        <v>5.7399999999999993E-2</v>
      </c>
      <c r="Q15" s="64">
        <f t="shared" si="6"/>
        <v>0.78900000000000003</v>
      </c>
      <c r="R15" s="64">
        <f t="shared" si="6"/>
        <v>0</v>
      </c>
      <c r="S15" s="64">
        <f t="shared" si="6"/>
        <v>0.78900000000000003</v>
      </c>
      <c r="T15" s="64">
        <f t="shared" si="6"/>
        <v>0</v>
      </c>
      <c r="U15" s="64">
        <f t="shared" si="6"/>
        <v>0</v>
      </c>
      <c r="V15" s="64">
        <f t="shared" si="6"/>
        <v>0</v>
      </c>
      <c r="W15" s="64">
        <f t="shared" si="6"/>
        <v>0</v>
      </c>
      <c r="X15" s="64">
        <f t="shared" si="6"/>
        <v>0.14599999999999999</v>
      </c>
      <c r="Y15" s="64">
        <f t="shared" si="6"/>
        <v>0.31</v>
      </c>
      <c r="Z15" s="64">
        <f t="shared" si="6"/>
        <v>1.97</v>
      </c>
      <c r="AA15" s="64">
        <f t="shared" si="6"/>
        <v>0.124</v>
      </c>
      <c r="AB15" s="64">
        <f t="shared" si="6"/>
        <v>0</v>
      </c>
      <c r="AC15" s="64">
        <f t="shared" si="6"/>
        <v>3.95E-2</v>
      </c>
      <c r="AD15" s="19">
        <f t="shared" si="6"/>
        <v>0</v>
      </c>
      <c r="AE15" s="19">
        <f t="shared" si="6"/>
        <v>0</v>
      </c>
      <c r="AF15" s="19">
        <f t="shared" si="6"/>
        <v>0</v>
      </c>
      <c r="AG15" s="19">
        <f t="shared" si="6"/>
        <v>0</v>
      </c>
      <c r="AH15" s="19"/>
      <c r="AI15" s="19"/>
      <c r="AJ15" s="19"/>
      <c r="AK15" s="59"/>
      <c r="AL15" s="59"/>
    </row>
    <row r="16" spans="1:38" ht="15" hidden="1" customHeight="1" x14ac:dyDescent="0.25">
      <c r="A16" s="11"/>
      <c r="B16" s="71"/>
      <c r="C16" s="72">
        <v>42356</v>
      </c>
      <c r="D16" s="73"/>
      <c r="E16" s="32"/>
      <c r="F16" s="66"/>
      <c r="G16" s="32"/>
      <c r="H16" s="32"/>
      <c r="I16" s="32"/>
      <c r="J16" s="32"/>
      <c r="K16" s="32"/>
      <c r="L16" s="67"/>
      <c r="M16" s="67"/>
      <c r="N16" s="65">
        <f>N15/N$2</f>
        <v>1.05</v>
      </c>
      <c r="O16" s="64"/>
      <c r="P16" s="64">
        <f>P15/P$2</f>
        <v>5.7399999999999994E-3</v>
      </c>
      <c r="Q16" s="64">
        <f>Q15/Q$2</f>
        <v>7.8899999999999998E-2</v>
      </c>
      <c r="R16" s="64">
        <f>R15/R$2</f>
        <v>0</v>
      </c>
      <c r="S16" s="64">
        <f>S15/S$2</f>
        <v>7.8899999999999998E-2</v>
      </c>
      <c r="T16" s="64"/>
      <c r="U16" s="64">
        <f t="shared" ref="U16:AG16" si="7">U15/U$2</f>
        <v>0</v>
      </c>
      <c r="V16" s="64">
        <f t="shared" si="7"/>
        <v>0</v>
      </c>
      <c r="W16" s="64">
        <f t="shared" si="7"/>
        <v>0</v>
      </c>
      <c r="X16" s="64">
        <f t="shared" si="7"/>
        <v>1.4599999999999998E-2</v>
      </c>
      <c r="Y16" s="64">
        <f t="shared" si="7"/>
        <v>3.1E-2</v>
      </c>
      <c r="Z16" s="64">
        <f t="shared" si="7"/>
        <v>1.9699999999999999E-4</v>
      </c>
      <c r="AA16" s="64">
        <f t="shared" si="7"/>
        <v>1.24E-3</v>
      </c>
      <c r="AB16" s="64">
        <f t="shared" si="7"/>
        <v>0</v>
      </c>
      <c r="AC16" s="64">
        <f t="shared" si="7"/>
        <v>3.9500000000000001E-4</v>
      </c>
      <c r="AD16" s="19">
        <f t="shared" si="7"/>
        <v>0</v>
      </c>
      <c r="AE16" s="19">
        <f t="shared" si="7"/>
        <v>0</v>
      </c>
      <c r="AF16" s="19">
        <f t="shared" si="7"/>
        <v>0</v>
      </c>
      <c r="AG16" s="19">
        <f t="shared" si="7"/>
        <v>0</v>
      </c>
      <c r="AH16" s="19"/>
      <c r="AI16" s="19"/>
      <c r="AJ16" s="19"/>
      <c r="AK16" s="59"/>
      <c r="AL16" s="59"/>
    </row>
    <row r="17" spans="1:38" x14ac:dyDescent="0.25">
      <c r="A17" s="11"/>
      <c r="B17" s="71" t="s">
        <v>48</v>
      </c>
      <c r="C17" s="72">
        <v>42356</v>
      </c>
      <c r="D17" s="73" t="s">
        <v>40</v>
      </c>
      <c r="E17" s="32" t="s">
        <v>49</v>
      </c>
      <c r="F17" s="66">
        <v>0.5</v>
      </c>
      <c r="G17" s="32">
        <v>0.12</v>
      </c>
      <c r="H17" s="32">
        <v>85</v>
      </c>
      <c r="I17" s="32">
        <v>45</v>
      </c>
      <c r="J17" s="32"/>
      <c r="K17" s="32">
        <v>1</v>
      </c>
      <c r="L17" s="67" t="s">
        <v>42</v>
      </c>
      <c r="M17" s="67"/>
      <c r="N17" s="65">
        <f>F17*1000*2480</f>
        <v>1240000</v>
      </c>
      <c r="O17" s="64"/>
      <c r="P17" s="64"/>
      <c r="Q17" s="64">
        <f>F17*19.8*1000</f>
        <v>9900</v>
      </c>
      <c r="R17" s="64"/>
      <c r="S17" s="64">
        <f>3.1*1000*F17</f>
        <v>1550</v>
      </c>
      <c r="T17" s="64"/>
      <c r="U17" s="64"/>
      <c r="V17" s="64"/>
      <c r="W17" s="64"/>
      <c r="X17" s="64">
        <f>14.3*0.5*1000</f>
        <v>7150</v>
      </c>
      <c r="Y17" s="64"/>
      <c r="Z17" s="64">
        <f>88*0.5*1000</f>
        <v>44000</v>
      </c>
      <c r="AA17" s="64">
        <f>0.5*1000*2.11</f>
        <v>1055</v>
      </c>
      <c r="AB17" s="64"/>
      <c r="AC17" s="64"/>
      <c r="AD17" s="19"/>
      <c r="AE17" s="19"/>
      <c r="AF17" s="19"/>
      <c r="AG17" s="19"/>
      <c r="AH17" s="19"/>
      <c r="AI17" s="19"/>
      <c r="AJ17" s="19"/>
      <c r="AK17" s="59">
        <f>SUM(N17:AJ17)</f>
        <v>1303655</v>
      </c>
      <c r="AL17" s="59">
        <f>AK17/(F20*1000)</f>
        <v>124.15761904761905</v>
      </c>
    </row>
    <row r="18" spans="1:38" ht="15" hidden="1" customHeight="1" x14ac:dyDescent="0.25">
      <c r="A18" s="11"/>
      <c r="B18" s="25"/>
      <c r="C18" s="13">
        <v>42356</v>
      </c>
      <c r="D18" s="14"/>
      <c r="E18" s="32"/>
      <c r="F18" s="66"/>
      <c r="G18" s="32"/>
      <c r="H18" s="32"/>
      <c r="I18" s="32"/>
      <c r="J18" s="32"/>
      <c r="K18" s="32"/>
      <c r="L18" s="67"/>
      <c r="M18" s="67"/>
      <c r="N18" s="65">
        <f>N17/($F17*1000)</f>
        <v>2480</v>
      </c>
      <c r="O18" s="64"/>
      <c r="P18" s="64">
        <f t="shared" ref="P18:AG18" si="8">P17/($F17*1000)</f>
        <v>0</v>
      </c>
      <c r="Q18" s="64">
        <f t="shared" si="8"/>
        <v>19.8</v>
      </c>
      <c r="R18" s="64">
        <f t="shared" si="8"/>
        <v>0</v>
      </c>
      <c r="S18" s="64">
        <f t="shared" si="8"/>
        <v>3.1</v>
      </c>
      <c r="T18" s="64">
        <f t="shared" si="8"/>
        <v>0</v>
      </c>
      <c r="U18" s="64">
        <f t="shared" si="8"/>
        <v>0</v>
      </c>
      <c r="V18" s="64">
        <f t="shared" si="8"/>
        <v>0</v>
      </c>
      <c r="W18" s="64">
        <f t="shared" si="8"/>
        <v>0</v>
      </c>
      <c r="X18" s="64">
        <f t="shared" si="8"/>
        <v>14.3</v>
      </c>
      <c r="Y18" s="64">
        <f t="shared" si="8"/>
        <v>0</v>
      </c>
      <c r="Z18" s="64">
        <f t="shared" si="8"/>
        <v>88</v>
      </c>
      <c r="AA18" s="64">
        <f t="shared" si="8"/>
        <v>2.11</v>
      </c>
      <c r="AB18" s="64">
        <f t="shared" si="8"/>
        <v>0</v>
      </c>
      <c r="AC18" s="64">
        <f t="shared" si="8"/>
        <v>0</v>
      </c>
      <c r="AD18" s="19">
        <f t="shared" si="8"/>
        <v>0</v>
      </c>
      <c r="AE18" s="19">
        <f t="shared" si="8"/>
        <v>0</v>
      </c>
      <c r="AF18" s="19">
        <f t="shared" si="8"/>
        <v>0</v>
      </c>
      <c r="AG18" s="19">
        <f t="shared" si="8"/>
        <v>0</v>
      </c>
      <c r="AH18" s="19"/>
      <c r="AI18" s="19"/>
      <c r="AJ18" s="19"/>
      <c r="AK18" s="59"/>
      <c r="AL18" s="59"/>
    </row>
    <row r="19" spans="1:38" ht="15.75" hidden="1" customHeight="1" x14ac:dyDescent="0.25">
      <c r="A19" s="11"/>
      <c r="B19" s="25"/>
      <c r="C19" s="13">
        <v>42356</v>
      </c>
      <c r="D19" s="14"/>
      <c r="E19" s="32"/>
      <c r="F19" s="66"/>
      <c r="G19" s="32"/>
      <c r="H19" s="32"/>
      <c r="I19" s="32"/>
      <c r="J19" s="32"/>
      <c r="K19" s="32"/>
      <c r="L19" s="67"/>
      <c r="M19" s="67"/>
      <c r="N19" s="65">
        <f>N18/N$2</f>
        <v>2.48E-3</v>
      </c>
      <c r="O19" s="64"/>
      <c r="P19" s="64">
        <f>P18/P$2</f>
        <v>0</v>
      </c>
      <c r="Q19" s="64">
        <f>Q18/Q$2</f>
        <v>1.98</v>
      </c>
      <c r="R19" s="64">
        <f>R18/R$2</f>
        <v>0</v>
      </c>
      <c r="S19" s="64">
        <f>S18/S$2</f>
        <v>0.31</v>
      </c>
      <c r="T19" s="64"/>
      <c r="U19" s="64">
        <f t="shared" ref="U19:AG19" si="9">U18/U$2</f>
        <v>0</v>
      </c>
      <c r="V19" s="64">
        <f t="shared" si="9"/>
        <v>0</v>
      </c>
      <c r="W19" s="64">
        <f t="shared" si="9"/>
        <v>0</v>
      </c>
      <c r="X19" s="64">
        <f t="shared" si="9"/>
        <v>1.4300000000000002</v>
      </c>
      <c r="Y19" s="64">
        <f t="shared" si="9"/>
        <v>0</v>
      </c>
      <c r="Z19" s="64">
        <f t="shared" si="9"/>
        <v>8.8000000000000005E-3</v>
      </c>
      <c r="AA19" s="64">
        <f t="shared" si="9"/>
        <v>2.1099999999999997E-2</v>
      </c>
      <c r="AB19" s="64">
        <f t="shared" si="9"/>
        <v>0</v>
      </c>
      <c r="AC19" s="64">
        <f t="shared" si="9"/>
        <v>0</v>
      </c>
      <c r="AD19" s="19">
        <f t="shared" si="9"/>
        <v>0</v>
      </c>
      <c r="AE19" s="19">
        <f t="shared" si="9"/>
        <v>0</v>
      </c>
      <c r="AF19" s="19">
        <f t="shared" si="9"/>
        <v>0</v>
      </c>
      <c r="AG19" s="19">
        <f t="shared" si="9"/>
        <v>0</v>
      </c>
      <c r="AH19" s="19"/>
      <c r="AI19" s="19"/>
      <c r="AJ19" s="19"/>
      <c r="AK19" s="59"/>
      <c r="AL19" s="59"/>
    </row>
    <row r="20" spans="1:38" x14ac:dyDescent="0.25">
      <c r="A20" s="11"/>
      <c r="B20" s="25" t="s">
        <v>50</v>
      </c>
      <c r="C20" s="13">
        <v>42356</v>
      </c>
      <c r="D20" s="14" t="s">
        <v>40</v>
      </c>
      <c r="E20" s="32" t="s">
        <v>51</v>
      </c>
      <c r="F20" s="66">
        <v>10.5</v>
      </c>
      <c r="G20" s="32">
        <v>0.12</v>
      </c>
      <c r="H20" s="32">
        <v>80</v>
      </c>
      <c r="I20" s="32">
        <v>50</v>
      </c>
      <c r="J20" s="32"/>
      <c r="K20" s="32">
        <v>1</v>
      </c>
      <c r="L20" s="67" t="s">
        <v>42</v>
      </c>
      <c r="M20" s="67"/>
      <c r="N20" s="65">
        <f>F20*1000*12.9</f>
        <v>135450</v>
      </c>
      <c r="O20" s="64"/>
      <c r="P20" s="64">
        <f>0.409*1000*F20</f>
        <v>4294.5</v>
      </c>
      <c r="Q20" s="64">
        <f>F20*1000*1.08</f>
        <v>11340</v>
      </c>
      <c r="R20" s="64"/>
      <c r="S20" s="64">
        <f>0.127*1000*F20</f>
        <v>1333.5</v>
      </c>
      <c r="T20" s="64"/>
      <c r="U20" s="64"/>
      <c r="V20" s="64"/>
      <c r="W20" s="64"/>
      <c r="X20" s="64">
        <f>5.18*1000*F20</f>
        <v>54390</v>
      </c>
      <c r="Y20" s="64"/>
      <c r="Z20" s="64">
        <f>3.59*1000*F20</f>
        <v>37695</v>
      </c>
      <c r="AA20" s="64">
        <f>3.59*1000*F20</f>
        <v>37695</v>
      </c>
      <c r="AB20" s="64"/>
      <c r="AC20" s="64"/>
      <c r="AD20" s="19"/>
      <c r="AE20" s="19"/>
      <c r="AF20" s="19"/>
      <c r="AG20" s="19"/>
      <c r="AH20" s="19"/>
      <c r="AI20" s="19"/>
      <c r="AJ20" s="19"/>
      <c r="AK20" s="59">
        <f>SUM(N20:AJ20)</f>
        <v>282198</v>
      </c>
      <c r="AL20" s="59">
        <f>AK20/(F20*1000)</f>
        <v>26.876000000000001</v>
      </c>
    </row>
    <row r="21" spans="1:38" ht="15" hidden="1" customHeight="1" x14ac:dyDescent="0.25">
      <c r="A21" s="11"/>
      <c r="B21" s="25"/>
      <c r="C21" s="13">
        <v>42356</v>
      </c>
      <c r="D21" s="14"/>
      <c r="E21" s="32"/>
      <c r="F21" s="68"/>
      <c r="G21" s="32"/>
      <c r="H21" s="32"/>
      <c r="I21" s="32"/>
      <c r="J21" s="32"/>
      <c r="K21" s="32"/>
      <c r="L21" s="67"/>
      <c r="M21" s="67"/>
      <c r="N21" s="65">
        <f>N20/($F20*1000)</f>
        <v>12.9</v>
      </c>
      <c r="O21" s="64"/>
      <c r="P21" s="64">
        <f t="shared" ref="P21:AG21" si="10">P20/($F20*1000)</f>
        <v>0.40899999999999997</v>
      </c>
      <c r="Q21" s="64">
        <f t="shared" si="10"/>
        <v>1.08</v>
      </c>
      <c r="R21" s="64">
        <f t="shared" si="10"/>
        <v>0</v>
      </c>
      <c r="S21" s="64">
        <f t="shared" si="10"/>
        <v>0.127</v>
      </c>
      <c r="T21" s="64">
        <f t="shared" si="10"/>
        <v>0</v>
      </c>
      <c r="U21" s="64">
        <f t="shared" si="10"/>
        <v>0</v>
      </c>
      <c r="V21" s="64">
        <f t="shared" si="10"/>
        <v>0</v>
      </c>
      <c r="W21" s="64">
        <f t="shared" si="10"/>
        <v>0</v>
      </c>
      <c r="X21" s="64">
        <f t="shared" si="10"/>
        <v>5.18</v>
      </c>
      <c r="Y21" s="64">
        <f t="shared" si="10"/>
        <v>0</v>
      </c>
      <c r="Z21" s="64">
        <f t="shared" si="10"/>
        <v>3.59</v>
      </c>
      <c r="AA21" s="64">
        <f t="shared" si="10"/>
        <v>3.59</v>
      </c>
      <c r="AB21" s="64">
        <f t="shared" si="10"/>
        <v>0</v>
      </c>
      <c r="AC21" s="64">
        <f t="shared" si="10"/>
        <v>0</v>
      </c>
      <c r="AD21" s="19">
        <f t="shared" si="10"/>
        <v>0</v>
      </c>
      <c r="AE21" s="19">
        <f t="shared" si="10"/>
        <v>0</v>
      </c>
      <c r="AF21" s="19">
        <f t="shared" si="10"/>
        <v>0</v>
      </c>
      <c r="AG21" s="19">
        <f t="shared" si="10"/>
        <v>0</v>
      </c>
      <c r="AH21" s="19"/>
      <c r="AI21" s="19"/>
      <c r="AJ21" s="19"/>
      <c r="AK21" s="59"/>
      <c r="AL21" s="59"/>
    </row>
    <row r="22" spans="1:38" ht="15" hidden="1" customHeight="1" x14ac:dyDescent="0.25">
      <c r="A22" s="11"/>
      <c r="B22" s="25"/>
      <c r="C22" s="13">
        <v>42356</v>
      </c>
      <c r="D22" s="14"/>
      <c r="E22" s="32"/>
      <c r="F22" s="68"/>
      <c r="G22" s="32"/>
      <c r="H22" s="32"/>
      <c r="I22" s="32"/>
      <c r="J22" s="32"/>
      <c r="K22" s="32"/>
      <c r="L22" s="67"/>
      <c r="M22" s="67"/>
      <c r="N22" s="65">
        <f>N21/N$2</f>
        <v>1.29E-5</v>
      </c>
      <c r="O22" s="64"/>
      <c r="P22" s="64">
        <f>P21/P$2</f>
        <v>4.0899999999999999E-2</v>
      </c>
      <c r="Q22" s="64">
        <f>Q21/Q$2</f>
        <v>0.10800000000000001</v>
      </c>
      <c r="R22" s="64">
        <f>R21/R$2</f>
        <v>0</v>
      </c>
      <c r="S22" s="64">
        <f>S21/S$2</f>
        <v>1.2699999999999999E-2</v>
      </c>
      <c r="T22" s="64"/>
      <c r="U22" s="64">
        <f t="shared" ref="U22:AG22" si="11">U21/U$2</f>
        <v>0</v>
      </c>
      <c r="V22" s="64">
        <f t="shared" si="11"/>
        <v>0</v>
      </c>
      <c r="W22" s="64">
        <f t="shared" si="11"/>
        <v>0</v>
      </c>
      <c r="X22" s="64">
        <f t="shared" si="11"/>
        <v>0.51800000000000002</v>
      </c>
      <c r="Y22" s="64">
        <f t="shared" si="11"/>
        <v>0</v>
      </c>
      <c r="Z22" s="64">
        <f t="shared" si="11"/>
        <v>3.59E-4</v>
      </c>
      <c r="AA22" s="64">
        <f t="shared" si="11"/>
        <v>3.5900000000000001E-2</v>
      </c>
      <c r="AB22" s="64">
        <f t="shared" si="11"/>
        <v>0</v>
      </c>
      <c r="AC22" s="64">
        <f t="shared" si="11"/>
        <v>0</v>
      </c>
      <c r="AD22" s="19">
        <f t="shared" si="11"/>
        <v>0</v>
      </c>
      <c r="AE22" s="19">
        <f t="shared" si="11"/>
        <v>0</v>
      </c>
      <c r="AF22" s="19">
        <f t="shared" si="11"/>
        <v>0</v>
      </c>
      <c r="AG22" s="19">
        <f t="shared" si="11"/>
        <v>0</v>
      </c>
      <c r="AH22" s="19"/>
      <c r="AI22" s="19"/>
      <c r="AJ22" s="19"/>
      <c r="AK22" s="59"/>
      <c r="AL22" s="59"/>
    </row>
    <row r="23" spans="1:38" x14ac:dyDescent="0.25">
      <c r="A23" s="11"/>
      <c r="B23" s="25" t="s">
        <v>52</v>
      </c>
      <c r="C23" s="13">
        <v>42356</v>
      </c>
      <c r="D23" s="14" t="s">
        <v>40</v>
      </c>
      <c r="E23" s="32" t="s">
        <v>45</v>
      </c>
      <c r="F23" s="32">
        <v>4</v>
      </c>
      <c r="G23" s="32">
        <v>0.22</v>
      </c>
      <c r="H23" s="32">
        <v>110</v>
      </c>
      <c r="I23" s="32">
        <v>45</v>
      </c>
      <c r="J23" s="32"/>
      <c r="K23" s="32">
        <v>1</v>
      </c>
      <c r="L23" s="67" t="s">
        <v>42</v>
      </c>
      <c r="M23" s="67"/>
      <c r="N23" s="65">
        <f>9910*F23*1000</f>
        <v>39640000</v>
      </c>
      <c r="O23" s="64"/>
      <c r="P23" s="64">
        <f>F23*1000*0.173</f>
        <v>692</v>
      </c>
      <c r="Q23" s="64">
        <f>F23*1000*1.86</f>
        <v>7440</v>
      </c>
      <c r="R23" s="64"/>
      <c r="S23" s="64">
        <f>0.417*1000*F23</f>
        <v>1668</v>
      </c>
      <c r="T23" s="64"/>
      <c r="U23" s="64"/>
      <c r="V23" s="64"/>
      <c r="W23" s="64"/>
      <c r="X23" s="64"/>
      <c r="Y23" s="64"/>
      <c r="Z23" s="64">
        <f>F23*1000*1.86</f>
        <v>7440</v>
      </c>
      <c r="AA23" s="64">
        <f>1.3*1000*F23</f>
        <v>5200</v>
      </c>
      <c r="AB23" s="64"/>
      <c r="AC23" s="64"/>
      <c r="AD23" s="19"/>
      <c r="AE23" s="19"/>
      <c r="AF23" s="19"/>
      <c r="AG23" s="19"/>
      <c r="AH23" s="19"/>
      <c r="AI23" s="19"/>
      <c r="AJ23" s="19"/>
      <c r="AK23" s="59">
        <f>SUM(N23:AJ23)</f>
        <v>39662440</v>
      </c>
      <c r="AL23" s="59">
        <f>AK23/(F23*1000)</f>
        <v>9915.61</v>
      </c>
    </row>
    <row r="24" spans="1:38" ht="15" hidden="1" customHeight="1" x14ac:dyDescent="0.25">
      <c r="A24" s="11"/>
      <c r="B24" s="30"/>
      <c r="C24" s="13">
        <v>42356</v>
      </c>
      <c r="D24" s="14" t="s">
        <v>40</v>
      </c>
      <c r="E24" s="32"/>
      <c r="F24" s="32"/>
      <c r="G24" s="32"/>
      <c r="H24" s="32"/>
      <c r="I24" s="32"/>
      <c r="J24" s="32"/>
      <c r="K24" s="32"/>
      <c r="L24" s="67" t="s">
        <v>42</v>
      </c>
      <c r="M24" s="67"/>
      <c r="N24" s="65">
        <f>N23/($F23*1000)</f>
        <v>9910</v>
      </c>
      <c r="O24" s="64"/>
      <c r="P24" s="64">
        <f t="shared" ref="P24:AG24" si="12">P23/($F23*1000)</f>
        <v>0.17299999999999999</v>
      </c>
      <c r="Q24" s="64">
        <f t="shared" si="12"/>
        <v>1.86</v>
      </c>
      <c r="R24" s="64">
        <f t="shared" si="12"/>
        <v>0</v>
      </c>
      <c r="S24" s="64">
        <f t="shared" si="12"/>
        <v>0.41699999999999998</v>
      </c>
      <c r="T24" s="64">
        <f t="shared" si="12"/>
        <v>0</v>
      </c>
      <c r="U24" s="64">
        <f t="shared" si="12"/>
        <v>0</v>
      </c>
      <c r="V24" s="64">
        <f t="shared" si="12"/>
        <v>0</v>
      </c>
      <c r="W24" s="64">
        <f t="shared" si="12"/>
        <v>0</v>
      </c>
      <c r="X24" s="64">
        <f t="shared" si="12"/>
        <v>0</v>
      </c>
      <c r="Y24" s="64">
        <f t="shared" si="12"/>
        <v>0</v>
      </c>
      <c r="Z24" s="64">
        <f t="shared" si="12"/>
        <v>1.86</v>
      </c>
      <c r="AA24" s="64">
        <f t="shared" si="12"/>
        <v>1.3</v>
      </c>
      <c r="AB24" s="64">
        <f t="shared" si="12"/>
        <v>0</v>
      </c>
      <c r="AC24" s="64">
        <f t="shared" si="12"/>
        <v>0</v>
      </c>
      <c r="AD24" s="19">
        <f t="shared" si="12"/>
        <v>0</v>
      </c>
      <c r="AE24" s="19">
        <f t="shared" si="12"/>
        <v>0</v>
      </c>
      <c r="AF24" s="19">
        <f t="shared" si="12"/>
        <v>0</v>
      </c>
      <c r="AG24" s="19">
        <f t="shared" si="12"/>
        <v>0</v>
      </c>
      <c r="AH24" s="19"/>
      <c r="AI24" s="19"/>
      <c r="AJ24" s="19"/>
      <c r="AK24" s="59"/>
      <c r="AL24" s="59"/>
    </row>
    <row r="25" spans="1:38" ht="15" hidden="1" customHeight="1" x14ac:dyDescent="0.25">
      <c r="A25" s="11"/>
      <c r="B25" s="30"/>
      <c r="C25" s="13">
        <v>42356</v>
      </c>
      <c r="D25" s="14" t="s">
        <v>40</v>
      </c>
      <c r="E25" s="32"/>
      <c r="F25" s="32"/>
      <c r="G25" s="32"/>
      <c r="H25" s="32"/>
      <c r="I25" s="32"/>
      <c r="J25" s="32"/>
      <c r="K25" s="32"/>
      <c r="L25" s="67" t="s">
        <v>42</v>
      </c>
      <c r="M25" s="67"/>
      <c r="N25" s="65">
        <f>N24/N$2</f>
        <v>9.9100000000000004E-3</v>
      </c>
      <c r="O25" s="64"/>
      <c r="P25" s="64">
        <f>P24/P$2</f>
        <v>1.7299999999999999E-2</v>
      </c>
      <c r="Q25" s="64">
        <f>Q24/Q$2</f>
        <v>0.186</v>
      </c>
      <c r="R25" s="64">
        <f>R24/R$2</f>
        <v>0</v>
      </c>
      <c r="S25" s="64">
        <f>S24/S$2</f>
        <v>4.1700000000000001E-2</v>
      </c>
      <c r="T25" s="64"/>
      <c r="U25" s="64">
        <f t="shared" ref="U25:AG25" si="13">U24/U$2</f>
        <v>0</v>
      </c>
      <c r="V25" s="64">
        <f t="shared" si="13"/>
        <v>0</v>
      </c>
      <c r="W25" s="64">
        <f t="shared" si="13"/>
        <v>0</v>
      </c>
      <c r="X25" s="64">
        <f t="shared" si="13"/>
        <v>0</v>
      </c>
      <c r="Y25" s="64">
        <f t="shared" si="13"/>
        <v>0</v>
      </c>
      <c r="Z25" s="64">
        <f t="shared" si="13"/>
        <v>1.8600000000000002E-4</v>
      </c>
      <c r="AA25" s="64">
        <f t="shared" si="13"/>
        <v>1.3000000000000001E-2</v>
      </c>
      <c r="AB25" s="64">
        <f t="shared" si="13"/>
        <v>0</v>
      </c>
      <c r="AC25" s="64">
        <f t="shared" si="13"/>
        <v>0</v>
      </c>
      <c r="AD25" s="19">
        <f t="shared" si="13"/>
        <v>0</v>
      </c>
      <c r="AE25" s="19">
        <f t="shared" si="13"/>
        <v>0</v>
      </c>
      <c r="AF25" s="19">
        <f t="shared" si="13"/>
        <v>0</v>
      </c>
      <c r="AG25" s="19">
        <f t="shared" si="13"/>
        <v>0</v>
      </c>
      <c r="AH25" s="19"/>
      <c r="AI25" s="19"/>
      <c r="AJ25" s="19"/>
      <c r="AK25" s="59"/>
      <c r="AL25" s="59">
        <f>SUM(N25:AB25)</f>
        <v>0.26809600000000006</v>
      </c>
    </row>
    <row r="26" spans="1:38" s="57" customFormat="1" x14ac:dyDescent="0.25">
      <c r="A26" s="55"/>
      <c r="B26" s="71" t="s">
        <v>53</v>
      </c>
      <c r="C26" s="72">
        <v>42356</v>
      </c>
      <c r="D26" s="73" t="s">
        <v>40</v>
      </c>
      <c r="E26" s="66" t="s">
        <v>45</v>
      </c>
      <c r="F26" s="32">
        <v>3</v>
      </c>
      <c r="G26" s="66">
        <v>0.03</v>
      </c>
      <c r="H26" s="66">
        <v>51</v>
      </c>
      <c r="I26" s="66">
        <v>30</v>
      </c>
      <c r="J26" s="66"/>
      <c r="K26" s="32">
        <v>34</v>
      </c>
      <c r="L26" s="67" t="s">
        <v>42</v>
      </c>
      <c r="M26" s="67"/>
      <c r="N26" s="65">
        <f>F26*1000*123000000</f>
        <v>369000000000</v>
      </c>
      <c r="O26" s="64"/>
      <c r="P26" s="64">
        <f>3*1000*10.1</f>
        <v>30300</v>
      </c>
      <c r="Q26" s="64">
        <f>F26*1000*92.6</f>
        <v>277800</v>
      </c>
      <c r="R26" s="64"/>
      <c r="S26" s="64">
        <f>3*1000*17.6</f>
        <v>52800.000000000007</v>
      </c>
      <c r="T26" s="64"/>
      <c r="U26" s="64"/>
      <c r="V26" s="64"/>
      <c r="W26" s="64"/>
      <c r="X26" s="64">
        <f>99.9*3*1000</f>
        <v>299700.00000000006</v>
      </c>
      <c r="Y26" s="64">
        <f>3*1000*242</f>
        <v>726000</v>
      </c>
      <c r="Z26" s="64">
        <f>3*1000*232</f>
        <v>696000</v>
      </c>
      <c r="AA26" s="64">
        <f>3*1000*14.6</f>
        <v>43800</v>
      </c>
      <c r="AB26" s="64"/>
      <c r="AC26" s="64">
        <f>3*1000*4.63</f>
        <v>13890</v>
      </c>
      <c r="AD26" s="56"/>
      <c r="AE26" s="56"/>
      <c r="AF26" s="56"/>
      <c r="AG26" s="56"/>
      <c r="AH26" s="56"/>
      <c r="AI26" s="56"/>
      <c r="AJ26" s="56"/>
      <c r="AK26" s="59">
        <f>SUM(N26:AJ26)</f>
        <v>369002140290</v>
      </c>
      <c r="AL26" s="59">
        <f>AK26/(F26*1000)</f>
        <v>123000713.43000001</v>
      </c>
    </row>
    <row r="27" spans="1:38" ht="15" hidden="1" customHeight="1" x14ac:dyDescent="0.25">
      <c r="A27" s="11"/>
      <c r="B27" s="25"/>
      <c r="C27" s="13">
        <v>42356</v>
      </c>
      <c r="D27" s="14"/>
      <c r="E27" s="15"/>
      <c r="F27" s="16"/>
      <c r="G27" s="15"/>
      <c r="H27" s="15"/>
      <c r="I27" s="15"/>
      <c r="J27" s="15"/>
      <c r="K27" s="15"/>
      <c r="L27" s="17"/>
      <c r="M27" s="17"/>
      <c r="N27" s="65">
        <f>N26/($F26*1000)</f>
        <v>123000000</v>
      </c>
      <c r="O27" s="64"/>
      <c r="P27" s="64">
        <f t="shared" ref="P27:AG27" si="14">P26/($F26*1000)</f>
        <v>10.1</v>
      </c>
      <c r="Q27" s="64">
        <f t="shared" si="14"/>
        <v>92.6</v>
      </c>
      <c r="R27" s="64">
        <f t="shared" si="14"/>
        <v>0</v>
      </c>
      <c r="S27" s="64">
        <f t="shared" si="14"/>
        <v>17.600000000000001</v>
      </c>
      <c r="T27" s="64">
        <f t="shared" si="14"/>
        <v>0</v>
      </c>
      <c r="U27" s="64">
        <f t="shared" si="14"/>
        <v>0</v>
      </c>
      <c r="V27" s="64">
        <f t="shared" si="14"/>
        <v>0</v>
      </c>
      <c r="W27" s="64">
        <f t="shared" si="14"/>
        <v>0</v>
      </c>
      <c r="X27" s="64">
        <f t="shared" si="14"/>
        <v>99.90000000000002</v>
      </c>
      <c r="Y27" s="64">
        <f t="shared" si="14"/>
        <v>242</v>
      </c>
      <c r="Z27" s="64">
        <f t="shared" si="14"/>
        <v>232</v>
      </c>
      <c r="AA27" s="64">
        <f t="shared" si="14"/>
        <v>14.6</v>
      </c>
      <c r="AB27" s="64">
        <f t="shared" si="14"/>
        <v>0</v>
      </c>
      <c r="AC27" s="64">
        <f t="shared" si="14"/>
        <v>4.63</v>
      </c>
      <c r="AD27" s="19">
        <f t="shared" si="14"/>
        <v>0</v>
      </c>
      <c r="AE27" s="19">
        <f t="shared" si="14"/>
        <v>0</v>
      </c>
      <c r="AF27" s="19">
        <f t="shared" si="14"/>
        <v>0</v>
      </c>
      <c r="AG27" s="19">
        <f t="shared" si="14"/>
        <v>0</v>
      </c>
      <c r="AH27" s="19"/>
      <c r="AI27" s="19"/>
      <c r="AJ27" s="19"/>
      <c r="AK27" s="59"/>
      <c r="AL27" s="59"/>
    </row>
    <row r="28" spans="1:38" ht="15" hidden="1" customHeight="1" x14ac:dyDescent="0.25">
      <c r="A28" s="11"/>
      <c r="B28" s="25"/>
      <c r="C28" s="13">
        <v>42356</v>
      </c>
      <c r="D28" s="14"/>
      <c r="E28" s="15"/>
      <c r="F28" s="16"/>
      <c r="G28" s="15"/>
      <c r="H28" s="15"/>
      <c r="I28" s="15"/>
      <c r="J28" s="15"/>
      <c r="K28" s="15"/>
      <c r="L28" s="17"/>
      <c r="M28" s="17"/>
      <c r="N28" s="65">
        <f>N27/N$2</f>
        <v>123</v>
      </c>
      <c r="O28" s="64"/>
      <c r="P28" s="64">
        <f>P27/P$2</f>
        <v>1.01</v>
      </c>
      <c r="Q28" s="64">
        <f>Q27/Q$2</f>
        <v>9.26</v>
      </c>
      <c r="R28" s="64">
        <f>R27/R$2</f>
        <v>0</v>
      </c>
      <c r="S28" s="64">
        <f>S27/S$2</f>
        <v>1.7600000000000002</v>
      </c>
      <c r="T28" s="64"/>
      <c r="U28" s="64">
        <f t="shared" ref="U28:AG28" si="15">U27/U$2</f>
        <v>0</v>
      </c>
      <c r="V28" s="64">
        <f t="shared" si="15"/>
        <v>0</v>
      </c>
      <c r="W28" s="64">
        <f t="shared" si="15"/>
        <v>0</v>
      </c>
      <c r="X28" s="64">
        <f t="shared" si="15"/>
        <v>9.990000000000002</v>
      </c>
      <c r="Y28" s="64">
        <f t="shared" si="15"/>
        <v>24.2</v>
      </c>
      <c r="Z28" s="64">
        <f t="shared" si="15"/>
        <v>2.3199999999999998E-2</v>
      </c>
      <c r="AA28" s="64">
        <f t="shared" si="15"/>
        <v>0.14599999999999999</v>
      </c>
      <c r="AB28" s="64">
        <f t="shared" si="15"/>
        <v>0</v>
      </c>
      <c r="AC28" s="64">
        <f t="shared" si="15"/>
        <v>4.6300000000000001E-2</v>
      </c>
      <c r="AD28" s="19">
        <f t="shared" si="15"/>
        <v>0</v>
      </c>
      <c r="AE28" s="19">
        <f t="shared" si="15"/>
        <v>0</v>
      </c>
      <c r="AF28" s="19">
        <f t="shared" si="15"/>
        <v>0</v>
      </c>
      <c r="AG28" s="19">
        <f t="shared" si="15"/>
        <v>0</v>
      </c>
      <c r="AH28" s="19"/>
      <c r="AI28" s="19"/>
      <c r="AJ28" s="19"/>
      <c r="AK28" s="59"/>
      <c r="AL28" s="59"/>
    </row>
    <row r="29" spans="1:38" x14ac:dyDescent="0.25">
      <c r="A29" s="11"/>
      <c r="B29" s="25" t="s">
        <v>54</v>
      </c>
      <c r="C29" s="13">
        <v>42356</v>
      </c>
      <c r="D29" s="14" t="s">
        <v>40</v>
      </c>
      <c r="E29" s="31" t="s">
        <v>55</v>
      </c>
      <c r="F29" s="15">
        <v>4.5999999999999996</v>
      </c>
      <c r="G29" s="31">
        <v>0.03</v>
      </c>
      <c r="H29" s="31">
        <v>51</v>
      </c>
      <c r="I29" s="31">
        <v>30</v>
      </c>
      <c r="J29" s="31"/>
      <c r="K29" s="15">
        <v>1</v>
      </c>
      <c r="L29" s="17" t="s">
        <v>42</v>
      </c>
      <c r="M29" s="17"/>
      <c r="N29" s="18">
        <f>F29*1000*9560</f>
        <v>43976000</v>
      </c>
      <c r="O29" s="19"/>
      <c r="P29" s="19"/>
      <c r="Q29" s="19">
        <f>F29*1000*1.79</f>
        <v>8234</v>
      </c>
      <c r="R29" s="19"/>
      <c r="S29" s="19">
        <f>0.338*1000*F29</f>
        <v>1554.8</v>
      </c>
      <c r="T29" s="19"/>
      <c r="U29" s="19"/>
      <c r="V29" s="19"/>
      <c r="W29" s="19"/>
      <c r="X29" s="19">
        <f>F29*1000*0.0134</f>
        <v>61.64</v>
      </c>
      <c r="Y29" s="19"/>
      <c r="Z29" s="19">
        <f>F29*1000*1.79</f>
        <v>8234</v>
      </c>
      <c r="AA29" s="19">
        <f>F29*1000*1.26</f>
        <v>5796</v>
      </c>
      <c r="AB29" s="19"/>
      <c r="AC29" s="19"/>
      <c r="AD29" s="19"/>
      <c r="AE29" s="19"/>
      <c r="AF29" s="19"/>
      <c r="AG29" s="19"/>
      <c r="AH29" s="19"/>
      <c r="AI29" s="19"/>
      <c r="AJ29" s="19"/>
      <c r="AK29" s="59">
        <f>SUM(N29:AJ29)</f>
        <v>43999880.439999998</v>
      </c>
      <c r="AL29" s="59">
        <f>AK29/(F29*1000)</f>
        <v>9565.1913999999997</v>
      </c>
    </row>
    <row r="30" spans="1:38" ht="15" hidden="1" customHeight="1" x14ac:dyDescent="0.25">
      <c r="A30" s="11"/>
      <c r="B30" s="25"/>
      <c r="C30" s="13">
        <v>42356</v>
      </c>
      <c r="D30" s="14"/>
      <c r="E30" s="31"/>
      <c r="F30" s="15"/>
      <c r="G30" s="31"/>
      <c r="H30" s="31"/>
      <c r="I30" s="31"/>
      <c r="J30" s="31"/>
      <c r="K30" s="15"/>
      <c r="L30" s="17"/>
      <c r="M30" s="17"/>
      <c r="N30" s="18">
        <f>N29/($F29*1000)</f>
        <v>9560</v>
      </c>
      <c r="O30" s="19"/>
      <c r="P30" s="19">
        <f t="shared" ref="P30:AG30" si="16">P29/($F29*1000)</f>
        <v>0</v>
      </c>
      <c r="Q30" s="19">
        <f t="shared" si="16"/>
        <v>1.79</v>
      </c>
      <c r="R30" s="19">
        <f t="shared" si="16"/>
        <v>0</v>
      </c>
      <c r="S30" s="19">
        <f t="shared" si="16"/>
        <v>0.33799999999999997</v>
      </c>
      <c r="T30" s="19">
        <f t="shared" si="16"/>
        <v>0</v>
      </c>
      <c r="U30" s="19">
        <f t="shared" si="16"/>
        <v>0</v>
      </c>
      <c r="V30" s="19">
        <f t="shared" si="16"/>
        <v>0</v>
      </c>
      <c r="W30" s="19">
        <f t="shared" si="16"/>
        <v>0</v>
      </c>
      <c r="X30" s="19">
        <f t="shared" si="16"/>
        <v>1.34E-2</v>
      </c>
      <c r="Y30" s="19">
        <f t="shared" si="16"/>
        <v>0</v>
      </c>
      <c r="Z30" s="19">
        <f t="shared" si="16"/>
        <v>1.79</v>
      </c>
      <c r="AA30" s="19">
        <f t="shared" si="16"/>
        <v>1.26</v>
      </c>
      <c r="AB30" s="19">
        <f t="shared" si="16"/>
        <v>0</v>
      </c>
      <c r="AC30" s="19">
        <f t="shared" si="16"/>
        <v>0</v>
      </c>
      <c r="AD30" s="19">
        <f t="shared" si="16"/>
        <v>0</v>
      </c>
      <c r="AE30" s="19">
        <f t="shared" si="16"/>
        <v>0</v>
      </c>
      <c r="AF30" s="19">
        <f t="shared" si="16"/>
        <v>0</v>
      </c>
      <c r="AG30" s="19">
        <f t="shared" si="16"/>
        <v>0</v>
      </c>
      <c r="AH30" s="19"/>
      <c r="AI30" s="19"/>
      <c r="AJ30" s="19"/>
      <c r="AK30" s="59"/>
      <c r="AL30" s="59"/>
    </row>
    <row r="31" spans="1:38" ht="15" hidden="1" customHeight="1" x14ac:dyDescent="0.25">
      <c r="A31" s="11"/>
      <c r="B31" s="25"/>
      <c r="C31" s="13">
        <v>42356</v>
      </c>
      <c r="D31" s="14"/>
      <c r="E31" s="31"/>
      <c r="F31" s="15"/>
      <c r="G31" s="31"/>
      <c r="H31" s="31"/>
      <c r="I31" s="31"/>
      <c r="J31" s="31"/>
      <c r="K31" s="15"/>
      <c r="L31" s="17"/>
      <c r="M31" s="17"/>
      <c r="N31" s="18">
        <f>N30/N$2</f>
        <v>9.5600000000000008E-3</v>
      </c>
      <c r="O31" s="19"/>
      <c r="P31" s="19">
        <f>P30/P$2</f>
        <v>0</v>
      </c>
      <c r="Q31" s="19">
        <f>Q30/Q$2</f>
        <v>0.17899999999999999</v>
      </c>
      <c r="R31" s="19">
        <f>R30/R$2</f>
        <v>0</v>
      </c>
      <c r="S31" s="19">
        <f>S30/S$2</f>
        <v>3.3799999999999997E-2</v>
      </c>
      <c r="T31" s="19"/>
      <c r="U31" s="19">
        <f t="shared" ref="U31:AG31" si="17">U30/U$2</f>
        <v>0</v>
      </c>
      <c r="V31" s="19">
        <f t="shared" si="17"/>
        <v>0</v>
      </c>
      <c r="W31" s="19">
        <f t="shared" si="17"/>
        <v>0</v>
      </c>
      <c r="X31" s="19">
        <f t="shared" si="17"/>
        <v>1.34E-3</v>
      </c>
      <c r="Y31" s="19">
        <f t="shared" si="17"/>
        <v>0</v>
      </c>
      <c r="Z31" s="19">
        <f t="shared" si="17"/>
        <v>1.7900000000000001E-4</v>
      </c>
      <c r="AA31" s="19">
        <f t="shared" si="17"/>
        <v>1.26E-2</v>
      </c>
      <c r="AB31" s="19">
        <f t="shared" si="17"/>
        <v>0</v>
      </c>
      <c r="AC31" s="19">
        <f t="shared" si="17"/>
        <v>0</v>
      </c>
      <c r="AD31" s="19">
        <f t="shared" si="17"/>
        <v>0</v>
      </c>
      <c r="AE31" s="19">
        <f t="shared" si="17"/>
        <v>0</v>
      </c>
      <c r="AF31" s="19">
        <f t="shared" si="17"/>
        <v>0</v>
      </c>
      <c r="AG31" s="19">
        <f t="shared" si="17"/>
        <v>0</v>
      </c>
      <c r="AH31" s="19"/>
      <c r="AI31" s="19"/>
      <c r="AJ31" s="19"/>
      <c r="AK31" s="59"/>
      <c r="AL31" s="59"/>
    </row>
    <row r="32" spans="1:38" ht="15" customHeight="1" x14ac:dyDescent="0.25">
      <c r="A32" s="11"/>
      <c r="B32" s="25" t="s">
        <v>56</v>
      </c>
      <c r="C32" s="13">
        <v>42356</v>
      </c>
      <c r="D32" s="14" t="s">
        <v>40</v>
      </c>
      <c r="E32" s="31" t="s">
        <v>57</v>
      </c>
      <c r="F32" s="32">
        <v>22</v>
      </c>
      <c r="G32" s="31">
        <v>0.06</v>
      </c>
      <c r="H32" s="31">
        <v>62</v>
      </c>
      <c r="I32" s="31">
        <v>40</v>
      </c>
      <c r="J32" s="31"/>
      <c r="K32" s="15">
        <v>1</v>
      </c>
      <c r="L32" s="17" t="s">
        <v>42</v>
      </c>
      <c r="M32" s="17"/>
      <c r="N32" s="18">
        <f>2660*1000*F32</f>
        <v>58520000</v>
      </c>
      <c r="O32" s="19"/>
      <c r="P32" s="19">
        <f>F29*1000*0.137</f>
        <v>630.20000000000005</v>
      </c>
      <c r="Q32" s="19">
        <f>F32*1000*0.499</f>
        <v>10978</v>
      </c>
      <c r="R32" s="19"/>
      <c r="S32" s="19">
        <f>0.149*1000*F32</f>
        <v>3278</v>
      </c>
      <c r="T32" s="19"/>
      <c r="U32" s="19"/>
      <c r="V32" s="19"/>
      <c r="W32" s="19"/>
      <c r="X32" s="19"/>
      <c r="Y32" s="19"/>
      <c r="Z32" s="19">
        <f>22*1000*0.499</f>
        <v>10978</v>
      </c>
      <c r="AA32" s="19">
        <f>22*1000*0.349</f>
        <v>7677.9999999999991</v>
      </c>
      <c r="AB32" s="19"/>
      <c r="AC32" s="19"/>
      <c r="AD32" s="19"/>
      <c r="AE32" s="19"/>
      <c r="AF32" s="19"/>
      <c r="AG32" s="19"/>
      <c r="AH32" s="19"/>
      <c r="AI32" s="19"/>
      <c r="AJ32" s="19"/>
      <c r="AK32" s="59">
        <f>SUM(N32:AJ32)</f>
        <v>58553542.200000003</v>
      </c>
      <c r="AL32" s="59">
        <f>AK32/(F32*1000)</f>
        <v>2661.5246454545454</v>
      </c>
    </row>
    <row r="33" spans="1:38" ht="15" hidden="1" customHeight="1" x14ac:dyDescent="0.25">
      <c r="A33" s="11"/>
      <c r="B33" s="25"/>
      <c r="C33" s="13">
        <v>42356</v>
      </c>
      <c r="D33" s="14"/>
      <c r="E33" s="31"/>
      <c r="F33" s="32"/>
      <c r="G33" s="31"/>
      <c r="H33" s="31"/>
      <c r="I33" s="31"/>
      <c r="J33" s="31"/>
      <c r="K33" s="15"/>
      <c r="L33" s="17"/>
      <c r="M33" s="17"/>
      <c r="N33" s="18">
        <f>N32/($F32*1000)</f>
        <v>2660</v>
      </c>
      <c r="O33" s="19"/>
      <c r="P33" s="19">
        <f t="shared" ref="P33:AG33" si="18">P32/($F32*1000)</f>
        <v>2.8645454545454547E-2</v>
      </c>
      <c r="Q33" s="19">
        <f t="shared" si="18"/>
        <v>0.499</v>
      </c>
      <c r="R33" s="19">
        <f t="shared" si="18"/>
        <v>0</v>
      </c>
      <c r="S33" s="19">
        <f t="shared" si="18"/>
        <v>0.14899999999999999</v>
      </c>
      <c r="T33" s="19">
        <f t="shared" si="18"/>
        <v>0</v>
      </c>
      <c r="U33" s="19">
        <f t="shared" si="18"/>
        <v>0</v>
      </c>
      <c r="V33" s="19">
        <f t="shared" si="18"/>
        <v>0</v>
      </c>
      <c r="W33" s="19">
        <f t="shared" si="18"/>
        <v>0</v>
      </c>
      <c r="X33" s="19">
        <f t="shared" si="18"/>
        <v>0</v>
      </c>
      <c r="Y33" s="19">
        <f t="shared" si="18"/>
        <v>0</v>
      </c>
      <c r="Z33" s="19">
        <f t="shared" si="18"/>
        <v>0.499</v>
      </c>
      <c r="AA33" s="19">
        <f t="shared" si="18"/>
        <v>0.34899999999999998</v>
      </c>
      <c r="AB33" s="19">
        <f t="shared" si="18"/>
        <v>0</v>
      </c>
      <c r="AC33" s="19">
        <f t="shared" si="18"/>
        <v>0</v>
      </c>
      <c r="AD33" s="19">
        <f t="shared" si="18"/>
        <v>0</v>
      </c>
      <c r="AE33" s="19">
        <f t="shared" si="18"/>
        <v>0</v>
      </c>
      <c r="AF33" s="19">
        <f t="shared" si="18"/>
        <v>0</v>
      </c>
      <c r="AG33" s="19">
        <f t="shared" si="18"/>
        <v>0</v>
      </c>
      <c r="AH33" s="19"/>
      <c r="AI33" s="19"/>
      <c r="AJ33" s="19"/>
      <c r="AK33" s="59"/>
      <c r="AL33" s="59"/>
    </row>
    <row r="34" spans="1:38" ht="15" hidden="1" customHeight="1" x14ac:dyDescent="0.25">
      <c r="A34" s="11"/>
      <c r="B34" s="25"/>
      <c r="C34" s="13">
        <v>42356</v>
      </c>
      <c r="D34" s="14"/>
      <c r="E34" s="31"/>
      <c r="F34" s="32"/>
      <c r="G34" s="31"/>
      <c r="H34" s="31"/>
      <c r="I34" s="31"/>
      <c r="J34" s="31"/>
      <c r="K34" s="15"/>
      <c r="L34" s="17"/>
      <c r="M34" s="17"/>
      <c r="N34" s="18">
        <f>N33/N$2</f>
        <v>2.66E-3</v>
      </c>
      <c r="O34" s="19"/>
      <c r="P34" s="19">
        <f>P33/P$2</f>
        <v>2.8645454545454547E-3</v>
      </c>
      <c r="Q34" s="19">
        <f>Q33/Q$2</f>
        <v>4.99E-2</v>
      </c>
      <c r="R34" s="19">
        <f>R33/R$2</f>
        <v>0</v>
      </c>
      <c r="S34" s="19">
        <f>S33/S$2</f>
        <v>1.49E-2</v>
      </c>
      <c r="T34" s="19"/>
      <c r="U34" s="19">
        <f t="shared" ref="U34:AG34" si="19">U33/U$2</f>
        <v>0</v>
      </c>
      <c r="V34" s="19">
        <f t="shared" si="19"/>
        <v>0</v>
      </c>
      <c r="W34" s="19">
        <f t="shared" si="19"/>
        <v>0</v>
      </c>
      <c r="X34" s="19">
        <f t="shared" si="19"/>
        <v>0</v>
      </c>
      <c r="Y34" s="19">
        <f t="shared" si="19"/>
        <v>0</v>
      </c>
      <c r="Z34" s="19">
        <f t="shared" si="19"/>
        <v>4.99E-5</v>
      </c>
      <c r="AA34" s="19">
        <f t="shared" si="19"/>
        <v>3.4899999999999996E-3</v>
      </c>
      <c r="AB34" s="19">
        <f t="shared" si="19"/>
        <v>0</v>
      </c>
      <c r="AC34" s="19">
        <f t="shared" si="19"/>
        <v>0</v>
      </c>
      <c r="AD34" s="19">
        <f t="shared" si="19"/>
        <v>0</v>
      </c>
      <c r="AE34" s="19">
        <f t="shared" si="19"/>
        <v>0</v>
      </c>
      <c r="AF34" s="19">
        <f t="shared" si="19"/>
        <v>0</v>
      </c>
      <c r="AG34" s="19">
        <f t="shared" si="19"/>
        <v>0</v>
      </c>
      <c r="AH34" s="19"/>
      <c r="AI34" s="19"/>
      <c r="AJ34" s="19"/>
      <c r="AK34" s="59"/>
      <c r="AL34" s="59"/>
    </row>
    <row r="35" spans="1:38" x14ac:dyDescent="0.25">
      <c r="A35" s="11"/>
      <c r="B35" s="25" t="s">
        <v>58</v>
      </c>
      <c r="C35" s="13">
        <v>42356</v>
      </c>
      <c r="D35" s="14" t="s">
        <v>59</v>
      </c>
      <c r="E35" s="31" t="s">
        <v>60</v>
      </c>
      <c r="F35" s="15">
        <v>13</v>
      </c>
      <c r="G35" s="31">
        <v>0.22</v>
      </c>
      <c r="H35" s="31">
        <v>110</v>
      </c>
      <c r="I35" s="31">
        <v>50</v>
      </c>
      <c r="J35" s="31"/>
      <c r="K35" s="15">
        <v>1</v>
      </c>
      <c r="L35" s="17" t="s">
        <v>42</v>
      </c>
      <c r="M35" s="17"/>
      <c r="N35" s="18">
        <f>7.72*1000*F35</f>
        <v>100360</v>
      </c>
      <c r="O35" s="19"/>
      <c r="P35" s="19">
        <f>0.063*1000*F35</f>
        <v>819</v>
      </c>
      <c r="Q35" s="19">
        <f>F35*1000*0.643</f>
        <v>8359</v>
      </c>
      <c r="R35" s="19"/>
      <c r="S35" s="19">
        <f>0.102*1000*F35</f>
        <v>1326</v>
      </c>
      <c r="T35" s="19"/>
      <c r="U35" s="19"/>
      <c r="V35" s="19"/>
      <c r="W35" s="19"/>
      <c r="X35" s="19"/>
      <c r="Y35" s="19"/>
      <c r="Z35" s="19">
        <f>F35*1000*2.14</f>
        <v>27820</v>
      </c>
      <c r="AA35" s="19">
        <f>1000*2.14*F35</f>
        <v>27820</v>
      </c>
      <c r="AB35" s="19"/>
      <c r="AC35" s="19"/>
      <c r="AD35" s="19"/>
      <c r="AE35" s="19"/>
      <c r="AF35" s="19"/>
      <c r="AG35" s="19"/>
      <c r="AH35" s="19"/>
      <c r="AI35" s="19"/>
      <c r="AJ35" s="19"/>
      <c r="AK35" s="59">
        <f>SUM(N35:AJ35)</f>
        <v>166504</v>
      </c>
      <c r="AL35" s="59">
        <f>AK35/(F35*1000)</f>
        <v>12.808</v>
      </c>
    </row>
    <row r="36" spans="1:38" hidden="1" x14ac:dyDescent="0.25">
      <c r="A36" s="11"/>
      <c r="B36" s="25"/>
      <c r="C36" s="13">
        <v>42356</v>
      </c>
      <c r="D36" s="14"/>
      <c r="E36" s="31"/>
      <c r="F36" s="15"/>
      <c r="G36" s="31"/>
      <c r="H36" s="31"/>
      <c r="I36" s="31"/>
      <c r="J36" s="31"/>
      <c r="K36" s="15"/>
      <c r="L36" s="17"/>
      <c r="M36" s="17"/>
      <c r="N36" s="18">
        <f>N35/($F35*1000)</f>
        <v>7.72</v>
      </c>
      <c r="O36" s="19"/>
      <c r="P36" s="19">
        <f t="shared" ref="P36:AG36" si="20">P35/($F35*1000)</f>
        <v>6.3E-2</v>
      </c>
      <c r="Q36" s="19">
        <f t="shared" si="20"/>
        <v>0.64300000000000002</v>
      </c>
      <c r="R36" s="19">
        <f t="shared" si="20"/>
        <v>0</v>
      </c>
      <c r="S36" s="19">
        <f t="shared" si="20"/>
        <v>0.10199999999999999</v>
      </c>
      <c r="T36" s="19">
        <f t="shared" si="20"/>
        <v>0</v>
      </c>
      <c r="U36" s="19">
        <f t="shared" si="20"/>
        <v>0</v>
      </c>
      <c r="V36" s="19">
        <f t="shared" si="20"/>
        <v>0</v>
      </c>
      <c r="W36" s="19">
        <f t="shared" si="20"/>
        <v>0</v>
      </c>
      <c r="X36" s="19">
        <f t="shared" si="20"/>
        <v>0</v>
      </c>
      <c r="Y36" s="19">
        <f t="shared" si="20"/>
        <v>0</v>
      </c>
      <c r="Z36" s="19">
        <f t="shared" si="20"/>
        <v>2.14</v>
      </c>
      <c r="AA36" s="19">
        <f t="shared" si="20"/>
        <v>2.14</v>
      </c>
      <c r="AB36" s="19">
        <f t="shared" si="20"/>
        <v>0</v>
      </c>
      <c r="AC36" s="19">
        <f t="shared" si="20"/>
        <v>0</v>
      </c>
      <c r="AD36" s="19">
        <f t="shared" si="20"/>
        <v>0</v>
      </c>
      <c r="AE36" s="19">
        <f t="shared" si="20"/>
        <v>0</v>
      </c>
      <c r="AF36" s="19">
        <f t="shared" si="20"/>
        <v>0</v>
      </c>
      <c r="AG36" s="19">
        <f t="shared" si="20"/>
        <v>0</v>
      </c>
      <c r="AH36" s="19"/>
      <c r="AI36" s="19"/>
      <c r="AJ36" s="19"/>
      <c r="AK36" s="59"/>
      <c r="AL36" s="59"/>
    </row>
    <row r="37" spans="1:38" hidden="1" x14ac:dyDescent="0.25">
      <c r="A37" s="11"/>
      <c r="B37" s="25"/>
      <c r="C37" s="13">
        <v>42356</v>
      </c>
      <c r="D37" s="14"/>
      <c r="E37" s="31"/>
      <c r="F37" s="15"/>
      <c r="G37" s="31"/>
      <c r="H37" s="31"/>
      <c r="I37" s="31"/>
      <c r="J37" s="31"/>
      <c r="K37" s="15"/>
      <c r="L37" s="17"/>
      <c r="M37" s="17"/>
      <c r="N37" s="18">
        <f>N36/N$2</f>
        <v>7.7199999999999989E-6</v>
      </c>
      <c r="O37" s="19"/>
      <c r="P37" s="19">
        <f>P36/P$2</f>
        <v>6.3E-3</v>
      </c>
      <c r="Q37" s="19">
        <f>Q36/Q$2</f>
        <v>6.4299999999999996E-2</v>
      </c>
      <c r="R37" s="19">
        <f>R36/R$2</f>
        <v>0</v>
      </c>
      <c r="S37" s="19">
        <f>S36/S$2</f>
        <v>1.0199999999999999E-2</v>
      </c>
      <c r="T37" s="19"/>
      <c r="U37" s="19">
        <f t="shared" ref="U37:AG37" si="21">U36/U$2</f>
        <v>0</v>
      </c>
      <c r="V37" s="19">
        <f t="shared" si="21"/>
        <v>0</v>
      </c>
      <c r="W37" s="19">
        <f t="shared" si="21"/>
        <v>0</v>
      </c>
      <c r="X37" s="19">
        <f t="shared" si="21"/>
        <v>0</v>
      </c>
      <c r="Y37" s="19">
        <f t="shared" si="21"/>
        <v>0</v>
      </c>
      <c r="Z37" s="19">
        <f t="shared" si="21"/>
        <v>2.1400000000000002E-4</v>
      </c>
      <c r="AA37" s="19">
        <f t="shared" si="21"/>
        <v>2.1400000000000002E-2</v>
      </c>
      <c r="AB37" s="19">
        <f t="shared" si="21"/>
        <v>0</v>
      </c>
      <c r="AC37" s="19">
        <f t="shared" si="21"/>
        <v>0</v>
      </c>
      <c r="AD37" s="19">
        <f t="shared" si="21"/>
        <v>0</v>
      </c>
      <c r="AE37" s="19">
        <f t="shared" si="21"/>
        <v>0</v>
      </c>
      <c r="AF37" s="19">
        <f t="shared" si="21"/>
        <v>0</v>
      </c>
      <c r="AG37" s="19">
        <f t="shared" si="21"/>
        <v>0</v>
      </c>
      <c r="AH37" s="19"/>
      <c r="AI37" s="19"/>
      <c r="AJ37" s="19"/>
      <c r="AK37" s="59"/>
      <c r="AL37" s="59"/>
    </row>
    <row r="38" spans="1:38" x14ac:dyDescent="0.25">
      <c r="A38" s="11"/>
      <c r="B38" s="25" t="s">
        <v>61</v>
      </c>
      <c r="C38" s="13">
        <v>42356</v>
      </c>
      <c r="D38" s="14" t="s">
        <v>62</v>
      </c>
      <c r="E38" s="31" t="s">
        <v>63</v>
      </c>
      <c r="F38" s="31">
        <v>50.5</v>
      </c>
      <c r="G38" s="31">
        <f>0.3*0.33*0.15</f>
        <v>1.485E-2</v>
      </c>
      <c r="H38" s="31">
        <v>30</v>
      </c>
      <c r="I38" s="31">
        <v>33</v>
      </c>
      <c r="J38" s="31">
        <v>150</v>
      </c>
      <c r="K38" s="15">
        <v>37</v>
      </c>
      <c r="L38" s="15" t="s">
        <v>64</v>
      </c>
      <c r="M38" s="17"/>
      <c r="N38" s="18">
        <f>246.4*1000</f>
        <v>246400</v>
      </c>
      <c r="O38" s="19"/>
      <c r="P38" s="19">
        <v>317000</v>
      </c>
      <c r="Q38" s="19">
        <v>4380000</v>
      </c>
      <c r="R38" s="19"/>
      <c r="S38" s="19">
        <v>11000</v>
      </c>
      <c r="T38" s="19"/>
      <c r="U38" s="19">
        <v>398000</v>
      </c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59">
        <f>SUM(N38:AJ38)</f>
        <v>5352400</v>
      </c>
      <c r="AL38" s="59">
        <f>AK38/(F38*1000)</f>
        <v>105.98811881188119</v>
      </c>
    </row>
    <row r="39" spans="1:38" ht="15" hidden="1" customHeight="1" x14ac:dyDescent="0.25">
      <c r="A39" s="11"/>
      <c r="B39" s="33"/>
      <c r="C39" s="13">
        <v>42356</v>
      </c>
      <c r="D39" s="14"/>
      <c r="E39" s="31"/>
      <c r="F39" s="15"/>
      <c r="G39" s="31"/>
      <c r="H39" s="31">
        <v>30</v>
      </c>
      <c r="I39" s="31">
        <v>33</v>
      </c>
      <c r="J39" s="31">
        <v>150</v>
      </c>
      <c r="K39" s="15"/>
      <c r="L39" s="17"/>
      <c r="M39" s="17"/>
      <c r="N39" s="18">
        <f>N38/($F38*1000)</f>
        <v>4.8792079207920791</v>
      </c>
      <c r="O39" s="19"/>
      <c r="P39" s="19">
        <f t="shared" ref="P39:AG39" si="22">P38/($F38*1000)</f>
        <v>6.2772277227722775</v>
      </c>
      <c r="Q39" s="19">
        <f t="shared" si="22"/>
        <v>86.732673267326732</v>
      </c>
      <c r="R39" s="19">
        <f t="shared" si="22"/>
        <v>0</v>
      </c>
      <c r="S39" s="19">
        <f t="shared" si="22"/>
        <v>0.21782178217821782</v>
      </c>
      <c r="T39" s="19">
        <f t="shared" si="22"/>
        <v>0</v>
      </c>
      <c r="U39" s="19">
        <f t="shared" si="22"/>
        <v>7.8811881188118811</v>
      </c>
      <c r="V39" s="19">
        <f t="shared" si="22"/>
        <v>0</v>
      </c>
      <c r="W39" s="19">
        <f t="shared" si="22"/>
        <v>0</v>
      </c>
      <c r="X39" s="19">
        <f t="shared" si="22"/>
        <v>0</v>
      </c>
      <c r="Y39" s="19">
        <f t="shared" si="22"/>
        <v>0</v>
      </c>
      <c r="Z39" s="19">
        <f t="shared" si="22"/>
        <v>0</v>
      </c>
      <c r="AA39" s="19">
        <f t="shared" si="22"/>
        <v>0</v>
      </c>
      <c r="AB39" s="19">
        <f t="shared" si="22"/>
        <v>0</v>
      </c>
      <c r="AC39" s="19">
        <f t="shared" si="22"/>
        <v>0</v>
      </c>
      <c r="AD39" s="19">
        <f t="shared" si="22"/>
        <v>0</v>
      </c>
      <c r="AE39" s="19">
        <f t="shared" si="22"/>
        <v>0</v>
      </c>
      <c r="AF39" s="19">
        <f t="shared" si="22"/>
        <v>0</v>
      </c>
      <c r="AG39" s="19">
        <f t="shared" si="22"/>
        <v>0</v>
      </c>
      <c r="AH39" s="19"/>
      <c r="AI39" s="19"/>
      <c r="AJ39" s="19"/>
      <c r="AK39" s="59"/>
      <c r="AL39" s="59"/>
    </row>
    <row r="40" spans="1:38" ht="15" hidden="1" customHeight="1" x14ac:dyDescent="0.25">
      <c r="A40" s="11"/>
      <c r="B40" s="33"/>
      <c r="C40" s="13">
        <v>42356</v>
      </c>
      <c r="D40" s="14"/>
      <c r="E40" s="31"/>
      <c r="F40" s="15"/>
      <c r="G40" s="31"/>
      <c r="H40" s="31">
        <v>30</v>
      </c>
      <c r="I40" s="31">
        <v>33</v>
      </c>
      <c r="J40" s="31">
        <v>150</v>
      </c>
      <c r="K40" s="15"/>
      <c r="L40" s="17"/>
      <c r="M40" s="17"/>
      <c r="N40" s="18">
        <f>N39/N$2</f>
        <v>4.8792079207920789E-6</v>
      </c>
      <c r="O40" s="19"/>
      <c r="P40" s="19">
        <f>P39/P$2</f>
        <v>0.62772277227722773</v>
      </c>
      <c r="Q40" s="19">
        <f>Q39/Q$2</f>
        <v>8.6732673267326739</v>
      </c>
      <c r="R40" s="19">
        <f>R39/R$2</f>
        <v>0</v>
      </c>
      <c r="S40" s="19">
        <f>S39/S$2</f>
        <v>2.1782178217821781E-2</v>
      </c>
      <c r="T40" s="19"/>
      <c r="U40" s="19">
        <f t="shared" ref="U40:AG40" si="23">U39/U$2</f>
        <v>7.8811881188118812E-2</v>
      </c>
      <c r="V40" s="19">
        <f t="shared" si="23"/>
        <v>0</v>
      </c>
      <c r="W40" s="19">
        <f t="shared" si="23"/>
        <v>0</v>
      </c>
      <c r="X40" s="19">
        <f t="shared" si="23"/>
        <v>0</v>
      </c>
      <c r="Y40" s="19">
        <f t="shared" si="23"/>
        <v>0</v>
      </c>
      <c r="Z40" s="19">
        <f t="shared" si="23"/>
        <v>0</v>
      </c>
      <c r="AA40" s="19">
        <f t="shared" si="23"/>
        <v>0</v>
      </c>
      <c r="AB40" s="19">
        <f t="shared" si="23"/>
        <v>0</v>
      </c>
      <c r="AC40" s="19">
        <f t="shared" si="23"/>
        <v>0</v>
      </c>
      <c r="AD40" s="19">
        <f t="shared" si="23"/>
        <v>0</v>
      </c>
      <c r="AE40" s="19">
        <f t="shared" si="23"/>
        <v>0</v>
      </c>
      <c r="AF40" s="19">
        <f t="shared" si="23"/>
        <v>0</v>
      </c>
      <c r="AG40" s="19">
        <f t="shared" si="23"/>
        <v>0</v>
      </c>
      <c r="AH40" s="19"/>
      <c r="AI40" s="19"/>
      <c r="AJ40" s="19"/>
      <c r="AK40" s="59"/>
      <c r="AL40" s="59"/>
    </row>
    <row r="41" spans="1:38" x14ac:dyDescent="0.25">
      <c r="A41" s="11"/>
      <c r="B41" s="25" t="s">
        <v>65</v>
      </c>
      <c r="C41" s="13">
        <v>42356</v>
      </c>
      <c r="D41" s="14" t="s">
        <v>62</v>
      </c>
      <c r="E41" s="31" t="s">
        <v>63</v>
      </c>
      <c r="F41" s="31">
        <v>25.5</v>
      </c>
      <c r="G41" s="31">
        <f>0.3*0.33*0.15</f>
        <v>1.485E-2</v>
      </c>
      <c r="H41" s="31">
        <v>30</v>
      </c>
      <c r="I41" s="31">
        <v>33</v>
      </c>
      <c r="J41" s="31">
        <v>150</v>
      </c>
      <c r="K41" s="15">
        <v>9.6</v>
      </c>
      <c r="L41" s="15" t="s">
        <v>64</v>
      </c>
      <c r="M41" s="17"/>
      <c r="N41" s="18">
        <f>3116.8*1000</f>
        <v>3116800</v>
      </c>
      <c r="O41" s="19"/>
      <c r="P41" s="19"/>
      <c r="Q41" s="19">
        <v>70000</v>
      </c>
      <c r="R41" s="19"/>
      <c r="S41" s="19">
        <v>14400</v>
      </c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>
        <v>37800</v>
      </c>
      <c r="AE41" s="19"/>
      <c r="AF41" s="19"/>
      <c r="AG41" s="19"/>
      <c r="AH41" s="19"/>
      <c r="AI41" s="19"/>
      <c r="AJ41" s="19"/>
      <c r="AK41" s="59">
        <f>SUM(N41:AJ41)</f>
        <v>3239000</v>
      </c>
      <c r="AL41" s="59">
        <f>AK41/(F41*1000)</f>
        <v>127.01960784313725</v>
      </c>
    </row>
    <row r="42" spans="1:38" ht="15" hidden="1" customHeight="1" x14ac:dyDescent="0.25">
      <c r="A42" s="11"/>
      <c r="B42" s="25"/>
      <c r="C42" s="13">
        <v>42356</v>
      </c>
      <c r="D42" s="14"/>
      <c r="E42" s="31"/>
      <c r="F42" s="31"/>
      <c r="G42" s="31"/>
      <c r="H42" s="31">
        <v>30</v>
      </c>
      <c r="I42" s="31">
        <v>33</v>
      </c>
      <c r="J42" s="31">
        <v>150</v>
      </c>
      <c r="K42" s="15"/>
      <c r="L42" s="15"/>
      <c r="M42" s="17"/>
      <c r="N42" s="18">
        <f>N41/($F41*1000)</f>
        <v>122.22745098039216</v>
      </c>
      <c r="O42" s="19"/>
      <c r="P42" s="19">
        <f t="shared" ref="P42:AG42" si="24">P41/($F41*1000)</f>
        <v>0</v>
      </c>
      <c r="Q42" s="19">
        <f t="shared" si="24"/>
        <v>2.7450980392156863</v>
      </c>
      <c r="R42" s="19">
        <f t="shared" si="24"/>
        <v>0</v>
      </c>
      <c r="S42" s="19">
        <f t="shared" si="24"/>
        <v>0.56470588235294117</v>
      </c>
      <c r="T42" s="19">
        <f t="shared" si="24"/>
        <v>0</v>
      </c>
      <c r="U42" s="19">
        <f t="shared" si="24"/>
        <v>0</v>
      </c>
      <c r="V42" s="19">
        <f t="shared" si="24"/>
        <v>0</v>
      </c>
      <c r="W42" s="19">
        <f t="shared" si="24"/>
        <v>0</v>
      </c>
      <c r="X42" s="19">
        <f t="shared" si="24"/>
        <v>0</v>
      </c>
      <c r="Y42" s="19">
        <f t="shared" si="24"/>
        <v>0</v>
      </c>
      <c r="Z42" s="19">
        <f t="shared" si="24"/>
        <v>0</v>
      </c>
      <c r="AA42" s="19">
        <f t="shared" si="24"/>
        <v>0</v>
      </c>
      <c r="AB42" s="19">
        <f t="shared" si="24"/>
        <v>0</v>
      </c>
      <c r="AC42" s="19">
        <f t="shared" si="24"/>
        <v>0</v>
      </c>
      <c r="AD42" s="19">
        <f t="shared" si="24"/>
        <v>1.4823529411764707</v>
      </c>
      <c r="AE42" s="19">
        <f t="shared" si="24"/>
        <v>0</v>
      </c>
      <c r="AF42" s="19">
        <f t="shared" si="24"/>
        <v>0</v>
      </c>
      <c r="AG42" s="19">
        <f t="shared" si="24"/>
        <v>0</v>
      </c>
      <c r="AH42" s="19"/>
      <c r="AI42" s="19"/>
      <c r="AJ42" s="19"/>
      <c r="AK42" s="59"/>
      <c r="AL42" s="59"/>
    </row>
    <row r="43" spans="1:38" ht="15" hidden="1" customHeight="1" x14ac:dyDescent="0.25">
      <c r="A43" s="11"/>
      <c r="B43" s="25"/>
      <c r="C43" s="13">
        <v>42356</v>
      </c>
      <c r="D43" s="14"/>
      <c r="E43" s="31"/>
      <c r="F43" s="31"/>
      <c r="G43" s="31"/>
      <c r="H43" s="31">
        <v>30</v>
      </c>
      <c r="I43" s="31">
        <v>33</v>
      </c>
      <c r="J43" s="31">
        <v>150</v>
      </c>
      <c r="K43" s="15"/>
      <c r="L43" s="15"/>
      <c r="M43" s="17"/>
      <c r="N43" s="18">
        <f>N42/N$2</f>
        <v>1.2222745098039217E-4</v>
      </c>
      <c r="O43" s="19"/>
      <c r="P43" s="19">
        <f>P42/P$2</f>
        <v>0</v>
      </c>
      <c r="Q43" s="19">
        <f>Q42/Q$2</f>
        <v>0.27450980392156865</v>
      </c>
      <c r="R43" s="19">
        <f>R42/R$2</f>
        <v>0</v>
      </c>
      <c r="S43" s="19">
        <f>S42/S$2</f>
        <v>5.647058823529412E-2</v>
      </c>
      <c r="T43" s="19"/>
      <c r="U43" s="19">
        <f t="shared" ref="U43:AG43" si="25">U42/U$2</f>
        <v>0</v>
      </c>
      <c r="V43" s="19">
        <f t="shared" si="25"/>
        <v>0</v>
      </c>
      <c r="W43" s="19">
        <f t="shared" si="25"/>
        <v>0</v>
      </c>
      <c r="X43" s="19">
        <f t="shared" si="25"/>
        <v>0</v>
      </c>
      <c r="Y43" s="19">
        <f t="shared" si="25"/>
        <v>0</v>
      </c>
      <c r="Z43" s="19">
        <f t="shared" si="25"/>
        <v>0</v>
      </c>
      <c r="AA43" s="19">
        <f t="shared" si="25"/>
        <v>0</v>
      </c>
      <c r="AB43" s="19">
        <f t="shared" si="25"/>
        <v>0</v>
      </c>
      <c r="AC43" s="19">
        <f t="shared" si="25"/>
        <v>0</v>
      </c>
      <c r="AD43" s="19">
        <f t="shared" si="25"/>
        <v>0.14823529411764708</v>
      </c>
      <c r="AE43" s="19">
        <f t="shared" si="25"/>
        <v>0</v>
      </c>
      <c r="AF43" s="19">
        <f t="shared" si="25"/>
        <v>0</v>
      </c>
      <c r="AG43" s="19">
        <f t="shared" si="25"/>
        <v>0</v>
      </c>
      <c r="AH43" s="19"/>
      <c r="AI43" s="19"/>
      <c r="AJ43" s="19"/>
      <c r="AK43" s="59"/>
      <c r="AL43" s="59"/>
    </row>
    <row r="44" spans="1:38" x14ac:dyDescent="0.25">
      <c r="A44" s="11"/>
      <c r="B44" s="25" t="s">
        <v>66</v>
      </c>
      <c r="C44" s="13">
        <v>42356</v>
      </c>
      <c r="D44" s="14" t="s">
        <v>62</v>
      </c>
      <c r="E44" s="31" t="s">
        <v>63</v>
      </c>
      <c r="F44" s="31">
        <v>27.5</v>
      </c>
      <c r="G44" s="31">
        <f>0.3*0.33*0.15</f>
        <v>1.485E-2</v>
      </c>
      <c r="H44" s="31">
        <v>30</v>
      </c>
      <c r="I44" s="31">
        <v>33</v>
      </c>
      <c r="J44" s="31">
        <v>150</v>
      </c>
      <c r="K44" s="15">
        <v>12</v>
      </c>
      <c r="L44" s="15" t="s">
        <v>64</v>
      </c>
      <c r="M44" s="17"/>
      <c r="N44" s="18">
        <f>5853.4*1000</f>
        <v>5853400</v>
      </c>
      <c r="O44" s="19"/>
      <c r="P44" s="19"/>
      <c r="Q44" s="19">
        <v>548000</v>
      </c>
      <c r="R44" s="19"/>
      <c r="S44" s="19">
        <v>190000</v>
      </c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>
        <v>47200</v>
      </c>
      <c r="AE44" s="19"/>
      <c r="AF44" s="19"/>
      <c r="AG44" s="19"/>
      <c r="AH44" s="19"/>
      <c r="AI44" s="19"/>
      <c r="AJ44" s="19"/>
      <c r="AK44" s="59">
        <f>SUM(N44:AJ44)</f>
        <v>6638600</v>
      </c>
      <c r="AL44" s="59">
        <f>AK44/(F44*1000)</f>
        <v>241.40363636363637</v>
      </c>
    </row>
    <row r="45" spans="1:38" ht="15" hidden="1" customHeight="1" x14ac:dyDescent="0.25">
      <c r="A45" s="11"/>
      <c r="B45" s="25"/>
      <c r="C45" s="13">
        <v>42356</v>
      </c>
      <c r="D45" s="14"/>
      <c r="E45" s="31"/>
      <c r="F45" s="31"/>
      <c r="G45" s="31"/>
      <c r="H45" s="31">
        <v>30</v>
      </c>
      <c r="I45" s="31">
        <v>33</v>
      </c>
      <c r="J45" s="31">
        <v>150</v>
      </c>
      <c r="K45" s="15"/>
      <c r="L45" s="15"/>
      <c r="M45" s="17"/>
      <c r="N45" s="18">
        <f>N44/($F44*1000)</f>
        <v>212.85090909090908</v>
      </c>
      <c r="O45" s="19"/>
      <c r="P45" s="19">
        <f t="shared" ref="P45:AG45" si="26">P44/($F44*1000)</f>
        <v>0</v>
      </c>
      <c r="Q45" s="19">
        <f t="shared" si="26"/>
        <v>19.927272727272726</v>
      </c>
      <c r="R45" s="19">
        <f t="shared" si="26"/>
        <v>0</v>
      </c>
      <c r="S45" s="19">
        <f t="shared" si="26"/>
        <v>6.9090909090909092</v>
      </c>
      <c r="T45" s="19">
        <f t="shared" si="26"/>
        <v>0</v>
      </c>
      <c r="U45" s="19">
        <f t="shared" si="26"/>
        <v>0</v>
      </c>
      <c r="V45" s="19">
        <f t="shared" si="26"/>
        <v>0</v>
      </c>
      <c r="W45" s="19">
        <f t="shared" si="26"/>
        <v>0</v>
      </c>
      <c r="X45" s="19">
        <f t="shared" si="26"/>
        <v>0</v>
      </c>
      <c r="Y45" s="19">
        <f t="shared" si="26"/>
        <v>0</v>
      </c>
      <c r="Z45" s="19">
        <f t="shared" si="26"/>
        <v>0</v>
      </c>
      <c r="AA45" s="19">
        <f t="shared" si="26"/>
        <v>0</v>
      </c>
      <c r="AB45" s="19">
        <f t="shared" si="26"/>
        <v>0</v>
      </c>
      <c r="AC45" s="19">
        <f t="shared" si="26"/>
        <v>0</v>
      </c>
      <c r="AD45" s="19">
        <f t="shared" si="26"/>
        <v>1.7163636363636363</v>
      </c>
      <c r="AE45" s="19">
        <f t="shared" si="26"/>
        <v>0</v>
      </c>
      <c r="AF45" s="19">
        <f t="shared" si="26"/>
        <v>0</v>
      </c>
      <c r="AG45" s="19">
        <f t="shared" si="26"/>
        <v>0</v>
      </c>
      <c r="AH45" s="19"/>
      <c r="AI45" s="19"/>
      <c r="AJ45" s="19"/>
      <c r="AK45" s="59"/>
      <c r="AL45" s="59"/>
    </row>
    <row r="46" spans="1:38" ht="15" hidden="1" customHeight="1" x14ac:dyDescent="0.25">
      <c r="A46" s="11"/>
      <c r="B46" s="25"/>
      <c r="C46" s="13">
        <v>42356</v>
      </c>
      <c r="D46" s="14"/>
      <c r="E46" s="31"/>
      <c r="F46" s="31"/>
      <c r="G46" s="31"/>
      <c r="H46" s="31">
        <v>30</v>
      </c>
      <c r="I46" s="31">
        <v>33</v>
      </c>
      <c r="J46" s="31">
        <v>150</v>
      </c>
      <c r="K46" s="15"/>
      <c r="L46" s="15"/>
      <c r="M46" s="17"/>
      <c r="N46" s="18">
        <f>N45/N$2</f>
        <v>2.1285090909090907E-4</v>
      </c>
      <c r="O46" s="19"/>
      <c r="P46" s="19">
        <f>P45/P$2</f>
        <v>0</v>
      </c>
      <c r="Q46" s="19">
        <f>Q45/Q$2</f>
        <v>1.9927272727272727</v>
      </c>
      <c r="R46" s="19">
        <f>R45/R$2</f>
        <v>0</v>
      </c>
      <c r="S46" s="19">
        <f>S45/S$2</f>
        <v>0.69090909090909092</v>
      </c>
      <c r="T46" s="19"/>
      <c r="U46" s="19">
        <f t="shared" ref="U46:AG46" si="27">U45/U$2</f>
        <v>0</v>
      </c>
      <c r="V46" s="19">
        <f t="shared" si="27"/>
        <v>0</v>
      </c>
      <c r="W46" s="19">
        <f t="shared" si="27"/>
        <v>0</v>
      </c>
      <c r="X46" s="19">
        <f t="shared" si="27"/>
        <v>0</v>
      </c>
      <c r="Y46" s="19">
        <f t="shared" si="27"/>
        <v>0</v>
      </c>
      <c r="Z46" s="19">
        <f t="shared" si="27"/>
        <v>0</v>
      </c>
      <c r="AA46" s="19">
        <f t="shared" si="27"/>
        <v>0</v>
      </c>
      <c r="AB46" s="19">
        <f t="shared" si="27"/>
        <v>0</v>
      </c>
      <c r="AC46" s="19">
        <f t="shared" si="27"/>
        <v>0</v>
      </c>
      <c r="AD46" s="19">
        <f t="shared" si="27"/>
        <v>0.17163636363636364</v>
      </c>
      <c r="AE46" s="19">
        <f t="shared" si="27"/>
        <v>0</v>
      </c>
      <c r="AF46" s="19">
        <f t="shared" si="27"/>
        <v>0</v>
      </c>
      <c r="AG46" s="19">
        <f t="shared" si="27"/>
        <v>0</v>
      </c>
      <c r="AH46" s="19"/>
      <c r="AI46" s="19"/>
      <c r="AJ46" s="19"/>
      <c r="AK46" s="59"/>
      <c r="AL46" s="59"/>
    </row>
    <row r="47" spans="1:38" x14ac:dyDescent="0.25">
      <c r="A47" s="11"/>
      <c r="B47" s="25" t="s">
        <v>67</v>
      </c>
      <c r="C47" s="13">
        <v>42356</v>
      </c>
      <c r="D47" s="14" t="s">
        <v>62</v>
      </c>
      <c r="E47" s="31" t="s">
        <v>63</v>
      </c>
      <c r="F47" s="31">
        <v>26</v>
      </c>
      <c r="G47" s="31">
        <f>0.3*0.33*0.15</f>
        <v>1.485E-2</v>
      </c>
      <c r="H47" s="31">
        <v>30</v>
      </c>
      <c r="I47" s="31">
        <v>33</v>
      </c>
      <c r="J47" s="31">
        <v>150</v>
      </c>
      <c r="K47" s="15">
        <v>15.6</v>
      </c>
      <c r="L47" s="15" t="s">
        <v>64</v>
      </c>
      <c r="M47" s="17"/>
      <c r="N47" s="18">
        <f>1747.7*1000</f>
        <v>1747700</v>
      </c>
      <c r="O47" s="19"/>
      <c r="P47" s="19"/>
      <c r="Q47" s="19">
        <v>113000</v>
      </c>
      <c r="R47" s="19"/>
      <c r="S47" s="19">
        <v>29700</v>
      </c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>
        <v>31500</v>
      </c>
      <c r="AE47" s="19"/>
      <c r="AF47" s="19"/>
      <c r="AG47" s="19"/>
      <c r="AH47" s="19"/>
      <c r="AI47" s="19"/>
      <c r="AJ47" s="19"/>
      <c r="AK47" s="59">
        <f>SUM(N47:AJ47)</f>
        <v>1921900</v>
      </c>
      <c r="AL47" s="59">
        <f>AK47/(F47*1000)</f>
        <v>73.919230769230765</v>
      </c>
    </row>
    <row r="48" spans="1:38" ht="15" hidden="1" customHeight="1" x14ac:dyDescent="0.25">
      <c r="A48" s="11"/>
      <c r="B48" s="25"/>
      <c r="C48" s="13">
        <v>42356</v>
      </c>
      <c r="D48" s="14"/>
      <c r="E48" s="31"/>
      <c r="F48" s="31"/>
      <c r="G48" s="31"/>
      <c r="H48" s="31">
        <v>30</v>
      </c>
      <c r="I48" s="31">
        <v>33</v>
      </c>
      <c r="J48" s="31">
        <v>150</v>
      </c>
      <c r="K48" s="15"/>
      <c r="L48" s="15"/>
      <c r="M48" s="17"/>
      <c r="N48" s="18">
        <f>N47/($F47*1000)</f>
        <v>67.219230769230762</v>
      </c>
      <c r="O48" s="19"/>
      <c r="P48" s="19">
        <f t="shared" ref="P48:AG48" si="28">P47/($F47*1000)</f>
        <v>0</v>
      </c>
      <c r="Q48" s="19">
        <f t="shared" si="28"/>
        <v>4.3461538461538458</v>
      </c>
      <c r="R48" s="19">
        <f t="shared" si="28"/>
        <v>0</v>
      </c>
      <c r="S48" s="19">
        <f t="shared" si="28"/>
        <v>1.1423076923076922</v>
      </c>
      <c r="T48" s="19">
        <f t="shared" si="28"/>
        <v>0</v>
      </c>
      <c r="U48" s="19">
        <f t="shared" si="28"/>
        <v>0</v>
      </c>
      <c r="V48" s="19">
        <f t="shared" si="28"/>
        <v>0</v>
      </c>
      <c r="W48" s="19">
        <f t="shared" si="28"/>
        <v>0</v>
      </c>
      <c r="X48" s="19">
        <f t="shared" si="28"/>
        <v>0</v>
      </c>
      <c r="Y48" s="19">
        <f t="shared" si="28"/>
        <v>0</v>
      </c>
      <c r="Z48" s="19">
        <f t="shared" si="28"/>
        <v>0</v>
      </c>
      <c r="AA48" s="19">
        <f t="shared" si="28"/>
        <v>0</v>
      </c>
      <c r="AB48" s="19">
        <f t="shared" si="28"/>
        <v>0</v>
      </c>
      <c r="AC48" s="19">
        <f t="shared" si="28"/>
        <v>0</v>
      </c>
      <c r="AD48" s="19">
        <f t="shared" si="28"/>
        <v>1.2115384615384615</v>
      </c>
      <c r="AE48" s="19">
        <f t="shared" si="28"/>
        <v>0</v>
      </c>
      <c r="AF48" s="19">
        <f t="shared" si="28"/>
        <v>0</v>
      </c>
      <c r="AG48" s="19">
        <f t="shared" si="28"/>
        <v>0</v>
      </c>
      <c r="AH48" s="19"/>
      <c r="AI48" s="19"/>
      <c r="AJ48" s="19"/>
      <c r="AK48" s="59"/>
      <c r="AL48" s="59"/>
    </row>
    <row r="49" spans="1:38" ht="15" hidden="1" customHeight="1" x14ac:dyDescent="0.25">
      <c r="A49" s="11"/>
      <c r="B49" s="25"/>
      <c r="C49" s="13">
        <v>42356</v>
      </c>
      <c r="D49" s="14"/>
      <c r="E49" s="31"/>
      <c r="F49" s="31"/>
      <c r="G49" s="31"/>
      <c r="H49" s="31">
        <v>30</v>
      </c>
      <c r="I49" s="31">
        <v>33</v>
      </c>
      <c r="J49" s="31">
        <v>150</v>
      </c>
      <c r="K49" s="15"/>
      <c r="L49" s="15"/>
      <c r="M49" s="17"/>
      <c r="N49" s="18">
        <f>N48/N$2</f>
        <v>6.7219230769230759E-5</v>
      </c>
      <c r="O49" s="19"/>
      <c r="P49" s="19">
        <f>P48/P$2</f>
        <v>0</v>
      </c>
      <c r="Q49" s="19">
        <f>Q48/Q$2</f>
        <v>0.43461538461538457</v>
      </c>
      <c r="R49" s="19">
        <f>R48/R$2</f>
        <v>0</v>
      </c>
      <c r="S49" s="19">
        <f>S48/S$2</f>
        <v>0.11423076923076922</v>
      </c>
      <c r="T49" s="19"/>
      <c r="U49" s="19">
        <f t="shared" ref="U49:AG49" si="29">U48/U$2</f>
        <v>0</v>
      </c>
      <c r="V49" s="19">
        <f t="shared" si="29"/>
        <v>0</v>
      </c>
      <c r="W49" s="19">
        <f t="shared" si="29"/>
        <v>0</v>
      </c>
      <c r="X49" s="19">
        <f t="shared" si="29"/>
        <v>0</v>
      </c>
      <c r="Y49" s="19">
        <f t="shared" si="29"/>
        <v>0</v>
      </c>
      <c r="Z49" s="19">
        <f t="shared" si="29"/>
        <v>0</v>
      </c>
      <c r="AA49" s="19">
        <f t="shared" si="29"/>
        <v>0</v>
      </c>
      <c r="AB49" s="19">
        <f t="shared" si="29"/>
        <v>0</v>
      </c>
      <c r="AC49" s="19">
        <f t="shared" si="29"/>
        <v>0</v>
      </c>
      <c r="AD49" s="19">
        <f t="shared" si="29"/>
        <v>0.12115384615384614</v>
      </c>
      <c r="AE49" s="19">
        <f t="shared" si="29"/>
        <v>0</v>
      </c>
      <c r="AF49" s="19">
        <f t="shared" si="29"/>
        <v>0</v>
      </c>
      <c r="AG49" s="19">
        <f t="shared" si="29"/>
        <v>0</v>
      </c>
      <c r="AH49" s="19"/>
      <c r="AI49" s="19"/>
      <c r="AJ49" s="19"/>
      <c r="AK49" s="59"/>
      <c r="AL49" s="59"/>
    </row>
    <row r="50" spans="1:38" x14ac:dyDescent="0.25">
      <c r="A50" s="11"/>
      <c r="B50" s="25" t="s">
        <v>68</v>
      </c>
      <c r="C50" s="13">
        <v>42356</v>
      </c>
      <c r="D50" s="14" t="s">
        <v>62</v>
      </c>
      <c r="E50" s="31" t="s">
        <v>63</v>
      </c>
      <c r="F50" s="31">
        <v>34.5</v>
      </c>
      <c r="G50" s="31">
        <f>0.3*0.33*0.15</f>
        <v>1.485E-2</v>
      </c>
      <c r="H50" s="31">
        <v>30</v>
      </c>
      <c r="I50" s="31">
        <v>33</v>
      </c>
      <c r="J50" s="31">
        <v>150</v>
      </c>
      <c r="K50" s="15">
        <v>6.3</v>
      </c>
      <c r="L50" s="15" t="s">
        <v>64</v>
      </c>
      <c r="M50" s="17"/>
      <c r="N50" s="18">
        <f>3525.2*1000</f>
        <v>3525200</v>
      </c>
      <c r="O50" s="19"/>
      <c r="P50" s="19"/>
      <c r="Q50" s="19">
        <v>331000</v>
      </c>
      <c r="R50" s="19"/>
      <c r="S50" s="19">
        <v>77800</v>
      </c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>
        <v>36700</v>
      </c>
      <c r="AE50" s="19"/>
      <c r="AF50" s="19"/>
      <c r="AG50" s="19"/>
      <c r="AH50" s="19"/>
      <c r="AI50" s="19"/>
      <c r="AJ50" s="19"/>
      <c r="AK50" s="59">
        <f>SUM(N50:AJ50)</f>
        <v>3970700</v>
      </c>
      <c r="AL50" s="59">
        <f>AK50/(F50*1000)</f>
        <v>115.0927536231884</v>
      </c>
    </row>
    <row r="51" spans="1:38" ht="15" hidden="1" customHeight="1" x14ac:dyDescent="0.25">
      <c r="A51" s="11"/>
      <c r="B51" s="25"/>
      <c r="C51" s="13">
        <v>42356</v>
      </c>
      <c r="D51" s="14"/>
      <c r="E51" s="31"/>
      <c r="F51" s="31"/>
      <c r="G51" s="31"/>
      <c r="H51" s="31"/>
      <c r="I51" s="31"/>
      <c r="J51" s="31"/>
      <c r="K51" s="15"/>
      <c r="L51" s="17"/>
      <c r="M51" s="17"/>
      <c r="N51" s="18">
        <f>N50/($F50*1000)</f>
        <v>102.17971014492754</v>
      </c>
      <c r="O51" s="19"/>
      <c r="P51" s="19">
        <f t="shared" ref="P51:AG51" si="30">P50/($F50*1000)</f>
        <v>0</v>
      </c>
      <c r="Q51" s="19">
        <f t="shared" si="30"/>
        <v>9.5942028985507246</v>
      </c>
      <c r="R51" s="19">
        <f t="shared" si="30"/>
        <v>0</v>
      </c>
      <c r="S51" s="19">
        <f t="shared" si="30"/>
        <v>2.2550724637681161</v>
      </c>
      <c r="T51" s="19">
        <f t="shared" si="30"/>
        <v>0</v>
      </c>
      <c r="U51" s="19">
        <f t="shared" si="30"/>
        <v>0</v>
      </c>
      <c r="V51" s="19">
        <f t="shared" si="30"/>
        <v>0</v>
      </c>
      <c r="W51" s="19">
        <f t="shared" si="30"/>
        <v>0</v>
      </c>
      <c r="X51" s="19">
        <f t="shared" si="30"/>
        <v>0</v>
      </c>
      <c r="Y51" s="19">
        <f t="shared" si="30"/>
        <v>0</v>
      </c>
      <c r="Z51" s="19">
        <f t="shared" si="30"/>
        <v>0</v>
      </c>
      <c r="AA51" s="19">
        <f t="shared" si="30"/>
        <v>0</v>
      </c>
      <c r="AB51" s="19">
        <f t="shared" si="30"/>
        <v>0</v>
      </c>
      <c r="AC51" s="19">
        <f t="shared" si="30"/>
        <v>0</v>
      </c>
      <c r="AD51" s="19">
        <f t="shared" si="30"/>
        <v>1.0637681159420289</v>
      </c>
      <c r="AE51" s="19">
        <f t="shared" si="30"/>
        <v>0</v>
      </c>
      <c r="AF51" s="19">
        <f t="shared" si="30"/>
        <v>0</v>
      </c>
      <c r="AG51" s="19">
        <f t="shared" si="30"/>
        <v>0</v>
      </c>
      <c r="AH51" s="19"/>
      <c r="AI51" s="19"/>
      <c r="AJ51" s="19"/>
      <c r="AK51" s="59"/>
      <c r="AL51" s="59"/>
    </row>
    <row r="52" spans="1:38" ht="15" hidden="1" customHeight="1" x14ac:dyDescent="0.25">
      <c r="A52" s="11"/>
      <c r="B52" s="25"/>
      <c r="C52" s="13">
        <v>42356</v>
      </c>
      <c r="D52" s="14"/>
      <c r="E52" s="31"/>
      <c r="F52" s="31"/>
      <c r="G52" s="31"/>
      <c r="H52" s="31"/>
      <c r="I52" s="31"/>
      <c r="J52" s="31"/>
      <c r="K52" s="15"/>
      <c r="L52" s="17"/>
      <c r="M52" s="17"/>
      <c r="N52" s="18">
        <f>N51/N$2</f>
        <v>1.0217971014492753E-4</v>
      </c>
      <c r="O52" s="19"/>
      <c r="P52" s="19">
        <f>P51/P$2</f>
        <v>0</v>
      </c>
      <c r="Q52" s="19">
        <f>Q51/Q$2</f>
        <v>0.95942028985507244</v>
      </c>
      <c r="R52" s="19">
        <f>R51/R$2</f>
        <v>0</v>
      </c>
      <c r="S52" s="19">
        <f>S51/S$2</f>
        <v>0.2255072463768116</v>
      </c>
      <c r="T52" s="19"/>
      <c r="U52" s="19">
        <f t="shared" ref="U52:AG52" si="31">U51/U$2</f>
        <v>0</v>
      </c>
      <c r="V52" s="19">
        <f t="shared" si="31"/>
        <v>0</v>
      </c>
      <c r="W52" s="19">
        <f t="shared" si="31"/>
        <v>0</v>
      </c>
      <c r="X52" s="19">
        <f t="shared" si="31"/>
        <v>0</v>
      </c>
      <c r="Y52" s="19">
        <f t="shared" si="31"/>
        <v>0</v>
      </c>
      <c r="Z52" s="19">
        <f t="shared" si="31"/>
        <v>0</v>
      </c>
      <c r="AA52" s="19">
        <f t="shared" si="31"/>
        <v>0</v>
      </c>
      <c r="AB52" s="19">
        <f t="shared" si="31"/>
        <v>0</v>
      </c>
      <c r="AC52" s="19">
        <f t="shared" si="31"/>
        <v>0</v>
      </c>
      <c r="AD52" s="19">
        <f t="shared" si="31"/>
        <v>0.1063768115942029</v>
      </c>
      <c r="AE52" s="19">
        <f t="shared" si="31"/>
        <v>0</v>
      </c>
      <c r="AF52" s="19">
        <f t="shared" si="31"/>
        <v>0</v>
      </c>
      <c r="AG52" s="19">
        <f t="shared" si="31"/>
        <v>0</v>
      </c>
      <c r="AH52" s="19"/>
      <c r="AI52" s="19"/>
      <c r="AJ52" s="19"/>
      <c r="AK52" s="59"/>
      <c r="AL52" s="59"/>
    </row>
    <row r="53" spans="1:38" x14ac:dyDescent="0.25">
      <c r="A53" s="11"/>
      <c r="B53" s="25" t="s">
        <v>69</v>
      </c>
      <c r="C53" s="13">
        <v>42356</v>
      </c>
      <c r="D53" s="14" t="s">
        <v>59</v>
      </c>
      <c r="E53" s="31" t="s">
        <v>45</v>
      </c>
      <c r="F53" s="15">
        <v>14.5</v>
      </c>
      <c r="G53" s="31">
        <v>0.2</v>
      </c>
      <c r="H53" s="31">
        <v>95</v>
      </c>
      <c r="I53" s="31">
        <v>58</v>
      </c>
      <c r="J53" s="31"/>
      <c r="K53" s="15">
        <v>1</v>
      </c>
      <c r="L53" s="17" t="s">
        <v>70</v>
      </c>
      <c r="M53" s="17"/>
      <c r="N53" s="18">
        <f>49200000+'[1]Decay of Standards'!C8+'[1]Decay of Standards'!H8</f>
        <v>4674285202.9735022</v>
      </c>
      <c r="O53" s="19">
        <f>'[1]Decay of Standards'!L8</f>
        <v>18570.924799971595</v>
      </c>
      <c r="P53" s="19"/>
      <c r="Q53" s="19">
        <v>1900</v>
      </c>
      <c r="R53" s="19"/>
      <c r="S53" s="19">
        <v>110</v>
      </c>
      <c r="T53" s="19"/>
      <c r="U53" s="19"/>
      <c r="V53" s="19">
        <v>3.2</v>
      </c>
      <c r="W53" s="19"/>
      <c r="X53" s="19"/>
      <c r="Y53" s="19"/>
      <c r="Z53" s="19"/>
      <c r="AA53" s="19"/>
      <c r="AB53" s="19"/>
      <c r="AC53" s="19"/>
      <c r="AD53" s="19"/>
      <c r="AE53" s="19">
        <v>10</v>
      </c>
      <c r="AF53" s="19">
        <v>9.8000000000000007</v>
      </c>
      <c r="AG53" s="19"/>
      <c r="AH53" s="19"/>
      <c r="AI53" s="19"/>
      <c r="AJ53" s="19"/>
      <c r="AK53" s="59">
        <f>SUM(N53:AJ53)</f>
        <v>4674305806.8983021</v>
      </c>
      <c r="AL53" s="59">
        <f>AK53/(F53*1000)</f>
        <v>322365.91771712428</v>
      </c>
    </row>
    <row r="54" spans="1:38" hidden="1" x14ac:dyDescent="0.25">
      <c r="A54" s="11"/>
      <c r="B54" s="25"/>
      <c r="C54" s="13">
        <v>42356</v>
      </c>
      <c r="D54" s="14"/>
      <c r="E54" s="31"/>
      <c r="F54" s="15"/>
      <c r="G54" s="31"/>
      <c r="H54" s="31"/>
      <c r="I54" s="31"/>
      <c r="J54" s="31"/>
      <c r="K54" s="15"/>
      <c r="L54" s="17"/>
      <c r="M54" s="17"/>
      <c r="N54" s="18">
        <f>N53/($F53*1000)</f>
        <v>322364.49675679323</v>
      </c>
      <c r="O54" s="19"/>
      <c r="P54" s="19">
        <f t="shared" ref="P54:AG54" si="32">P53/($F53*1000)</f>
        <v>0</v>
      </c>
      <c r="Q54" s="19">
        <f t="shared" si="32"/>
        <v>0.1310344827586207</v>
      </c>
      <c r="R54" s="19">
        <f t="shared" si="32"/>
        <v>0</v>
      </c>
      <c r="S54" s="19">
        <f t="shared" si="32"/>
        <v>7.5862068965517242E-3</v>
      </c>
      <c r="T54" s="19">
        <f t="shared" si="32"/>
        <v>0</v>
      </c>
      <c r="U54" s="19">
        <f t="shared" si="32"/>
        <v>0</v>
      </c>
      <c r="V54" s="19">
        <f t="shared" si="32"/>
        <v>2.2068965517241381E-4</v>
      </c>
      <c r="W54" s="19">
        <f t="shared" si="32"/>
        <v>0</v>
      </c>
      <c r="X54" s="19">
        <f t="shared" si="32"/>
        <v>0</v>
      </c>
      <c r="Y54" s="19">
        <f t="shared" si="32"/>
        <v>0</v>
      </c>
      <c r="Z54" s="19">
        <f t="shared" si="32"/>
        <v>0</v>
      </c>
      <c r="AA54" s="19">
        <f t="shared" si="32"/>
        <v>0</v>
      </c>
      <c r="AB54" s="19">
        <f t="shared" si="32"/>
        <v>0</v>
      </c>
      <c r="AC54" s="19">
        <f t="shared" si="32"/>
        <v>0</v>
      </c>
      <c r="AD54" s="19">
        <f t="shared" si="32"/>
        <v>0</v>
      </c>
      <c r="AE54" s="19">
        <f t="shared" si="32"/>
        <v>6.8965517241379305E-4</v>
      </c>
      <c r="AF54" s="19">
        <f t="shared" si="32"/>
        <v>6.7586206896551727E-4</v>
      </c>
      <c r="AG54" s="19">
        <f t="shared" si="32"/>
        <v>0</v>
      </c>
      <c r="AH54" s="19"/>
      <c r="AI54" s="19"/>
      <c r="AJ54" s="19"/>
      <c r="AK54" s="59"/>
      <c r="AL54" s="59"/>
    </row>
    <row r="55" spans="1:38" hidden="1" x14ac:dyDescent="0.25">
      <c r="A55" s="11"/>
      <c r="B55" s="25"/>
      <c r="C55" s="13">
        <v>42356</v>
      </c>
      <c r="D55" s="14"/>
      <c r="E55" s="31"/>
      <c r="F55" s="15"/>
      <c r="G55" s="31"/>
      <c r="H55" s="31"/>
      <c r="I55" s="31"/>
      <c r="J55" s="31"/>
      <c r="K55" s="15"/>
      <c r="L55" s="17"/>
      <c r="M55" s="17"/>
      <c r="N55" s="18">
        <f>N54/N$2</f>
        <v>0.32236449675679324</v>
      </c>
      <c r="O55" s="19"/>
      <c r="P55" s="19">
        <f>P54/P$2</f>
        <v>0</v>
      </c>
      <c r="Q55" s="19">
        <f>Q54/Q$2</f>
        <v>1.3103448275862069E-2</v>
      </c>
      <c r="R55" s="19">
        <f>R54/R$2</f>
        <v>0</v>
      </c>
      <c r="S55" s="19">
        <f>S54/S$2</f>
        <v>7.5862068965517238E-4</v>
      </c>
      <c r="T55" s="19"/>
      <c r="U55" s="19">
        <f t="shared" ref="U55:AG55" si="33">U54/U$2</f>
        <v>0</v>
      </c>
      <c r="V55" s="19">
        <f t="shared" si="33"/>
        <v>2.206896551724138E-5</v>
      </c>
      <c r="W55" s="19">
        <f t="shared" si="33"/>
        <v>0</v>
      </c>
      <c r="X55" s="19">
        <f t="shared" si="33"/>
        <v>0</v>
      </c>
      <c r="Y55" s="19">
        <f t="shared" si="33"/>
        <v>0</v>
      </c>
      <c r="Z55" s="19">
        <f t="shared" si="33"/>
        <v>0</v>
      </c>
      <c r="AA55" s="19">
        <f t="shared" si="33"/>
        <v>0</v>
      </c>
      <c r="AB55" s="19">
        <f t="shared" si="33"/>
        <v>0</v>
      </c>
      <c r="AC55" s="19">
        <f t="shared" si="33"/>
        <v>0</v>
      </c>
      <c r="AD55" s="19">
        <f t="shared" si="33"/>
        <v>0</v>
      </c>
      <c r="AE55" s="19">
        <f t="shared" si="33"/>
        <v>6.89655172413793E-5</v>
      </c>
      <c r="AF55" s="19">
        <f t="shared" si="33"/>
        <v>6.7586206896551723E-6</v>
      </c>
      <c r="AG55" s="19">
        <f t="shared" si="33"/>
        <v>0</v>
      </c>
      <c r="AH55" s="19"/>
      <c r="AI55" s="19"/>
      <c r="AJ55" s="19"/>
      <c r="AK55" s="59"/>
      <c r="AL55" s="59"/>
    </row>
    <row r="56" spans="1:38" x14ac:dyDescent="0.25">
      <c r="A56" s="11"/>
      <c r="B56" s="25" t="s">
        <v>71</v>
      </c>
      <c r="C56" s="13">
        <v>42356</v>
      </c>
      <c r="D56" s="14" t="s">
        <v>72</v>
      </c>
      <c r="E56" s="66" t="s">
        <v>122</v>
      </c>
      <c r="F56" s="31">
        <v>11</v>
      </c>
      <c r="G56" s="31">
        <v>0.12</v>
      </c>
      <c r="H56" s="31">
        <v>80</v>
      </c>
      <c r="I56" s="31">
        <v>50</v>
      </c>
      <c r="J56" s="31"/>
      <c r="K56" s="15">
        <v>1</v>
      </c>
      <c r="L56" s="17" t="s">
        <v>73</v>
      </c>
      <c r="M56" s="17"/>
      <c r="N56" s="18">
        <f>2540000*0.004</f>
        <v>10160</v>
      </c>
      <c r="O56" s="19">
        <f>1720*0.004</f>
        <v>6.88</v>
      </c>
      <c r="P56" s="19">
        <f>0.004*8541.66666666667</f>
        <v>34.166666666666679</v>
      </c>
      <c r="Q56" s="19">
        <f>0.004*597.166666666667</f>
        <v>2.3886666666666678</v>
      </c>
      <c r="R56" s="19">
        <f>0.004*540166.666666667</f>
        <v>2160.6666666666679</v>
      </c>
      <c r="S56" s="19">
        <f>0.004*134.5</f>
        <v>0.53800000000000003</v>
      </c>
      <c r="T56" s="19">
        <f>0.004*645</f>
        <v>2.58</v>
      </c>
      <c r="U56" s="19">
        <f>0.004*2073.33333333333</f>
        <v>8.2933333333333188</v>
      </c>
      <c r="V56" s="19">
        <f>0.004*426.5</f>
        <v>1.706</v>
      </c>
      <c r="W56" s="19">
        <f>0.004*2646.66666666667</f>
        <v>10.58666666666668</v>
      </c>
      <c r="X56" s="19">
        <f>0.004*576.333333333333</f>
        <v>2.3053333333333321</v>
      </c>
      <c r="Y56" s="19"/>
      <c r="Z56" s="19"/>
      <c r="AA56" s="19">
        <f>0.004*3983</f>
        <v>15.932</v>
      </c>
      <c r="AB56" s="19"/>
      <c r="AC56" s="19"/>
      <c r="AD56" s="19"/>
      <c r="AE56" s="19"/>
      <c r="AF56" s="19"/>
      <c r="AG56" s="19"/>
      <c r="AH56" s="19"/>
      <c r="AI56" s="19"/>
      <c r="AJ56" s="19"/>
      <c r="AK56" s="59">
        <f>SUM(N56:AJ56)</f>
        <v>12406.043333333333</v>
      </c>
      <c r="AL56" s="59">
        <f>AK56/(F56*1000)</f>
        <v>1.1278221212121211</v>
      </c>
    </row>
    <row r="57" spans="1:38" x14ac:dyDescent="0.25">
      <c r="A57" s="11"/>
      <c r="B57" s="25" t="s">
        <v>74</v>
      </c>
      <c r="C57" s="13">
        <v>42356</v>
      </c>
      <c r="D57" s="14" t="s">
        <v>72</v>
      </c>
      <c r="E57" s="66" t="s">
        <v>122</v>
      </c>
      <c r="F57" s="31">
        <v>10.5</v>
      </c>
      <c r="G57" s="31">
        <v>0.12</v>
      </c>
      <c r="H57" s="31">
        <v>80</v>
      </c>
      <c r="I57" s="31">
        <v>50</v>
      </c>
      <c r="J57" s="31"/>
      <c r="K57" s="15">
        <v>1</v>
      </c>
      <c r="L57" s="17" t="s">
        <v>73</v>
      </c>
      <c r="M57" s="17"/>
      <c r="N57" s="18">
        <f>1100000*0.004</f>
        <v>4400</v>
      </c>
      <c r="O57" s="19">
        <f>0.004*1000</f>
        <v>4</v>
      </c>
      <c r="P57" s="19">
        <f>0.004*4270.83333333333</f>
        <v>17.083333333333321</v>
      </c>
      <c r="Q57" s="19">
        <f>0.004*298.583333333333</f>
        <v>1.1943333333333319</v>
      </c>
      <c r="R57" s="19">
        <f>0.004*270083.333333333</f>
        <v>1080.3333333333321</v>
      </c>
      <c r="S57" s="19">
        <f>0.004*67.25</f>
        <v>0.26900000000000002</v>
      </c>
      <c r="T57" s="19">
        <f>0.004*322.5</f>
        <v>1.29</v>
      </c>
      <c r="U57" s="19">
        <f>0.004*1036.66666666667</f>
        <v>4.1466666666666798</v>
      </c>
      <c r="V57" s="19">
        <f>0.004*213.25</f>
        <v>0.85299999999999998</v>
      </c>
      <c r="W57" s="19">
        <f>0.004*1323.33333333333</f>
        <v>5.2933333333333206</v>
      </c>
      <c r="X57" s="19">
        <f>0.004*288.166666666667</f>
        <v>1.1526666666666681</v>
      </c>
      <c r="Y57" s="19"/>
      <c r="Z57" s="19"/>
      <c r="AA57" s="19">
        <f>0.004*1991.5</f>
        <v>7.9660000000000002</v>
      </c>
      <c r="AB57" s="19"/>
      <c r="AC57" s="19"/>
      <c r="AD57" s="19"/>
      <c r="AE57" s="19"/>
      <c r="AF57" s="19"/>
      <c r="AG57" s="19"/>
      <c r="AH57" s="19"/>
      <c r="AI57" s="19"/>
      <c r="AJ57" s="19"/>
      <c r="AK57" s="59">
        <f>SUM(N57:AJ57)</f>
        <v>5523.5816666666651</v>
      </c>
      <c r="AL57" s="59">
        <f>AK57/(F57*1000)</f>
        <v>0.5260553968253967</v>
      </c>
    </row>
    <row r="58" spans="1:38" x14ac:dyDescent="0.25">
      <c r="A58" s="11"/>
      <c r="B58" s="25" t="s">
        <v>75</v>
      </c>
      <c r="C58" s="13">
        <v>42356</v>
      </c>
      <c r="D58" s="14" t="s">
        <v>72</v>
      </c>
      <c r="E58" s="66" t="s">
        <v>122</v>
      </c>
      <c r="F58" s="31">
        <v>7</v>
      </c>
      <c r="G58" s="31">
        <v>0.12</v>
      </c>
      <c r="H58" s="31">
        <v>80</v>
      </c>
      <c r="I58" s="31">
        <v>50</v>
      </c>
      <c r="J58" s="31"/>
      <c r="K58" s="15">
        <v>1</v>
      </c>
      <c r="L58" s="17" t="s">
        <v>73</v>
      </c>
      <c r="M58" s="17"/>
      <c r="N58" s="18">
        <f>2925000*0.004</f>
        <v>11700</v>
      </c>
      <c r="O58" s="19">
        <f>0.004*750</f>
        <v>3</v>
      </c>
      <c r="P58" s="19">
        <f>0.004*12812.5</f>
        <v>51.25</v>
      </c>
      <c r="Q58" s="19">
        <f>0.004*895.75</f>
        <v>3.5830000000000002</v>
      </c>
      <c r="R58" s="19">
        <f>0.004*810250</f>
        <v>3241</v>
      </c>
      <c r="S58" s="19">
        <f>0.004*201.75</f>
        <v>0.80700000000000005</v>
      </c>
      <c r="T58" s="19">
        <f>0.004*967.5</f>
        <v>3.87</v>
      </c>
      <c r="U58" s="19">
        <f>0.004*3110</f>
        <v>12.44</v>
      </c>
      <c r="V58" s="19">
        <f>0.004*639.75</f>
        <v>2.5590000000000002</v>
      </c>
      <c r="W58" s="19">
        <f>0.004*3970</f>
        <v>15.88</v>
      </c>
      <c r="X58" s="19">
        <f>0.004*864.5</f>
        <v>3.4580000000000002</v>
      </c>
      <c r="Y58" s="19"/>
      <c r="Z58" s="19"/>
      <c r="AA58" s="19">
        <f>0.004*5974.5</f>
        <v>23.898</v>
      </c>
      <c r="AB58" s="19"/>
      <c r="AC58" s="19"/>
      <c r="AD58" s="19"/>
      <c r="AE58" s="19"/>
      <c r="AF58" s="19"/>
      <c r="AG58" s="19"/>
      <c r="AH58" s="19"/>
      <c r="AI58" s="19"/>
      <c r="AJ58" s="19"/>
      <c r="AK58" s="59">
        <f>SUM(N58:AJ58)</f>
        <v>15061.745000000001</v>
      </c>
      <c r="AL58" s="59">
        <f>AK58/(F58*1000)</f>
        <v>2.1516778571428574</v>
      </c>
    </row>
    <row r="59" spans="1:38" x14ac:dyDescent="0.25">
      <c r="A59" s="11"/>
      <c r="B59" s="25" t="s">
        <v>76</v>
      </c>
      <c r="C59" s="13">
        <v>42356</v>
      </c>
      <c r="D59" s="14" t="s">
        <v>72</v>
      </c>
      <c r="E59" s="66" t="s">
        <v>122</v>
      </c>
      <c r="F59" s="31">
        <v>11</v>
      </c>
      <c r="G59" s="31">
        <v>0.12</v>
      </c>
      <c r="H59" s="31">
        <v>80</v>
      </c>
      <c r="I59" s="31">
        <v>50</v>
      </c>
      <c r="J59" s="31"/>
      <c r="K59" s="15">
        <v>1</v>
      </c>
      <c r="L59" s="17" t="s">
        <v>73</v>
      </c>
      <c r="M59" s="17"/>
      <c r="N59" s="18">
        <f>5420000*0.004</f>
        <v>21680</v>
      </c>
      <c r="O59" s="19">
        <f>0.004*2400</f>
        <v>9.6</v>
      </c>
      <c r="P59" s="19">
        <f>0.004*51250</f>
        <v>205</v>
      </c>
      <c r="Q59" s="19">
        <f>0.004*3583</f>
        <v>14.332000000000001</v>
      </c>
      <c r="R59" s="19">
        <f>0.004*3241000</f>
        <v>12964</v>
      </c>
      <c r="S59" s="19">
        <f>0.004*807</f>
        <v>3.2280000000000002</v>
      </c>
      <c r="T59" s="19">
        <f>0.004*3870</f>
        <v>15.48</v>
      </c>
      <c r="U59" s="19">
        <f>0.004*12440</f>
        <v>49.76</v>
      </c>
      <c r="V59" s="19">
        <f>0.004*2559</f>
        <v>10.236000000000001</v>
      </c>
      <c r="W59" s="19">
        <f>0.004*15880</f>
        <v>63.52</v>
      </c>
      <c r="X59" s="19">
        <f>0.004*3458</f>
        <v>13.832000000000001</v>
      </c>
      <c r="Y59" s="19"/>
      <c r="Z59" s="19"/>
      <c r="AA59" s="19">
        <f>0.004*23898</f>
        <v>95.591999999999999</v>
      </c>
      <c r="AB59" s="19"/>
      <c r="AC59" s="19"/>
      <c r="AD59" s="19"/>
      <c r="AE59" s="19"/>
      <c r="AF59" s="19"/>
      <c r="AG59" s="19"/>
      <c r="AH59" s="19"/>
      <c r="AI59" s="19"/>
      <c r="AJ59" s="19"/>
      <c r="AK59" s="59">
        <f>SUM(N59:AJ59)</f>
        <v>35124.58</v>
      </c>
      <c r="AL59" s="59">
        <f>AK59/(F59*1000)</f>
        <v>3.1931436363636365</v>
      </c>
    </row>
    <row r="60" spans="1:38" x14ac:dyDescent="0.25">
      <c r="A60" s="11"/>
      <c r="B60" s="25" t="s">
        <v>77</v>
      </c>
      <c r="C60" s="13">
        <v>42356</v>
      </c>
      <c r="D60" s="14" t="s">
        <v>78</v>
      </c>
      <c r="E60" s="31" t="s">
        <v>79</v>
      </c>
      <c r="F60" s="31">
        <v>28.5</v>
      </c>
      <c r="G60" s="31">
        <v>0.05</v>
      </c>
      <c r="H60" s="31">
        <v>61</v>
      </c>
      <c r="I60" s="31">
        <v>40</v>
      </c>
      <c r="J60" s="31"/>
      <c r="K60" s="15">
        <v>0.2</v>
      </c>
      <c r="L60" s="17" t="s">
        <v>80</v>
      </c>
      <c r="M60" s="17"/>
      <c r="N60" s="18">
        <f>28300*F60</f>
        <v>806550</v>
      </c>
      <c r="O60" s="19">
        <f>N60/335</f>
        <v>2407.6119402985073</v>
      </c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59">
        <f>SUM(N60:AJ60)</f>
        <v>808957.61194029846</v>
      </c>
      <c r="AL60" s="59">
        <f>AK60/(F60*1000)</f>
        <v>28.384477611940298</v>
      </c>
    </row>
    <row r="61" spans="1:38" hidden="1" x14ac:dyDescent="0.25">
      <c r="A61" s="11"/>
      <c r="B61" s="25"/>
      <c r="C61" s="13">
        <v>42356</v>
      </c>
      <c r="D61" s="14"/>
      <c r="E61" s="31"/>
      <c r="F61" s="31"/>
      <c r="G61" s="31"/>
      <c r="H61" s="31"/>
      <c r="I61" s="31"/>
      <c r="J61" s="31"/>
      <c r="K61" s="15"/>
      <c r="L61" s="17"/>
      <c r="M61" s="17"/>
      <c r="N61" s="18">
        <f>N60/($F60*1000)</f>
        <v>28.3</v>
      </c>
      <c r="O61" s="19"/>
      <c r="P61" s="19">
        <f t="shared" ref="P61:AG61" si="34">P60/($F60*1000)</f>
        <v>0</v>
      </c>
      <c r="Q61" s="19">
        <f t="shared" si="34"/>
        <v>0</v>
      </c>
      <c r="R61" s="19">
        <f t="shared" si="34"/>
        <v>0</v>
      </c>
      <c r="S61" s="19">
        <f t="shared" si="34"/>
        <v>0</v>
      </c>
      <c r="T61" s="19">
        <f t="shared" si="34"/>
        <v>0</v>
      </c>
      <c r="U61" s="19">
        <f t="shared" si="34"/>
        <v>0</v>
      </c>
      <c r="V61" s="19">
        <f t="shared" si="34"/>
        <v>0</v>
      </c>
      <c r="W61" s="19">
        <f t="shared" si="34"/>
        <v>0</v>
      </c>
      <c r="X61" s="19">
        <f t="shared" si="34"/>
        <v>0</v>
      </c>
      <c r="Y61" s="19">
        <f t="shared" si="34"/>
        <v>0</v>
      </c>
      <c r="Z61" s="19">
        <f t="shared" si="34"/>
        <v>0</v>
      </c>
      <c r="AA61" s="19">
        <f t="shared" si="34"/>
        <v>0</v>
      </c>
      <c r="AB61" s="19">
        <f t="shared" si="34"/>
        <v>0</v>
      </c>
      <c r="AC61" s="19">
        <f t="shared" si="34"/>
        <v>0</v>
      </c>
      <c r="AD61" s="19">
        <f t="shared" si="34"/>
        <v>0</v>
      </c>
      <c r="AE61" s="19">
        <f t="shared" si="34"/>
        <v>0</v>
      </c>
      <c r="AF61" s="19">
        <f t="shared" si="34"/>
        <v>0</v>
      </c>
      <c r="AG61" s="19">
        <f t="shared" si="34"/>
        <v>0</v>
      </c>
      <c r="AH61" s="24"/>
      <c r="AI61" s="24"/>
      <c r="AJ61" s="24"/>
      <c r="AK61" s="59"/>
      <c r="AL61" s="59"/>
    </row>
    <row r="62" spans="1:38" hidden="1" x14ac:dyDescent="0.25">
      <c r="A62" s="11"/>
      <c r="B62" s="25"/>
      <c r="C62" s="13">
        <v>42356</v>
      </c>
      <c r="D62" s="14"/>
      <c r="E62" s="31"/>
      <c r="F62" s="31"/>
      <c r="G62" s="31"/>
      <c r="H62" s="31"/>
      <c r="I62" s="31"/>
      <c r="J62" s="31"/>
      <c r="K62" s="15"/>
      <c r="L62" s="17"/>
      <c r="M62" s="17"/>
      <c r="N62" s="18">
        <f>N61/N$2</f>
        <v>2.83E-5</v>
      </c>
      <c r="O62" s="19"/>
      <c r="P62" s="19">
        <f>P61/P$2</f>
        <v>0</v>
      </c>
      <c r="Q62" s="19">
        <f>Q61/Q$2</f>
        <v>0</v>
      </c>
      <c r="R62" s="19">
        <f>R61/R$2</f>
        <v>0</v>
      </c>
      <c r="S62" s="19">
        <f>S61/S$2</f>
        <v>0</v>
      </c>
      <c r="T62" s="19"/>
      <c r="U62" s="19">
        <f t="shared" ref="U62:AG62" si="35">U61/U$2</f>
        <v>0</v>
      </c>
      <c r="V62" s="19">
        <f t="shared" si="35"/>
        <v>0</v>
      </c>
      <c r="W62" s="19">
        <f t="shared" si="35"/>
        <v>0</v>
      </c>
      <c r="X62" s="19">
        <f t="shared" si="35"/>
        <v>0</v>
      </c>
      <c r="Y62" s="19">
        <f t="shared" si="35"/>
        <v>0</v>
      </c>
      <c r="Z62" s="19">
        <f t="shared" si="35"/>
        <v>0</v>
      </c>
      <c r="AA62" s="19">
        <f t="shared" si="35"/>
        <v>0</v>
      </c>
      <c r="AB62" s="19">
        <f t="shared" si="35"/>
        <v>0</v>
      </c>
      <c r="AC62" s="19">
        <f t="shared" si="35"/>
        <v>0</v>
      </c>
      <c r="AD62" s="19">
        <f t="shared" si="35"/>
        <v>0</v>
      </c>
      <c r="AE62" s="19">
        <f t="shared" si="35"/>
        <v>0</v>
      </c>
      <c r="AF62" s="19">
        <f t="shared" si="35"/>
        <v>0</v>
      </c>
      <c r="AG62" s="19">
        <f t="shared" si="35"/>
        <v>0</v>
      </c>
      <c r="AH62" s="24"/>
      <c r="AI62" s="24"/>
      <c r="AJ62" s="24"/>
      <c r="AK62" s="59"/>
      <c r="AL62" s="59"/>
    </row>
    <row r="63" spans="1:38" x14ac:dyDescent="0.25">
      <c r="A63" s="11"/>
      <c r="B63" s="25" t="s">
        <v>81</v>
      </c>
      <c r="C63" s="13">
        <v>42356</v>
      </c>
      <c r="D63" s="14" t="s">
        <v>78</v>
      </c>
      <c r="E63" s="31" t="s">
        <v>79</v>
      </c>
      <c r="F63" s="31">
        <v>39.5</v>
      </c>
      <c r="G63" s="31">
        <v>0.05</v>
      </c>
      <c r="H63" s="31">
        <v>61</v>
      </c>
      <c r="I63" s="31">
        <v>40</v>
      </c>
      <c r="J63" s="31"/>
      <c r="K63" s="15">
        <v>0.2</v>
      </c>
      <c r="L63" s="17" t="s">
        <v>80</v>
      </c>
      <c r="M63" s="17"/>
      <c r="N63" s="18">
        <f>73000*F63</f>
        <v>2883500</v>
      </c>
      <c r="O63" s="19">
        <f>N63/335</f>
        <v>8607.4626865671635</v>
      </c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24"/>
      <c r="AH63" s="24"/>
      <c r="AI63" s="24"/>
      <c r="AJ63" s="24"/>
      <c r="AK63" s="59">
        <f>SUM(N63:AJ63)</f>
        <v>2892107.4626865671</v>
      </c>
      <c r="AL63" s="59">
        <f>AK63/(F63*1000)</f>
        <v>73.217910447761199</v>
      </c>
    </row>
    <row r="64" spans="1:38" hidden="1" x14ac:dyDescent="0.25">
      <c r="A64" s="11"/>
      <c r="B64" s="25"/>
      <c r="C64" s="13">
        <v>42356</v>
      </c>
      <c r="D64" s="14"/>
      <c r="E64" s="31"/>
      <c r="F64" s="31"/>
      <c r="G64" s="31"/>
      <c r="H64" s="31"/>
      <c r="I64" s="31"/>
      <c r="J64" s="31"/>
      <c r="K64" s="15"/>
      <c r="L64" s="17"/>
      <c r="M64" s="17"/>
      <c r="N64" s="18">
        <f>N63/($F63*1000)</f>
        <v>73</v>
      </c>
      <c r="O64" s="19"/>
      <c r="P64" s="19">
        <f t="shared" ref="P64:AG64" si="36">P63/($F63*1000)</f>
        <v>0</v>
      </c>
      <c r="Q64" s="19">
        <f t="shared" si="36"/>
        <v>0</v>
      </c>
      <c r="R64" s="19">
        <f t="shared" si="36"/>
        <v>0</v>
      </c>
      <c r="S64" s="19">
        <f t="shared" si="36"/>
        <v>0</v>
      </c>
      <c r="T64" s="19">
        <f t="shared" si="36"/>
        <v>0</v>
      </c>
      <c r="U64" s="19">
        <f t="shared" si="36"/>
        <v>0</v>
      </c>
      <c r="V64" s="19">
        <f t="shared" si="36"/>
        <v>0</v>
      </c>
      <c r="W64" s="19">
        <f t="shared" si="36"/>
        <v>0</v>
      </c>
      <c r="X64" s="19">
        <f t="shared" si="36"/>
        <v>0</v>
      </c>
      <c r="Y64" s="19">
        <f t="shared" si="36"/>
        <v>0</v>
      </c>
      <c r="Z64" s="19">
        <f t="shared" si="36"/>
        <v>0</v>
      </c>
      <c r="AA64" s="19">
        <f t="shared" si="36"/>
        <v>0</v>
      </c>
      <c r="AB64" s="19">
        <f t="shared" si="36"/>
        <v>0</v>
      </c>
      <c r="AC64" s="19">
        <f t="shared" si="36"/>
        <v>0</v>
      </c>
      <c r="AD64" s="19">
        <f t="shared" si="36"/>
        <v>0</v>
      </c>
      <c r="AE64" s="19">
        <f t="shared" si="36"/>
        <v>0</v>
      </c>
      <c r="AF64" s="19">
        <f t="shared" si="36"/>
        <v>0</v>
      </c>
      <c r="AG64" s="19">
        <f t="shared" si="36"/>
        <v>0</v>
      </c>
      <c r="AH64" s="24"/>
      <c r="AI64" s="24"/>
      <c r="AJ64" s="24"/>
      <c r="AK64" s="59"/>
      <c r="AL64" s="59"/>
    </row>
    <row r="65" spans="1:40" hidden="1" x14ac:dyDescent="0.25">
      <c r="A65" s="11"/>
      <c r="B65" s="25"/>
      <c r="C65" s="13">
        <v>42356</v>
      </c>
      <c r="D65" s="14"/>
      <c r="E65" s="31"/>
      <c r="F65" s="31"/>
      <c r="G65" s="31"/>
      <c r="H65" s="31"/>
      <c r="I65" s="31"/>
      <c r="J65" s="31"/>
      <c r="K65" s="15"/>
      <c r="L65" s="17"/>
      <c r="M65" s="17"/>
      <c r="N65" s="18">
        <f>N64/N$2</f>
        <v>7.2999999999999999E-5</v>
      </c>
      <c r="O65" s="19"/>
      <c r="P65" s="19">
        <f>P64/P$2</f>
        <v>0</v>
      </c>
      <c r="Q65" s="19">
        <f>Q64/Q$2</f>
        <v>0</v>
      </c>
      <c r="R65" s="19">
        <f>R64/R$2</f>
        <v>0</v>
      </c>
      <c r="S65" s="19">
        <f>S64/S$2</f>
        <v>0</v>
      </c>
      <c r="T65" s="19"/>
      <c r="U65" s="19">
        <f t="shared" ref="U65:AG65" si="37">U64/U$2</f>
        <v>0</v>
      </c>
      <c r="V65" s="19">
        <f t="shared" si="37"/>
        <v>0</v>
      </c>
      <c r="W65" s="19">
        <f t="shared" si="37"/>
        <v>0</v>
      </c>
      <c r="X65" s="19">
        <f t="shared" si="37"/>
        <v>0</v>
      </c>
      <c r="Y65" s="19">
        <f t="shared" si="37"/>
        <v>0</v>
      </c>
      <c r="Z65" s="19">
        <f t="shared" si="37"/>
        <v>0</v>
      </c>
      <c r="AA65" s="19">
        <f t="shared" si="37"/>
        <v>0</v>
      </c>
      <c r="AB65" s="19">
        <f t="shared" si="37"/>
        <v>0</v>
      </c>
      <c r="AC65" s="19">
        <f t="shared" si="37"/>
        <v>0</v>
      </c>
      <c r="AD65" s="19">
        <f t="shared" si="37"/>
        <v>0</v>
      </c>
      <c r="AE65" s="19">
        <f t="shared" si="37"/>
        <v>0</v>
      </c>
      <c r="AF65" s="19">
        <f t="shared" si="37"/>
        <v>0</v>
      </c>
      <c r="AG65" s="19">
        <f t="shared" si="37"/>
        <v>0</v>
      </c>
      <c r="AH65" s="24"/>
      <c r="AI65" s="24"/>
      <c r="AJ65" s="24"/>
      <c r="AK65" s="59"/>
      <c r="AL65" s="59"/>
    </row>
    <row r="66" spans="1:40" x14ac:dyDescent="0.25">
      <c r="A66" s="11"/>
      <c r="B66" s="25" t="s">
        <v>82</v>
      </c>
      <c r="C66" s="13">
        <v>42356</v>
      </c>
      <c r="D66" s="14" t="s">
        <v>78</v>
      </c>
      <c r="E66" s="31" t="s">
        <v>79</v>
      </c>
      <c r="F66" s="31">
        <v>39</v>
      </c>
      <c r="G66" s="31">
        <v>0.05</v>
      </c>
      <c r="H66" s="31">
        <v>61</v>
      </c>
      <c r="I66" s="31">
        <v>40</v>
      </c>
      <c r="J66" s="31"/>
      <c r="K66" s="15">
        <v>0.2</v>
      </c>
      <c r="L66" s="17" t="s">
        <v>80</v>
      </c>
      <c r="M66" s="17"/>
      <c r="N66" s="18">
        <f>214000*F66</f>
        <v>8346000</v>
      </c>
      <c r="O66" s="19">
        <f>N66/335</f>
        <v>24913.432835820895</v>
      </c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24"/>
      <c r="AH66" s="24"/>
      <c r="AI66" s="24"/>
      <c r="AJ66" s="24"/>
      <c r="AK66" s="59">
        <f>SUM(N66:AJ66)</f>
        <v>8370913.4328358211</v>
      </c>
      <c r="AL66" s="59">
        <f>AK66/(F66*1000)</f>
        <v>214.63880597014926</v>
      </c>
    </row>
    <row r="67" spans="1:40" hidden="1" x14ac:dyDescent="0.25">
      <c r="A67" s="11"/>
      <c r="B67" s="25"/>
      <c r="C67" s="13">
        <v>42356</v>
      </c>
      <c r="D67" s="14"/>
      <c r="E67" s="31"/>
      <c r="F67" s="31"/>
      <c r="G67" s="31"/>
      <c r="H67" s="31"/>
      <c r="I67" s="31"/>
      <c r="J67" s="31"/>
      <c r="K67" s="15"/>
      <c r="L67" s="17"/>
      <c r="M67" s="17"/>
      <c r="N67" s="18">
        <f>N66/($F66*1000)</f>
        <v>214</v>
      </c>
      <c r="O67" s="19"/>
      <c r="P67" s="19">
        <f t="shared" ref="P67:AG67" si="38">P66/($F66*1000)</f>
        <v>0</v>
      </c>
      <c r="Q67" s="19">
        <f t="shared" si="38"/>
        <v>0</v>
      </c>
      <c r="R67" s="19">
        <f t="shared" si="38"/>
        <v>0</v>
      </c>
      <c r="S67" s="19">
        <f t="shared" si="38"/>
        <v>0</v>
      </c>
      <c r="T67" s="19">
        <f t="shared" si="38"/>
        <v>0</v>
      </c>
      <c r="U67" s="19">
        <f t="shared" si="38"/>
        <v>0</v>
      </c>
      <c r="V67" s="19">
        <f t="shared" si="38"/>
        <v>0</v>
      </c>
      <c r="W67" s="19">
        <f t="shared" si="38"/>
        <v>0</v>
      </c>
      <c r="X67" s="19">
        <f t="shared" si="38"/>
        <v>0</v>
      </c>
      <c r="Y67" s="19">
        <f t="shared" si="38"/>
        <v>0</v>
      </c>
      <c r="Z67" s="19">
        <f t="shared" si="38"/>
        <v>0</v>
      </c>
      <c r="AA67" s="19">
        <f t="shared" si="38"/>
        <v>0</v>
      </c>
      <c r="AB67" s="19">
        <f t="shared" si="38"/>
        <v>0</v>
      </c>
      <c r="AC67" s="19">
        <f t="shared" si="38"/>
        <v>0</v>
      </c>
      <c r="AD67" s="19">
        <f t="shared" si="38"/>
        <v>0</v>
      </c>
      <c r="AE67" s="19">
        <f t="shared" si="38"/>
        <v>0</v>
      </c>
      <c r="AF67" s="19">
        <f t="shared" si="38"/>
        <v>0</v>
      </c>
      <c r="AG67" s="19">
        <f t="shared" si="38"/>
        <v>0</v>
      </c>
      <c r="AH67" s="24"/>
      <c r="AI67" s="24"/>
      <c r="AJ67" s="24"/>
      <c r="AK67" s="59"/>
      <c r="AL67" s="59"/>
    </row>
    <row r="68" spans="1:40" ht="15" hidden="1" customHeight="1" x14ac:dyDescent="0.25">
      <c r="A68" s="11"/>
      <c r="B68" s="30"/>
      <c r="C68" s="13">
        <v>42356</v>
      </c>
      <c r="D68" s="14" t="s">
        <v>78</v>
      </c>
      <c r="E68" s="31" t="s">
        <v>79</v>
      </c>
      <c r="F68" s="31"/>
      <c r="G68" s="31">
        <v>0.05</v>
      </c>
      <c r="H68" s="31">
        <v>61</v>
      </c>
      <c r="I68" s="31">
        <v>40</v>
      </c>
      <c r="J68" s="31"/>
      <c r="K68" s="15">
        <v>0.2</v>
      </c>
      <c r="L68" s="17" t="s">
        <v>80</v>
      </c>
      <c r="M68" s="17"/>
      <c r="N68" s="18">
        <f>N67/N$2</f>
        <v>2.14E-4</v>
      </c>
      <c r="O68" s="19"/>
      <c r="P68" s="19">
        <f>P67/P$2</f>
        <v>0</v>
      </c>
      <c r="Q68" s="19">
        <f>Q67/Q$2</f>
        <v>0</v>
      </c>
      <c r="R68" s="19">
        <f>R67/R$2</f>
        <v>0</v>
      </c>
      <c r="S68" s="19">
        <f>S67/S$2</f>
        <v>0</v>
      </c>
      <c r="T68" s="19"/>
      <c r="U68" s="19">
        <f t="shared" ref="U68:AG68" si="39">U67/U$2</f>
        <v>0</v>
      </c>
      <c r="V68" s="19">
        <f t="shared" si="39"/>
        <v>0</v>
      </c>
      <c r="W68" s="19">
        <f t="shared" si="39"/>
        <v>0</v>
      </c>
      <c r="X68" s="19">
        <f t="shared" si="39"/>
        <v>0</v>
      </c>
      <c r="Y68" s="19">
        <f t="shared" si="39"/>
        <v>0</v>
      </c>
      <c r="Z68" s="19">
        <f t="shared" si="39"/>
        <v>0</v>
      </c>
      <c r="AA68" s="19">
        <f t="shared" si="39"/>
        <v>0</v>
      </c>
      <c r="AB68" s="19">
        <f t="shared" si="39"/>
        <v>0</v>
      </c>
      <c r="AC68" s="19">
        <f t="shared" si="39"/>
        <v>0</v>
      </c>
      <c r="AD68" s="19">
        <f t="shared" si="39"/>
        <v>0</v>
      </c>
      <c r="AE68" s="19">
        <f t="shared" si="39"/>
        <v>0</v>
      </c>
      <c r="AF68" s="19">
        <f t="shared" si="39"/>
        <v>0</v>
      </c>
      <c r="AG68" s="19">
        <f t="shared" si="39"/>
        <v>0</v>
      </c>
      <c r="AH68" s="24"/>
      <c r="AI68" s="24"/>
      <c r="AJ68" s="24"/>
      <c r="AK68" s="59">
        <f>SUM(N68:AJ68)</f>
        <v>2.14E-4</v>
      </c>
      <c r="AL68" s="59" t="e">
        <f>AK68/(F68*1000)</f>
        <v>#DIV/0!</v>
      </c>
    </row>
    <row r="69" spans="1:40" x14ac:dyDescent="0.25">
      <c r="A69" s="11"/>
      <c r="B69" s="25" t="s">
        <v>83</v>
      </c>
      <c r="C69" s="13">
        <v>42356</v>
      </c>
      <c r="D69" s="14" t="s">
        <v>78</v>
      </c>
      <c r="E69" s="31" t="s">
        <v>79</v>
      </c>
      <c r="F69" s="31">
        <v>40</v>
      </c>
      <c r="G69" s="31">
        <v>0.05</v>
      </c>
      <c r="H69" s="31">
        <v>61</v>
      </c>
      <c r="I69" s="31">
        <v>40</v>
      </c>
      <c r="J69" s="31"/>
      <c r="K69" s="15">
        <v>0.2</v>
      </c>
      <c r="L69" s="17" t="s">
        <v>80</v>
      </c>
      <c r="M69" s="17"/>
      <c r="N69" s="18">
        <f>58000*F69</f>
        <v>2320000</v>
      </c>
      <c r="O69" s="19">
        <f>N69/335</f>
        <v>6925.373134328358</v>
      </c>
      <c r="P69" s="19"/>
      <c r="Q69" s="19"/>
      <c r="R69" s="19">
        <v>38400</v>
      </c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24"/>
      <c r="AH69" s="24"/>
      <c r="AI69" s="24"/>
      <c r="AJ69" s="24"/>
      <c r="AK69" s="59">
        <f>SUM(N69:AJ69)</f>
        <v>2365325.3731343285</v>
      </c>
      <c r="AL69" s="59">
        <f>AK69/(F69*1000)</f>
        <v>59.13313432835821</v>
      </c>
    </row>
    <row r="70" spans="1:40" hidden="1" x14ac:dyDescent="0.25">
      <c r="A70" s="11"/>
      <c r="B70" s="25"/>
      <c r="C70" s="13">
        <v>42356</v>
      </c>
      <c r="D70" s="14"/>
      <c r="E70" s="31"/>
      <c r="F70" s="31"/>
      <c r="G70" s="31"/>
      <c r="H70" s="31"/>
      <c r="I70" s="31"/>
      <c r="J70" s="31"/>
      <c r="K70" s="15"/>
      <c r="L70" s="17"/>
      <c r="M70" s="17"/>
      <c r="N70" s="18">
        <f>N69/($F69*1000)</f>
        <v>58</v>
      </c>
      <c r="O70" s="19"/>
      <c r="P70" s="19">
        <f t="shared" ref="P70:AG70" si="40">P69/($F69*1000)</f>
        <v>0</v>
      </c>
      <c r="Q70" s="19">
        <f t="shared" si="40"/>
        <v>0</v>
      </c>
      <c r="R70" s="19">
        <f t="shared" si="40"/>
        <v>0.96</v>
      </c>
      <c r="S70" s="19">
        <f t="shared" si="40"/>
        <v>0</v>
      </c>
      <c r="T70" s="19">
        <f t="shared" si="40"/>
        <v>0</v>
      </c>
      <c r="U70" s="19">
        <f t="shared" si="40"/>
        <v>0</v>
      </c>
      <c r="V70" s="19">
        <f t="shared" si="40"/>
        <v>0</v>
      </c>
      <c r="W70" s="19">
        <f t="shared" si="40"/>
        <v>0</v>
      </c>
      <c r="X70" s="19">
        <f t="shared" si="40"/>
        <v>0</v>
      </c>
      <c r="Y70" s="19">
        <f t="shared" si="40"/>
        <v>0</v>
      </c>
      <c r="Z70" s="19">
        <f t="shared" si="40"/>
        <v>0</v>
      </c>
      <c r="AA70" s="19">
        <f t="shared" si="40"/>
        <v>0</v>
      </c>
      <c r="AB70" s="19">
        <f t="shared" si="40"/>
        <v>0</v>
      </c>
      <c r="AC70" s="19">
        <f t="shared" si="40"/>
        <v>0</v>
      </c>
      <c r="AD70" s="19">
        <f t="shared" si="40"/>
        <v>0</v>
      </c>
      <c r="AE70" s="19">
        <f t="shared" si="40"/>
        <v>0</v>
      </c>
      <c r="AF70" s="19">
        <f t="shared" si="40"/>
        <v>0</v>
      </c>
      <c r="AG70" s="19">
        <f t="shared" si="40"/>
        <v>0</v>
      </c>
      <c r="AH70" s="24"/>
      <c r="AI70" s="24"/>
      <c r="AJ70" s="24"/>
      <c r="AK70" s="59"/>
      <c r="AL70" s="59"/>
    </row>
    <row r="71" spans="1:40" hidden="1" x14ac:dyDescent="0.25">
      <c r="A71" s="11"/>
      <c r="B71" s="25"/>
      <c r="C71" s="13">
        <v>42356</v>
      </c>
      <c r="D71" s="14"/>
      <c r="E71" s="31"/>
      <c r="F71" s="31"/>
      <c r="G71" s="31"/>
      <c r="H71" s="31"/>
      <c r="I71" s="31"/>
      <c r="J71" s="31"/>
      <c r="K71" s="15"/>
      <c r="L71" s="17"/>
      <c r="M71" s="17"/>
      <c r="N71" s="18">
        <f>N70/N$2</f>
        <v>5.8E-5</v>
      </c>
      <c r="O71" s="19"/>
      <c r="P71" s="19">
        <f>P70/P$2</f>
        <v>0</v>
      </c>
      <c r="Q71" s="19">
        <f>Q70/Q$2</f>
        <v>0</v>
      </c>
      <c r="R71" s="19">
        <f>R70/R$2</f>
        <v>9.5999999999999992E-4</v>
      </c>
      <c r="S71" s="19">
        <f>S70/S$2</f>
        <v>0</v>
      </c>
      <c r="T71" s="19"/>
      <c r="U71" s="19">
        <f t="shared" ref="U71:AG71" si="41">U70/U$2</f>
        <v>0</v>
      </c>
      <c r="V71" s="19">
        <f t="shared" si="41"/>
        <v>0</v>
      </c>
      <c r="W71" s="19">
        <f t="shared" si="41"/>
        <v>0</v>
      </c>
      <c r="X71" s="19">
        <f t="shared" si="41"/>
        <v>0</v>
      </c>
      <c r="Y71" s="19">
        <f t="shared" si="41"/>
        <v>0</v>
      </c>
      <c r="Z71" s="19">
        <f t="shared" si="41"/>
        <v>0</v>
      </c>
      <c r="AA71" s="19">
        <f t="shared" si="41"/>
        <v>0</v>
      </c>
      <c r="AB71" s="19">
        <f t="shared" si="41"/>
        <v>0</v>
      </c>
      <c r="AC71" s="19">
        <f t="shared" si="41"/>
        <v>0</v>
      </c>
      <c r="AD71" s="19">
        <f t="shared" si="41"/>
        <v>0</v>
      </c>
      <c r="AE71" s="19">
        <f t="shared" si="41"/>
        <v>0</v>
      </c>
      <c r="AF71" s="19">
        <f t="shared" si="41"/>
        <v>0</v>
      </c>
      <c r="AG71" s="19">
        <f t="shared" si="41"/>
        <v>0</v>
      </c>
      <c r="AH71" s="24"/>
      <c r="AI71" s="24"/>
      <c r="AJ71" s="24"/>
      <c r="AK71" s="59"/>
      <c r="AL71" s="59"/>
    </row>
    <row r="72" spans="1:40" x14ac:dyDescent="0.25">
      <c r="A72" s="11"/>
      <c r="B72" s="25" t="s">
        <v>84</v>
      </c>
      <c r="C72" s="13">
        <v>42356</v>
      </c>
      <c r="D72" s="14" t="s">
        <v>78</v>
      </c>
      <c r="E72" s="31" t="s">
        <v>79</v>
      </c>
      <c r="F72" s="31">
        <v>41.5</v>
      </c>
      <c r="G72" s="31">
        <v>0.05</v>
      </c>
      <c r="H72" s="31">
        <v>61</v>
      </c>
      <c r="I72" s="31">
        <v>40</v>
      </c>
      <c r="J72" s="31"/>
      <c r="K72" s="15">
        <v>0.2</v>
      </c>
      <c r="L72" s="17" t="s">
        <v>80</v>
      </c>
      <c r="M72" s="17"/>
      <c r="N72" s="18">
        <f>13600*F72</f>
        <v>564400</v>
      </c>
      <c r="O72" s="19">
        <f>N72/335</f>
        <v>1684.7761194029852</v>
      </c>
      <c r="P72" s="19"/>
      <c r="Q72" s="19"/>
      <c r="R72" s="34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24"/>
      <c r="AH72" s="24"/>
      <c r="AI72" s="24"/>
      <c r="AJ72" s="24"/>
      <c r="AK72" s="59">
        <f>SUM(N72:AJ72)</f>
        <v>566084.77611940296</v>
      </c>
      <c r="AL72" s="59">
        <f>AK72/(F72*1000)</f>
        <v>13.640597014925373</v>
      </c>
      <c r="AM72" s="11"/>
      <c r="AN72" s="11"/>
    </row>
    <row r="73" spans="1:40" hidden="1" x14ac:dyDescent="0.25">
      <c r="A73" s="11"/>
      <c r="B73" s="25"/>
      <c r="C73" s="13">
        <v>42356</v>
      </c>
      <c r="D73" s="14"/>
      <c r="E73" s="31"/>
      <c r="F73" s="31"/>
      <c r="G73" s="31"/>
      <c r="H73" s="31"/>
      <c r="I73" s="31"/>
      <c r="J73" s="31"/>
      <c r="K73" s="15"/>
      <c r="L73" s="17"/>
      <c r="M73" s="17"/>
      <c r="N73" s="18">
        <f>N72/($F72*1000)</f>
        <v>13.6</v>
      </c>
      <c r="O73" s="19"/>
      <c r="P73" s="19">
        <f t="shared" ref="P73:AG73" si="42">P72/($F72*1000)</f>
        <v>0</v>
      </c>
      <c r="Q73" s="19">
        <f t="shared" si="42"/>
        <v>0</v>
      </c>
      <c r="R73" s="19">
        <f t="shared" si="42"/>
        <v>0</v>
      </c>
      <c r="S73" s="19">
        <f t="shared" si="42"/>
        <v>0</v>
      </c>
      <c r="T73" s="19">
        <f t="shared" si="42"/>
        <v>0</v>
      </c>
      <c r="U73" s="19">
        <f t="shared" si="42"/>
        <v>0</v>
      </c>
      <c r="V73" s="19">
        <f t="shared" si="42"/>
        <v>0</v>
      </c>
      <c r="W73" s="19">
        <f t="shared" si="42"/>
        <v>0</v>
      </c>
      <c r="X73" s="19">
        <f t="shared" si="42"/>
        <v>0</v>
      </c>
      <c r="Y73" s="19">
        <f t="shared" si="42"/>
        <v>0</v>
      </c>
      <c r="Z73" s="19">
        <f t="shared" si="42"/>
        <v>0</v>
      </c>
      <c r="AA73" s="19">
        <f t="shared" si="42"/>
        <v>0</v>
      </c>
      <c r="AB73" s="19">
        <f t="shared" si="42"/>
        <v>0</v>
      </c>
      <c r="AC73" s="19">
        <f t="shared" si="42"/>
        <v>0</v>
      </c>
      <c r="AD73" s="19">
        <f t="shared" si="42"/>
        <v>0</v>
      </c>
      <c r="AE73" s="19">
        <f t="shared" si="42"/>
        <v>0</v>
      </c>
      <c r="AF73" s="19">
        <f t="shared" si="42"/>
        <v>0</v>
      </c>
      <c r="AG73" s="19">
        <f t="shared" si="42"/>
        <v>0</v>
      </c>
      <c r="AH73" s="24"/>
      <c r="AI73" s="24"/>
      <c r="AJ73" s="24"/>
      <c r="AK73" s="59"/>
      <c r="AL73" s="59"/>
      <c r="AM73" s="11"/>
      <c r="AN73" s="11"/>
    </row>
    <row r="74" spans="1:40" hidden="1" x14ac:dyDescent="0.25">
      <c r="A74" s="11"/>
      <c r="B74" s="25"/>
      <c r="C74" s="13">
        <v>42356</v>
      </c>
      <c r="D74" s="14"/>
      <c r="E74" s="31"/>
      <c r="F74" s="31"/>
      <c r="G74" s="31"/>
      <c r="H74" s="31"/>
      <c r="I74" s="31"/>
      <c r="J74" s="31"/>
      <c r="K74" s="15"/>
      <c r="L74" s="17"/>
      <c r="M74" s="17"/>
      <c r="N74" s="18">
        <f>N73/N$2</f>
        <v>1.36E-5</v>
      </c>
      <c r="O74" s="19"/>
      <c r="P74" s="19">
        <f>P73/P$2</f>
        <v>0</v>
      </c>
      <c r="Q74" s="19">
        <f>Q73/Q$2</f>
        <v>0</v>
      </c>
      <c r="R74" s="19">
        <f>R73/R$2</f>
        <v>0</v>
      </c>
      <c r="S74" s="19">
        <f>S73/S$2</f>
        <v>0</v>
      </c>
      <c r="T74" s="19"/>
      <c r="U74" s="19">
        <f t="shared" ref="U74:AG74" si="43">U73/U$2</f>
        <v>0</v>
      </c>
      <c r="V74" s="19">
        <f t="shared" si="43"/>
        <v>0</v>
      </c>
      <c r="W74" s="19">
        <f t="shared" si="43"/>
        <v>0</v>
      </c>
      <c r="X74" s="19">
        <f t="shared" si="43"/>
        <v>0</v>
      </c>
      <c r="Y74" s="19">
        <f t="shared" si="43"/>
        <v>0</v>
      </c>
      <c r="Z74" s="19">
        <f t="shared" si="43"/>
        <v>0</v>
      </c>
      <c r="AA74" s="19">
        <f t="shared" si="43"/>
        <v>0</v>
      </c>
      <c r="AB74" s="19">
        <f t="shared" si="43"/>
        <v>0</v>
      </c>
      <c r="AC74" s="19">
        <f t="shared" si="43"/>
        <v>0</v>
      </c>
      <c r="AD74" s="19">
        <f t="shared" si="43"/>
        <v>0</v>
      </c>
      <c r="AE74" s="19">
        <f t="shared" si="43"/>
        <v>0</v>
      </c>
      <c r="AF74" s="19">
        <f t="shared" si="43"/>
        <v>0</v>
      </c>
      <c r="AG74" s="19">
        <f t="shared" si="43"/>
        <v>0</v>
      </c>
      <c r="AH74" s="24"/>
      <c r="AI74" s="24"/>
      <c r="AJ74" s="24"/>
      <c r="AK74" s="59"/>
      <c r="AL74" s="59"/>
      <c r="AM74" s="11"/>
      <c r="AN74" s="11"/>
    </row>
    <row r="75" spans="1:40" x14ac:dyDescent="0.25">
      <c r="A75" s="11"/>
      <c r="B75" s="25" t="s">
        <v>85</v>
      </c>
      <c r="C75" s="13">
        <v>42356</v>
      </c>
      <c r="D75" s="14" t="s">
        <v>78</v>
      </c>
      <c r="E75" s="31" t="s">
        <v>79</v>
      </c>
      <c r="F75" s="31">
        <v>34.5</v>
      </c>
      <c r="G75" s="31">
        <v>0.05</v>
      </c>
      <c r="H75" s="31">
        <v>61</v>
      </c>
      <c r="I75" s="31">
        <v>40</v>
      </c>
      <c r="J75" s="31"/>
      <c r="K75" s="15">
        <v>0.2</v>
      </c>
      <c r="L75" s="17" t="s">
        <v>80</v>
      </c>
      <c r="M75" s="17"/>
      <c r="N75" s="18">
        <f>171000*F75</f>
        <v>5899500</v>
      </c>
      <c r="O75" s="19">
        <f>N75/335</f>
        <v>17610.447761194031</v>
      </c>
      <c r="P75" s="19"/>
      <c r="Q75" s="19"/>
      <c r="R75" s="34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24"/>
      <c r="AH75" s="24"/>
      <c r="AI75" s="24"/>
      <c r="AJ75" s="24"/>
      <c r="AK75" s="59">
        <f>SUM(N75:AJ75)</f>
        <v>5917110.4477611938</v>
      </c>
      <c r="AL75" s="59">
        <f>AK75/(F75*1000)</f>
        <v>171.51044776119403</v>
      </c>
    </row>
    <row r="76" spans="1:40" ht="15" hidden="1" customHeight="1" x14ac:dyDescent="0.25">
      <c r="A76" s="11"/>
      <c r="B76" s="30"/>
      <c r="C76" s="13">
        <v>42356</v>
      </c>
      <c r="D76" s="14" t="s">
        <v>78</v>
      </c>
      <c r="E76" s="31" t="s">
        <v>79</v>
      </c>
      <c r="F76" s="31"/>
      <c r="G76" s="31">
        <v>0.05</v>
      </c>
      <c r="H76" s="31">
        <v>61</v>
      </c>
      <c r="I76" s="31">
        <v>40</v>
      </c>
      <c r="J76" s="31"/>
      <c r="K76" s="15">
        <v>0.2</v>
      </c>
      <c r="L76" s="17" t="s">
        <v>80</v>
      </c>
      <c r="M76" s="17"/>
      <c r="N76" s="18">
        <f>N75/($F75*1000)</f>
        <v>171</v>
      </c>
      <c r="O76" s="19"/>
      <c r="P76" s="19">
        <f t="shared" ref="P76:AG76" si="44">P75/($F75*1000)</f>
        <v>0</v>
      </c>
      <c r="Q76" s="19">
        <f t="shared" si="44"/>
        <v>0</v>
      </c>
      <c r="R76" s="19">
        <f t="shared" si="44"/>
        <v>0</v>
      </c>
      <c r="S76" s="19">
        <f t="shared" si="44"/>
        <v>0</v>
      </c>
      <c r="T76" s="19">
        <f t="shared" si="44"/>
        <v>0</v>
      </c>
      <c r="U76" s="19">
        <f t="shared" si="44"/>
        <v>0</v>
      </c>
      <c r="V76" s="19">
        <f t="shared" si="44"/>
        <v>0</v>
      </c>
      <c r="W76" s="19">
        <f t="shared" si="44"/>
        <v>0</v>
      </c>
      <c r="X76" s="19">
        <f t="shared" si="44"/>
        <v>0</v>
      </c>
      <c r="Y76" s="19">
        <f t="shared" si="44"/>
        <v>0</v>
      </c>
      <c r="Z76" s="19">
        <f t="shared" si="44"/>
        <v>0</v>
      </c>
      <c r="AA76" s="19">
        <f t="shared" si="44"/>
        <v>0</v>
      </c>
      <c r="AB76" s="19">
        <f t="shared" si="44"/>
        <v>0</v>
      </c>
      <c r="AC76" s="19">
        <f t="shared" si="44"/>
        <v>0</v>
      </c>
      <c r="AD76" s="19">
        <f t="shared" si="44"/>
        <v>0</v>
      </c>
      <c r="AE76" s="19">
        <f t="shared" si="44"/>
        <v>0</v>
      </c>
      <c r="AF76" s="19">
        <f t="shared" si="44"/>
        <v>0</v>
      </c>
      <c r="AG76" s="19">
        <f t="shared" si="44"/>
        <v>0</v>
      </c>
      <c r="AH76" s="18"/>
      <c r="AI76" s="18"/>
      <c r="AJ76" s="24"/>
      <c r="AK76" s="59">
        <f>SUM(N76:AJ76)</f>
        <v>171</v>
      </c>
      <c r="AL76" s="59" t="e">
        <f>AK76/(F76*1000)</f>
        <v>#DIV/0!</v>
      </c>
    </row>
    <row r="77" spans="1:40" ht="15" hidden="1" customHeight="1" x14ac:dyDescent="0.25">
      <c r="A77" s="11"/>
      <c r="B77" s="30"/>
      <c r="C77" s="13">
        <v>42356</v>
      </c>
      <c r="D77" s="14" t="s">
        <v>78</v>
      </c>
      <c r="E77" s="31" t="s">
        <v>79</v>
      </c>
      <c r="F77" s="31"/>
      <c r="G77" s="31">
        <v>0.05</v>
      </c>
      <c r="H77" s="31">
        <v>61</v>
      </c>
      <c r="I77" s="31">
        <v>40</v>
      </c>
      <c r="J77" s="31"/>
      <c r="K77" s="15">
        <v>0.2</v>
      </c>
      <c r="L77" s="17" t="s">
        <v>80</v>
      </c>
      <c r="M77" s="17"/>
      <c r="N77" s="18">
        <f>N76/N$2</f>
        <v>1.7100000000000001E-4</v>
      </c>
      <c r="O77" s="19"/>
      <c r="P77" s="19">
        <f>P76/P$2</f>
        <v>0</v>
      </c>
      <c r="Q77" s="19">
        <f>Q76/Q$2</f>
        <v>0</v>
      </c>
      <c r="R77" s="19">
        <f>R76/R$2</f>
        <v>0</v>
      </c>
      <c r="S77" s="19">
        <f>S76/S$2</f>
        <v>0</v>
      </c>
      <c r="T77" s="19"/>
      <c r="U77" s="19">
        <f t="shared" ref="U77:AG77" si="45">U76/U$2</f>
        <v>0</v>
      </c>
      <c r="V77" s="19">
        <f t="shared" si="45"/>
        <v>0</v>
      </c>
      <c r="W77" s="19">
        <f t="shared" si="45"/>
        <v>0</v>
      </c>
      <c r="X77" s="19">
        <f t="shared" si="45"/>
        <v>0</v>
      </c>
      <c r="Y77" s="19">
        <f t="shared" si="45"/>
        <v>0</v>
      </c>
      <c r="Z77" s="19">
        <f t="shared" si="45"/>
        <v>0</v>
      </c>
      <c r="AA77" s="19">
        <f t="shared" si="45"/>
        <v>0</v>
      </c>
      <c r="AB77" s="19">
        <f t="shared" si="45"/>
        <v>0</v>
      </c>
      <c r="AC77" s="19">
        <f t="shared" si="45"/>
        <v>0</v>
      </c>
      <c r="AD77" s="19">
        <f t="shared" si="45"/>
        <v>0</v>
      </c>
      <c r="AE77" s="19">
        <f t="shared" si="45"/>
        <v>0</v>
      </c>
      <c r="AF77" s="19">
        <f t="shared" si="45"/>
        <v>0</v>
      </c>
      <c r="AG77" s="19">
        <f t="shared" si="45"/>
        <v>0</v>
      </c>
      <c r="AH77" s="18"/>
      <c r="AI77" s="18"/>
      <c r="AJ77" s="24"/>
      <c r="AK77" s="59">
        <f>SUM(N77:AJ77)</f>
        <v>1.7100000000000001E-4</v>
      </c>
      <c r="AL77" s="59" t="e">
        <f>AK77/(F77*1000)</f>
        <v>#DIV/0!</v>
      </c>
    </row>
    <row r="78" spans="1:40" x14ac:dyDescent="0.25">
      <c r="A78" s="11"/>
      <c r="B78" s="25" t="s">
        <v>86</v>
      </c>
      <c r="C78" s="13">
        <v>42356</v>
      </c>
      <c r="D78" s="14" t="s">
        <v>78</v>
      </c>
      <c r="E78" s="31" t="s">
        <v>79</v>
      </c>
      <c r="F78" s="31">
        <v>35</v>
      </c>
      <c r="G78" s="31">
        <v>0.05</v>
      </c>
      <c r="H78" s="31">
        <v>61</v>
      </c>
      <c r="I78" s="31">
        <v>40</v>
      </c>
      <c r="J78" s="31"/>
      <c r="K78" s="15">
        <v>0.2</v>
      </c>
      <c r="L78" s="17" t="s">
        <v>80</v>
      </c>
      <c r="M78" s="17"/>
      <c r="N78" s="18">
        <f>F78*78000</f>
        <v>2730000</v>
      </c>
      <c r="O78" s="19">
        <f>N78/335</f>
        <v>8149.253731343284</v>
      </c>
      <c r="P78" s="19"/>
      <c r="Q78" s="19"/>
      <c r="R78" s="19">
        <v>27470</v>
      </c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24"/>
      <c r="AH78" s="24"/>
      <c r="AI78" s="24"/>
      <c r="AJ78" s="24"/>
      <c r="AK78" s="59">
        <f>SUM(N78:AJ78)</f>
        <v>2765619.2537313434</v>
      </c>
      <c r="AL78" s="59">
        <f>AK78/(F78*1000)</f>
        <v>79.017692963752665</v>
      </c>
    </row>
    <row r="79" spans="1:40" hidden="1" x14ac:dyDescent="0.25">
      <c r="A79" s="11"/>
      <c r="B79" s="25"/>
      <c r="C79" s="13">
        <v>42356</v>
      </c>
      <c r="D79" s="14"/>
      <c r="E79" s="31"/>
      <c r="F79" s="31"/>
      <c r="G79" s="31"/>
      <c r="H79" s="31"/>
      <c r="I79" s="31"/>
      <c r="J79" s="31"/>
      <c r="K79" s="15"/>
      <c r="L79" s="17"/>
      <c r="M79" s="17"/>
      <c r="N79" s="18">
        <f>N78/($F78*1000)</f>
        <v>78</v>
      </c>
      <c r="O79" s="19"/>
      <c r="P79" s="19">
        <f t="shared" ref="P79:AG79" si="46">P78/($F78*1000)</f>
        <v>0</v>
      </c>
      <c r="Q79" s="19">
        <f t="shared" si="46"/>
        <v>0</v>
      </c>
      <c r="R79" s="19">
        <f t="shared" si="46"/>
        <v>0.78485714285714281</v>
      </c>
      <c r="S79" s="19">
        <f t="shared" si="46"/>
        <v>0</v>
      </c>
      <c r="T79" s="19">
        <f t="shared" si="46"/>
        <v>0</v>
      </c>
      <c r="U79" s="19">
        <f t="shared" si="46"/>
        <v>0</v>
      </c>
      <c r="V79" s="19">
        <f t="shared" si="46"/>
        <v>0</v>
      </c>
      <c r="W79" s="19">
        <f t="shared" si="46"/>
        <v>0</v>
      </c>
      <c r="X79" s="19">
        <f t="shared" si="46"/>
        <v>0</v>
      </c>
      <c r="Y79" s="19">
        <f t="shared" si="46"/>
        <v>0</v>
      </c>
      <c r="Z79" s="19">
        <f t="shared" si="46"/>
        <v>0</v>
      </c>
      <c r="AA79" s="19">
        <f t="shared" si="46"/>
        <v>0</v>
      </c>
      <c r="AB79" s="19">
        <f t="shared" si="46"/>
        <v>0</v>
      </c>
      <c r="AC79" s="19">
        <f t="shared" si="46"/>
        <v>0</v>
      </c>
      <c r="AD79" s="19">
        <f t="shared" si="46"/>
        <v>0</v>
      </c>
      <c r="AE79" s="19">
        <f t="shared" si="46"/>
        <v>0</v>
      </c>
      <c r="AF79" s="19">
        <f t="shared" si="46"/>
        <v>0</v>
      </c>
      <c r="AG79" s="19">
        <f t="shared" si="46"/>
        <v>0</v>
      </c>
      <c r="AH79" s="24"/>
      <c r="AI79" s="24"/>
      <c r="AJ79" s="24"/>
      <c r="AK79" s="59"/>
      <c r="AL79" s="59"/>
    </row>
    <row r="80" spans="1:40" hidden="1" x14ac:dyDescent="0.25">
      <c r="A80" s="11"/>
      <c r="B80" s="25"/>
      <c r="C80" s="13">
        <v>42356</v>
      </c>
      <c r="D80" s="14"/>
      <c r="E80" s="31"/>
      <c r="F80" s="31"/>
      <c r="G80" s="31"/>
      <c r="H80" s="31"/>
      <c r="I80" s="31"/>
      <c r="J80" s="31"/>
      <c r="K80" s="15"/>
      <c r="L80" s="17"/>
      <c r="M80" s="17"/>
      <c r="N80" s="18">
        <f>N79/N$2</f>
        <v>7.7999999999999999E-5</v>
      </c>
      <c r="O80" s="19"/>
      <c r="P80" s="19">
        <f>P79/P$2</f>
        <v>0</v>
      </c>
      <c r="Q80" s="19">
        <f>Q79/Q$2</f>
        <v>0</v>
      </c>
      <c r="R80" s="19">
        <f>R79/R$2</f>
        <v>7.8485714285714281E-4</v>
      </c>
      <c r="S80" s="19">
        <f>S79/S$2</f>
        <v>0</v>
      </c>
      <c r="T80" s="19"/>
      <c r="U80" s="19">
        <f t="shared" ref="U80:AG80" si="47">U79/U$2</f>
        <v>0</v>
      </c>
      <c r="V80" s="19">
        <f t="shared" si="47"/>
        <v>0</v>
      </c>
      <c r="W80" s="19">
        <f t="shared" si="47"/>
        <v>0</v>
      </c>
      <c r="X80" s="19">
        <f t="shared" si="47"/>
        <v>0</v>
      </c>
      <c r="Y80" s="19">
        <f t="shared" si="47"/>
        <v>0</v>
      </c>
      <c r="Z80" s="19">
        <f t="shared" si="47"/>
        <v>0</v>
      </c>
      <c r="AA80" s="19">
        <f t="shared" si="47"/>
        <v>0</v>
      </c>
      <c r="AB80" s="19">
        <f t="shared" si="47"/>
        <v>0</v>
      </c>
      <c r="AC80" s="19">
        <f t="shared" si="47"/>
        <v>0</v>
      </c>
      <c r="AD80" s="19">
        <f t="shared" si="47"/>
        <v>0</v>
      </c>
      <c r="AE80" s="19">
        <f t="shared" si="47"/>
        <v>0</v>
      </c>
      <c r="AF80" s="19">
        <f t="shared" si="47"/>
        <v>0</v>
      </c>
      <c r="AG80" s="19">
        <f t="shared" si="47"/>
        <v>0</v>
      </c>
      <c r="AH80" s="24"/>
      <c r="AI80" s="24"/>
      <c r="AJ80" s="24"/>
      <c r="AK80" s="59"/>
      <c r="AL80" s="59"/>
    </row>
    <row r="81" spans="1:39" x14ac:dyDescent="0.25">
      <c r="A81" s="11"/>
      <c r="B81" s="25" t="s">
        <v>87</v>
      </c>
      <c r="C81" s="13">
        <v>42356</v>
      </c>
      <c r="D81" s="14" t="s">
        <v>78</v>
      </c>
      <c r="E81" s="31" t="s">
        <v>79</v>
      </c>
      <c r="F81" s="15">
        <v>39</v>
      </c>
      <c r="G81" s="31">
        <v>0.05</v>
      </c>
      <c r="H81" s="31">
        <v>61</v>
      </c>
      <c r="I81" s="31">
        <v>40</v>
      </c>
      <c r="J81" s="15"/>
      <c r="K81" s="15">
        <v>0.2</v>
      </c>
      <c r="L81" s="17" t="s">
        <v>80</v>
      </c>
      <c r="M81" s="17"/>
      <c r="N81" s="18">
        <f>50000*F81</f>
        <v>1950000</v>
      </c>
      <c r="O81" s="19">
        <f>N81/335</f>
        <v>5820.8955223880594</v>
      </c>
      <c r="P81" s="19"/>
      <c r="Q81" s="19"/>
      <c r="R81" s="19">
        <v>23200</v>
      </c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24"/>
      <c r="AH81" s="24"/>
      <c r="AI81" s="24"/>
      <c r="AJ81" s="24"/>
      <c r="AK81" s="59">
        <f>SUM(N81:AJ81)</f>
        <v>1979020.8955223882</v>
      </c>
      <c r="AL81" s="59">
        <f>AK81/(F81*1000)</f>
        <v>50.744125526215079</v>
      </c>
    </row>
    <row r="82" spans="1:39" ht="15" hidden="1" customHeight="1" x14ac:dyDescent="0.25">
      <c r="A82" s="11"/>
      <c r="B82" s="25"/>
      <c r="C82" s="13">
        <v>42356</v>
      </c>
      <c r="D82" s="14"/>
      <c r="E82" s="31"/>
      <c r="F82" s="15"/>
      <c r="G82" s="31"/>
      <c r="H82" s="31"/>
      <c r="I82" s="31"/>
      <c r="J82" s="15"/>
      <c r="K82" s="15"/>
      <c r="L82" s="17"/>
      <c r="M82" s="17"/>
      <c r="N82" s="18">
        <f>N81/($F81*1000)</f>
        <v>50</v>
      </c>
      <c r="O82" s="19"/>
      <c r="P82" s="19">
        <f t="shared" ref="P82:AG82" si="48">P81/($F81*1000)</f>
        <v>0</v>
      </c>
      <c r="Q82" s="19">
        <f t="shared" si="48"/>
        <v>0</v>
      </c>
      <c r="R82" s="19">
        <f t="shared" si="48"/>
        <v>0.59487179487179487</v>
      </c>
      <c r="S82" s="19">
        <f t="shared" si="48"/>
        <v>0</v>
      </c>
      <c r="T82" s="19">
        <f t="shared" si="48"/>
        <v>0</v>
      </c>
      <c r="U82" s="19">
        <f t="shared" si="48"/>
        <v>0</v>
      </c>
      <c r="V82" s="19">
        <f t="shared" si="48"/>
        <v>0</v>
      </c>
      <c r="W82" s="19">
        <f t="shared" si="48"/>
        <v>0</v>
      </c>
      <c r="X82" s="19">
        <f t="shared" si="48"/>
        <v>0</v>
      </c>
      <c r="Y82" s="19">
        <f t="shared" si="48"/>
        <v>0</v>
      </c>
      <c r="Z82" s="19">
        <f t="shared" si="48"/>
        <v>0</v>
      </c>
      <c r="AA82" s="19">
        <f t="shared" si="48"/>
        <v>0</v>
      </c>
      <c r="AB82" s="19">
        <f t="shared" si="48"/>
        <v>0</v>
      </c>
      <c r="AC82" s="19">
        <f t="shared" si="48"/>
        <v>0</v>
      </c>
      <c r="AD82" s="19">
        <f t="shared" si="48"/>
        <v>0</v>
      </c>
      <c r="AE82" s="19">
        <f t="shared" si="48"/>
        <v>0</v>
      </c>
      <c r="AF82" s="19">
        <f t="shared" si="48"/>
        <v>0</v>
      </c>
      <c r="AG82" s="19">
        <f t="shared" si="48"/>
        <v>0</v>
      </c>
      <c r="AH82" s="24"/>
      <c r="AI82" s="24"/>
      <c r="AJ82" s="24"/>
      <c r="AK82" s="59"/>
      <c r="AL82" s="59"/>
    </row>
    <row r="83" spans="1:39" hidden="1" x14ac:dyDescent="0.25">
      <c r="A83" s="11"/>
      <c r="B83" s="25"/>
      <c r="C83" s="13">
        <v>42356</v>
      </c>
      <c r="D83" s="14"/>
      <c r="E83" s="31"/>
      <c r="F83" s="15"/>
      <c r="G83" s="31"/>
      <c r="H83" s="31"/>
      <c r="I83" s="31"/>
      <c r="J83" s="15"/>
      <c r="K83" s="15"/>
      <c r="L83" s="17"/>
      <c r="M83" s="17"/>
      <c r="N83" s="18">
        <f>N82/N$2</f>
        <v>5.0000000000000002E-5</v>
      </c>
      <c r="O83" s="19"/>
      <c r="P83" s="19">
        <f>P82/P$2</f>
        <v>0</v>
      </c>
      <c r="Q83" s="19">
        <f>Q82/Q$2</f>
        <v>0</v>
      </c>
      <c r="R83" s="19">
        <f>R82/R$2</f>
        <v>5.9487179487179487E-4</v>
      </c>
      <c r="S83" s="19">
        <f>S82/S$2</f>
        <v>0</v>
      </c>
      <c r="T83" s="19"/>
      <c r="U83" s="19">
        <f t="shared" ref="U83:AG83" si="49">U82/U$2</f>
        <v>0</v>
      </c>
      <c r="V83" s="19">
        <f t="shared" si="49"/>
        <v>0</v>
      </c>
      <c r="W83" s="19">
        <f t="shared" si="49"/>
        <v>0</v>
      </c>
      <c r="X83" s="19">
        <f t="shared" si="49"/>
        <v>0</v>
      </c>
      <c r="Y83" s="19">
        <f t="shared" si="49"/>
        <v>0</v>
      </c>
      <c r="Z83" s="19">
        <f t="shared" si="49"/>
        <v>0</v>
      </c>
      <c r="AA83" s="19">
        <f t="shared" si="49"/>
        <v>0</v>
      </c>
      <c r="AB83" s="19">
        <f t="shared" si="49"/>
        <v>0</v>
      </c>
      <c r="AC83" s="19">
        <f t="shared" si="49"/>
        <v>0</v>
      </c>
      <c r="AD83" s="19">
        <f t="shared" si="49"/>
        <v>0</v>
      </c>
      <c r="AE83" s="19">
        <f t="shared" si="49"/>
        <v>0</v>
      </c>
      <c r="AF83" s="19">
        <f t="shared" si="49"/>
        <v>0</v>
      </c>
      <c r="AG83" s="19">
        <f t="shared" si="49"/>
        <v>0</v>
      </c>
      <c r="AH83" s="24"/>
      <c r="AI83" s="24"/>
      <c r="AJ83" s="24"/>
      <c r="AK83" s="59"/>
      <c r="AL83" s="59"/>
    </row>
    <row r="84" spans="1:39" s="11" customFormat="1" x14ac:dyDescent="0.25">
      <c r="B84" s="25" t="s">
        <v>88</v>
      </c>
      <c r="C84" s="13">
        <v>42356</v>
      </c>
      <c r="D84" s="14" t="s">
        <v>78</v>
      </c>
      <c r="E84" s="31" t="s">
        <v>79</v>
      </c>
      <c r="F84" s="31">
        <v>35</v>
      </c>
      <c r="G84" s="31">
        <v>0.05</v>
      </c>
      <c r="H84" s="31">
        <v>61</v>
      </c>
      <c r="I84" s="31">
        <v>40</v>
      </c>
      <c r="J84" s="31"/>
      <c r="K84" s="15">
        <v>0.2</v>
      </c>
      <c r="L84" s="17" t="s">
        <v>80</v>
      </c>
      <c r="M84" s="17"/>
      <c r="N84" s="18">
        <f>F84*54000</f>
        <v>1890000</v>
      </c>
      <c r="O84" s="19">
        <f>N84/335</f>
        <v>5641.7910447761196</v>
      </c>
      <c r="P84" s="35"/>
      <c r="Q84" s="19"/>
      <c r="R84" s="34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24"/>
      <c r="AH84" s="24"/>
      <c r="AI84" s="24"/>
      <c r="AJ84" s="24"/>
      <c r="AK84" s="59">
        <f>SUM(N84:AJ84)</f>
        <v>1895641.7910447761</v>
      </c>
      <c r="AL84" s="59">
        <f>AK84/(F84*1000)</f>
        <v>54.161194029850748</v>
      </c>
    </row>
    <row r="85" spans="1:39" s="11" customFormat="1" hidden="1" x14ac:dyDescent="0.25">
      <c r="B85" s="25"/>
      <c r="C85" s="13">
        <v>42356</v>
      </c>
      <c r="D85" s="14"/>
      <c r="E85" s="31"/>
      <c r="F85" s="31"/>
      <c r="G85" s="31"/>
      <c r="H85" s="31"/>
      <c r="I85" s="31"/>
      <c r="J85" s="31"/>
      <c r="K85" s="15"/>
      <c r="L85" s="17"/>
      <c r="M85" s="17"/>
      <c r="N85" s="18">
        <f>N84/($F84*1000)</f>
        <v>54</v>
      </c>
      <c r="O85" s="19"/>
      <c r="P85" s="19">
        <f t="shared" ref="P85:AG85" si="50">P84/($F84*1000)</f>
        <v>0</v>
      </c>
      <c r="Q85" s="19">
        <f t="shared" si="50"/>
        <v>0</v>
      </c>
      <c r="R85" s="19">
        <f t="shared" si="50"/>
        <v>0</v>
      </c>
      <c r="S85" s="19">
        <f t="shared" si="50"/>
        <v>0</v>
      </c>
      <c r="T85" s="19">
        <f t="shared" si="50"/>
        <v>0</v>
      </c>
      <c r="U85" s="19">
        <f t="shared" si="50"/>
        <v>0</v>
      </c>
      <c r="V85" s="19">
        <f t="shared" si="50"/>
        <v>0</v>
      </c>
      <c r="W85" s="19">
        <f t="shared" si="50"/>
        <v>0</v>
      </c>
      <c r="X85" s="19">
        <f t="shared" si="50"/>
        <v>0</v>
      </c>
      <c r="Y85" s="19">
        <f t="shared" si="50"/>
        <v>0</v>
      </c>
      <c r="Z85" s="19">
        <f t="shared" si="50"/>
        <v>0</v>
      </c>
      <c r="AA85" s="19">
        <f t="shared" si="50"/>
        <v>0</v>
      </c>
      <c r="AB85" s="19">
        <f t="shared" si="50"/>
        <v>0</v>
      </c>
      <c r="AC85" s="19">
        <f t="shared" si="50"/>
        <v>0</v>
      </c>
      <c r="AD85" s="19">
        <f t="shared" si="50"/>
        <v>0</v>
      </c>
      <c r="AE85" s="19">
        <f t="shared" si="50"/>
        <v>0</v>
      </c>
      <c r="AF85" s="19">
        <f t="shared" si="50"/>
        <v>0</v>
      </c>
      <c r="AG85" s="19">
        <f t="shared" si="50"/>
        <v>0</v>
      </c>
      <c r="AH85" s="24"/>
      <c r="AI85" s="24"/>
      <c r="AJ85" s="24"/>
      <c r="AK85" s="59"/>
      <c r="AL85" s="59"/>
    </row>
    <row r="86" spans="1:39" s="11" customFormat="1" hidden="1" x14ac:dyDescent="0.25">
      <c r="B86" s="25"/>
      <c r="C86" s="13">
        <v>42356</v>
      </c>
      <c r="D86" s="14"/>
      <c r="E86" s="31"/>
      <c r="F86" s="31"/>
      <c r="G86" s="31"/>
      <c r="H86" s="31"/>
      <c r="I86" s="31"/>
      <c r="J86" s="31"/>
      <c r="K86" s="15"/>
      <c r="L86" s="17"/>
      <c r="M86" s="17"/>
      <c r="N86" s="18">
        <f>N85/N$2</f>
        <v>5.3999999999999998E-5</v>
      </c>
      <c r="O86" s="19"/>
      <c r="P86" s="19">
        <f>P85/P$2</f>
        <v>0</v>
      </c>
      <c r="Q86" s="19">
        <f>Q85/Q$2</f>
        <v>0</v>
      </c>
      <c r="R86" s="19">
        <f>R85/R$2</f>
        <v>0</v>
      </c>
      <c r="S86" s="19">
        <f>S85/S$2</f>
        <v>0</v>
      </c>
      <c r="T86" s="19"/>
      <c r="U86" s="19">
        <f t="shared" ref="U86:AG86" si="51">U85/U$2</f>
        <v>0</v>
      </c>
      <c r="V86" s="19">
        <f t="shared" si="51"/>
        <v>0</v>
      </c>
      <c r="W86" s="19">
        <f t="shared" si="51"/>
        <v>0</v>
      </c>
      <c r="X86" s="19">
        <f t="shared" si="51"/>
        <v>0</v>
      </c>
      <c r="Y86" s="19">
        <f t="shared" si="51"/>
        <v>0</v>
      </c>
      <c r="Z86" s="19">
        <f t="shared" si="51"/>
        <v>0</v>
      </c>
      <c r="AA86" s="19">
        <f t="shared" si="51"/>
        <v>0</v>
      </c>
      <c r="AB86" s="19">
        <f t="shared" si="51"/>
        <v>0</v>
      </c>
      <c r="AC86" s="19">
        <f t="shared" si="51"/>
        <v>0</v>
      </c>
      <c r="AD86" s="19">
        <f t="shared" si="51"/>
        <v>0</v>
      </c>
      <c r="AE86" s="19">
        <f t="shared" si="51"/>
        <v>0</v>
      </c>
      <c r="AF86" s="19">
        <f t="shared" si="51"/>
        <v>0</v>
      </c>
      <c r="AG86" s="19">
        <f t="shared" si="51"/>
        <v>0</v>
      </c>
      <c r="AH86" s="24"/>
      <c r="AI86" s="24"/>
      <c r="AJ86" s="24"/>
      <c r="AK86" s="59"/>
      <c r="AL86" s="59"/>
    </row>
    <row r="87" spans="1:39" x14ac:dyDescent="0.25">
      <c r="A87" s="11"/>
      <c r="B87" s="25" t="s">
        <v>89</v>
      </c>
      <c r="C87" s="13">
        <v>42356</v>
      </c>
      <c r="D87" s="14" t="s">
        <v>78</v>
      </c>
      <c r="E87" s="31" t="s">
        <v>79</v>
      </c>
      <c r="F87" s="31">
        <v>25.5</v>
      </c>
      <c r="G87" s="31">
        <v>0.05</v>
      </c>
      <c r="H87" s="31">
        <v>61</v>
      </c>
      <c r="I87" s="31">
        <v>40</v>
      </c>
      <c r="J87" s="31"/>
      <c r="K87" s="15">
        <v>0.2</v>
      </c>
      <c r="L87" s="15" t="s">
        <v>90</v>
      </c>
      <c r="M87" s="17"/>
      <c r="N87" s="18">
        <f>186000*F90</f>
        <v>7440000</v>
      </c>
      <c r="O87" s="19">
        <f t="shared" ref="O87:O102" si="52">N87/335</f>
        <v>22208.955223880595</v>
      </c>
      <c r="P87" s="19"/>
      <c r="Q87" s="19"/>
      <c r="R87" s="34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24"/>
      <c r="AH87" s="24"/>
      <c r="AI87" s="24"/>
      <c r="AJ87" s="24"/>
      <c r="AK87" s="59">
        <f>SUM(N87:AJ87)</f>
        <v>7462208.9552238807</v>
      </c>
      <c r="AL87" s="59">
        <f>AK87/(F87*1000)</f>
        <v>292.63564530289727</v>
      </c>
    </row>
    <row r="88" spans="1:39" hidden="1" x14ac:dyDescent="0.25">
      <c r="A88" s="11"/>
      <c r="B88" s="25"/>
      <c r="C88" s="13">
        <v>42356</v>
      </c>
      <c r="D88" s="14"/>
      <c r="E88" s="31"/>
      <c r="F88" s="31"/>
      <c r="G88" s="31"/>
      <c r="H88" s="31"/>
      <c r="I88" s="31"/>
      <c r="J88" s="31"/>
      <c r="K88" s="15"/>
      <c r="L88" s="15"/>
      <c r="M88" s="17"/>
      <c r="N88" s="18">
        <f>N87/($F87*1000)</f>
        <v>291.76470588235293</v>
      </c>
      <c r="O88" s="19"/>
      <c r="P88" s="19">
        <f t="shared" ref="P88:AG88" si="53">P87/($F87*1000)</f>
        <v>0</v>
      </c>
      <c r="Q88" s="19">
        <f t="shared" si="53"/>
        <v>0</v>
      </c>
      <c r="R88" s="19">
        <f t="shared" si="53"/>
        <v>0</v>
      </c>
      <c r="S88" s="19">
        <f t="shared" si="53"/>
        <v>0</v>
      </c>
      <c r="T88" s="19">
        <f t="shared" si="53"/>
        <v>0</v>
      </c>
      <c r="U88" s="19">
        <f t="shared" si="53"/>
        <v>0</v>
      </c>
      <c r="V88" s="19">
        <f t="shared" si="53"/>
        <v>0</v>
      </c>
      <c r="W88" s="19">
        <f t="shared" si="53"/>
        <v>0</v>
      </c>
      <c r="X88" s="19">
        <f t="shared" si="53"/>
        <v>0</v>
      </c>
      <c r="Y88" s="19">
        <f t="shared" si="53"/>
        <v>0</v>
      </c>
      <c r="Z88" s="19">
        <f t="shared" si="53"/>
        <v>0</v>
      </c>
      <c r="AA88" s="19">
        <f t="shared" si="53"/>
        <v>0</v>
      </c>
      <c r="AB88" s="19">
        <f t="shared" si="53"/>
        <v>0</v>
      </c>
      <c r="AC88" s="19">
        <f t="shared" si="53"/>
        <v>0</v>
      </c>
      <c r="AD88" s="19">
        <f t="shared" si="53"/>
        <v>0</v>
      </c>
      <c r="AE88" s="19">
        <f t="shared" si="53"/>
        <v>0</v>
      </c>
      <c r="AF88" s="19">
        <f t="shared" si="53"/>
        <v>0</v>
      </c>
      <c r="AG88" s="19">
        <f t="shared" si="53"/>
        <v>0</v>
      </c>
      <c r="AH88" s="24"/>
      <c r="AI88" s="24"/>
      <c r="AJ88" s="24"/>
      <c r="AK88" s="59"/>
      <c r="AL88" s="59"/>
    </row>
    <row r="89" spans="1:39" hidden="1" x14ac:dyDescent="0.25">
      <c r="A89" s="11"/>
      <c r="B89" s="25"/>
      <c r="C89" s="13">
        <v>42356</v>
      </c>
      <c r="D89" s="14"/>
      <c r="E89" s="31"/>
      <c r="F89" s="31"/>
      <c r="G89" s="31"/>
      <c r="H89" s="31"/>
      <c r="I89" s="31"/>
      <c r="J89" s="31"/>
      <c r="K89" s="15"/>
      <c r="L89" s="15"/>
      <c r="M89" s="17"/>
      <c r="N89" s="18">
        <f>N88/N$2</f>
        <v>2.9176470588235292E-4</v>
      </c>
      <c r="O89" s="19"/>
      <c r="P89" s="19">
        <f>P88/P$2</f>
        <v>0</v>
      </c>
      <c r="Q89" s="19">
        <f>Q88/Q$2</f>
        <v>0</v>
      </c>
      <c r="R89" s="19">
        <f>R88/R$2</f>
        <v>0</v>
      </c>
      <c r="S89" s="19">
        <f>S88/S$2</f>
        <v>0</v>
      </c>
      <c r="T89" s="19"/>
      <c r="U89" s="19">
        <f t="shared" ref="U89:AG89" si="54">U88/U$2</f>
        <v>0</v>
      </c>
      <c r="V89" s="19">
        <f t="shared" si="54"/>
        <v>0</v>
      </c>
      <c r="W89" s="19">
        <f t="shared" si="54"/>
        <v>0</v>
      </c>
      <c r="X89" s="19">
        <f t="shared" si="54"/>
        <v>0</v>
      </c>
      <c r="Y89" s="19">
        <f t="shared" si="54"/>
        <v>0</v>
      </c>
      <c r="Z89" s="19">
        <f t="shared" si="54"/>
        <v>0</v>
      </c>
      <c r="AA89" s="19">
        <f t="shared" si="54"/>
        <v>0</v>
      </c>
      <c r="AB89" s="19">
        <f t="shared" si="54"/>
        <v>0</v>
      </c>
      <c r="AC89" s="19">
        <f t="shared" si="54"/>
        <v>0</v>
      </c>
      <c r="AD89" s="19">
        <f t="shared" si="54"/>
        <v>0</v>
      </c>
      <c r="AE89" s="19">
        <f t="shared" si="54"/>
        <v>0</v>
      </c>
      <c r="AF89" s="19">
        <f t="shared" si="54"/>
        <v>0</v>
      </c>
      <c r="AG89" s="19">
        <f t="shared" si="54"/>
        <v>0</v>
      </c>
      <c r="AH89" s="24"/>
      <c r="AI89" s="24"/>
      <c r="AJ89" s="24"/>
      <c r="AK89" s="59"/>
      <c r="AL89" s="59"/>
    </row>
    <row r="90" spans="1:39" x14ac:dyDescent="0.25">
      <c r="A90" s="11"/>
      <c r="B90" s="25" t="s">
        <v>91</v>
      </c>
      <c r="C90" s="13">
        <v>42356</v>
      </c>
      <c r="D90" s="14" t="s">
        <v>78</v>
      </c>
      <c r="E90" s="31" t="s">
        <v>79</v>
      </c>
      <c r="F90" s="31">
        <v>40</v>
      </c>
      <c r="G90" s="31">
        <v>0.05</v>
      </c>
      <c r="H90" s="31">
        <v>61</v>
      </c>
      <c r="I90" s="31">
        <v>40</v>
      </c>
      <c r="J90" s="31"/>
      <c r="K90" s="15">
        <v>0.2</v>
      </c>
      <c r="L90" s="15" t="s">
        <v>90</v>
      </c>
      <c r="M90" s="17"/>
      <c r="N90" s="18">
        <f>186000*F93</f>
        <v>7068000</v>
      </c>
      <c r="O90" s="19">
        <f t="shared" si="52"/>
        <v>21098.507462686568</v>
      </c>
      <c r="P90" s="19"/>
      <c r="Q90" s="19"/>
      <c r="R90" s="34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24"/>
      <c r="AH90" s="24"/>
      <c r="AI90" s="24"/>
      <c r="AJ90" s="24"/>
      <c r="AK90" s="59">
        <f>SUM(N90:AJ90)</f>
        <v>7089098.5074626869</v>
      </c>
      <c r="AL90" s="59">
        <f>AK90/(F90*1000)</f>
        <v>177.22746268656718</v>
      </c>
    </row>
    <row r="91" spans="1:39" hidden="1" x14ac:dyDescent="0.25">
      <c r="A91" s="11"/>
      <c r="B91" s="25"/>
      <c r="C91" s="13">
        <v>42356</v>
      </c>
      <c r="D91" s="14"/>
      <c r="E91" s="31"/>
      <c r="F91" s="31"/>
      <c r="G91" s="31"/>
      <c r="H91" s="31"/>
      <c r="I91" s="31"/>
      <c r="J91" s="31"/>
      <c r="K91" s="15"/>
      <c r="L91" s="15"/>
      <c r="M91" s="17"/>
      <c r="N91" s="18">
        <f>N90/($F90*1000)</f>
        <v>176.7</v>
      </c>
      <c r="O91" s="19"/>
      <c r="P91" s="19">
        <f t="shared" ref="P91:AG91" si="55">P90/($F90*1000)</f>
        <v>0</v>
      </c>
      <c r="Q91" s="19">
        <f t="shared" si="55"/>
        <v>0</v>
      </c>
      <c r="R91" s="19">
        <f t="shared" si="55"/>
        <v>0</v>
      </c>
      <c r="S91" s="19">
        <f t="shared" si="55"/>
        <v>0</v>
      </c>
      <c r="T91" s="19">
        <f t="shared" si="55"/>
        <v>0</v>
      </c>
      <c r="U91" s="19">
        <f t="shared" si="55"/>
        <v>0</v>
      </c>
      <c r="V91" s="19">
        <f t="shared" si="55"/>
        <v>0</v>
      </c>
      <c r="W91" s="19">
        <f t="shared" si="55"/>
        <v>0</v>
      </c>
      <c r="X91" s="19">
        <f t="shared" si="55"/>
        <v>0</v>
      </c>
      <c r="Y91" s="19">
        <f t="shared" si="55"/>
        <v>0</v>
      </c>
      <c r="Z91" s="19">
        <f t="shared" si="55"/>
        <v>0</v>
      </c>
      <c r="AA91" s="19">
        <f t="shared" si="55"/>
        <v>0</v>
      </c>
      <c r="AB91" s="19">
        <f t="shared" si="55"/>
        <v>0</v>
      </c>
      <c r="AC91" s="19">
        <f t="shared" si="55"/>
        <v>0</v>
      </c>
      <c r="AD91" s="19">
        <f t="shared" si="55"/>
        <v>0</v>
      </c>
      <c r="AE91" s="19">
        <f t="shared" si="55"/>
        <v>0</v>
      </c>
      <c r="AF91" s="19">
        <f t="shared" si="55"/>
        <v>0</v>
      </c>
      <c r="AG91" s="19">
        <f t="shared" si="55"/>
        <v>0</v>
      </c>
      <c r="AH91" s="24"/>
      <c r="AI91" s="24"/>
      <c r="AJ91" s="24"/>
      <c r="AK91" s="59"/>
      <c r="AL91" s="59"/>
    </row>
    <row r="92" spans="1:39" hidden="1" x14ac:dyDescent="0.25">
      <c r="A92" s="11"/>
      <c r="B92" s="25"/>
      <c r="C92" s="13">
        <v>42356</v>
      </c>
      <c r="D92" s="14"/>
      <c r="E92" s="31"/>
      <c r="F92" s="31"/>
      <c r="G92" s="31"/>
      <c r="H92" s="31"/>
      <c r="I92" s="31"/>
      <c r="J92" s="31"/>
      <c r="K92" s="15"/>
      <c r="L92" s="15"/>
      <c r="M92" s="17"/>
      <c r="N92" s="18">
        <f>N91/N$2</f>
        <v>1.7669999999999999E-4</v>
      </c>
      <c r="O92" s="19"/>
      <c r="P92" s="19">
        <f>P91/P$2</f>
        <v>0</v>
      </c>
      <c r="Q92" s="19">
        <f>Q91/Q$2</f>
        <v>0</v>
      </c>
      <c r="R92" s="19">
        <f>R91/R$2</f>
        <v>0</v>
      </c>
      <c r="S92" s="19">
        <f>S91/S$2</f>
        <v>0</v>
      </c>
      <c r="T92" s="19"/>
      <c r="U92" s="19">
        <f t="shared" ref="U92:AG92" si="56">U91/U$2</f>
        <v>0</v>
      </c>
      <c r="V92" s="19">
        <f t="shared" si="56"/>
        <v>0</v>
      </c>
      <c r="W92" s="19">
        <f t="shared" si="56"/>
        <v>0</v>
      </c>
      <c r="X92" s="19">
        <f t="shared" si="56"/>
        <v>0</v>
      </c>
      <c r="Y92" s="19">
        <f t="shared" si="56"/>
        <v>0</v>
      </c>
      <c r="Z92" s="19">
        <f t="shared" si="56"/>
        <v>0</v>
      </c>
      <c r="AA92" s="19">
        <f t="shared" si="56"/>
        <v>0</v>
      </c>
      <c r="AB92" s="19">
        <f t="shared" si="56"/>
        <v>0</v>
      </c>
      <c r="AC92" s="19">
        <f t="shared" si="56"/>
        <v>0</v>
      </c>
      <c r="AD92" s="19">
        <f t="shared" si="56"/>
        <v>0</v>
      </c>
      <c r="AE92" s="19">
        <f t="shared" si="56"/>
        <v>0</v>
      </c>
      <c r="AF92" s="19">
        <f t="shared" si="56"/>
        <v>0</v>
      </c>
      <c r="AG92" s="19">
        <f t="shared" si="56"/>
        <v>0</v>
      </c>
      <c r="AH92" s="24"/>
      <c r="AI92" s="24"/>
      <c r="AJ92" s="24"/>
      <c r="AK92" s="59"/>
      <c r="AL92" s="59"/>
    </row>
    <row r="93" spans="1:39" x14ac:dyDescent="0.25">
      <c r="B93" s="25" t="s">
        <v>92</v>
      </c>
      <c r="C93" s="13">
        <v>42356</v>
      </c>
      <c r="D93" s="14" t="s">
        <v>78</v>
      </c>
      <c r="E93" s="31" t="s">
        <v>79</v>
      </c>
      <c r="F93" s="31">
        <v>38</v>
      </c>
      <c r="G93" s="31">
        <v>0.05</v>
      </c>
      <c r="H93" s="31">
        <v>61</v>
      </c>
      <c r="I93" s="31">
        <v>40</v>
      </c>
      <c r="J93" s="31"/>
      <c r="K93" s="15">
        <v>0.2</v>
      </c>
      <c r="L93" s="15" t="s">
        <v>90</v>
      </c>
      <c r="M93" s="17"/>
      <c r="N93" s="18">
        <f>186000*F96</f>
        <v>5394000</v>
      </c>
      <c r="O93" s="19">
        <f t="shared" si="52"/>
        <v>16101.492537313432</v>
      </c>
      <c r="P93" s="19"/>
      <c r="Q93" s="19"/>
      <c r="R93" s="34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24"/>
      <c r="AH93" s="24"/>
      <c r="AI93" s="24"/>
      <c r="AJ93" s="24"/>
      <c r="AK93" s="59">
        <f>SUM(N93:AJ93)</f>
        <v>5410101.4925373131</v>
      </c>
      <c r="AL93" s="59">
        <f>AK93/(F93*1000)</f>
        <v>142.37109190887665</v>
      </c>
      <c r="AM93" s="11"/>
    </row>
    <row r="94" spans="1:39" hidden="1" x14ac:dyDescent="0.25">
      <c r="B94" s="25"/>
      <c r="C94" s="13">
        <v>42356</v>
      </c>
      <c r="D94" s="14"/>
      <c r="E94" s="31"/>
      <c r="F94" s="31"/>
      <c r="G94" s="31"/>
      <c r="H94" s="31"/>
      <c r="I94" s="31"/>
      <c r="J94" s="31"/>
      <c r="K94" s="15"/>
      <c r="L94" s="15"/>
      <c r="M94" s="17"/>
      <c r="N94" s="18">
        <f>N93/($F93*1000)</f>
        <v>141.94736842105263</v>
      </c>
      <c r="O94" s="19"/>
      <c r="P94" s="19">
        <f t="shared" ref="P94:AG94" si="57">P93/($F93*1000)</f>
        <v>0</v>
      </c>
      <c r="Q94" s="19">
        <f t="shared" si="57"/>
        <v>0</v>
      </c>
      <c r="R94" s="19">
        <f t="shared" si="57"/>
        <v>0</v>
      </c>
      <c r="S94" s="19">
        <f t="shared" si="57"/>
        <v>0</v>
      </c>
      <c r="T94" s="19">
        <f t="shared" si="57"/>
        <v>0</v>
      </c>
      <c r="U94" s="19">
        <f t="shared" si="57"/>
        <v>0</v>
      </c>
      <c r="V94" s="19">
        <f t="shared" si="57"/>
        <v>0</v>
      </c>
      <c r="W94" s="19">
        <f t="shared" si="57"/>
        <v>0</v>
      </c>
      <c r="X94" s="19">
        <f t="shared" si="57"/>
        <v>0</v>
      </c>
      <c r="Y94" s="19">
        <f t="shared" si="57"/>
        <v>0</v>
      </c>
      <c r="Z94" s="19">
        <f t="shared" si="57"/>
        <v>0</v>
      </c>
      <c r="AA94" s="19">
        <f t="shared" si="57"/>
        <v>0</v>
      </c>
      <c r="AB94" s="19">
        <f t="shared" si="57"/>
        <v>0</v>
      </c>
      <c r="AC94" s="19">
        <f t="shared" si="57"/>
        <v>0</v>
      </c>
      <c r="AD94" s="19">
        <f t="shared" si="57"/>
        <v>0</v>
      </c>
      <c r="AE94" s="19">
        <f t="shared" si="57"/>
        <v>0</v>
      </c>
      <c r="AF94" s="19">
        <f t="shared" si="57"/>
        <v>0</v>
      </c>
      <c r="AG94" s="19">
        <f t="shared" si="57"/>
        <v>0</v>
      </c>
      <c r="AH94" s="24"/>
      <c r="AI94" s="24"/>
      <c r="AJ94" s="24"/>
      <c r="AK94" s="59"/>
      <c r="AL94" s="59"/>
      <c r="AM94" s="11"/>
    </row>
    <row r="95" spans="1:39" hidden="1" x14ac:dyDescent="0.25">
      <c r="B95" s="25"/>
      <c r="C95" s="13">
        <v>42356</v>
      </c>
      <c r="D95" s="14"/>
      <c r="E95" s="31"/>
      <c r="F95" s="31"/>
      <c r="G95" s="31"/>
      <c r="H95" s="31"/>
      <c r="I95" s="31"/>
      <c r="J95" s="31"/>
      <c r="K95" s="15"/>
      <c r="L95" s="15"/>
      <c r="M95" s="17"/>
      <c r="N95" s="18">
        <f>N94/N$2</f>
        <v>1.4194736842105263E-4</v>
      </c>
      <c r="O95" s="19"/>
      <c r="P95" s="19">
        <f>P94/P$2</f>
        <v>0</v>
      </c>
      <c r="Q95" s="19">
        <f>Q94/Q$2</f>
        <v>0</v>
      </c>
      <c r="R95" s="19">
        <f>R94/R$2</f>
        <v>0</v>
      </c>
      <c r="S95" s="19">
        <f>S94/S$2</f>
        <v>0</v>
      </c>
      <c r="T95" s="19"/>
      <c r="U95" s="19">
        <f t="shared" ref="U95:AG95" si="58">U94/U$2</f>
        <v>0</v>
      </c>
      <c r="V95" s="19">
        <f t="shared" si="58"/>
        <v>0</v>
      </c>
      <c r="W95" s="19">
        <f t="shared" si="58"/>
        <v>0</v>
      </c>
      <c r="X95" s="19">
        <f t="shared" si="58"/>
        <v>0</v>
      </c>
      <c r="Y95" s="19">
        <f t="shared" si="58"/>
        <v>0</v>
      </c>
      <c r="Z95" s="19">
        <f t="shared" si="58"/>
        <v>0</v>
      </c>
      <c r="AA95" s="19">
        <f t="shared" si="58"/>
        <v>0</v>
      </c>
      <c r="AB95" s="19">
        <f t="shared" si="58"/>
        <v>0</v>
      </c>
      <c r="AC95" s="19">
        <f t="shared" si="58"/>
        <v>0</v>
      </c>
      <c r="AD95" s="19">
        <f t="shared" si="58"/>
        <v>0</v>
      </c>
      <c r="AE95" s="19">
        <f t="shared" si="58"/>
        <v>0</v>
      </c>
      <c r="AF95" s="19">
        <f t="shared" si="58"/>
        <v>0</v>
      </c>
      <c r="AG95" s="19">
        <f t="shared" si="58"/>
        <v>0</v>
      </c>
      <c r="AH95" s="24"/>
      <c r="AI95" s="24"/>
      <c r="AJ95" s="24"/>
      <c r="AK95" s="59"/>
      <c r="AL95" s="59"/>
      <c r="AM95" s="11"/>
    </row>
    <row r="96" spans="1:39" x14ac:dyDescent="0.25">
      <c r="B96" s="25" t="s">
        <v>93</v>
      </c>
      <c r="C96" s="13">
        <v>42356</v>
      </c>
      <c r="D96" s="14" t="s">
        <v>78</v>
      </c>
      <c r="E96" s="31" t="s">
        <v>79</v>
      </c>
      <c r="F96" s="31">
        <v>29</v>
      </c>
      <c r="G96" s="31">
        <v>0.05</v>
      </c>
      <c r="H96" s="31">
        <v>61</v>
      </c>
      <c r="I96" s="31">
        <v>40</v>
      </c>
      <c r="J96" s="31"/>
      <c r="K96" s="15">
        <v>0.2</v>
      </c>
      <c r="L96" s="15" t="s">
        <v>90</v>
      </c>
      <c r="M96" s="17"/>
      <c r="N96" s="18">
        <f>102000*F96</f>
        <v>2958000</v>
      </c>
      <c r="O96" s="19">
        <f t="shared" si="52"/>
        <v>8829.8507462686575</v>
      </c>
      <c r="P96" s="19"/>
      <c r="Q96" s="19"/>
      <c r="R96" s="34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24"/>
      <c r="AH96" s="24"/>
      <c r="AI96" s="24"/>
      <c r="AJ96" s="24"/>
      <c r="AK96" s="59">
        <f>SUM(N96:AJ96)</f>
        <v>2966829.8507462689</v>
      </c>
      <c r="AL96" s="59">
        <f>AK96/(F96*1000)</f>
        <v>102.3044776119403</v>
      </c>
    </row>
    <row r="97" spans="2:38" hidden="1" x14ac:dyDescent="0.25">
      <c r="B97" s="25"/>
      <c r="C97" s="13">
        <v>42356</v>
      </c>
      <c r="D97" s="14"/>
      <c r="E97" s="31"/>
      <c r="F97" s="31"/>
      <c r="G97" s="31"/>
      <c r="H97" s="31"/>
      <c r="I97" s="31"/>
      <c r="J97" s="31"/>
      <c r="K97" s="15"/>
      <c r="L97" s="15"/>
      <c r="M97" s="17"/>
      <c r="N97" s="18">
        <f>N96/($F96*1000)</f>
        <v>102</v>
      </c>
      <c r="O97" s="19"/>
      <c r="P97" s="19">
        <f t="shared" ref="P97:AG97" si="59">P96/($F96*1000)</f>
        <v>0</v>
      </c>
      <c r="Q97" s="19">
        <f t="shared" si="59"/>
        <v>0</v>
      </c>
      <c r="R97" s="19">
        <f t="shared" si="59"/>
        <v>0</v>
      </c>
      <c r="S97" s="19">
        <f t="shared" si="59"/>
        <v>0</v>
      </c>
      <c r="T97" s="19">
        <f t="shared" si="59"/>
        <v>0</v>
      </c>
      <c r="U97" s="19">
        <f t="shared" si="59"/>
        <v>0</v>
      </c>
      <c r="V97" s="19">
        <f t="shared" si="59"/>
        <v>0</v>
      </c>
      <c r="W97" s="19">
        <f t="shared" si="59"/>
        <v>0</v>
      </c>
      <c r="X97" s="19">
        <f t="shared" si="59"/>
        <v>0</v>
      </c>
      <c r="Y97" s="19">
        <f t="shared" si="59"/>
        <v>0</v>
      </c>
      <c r="Z97" s="19">
        <f t="shared" si="59"/>
        <v>0</v>
      </c>
      <c r="AA97" s="19">
        <f t="shared" si="59"/>
        <v>0</v>
      </c>
      <c r="AB97" s="19">
        <f t="shared" si="59"/>
        <v>0</v>
      </c>
      <c r="AC97" s="19">
        <f t="shared" si="59"/>
        <v>0</v>
      </c>
      <c r="AD97" s="19">
        <f t="shared" si="59"/>
        <v>0</v>
      </c>
      <c r="AE97" s="19">
        <f t="shared" si="59"/>
        <v>0</v>
      </c>
      <c r="AF97" s="19">
        <f t="shared" si="59"/>
        <v>0</v>
      </c>
      <c r="AG97" s="19">
        <f t="shared" si="59"/>
        <v>0</v>
      </c>
      <c r="AH97" s="24"/>
      <c r="AI97" s="24"/>
      <c r="AJ97" s="24"/>
      <c r="AK97" s="59"/>
      <c r="AL97" s="59"/>
    </row>
    <row r="98" spans="2:38" hidden="1" x14ac:dyDescent="0.25">
      <c r="B98" s="25"/>
      <c r="C98" s="13">
        <v>42356</v>
      </c>
      <c r="D98" s="14"/>
      <c r="E98" s="31"/>
      <c r="F98" s="31"/>
      <c r="G98" s="31"/>
      <c r="H98" s="31"/>
      <c r="I98" s="31"/>
      <c r="J98" s="31"/>
      <c r="K98" s="15"/>
      <c r="L98" s="15"/>
      <c r="M98" s="17"/>
      <c r="N98" s="18">
        <f>N97/N$2</f>
        <v>1.02E-4</v>
      </c>
      <c r="O98" s="19"/>
      <c r="P98" s="19">
        <f>P97/P$2</f>
        <v>0</v>
      </c>
      <c r="Q98" s="19">
        <f>Q97/Q$2</f>
        <v>0</v>
      </c>
      <c r="R98" s="19">
        <f>R97/R$2</f>
        <v>0</v>
      </c>
      <c r="S98" s="19">
        <f>S97/S$2</f>
        <v>0</v>
      </c>
      <c r="T98" s="19"/>
      <c r="U98" s="19">
        <f t="shared" ref="U98:AG98" si="60">U97/U$2</f>
        <v>0</v>
      </c>
      <c r="V98" s="19">
        <f t="shared" si="60"/>
        <v>0</v>
      </c>
      <c r="W98" s="19">
        <f t="shared" si="60"/>
        <v>0</v>
      </c>
      <c r="X98" s="19">
        <f t="shared" si="60"/>
        <v>0</v>
      </c>
      <c r="Y98" s="19">
        <f t="shared" si="60"/>
        <v>0</v>
      </c>
      <c r="Z98" s="19">
        <f t="shared" si="60"/>
        <v>0</v>
      </c>
      <c r="AA98" s="19">
        <f t="shared" si="60"/>
        <v>0</v>
      </c>
      <c r="AB98" s="19">
        <f t="shared" si="60"/>
        <v>0</v>
      </c>
      <c r="AC98" s="19">
        <f t="shared" si="60"/>
        <v>0</v>
      </c>
      <c r="AD98" s="19">
        <f t="shared" si="60"/>
        <v>0</v>
      </c>
      <c r="AE98" s="19">
        <f t="shared" si="60"/>
        <v>0</v>
      </c>
      <c r="AF98" s="19">
        <f t="shared" si="60"/>
        <v>0</v>
      </c>
      <c r="AG98" s="19">
        <f t="shared" si="60"/>
        <v>0</v>
      </c>
      <c r="AH98" s="24"/>
      <c r="AI98" s="24"/>
      <c r="AJ98" s="24"/>
      <c r="AK98" s="59"/>
      <c r="AL98" s="59"/>
    </row>
    <row r="99" spans="2:38" x14ac:dyDescent="0.25">
      <c r="B99" s="25" t="s">
        <v>94</v>
      </c>
      <c r="C99" s="13">
        <v>42356</v>
      </c>
      <c r="D99" s="14" t="s">
        <v>78</v>
      </c>
      <c r="E99" s="31" t="s">
        <v>79</v>
      </c>
      <c r="F99" s="31">
        <v>41.5</v>
      </c>
      <c r="G99" s="31">
        <v>0.05</v>
      </c>
      <c r="H99" s="31">
        <v>61</v>
      </c>
      <c r="I99" s="31">
        <v>40</v>
      </c>
      <c r="J99" s="31"/>
      <c r="K99" s="15">
        <v>0.2</v>
      </c>
      <c r="L99" s="15" t="s">
        <v>90</v>
      </c>
      <c r="M99" s="17"/>
      <c r="N99" s="18">
        <f>94000*F99</f>
        <v>3901000</v>
      </c>
      <c r="O99" s="19">
        <f t="shared" si="52"/>
        <v>11644.776119402984</v>
      </c>
      <c r="P99" s="19"/>
      <c r="Q99" s="19"/>
      <c r="R99" s="34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24"/>
      <c r="AH99" s="24"/>
      <c r="AI99" s="24"/>
      <c r="AJ99" s="24"/>
      <c r="AK99" s="59">
        <f>SUM(N99:AJ99)</f>
        <v>3912644.7761194031</v>
      </c>
      <c r="AL99" s="59">
        <f>AK99/(F99*1000)</f>
        <v>94.280597014925377</v>
      </c>
    </row>
    <row r="100" spans="2:38" hidden="1" x14ac:dyDescent="0.25">
      <c r="B100" s="25"/>
      <c r="C100" s="13">
        <v>42356</v>
      </c>
      <c r="D100" s="14"/>
      <c r="E100" s="31"/>
      <c r="F100" s="31"/>
      <c r="G100" s="31"/>
      <c r="H100" s="31"/>
      <c r="I100" s="31"/>
      <c r="J100" s="31"/>
      <c r="K100" s="15"/>
      <c r="L100" s="15"/>
      <c r="M100" s="17"/>
      <c r="N100" s="18">
        <f>N99/($F99*1000)</f>
        <v>94</v>
      </c>
      <c r="O100" s="19"/>
      <c r="P100" s="19">
        <f t="shared" ref="P100:AG100" si="61">P99/($F99*1000)</f>
        <v>0</v>
      </c>
      <c r="Q100" s="19">
        <f t="shared" si="61"/>
        <v>0</v>
      </c>
      <c r="R100" s="19">
        <f t="shared" si="61"/>
        <v>0</v>
      </c>
      <c r="S100" s="19">
        <f t="shared" si="61"/>
        <v>0</v>
      </c>
      <c r="T100" s="19">
        <f t="shared" si="61"/>
        <v>0</v>
      </c>
      <c r="U100" s="19">
        <f t="shared" si="61"/>
        <v>0</v>
      </c>
      <c r="V100" s="19">
        <f t="shared" si="61"/>
        <v>0</v>
      </c>
      <c r="W100" s="19">
        <f t="shared" si="61"/>
        <v>0</v>
      </c>
      <c r="X100" s="19">
        <f t="shared" si="61"/>
        <v>0</v>
      </c>
      <c r="Y100" s="19">
        <f t="shared" si="61"/>
        <v>0</v>
      </c>
      <c r="Z100" s="19">
        <f t="shared" si="61"/>
        <v>0</v>
      </c>
      <c r="AA100" s="19">
        <f t="shared" si="61"/>
        <v>0</v>
      </c>
      <c r="AB100" s="19">
        <f t="shared" si="61"/>
        <v>0</v>
      </c>
      <c r="AC100" s="19">
        <f t="shared" si="61"/>
        <v>0</v>
      </c>
      <c r="AD100" s="19">
        <f t="shared" si="61"/>
        <v>0</v>
      </c>
      <c r="AE100" s="19">
        <f t="shared" si="61"/>
        <v>0</v>
      </c>
      <c r="AF100" s="19">
        <f t="shared" si="61"/>
        <v>0</v>
      </c>
      <c r="AG100" s="19">
        <f t="shared" si="61"/>
        <v>0</v>
      </c>
      <c r="AH100" s="24"/>
      <c r="AI100" s="24"/>
      <c r="AJ100" s="24"/>
      <c r="AK100" s="59"/>
      <c r="AL100" s="59"/>
    </row>
    <row r="101" spans="2:38" hidden="1" x14ac:dyDescent="0.25">
      <c r="B101" s="25"/>
      <c r="C101" s="13">
        <v>42356</v>
      </c>
      <c r="D101" s="14"/>
      <c r="E101" s="31"/>
      <c r="F101" s="31"/>
      <c r="G101" s="31"/>
      <c r="H101" s="31"/>
      <c r="I101" s="31"/>
      <c r="J101" s="31"/>
      <c r="K101" s="15"/>
      <c r="L101" s="15"/>
      <c r="M101" s="17"/>
      <c r="N101" s="18">
        <f>N100/N$2</f>
        <v>9.3999999999999994E-5</v>
      </c>
      <c r="O101" s="19"/>
      <c r="P101" s="19">
        <f>P100/P$2</f>
        <v>0</v>
      </c>
      <c r="Q101" s="19">
        <f>Q100/Q$2</f>
        <v>0</v>
      </c>
      <c r="R101" s="19">
        <f>R100/R$2</f>
        <v>0</v>
      </c>
      <c r="S101" s="19">
        <f>S100/S$2</f>
        <v>0</v>
      </c>
      <c r="T101" s="19"/>
      <c r="U101" s="19">
        <f t="shared" ref="U101:AG101" si="62">U100/U$2</f>
        <v>0</v>
      </c>
      <c r="V101" s="19">
        <f t="shared" si="62"/>
        <v>0</v>
      </c>
      <c r="W101" s="19">
        <f t="shared" si="62"/>
        <v>0</v>
      </c>
      <c r="X101" s="19">
        <f t="shared" si="62"/>
        <v>0</v>
      </c>
      <c r="Y101" s="19">
        <f t="shared" si="62"/>
        <v>0</v>
      </c>
      <c r="Z101" s="19">
        <f t="shared" si="62"/>
        <v>0</v>
      </c>
      <c r="AA101" s="19">
        <f t="shared" si="62"/>
        <v>0</v>
      </c>
      <c r="AB101" s="19">
        <f t="shared" si="62"/>
        <v>0</v>
      </c>
      <c r="AC101" s="19">
        <f t="shared" si="62"/>
        <v>0</v>
      </c>
      <c r="AD101" s="19">
        <f t="shared" si="62"/>
        <v>0</v>
      </c>
      <c r="AE101" s="19">
        <f t="shared" si="62"/>
        <v>0</v>
      </c>
      <c r="AF101" s="19">
        <f t="shared" si="62"/>
        <v>0</v>
      </c>
      <c r="AG101" s="19">
        <f t="shared" si="62"/>
        <v>0</v>
      </c>
      <c r="AH101" s="24"/>
      <c r="AI101" s="24"/>
      <c r="AJ101" s="24"/>
      <c r="AK101" s="59"/>
      <c r="AL101" s="59"/>
    </row>
    <row r="102" spans="2:38" x14ac:dyDescent="0.25">
      <c r="B102" s="25" t="s">
        <v>95</v>
      </c>
      <c r="C102" s="13">
        <v>42356</v>
      </c>
      <c r="D102" s="14" t="s">
        <v>78</v>
      </c>
      <c r="E102" s="31" t="s">
        <v>79</v>
      </c>
      <c r="F102" s="31">
        <v>41</v>
      </c>
      <c r="G102" s="31">
        <v>0.05</v>
      </c>
      <c r="H102" s="31">
        <v>61</v>
      </c>
      <c r="I102" s="31">
        <v>40</v>
      </c>
      <c r="J102" s="31"/>
      <c r="K102" s="15">
        <v>0.2</v>
      </c>
      <c r="L102" s="15" t="s">
        <v>90</v>
      </c>
      <c r="M102" s="17"/>
      <c r="N102" s="18">
        <f>34400*F102</f>
        <v>1410400</v>
      </c>
      <c r="O102" s="19">
        <f t="shared" si="52"/>
        <v>4210.1492537313434</v>
      </c>
      <c r="P102" s="19"/>
      <c r="Q102" s="19"/>
      <c r="R102" s="34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24"/>
      <c r="AH102" s="24"/>
      <c r="AI102" s="24"/>
      <c r="AJ102" s="24"/>
      <c r="AK102" s="59">
        <f>SUM(N102:AJ102)</f>
        <v>1414610.1492537314</v>
      </c>
      <c r="AL102" s="59">
        <f>AK102/(F102*1000)</f>
        <v>34.502686567164183</v>
      </c>
    </row>
    <row r="103" spans="2:38" hidden="1" x14ac:dyDescent="0.25">
      <c r="B103" s="25"/>
      <c r="C103" s="13">
        <v>42356</v>
      </c>
      <c r="D103" s="14"/>
      <c r="E103" s="31"/>
      <c r="F103" s="31"/>
      <c r="G103" s="31"/>
      <c r="H103" s="31"/>
      <c r="I103" s="31"/>
      <c r="J103" s="31"/>
      <c r="K103" s="15"/>
      <c r="L103" s="15"/>
      <c r="M103" s="17"/>
      <c r="N103" s="18">
        <f>N102/($F102*1000)</f>
        <v>34.4</v>
      </c>
      <c r="O103" s="19"/>
      <c r="P103" s="19">
        <f t="shared" ref="P103:AG103" si="63">P102/($F102*1000)</f>
        <v>0</v>
      </c>
      <c r="Q103" s="19">
        <f t="shared" si="63"/>
        <v>0</v>
      </c>
      <c r="R103" s="19">
        <f t="shared" si="63"/>
        <v>0</v>
      </c>
      <c r="S103" s="19">
        <f t="shared" si="63"/>
        <v>0</v>
      </c>
      <c r="T103" s="19">
        <f t="shared" si="63"/>
        <v>0</v>
      </c>
      <c r="U103" s="19">
        <f t="shared" si="63"/>
        <v>0</v>
      </c>
      <c r="V103" s="19">
        <f t="shared" si="63"/>
        <v>0</v>
      </c>
      <c r="W103" s="19">
        <f t="shared" si="63"/>
        <v>0</v>
      </c>
      <c r="X103" s="19">
        <f t="shared" si="63"/>
        <v>0</v>
      </c>
      <c r="Y103" s="19">
        <f t="shared" si="63"/>
        <v>0</v>
      </c>
      <c r="Z103" s="19">
        <f t="shared" si="63"/>
        <v>0</v>
      </c>
      <c r="AA103" s="19">
        <f t="shared" si="63"/>
        <v>0</v>
      </c>
      <c r="AB103" s="19">
        <f t="shared" si="63"/>
        <v>0</v>
      </c>
      <c r="AC103" s="19">
        <f t="shared" si="63"/>
        <v>0</v>
      </c>
      <c r="AD103" s="19">
        <f t="shared" si="63"/>
        <v>0</v>
      </c>
      <c r="AE103" s="19">
        <f t="shared" si="63"/>
        <v>0</v>
      </c>
      <c r="AF103" s="19">
        <f t="shared" si="63"/>
        <v>0</v>
      </c>
      <c r="AG103" s="19">
        <f t="shared" si="63"/>
        <v>0</v>
      </c>
      <c r="AH103" s="34"/>
      <c r="AI103" s="34"/>
      <c r="AJ103" s="34"/>
      <c r="AK103" s="59"/>
      <c r="AL103" s="59"/>
    </row>
    <row r="104" spans="2:38" hidden="1" x14ac:dyDescent="0.25">
      <c r="B104" s="25"/>
      <c r="C104" s="13">
        <v>42356</v>
      </c>
      <c r="D104" s="14"/>
      <c r="E104" s="31"/>
      <c r="F104" s="31"/>
      <c r="G104" s="31"/>
      <c r="H104" s="31"/>
      <c r="I104" s="31"/>
      <c r="J104" s="31"/>
      <c r="K104" s="15"/>
      <c r="L104" s="15"/>
      <c r="M104" s="17"/>
      <c r="N104" s="18">
        <f>N103/N$2</f>
        <v>3.4399999999999996E-5</v>
      </c>
      <c r="O104" s="19"/>
      <c r="P104" s="19">
        <f>P103/P$2</f>
        <v>0</v>
      </c>
      <c r="Q104" s="19">
        <f>Q103/Q$2</f>
        <v>0</v>
      </c>
      <c r="R104" s="19">
        <f>R103/R$2</f>
        <v>0</v>
      </c>
      <c r="S104" s="19">
        <f>S103/S$2</f>
        <v>0</v>
      </c>
      <c r="T104" s="19"/>
      <c r="U104" s="19">
        <f t="shared" ref="U104:AG104" si="64">U103/U$2</f>
        <v>0</v>
      </c>
      <c r="V104" s="19">
        <f t="shared" si="64"/>
        <v>0</v>
      </c>
      <c r="W104" s="19">
        <f t="shared" si="64"/>
        <v>0</v>
      </c>
      <c r="X104" s="19">
        <f t="shared" si="64"/>
        <v>0</v>
      </c>
      <c r="Y104" s="19">
        <f t="shared" si="64"/>
        <v>0</v>
      </c>
      <c r="Z104" s="19">
        <f t="shared" si="64"/>
        <v>0</v>
      </c>
      <c r="AA104" s="19">
        <f t="shared" si="64"/>
        <v>0</v>
      </c>
      <c r="AB104" s="19">
        <f t="shared" si="64"/>
        <v>0</v>
      </c>
      <c r="AC104" s="19">
        <f t="shared" si="64"/>
        <v>0</v>
      </c>
      <c r="AD104" s="19">
        <f t="shared" si="64"/>
        <v>0</v>
      </c>
      <c r="AE104" s="19">
        <f t="shared" si="64"/>
        <v>0</v>
      </c>
      <c r="AF104" s="19">
        <f t="shared" si="64"/>
        <v>0</v>
      </c>
      <c r="AG104" s="19">
        <f t="shared" si="64"/>
        <v>0</v>
      </c>
      <c r="AH104" s="34"/>
      <c r="AI104" s="34"/>
      <c r="AJ104" s="34"/>
      <c r="AK104" s="59"/>
      <c r="AL104" s="59"/>
    </row>
    <row r="105" spans="2:38" x14ac:dyDescent="0.25">
      <c r="B105" s="25" t="s">
        <v>96</v>
      </c>
      <c r="C105" s="13">
        <v>42356</v>
      </c>
      <c r="D105" s="14" t="s">
        <v>97</v>
      </c>
      <c r="E105" s="70" t="s">
        <v>125</v>
      </c>
      <c r="F105" s="31">
        <v>59.5</v>
      </c>
      <c r="G105" s="36">
        <v>0.2</v>
      </c>
      <c r="H105" s="31">
        <v>85</v>
      </c>
      <c r="I105" s="31">
        <v>57</v>
      </c>
      <c r="J105" s="31"/>
      <c r="K105" s="15">
        <v>1</v>
      </c>
      <c r="L105" s="37" t="s">
        <v>98</v>
      </c>
      <c r="M105" s="17"/>
      <c r="N105" s="18">
        <f>1000*$F$105*480000</f>
        <v>28560000000</v>
      </c>
      <c r="O105" s="18"/>
      <c r="P105" s="18">
        <f>1000*$F$105*0.01</f>
        <v>595</v>
      </c>
      <c r="Q105" s="18">
        <f>1000*$F$105*1.72</f>
        <v>102340</v>
      </c>
      <c r="R105" s="18"/>
      <c r="S105" s="18">
        <f>1000*$F$105*0.15</f>
        <v>8925</v>
      </c>
      <c r="T105" s="18"/>
      <c r="U105" s="18"/>
      <c r="V105" s="18"/>
      <c r="W105" s="18"/>
      <c r="X105" s="18"/>
      <c r="Y105" s="18">
        <f>1000*$F$105*0.74</f>
        <v>44030</v>
      </c>
      <c r="Z105" s="18">
        <f>1000*$F$105*0.38</f>
        <v>22610</v>
      </c>
      <c r="AA105" s="18">
        <f>1000*$F$105*0.91</f>
        <v>54145</v>
      </c>
      <c r="AB105" s="18">
        <v>18700</v>
      </c>
      <c r="AC105" s="18">
        <f>1000*$F$105*0.04</f>
        <v>2380</v>
      </c>
      <c r="AD105" s="18"/>
      <c r="AE105" s="18"/>
      <c r="AF105" s="18"/>
      <c r="AG105" s="18">
        <f>1000*$F$105*96</f>
        <v>5712000</v>
      </c>
      <c r="AH105" s="18"/>
      <c r="AI105" s="18"/>
      <c r="AJ105" s="18"/>
      <c r="AK105" s="59">
        <f>SUM(N105:AJ105)</f>
        <v>28565965725</v>
      </c>
      <c r="AL105" s="59">
        <f>AK105/(F105*1000)</f>
        <v>480100.26428571431</v>
      </c>
    </row>
    <row r="106" spans="2:38" hidden="1" x14ac:dyDescent="0.25">
      <c r="B106" s="25"/>
      <c r="C106" s="13">
        <v>42356</v>
      </c>
      <c r="D106" s="14"/>
      <c r="E106" s="31"/>
      <c r="F106" s="31"/>
      <c r="G106" s="36"/>
      <c r="H106" s="31"/>
      <c r="I106" s="31"/>
      <c r="J106" s="31"/>
      <c r="K106" s="15"/>
      <c r="L106" s="37"/>
      <c r="M106" s="17"/>
      <c r="N106" s="18">
        <f>N105/($F105*1000)</f>
        <v>480000</v>
      </c>
      <c r="O106" s="19"/>
      <c r="P106" s="19">
        <f t="shared" ref="P106:AG106" si="65">P105/($F105*1000)</f>
        <v>0.01</v>
      </c>
      <c r="Q106" s="19">
        <f t="shared" si="65"/>
        <v>1.72</v>
      </c>
      <c r="R106" s="19">
        <f t="shared" si="65"/>
        <v>0</v>
      </c>
      <c r="S106" s="19">
        <f t="shared" si="65"/>
        <v>0.15</v>
      </c>
      <c r="T106" s="19">
        <f t="shared" si="65"/>
        <v>0</v>
      </c>
      <c r="U106" s="19">
        <f t="shared" si="65"/>
        <v>0</v>
      </c>
      <c r="V106" s="19">
        <f t="shared" si="65"/>
        <v>0</v>
      </c>
      <c r="W106" s="19">
        <f t="shared" si="65"/>
        <v>0</v>
      </c>
      <c r="X106" s="19">
        <f t="shared" si="65"/>
        <v>0</v>
      </c>
      <c r="Y106" s="19">
        <f t="shared" si="65"/>
        <v>0.74</v>
      </c>
      <c r="Z106" s="19">
        <f t="shared" si="65"/>
        <v>0.38</v>
      </c>
      <c r="AA106" s="19">
        <f t="shared" si="65"/>
        <v>0.91</v>
      </c>
      <c r="AB106" s="19">
        <f t="shared" si="65"/>
        <v>0.31428571428571428</v>
      </c>
      <c r="AC106" s="19">
        <f t="shared" si="65"/>
        <v>0.04</v>
      </c>
      <c r="AD106" s="19">
        <f t="shared" si="65"/>
        <v>0</v>
      </c>
      <c r="AE106" s="19">
        <f t="shared" si="65"/>
        <v>0</v>
      </c>
      <c r="AF106" s="19">
        <f t="shared" si="65"/>
        <v>0</v>
      </c>
      <c r="AG106" s="19">
        <f t="shared" si="65"/>
        <v>96</v>
      </c>
      <c r="AH106" s="29"/>
      <c r="AI106" s="29"/>
      <c r="AJ106" s="29"/>
      <c r="AK106" s="59"/>
      <c r="AL106" s="59"/>
    </row>
    <row r="107" spans="2:38" hidden="1" x14ac:dyDescent="0.25">
      <c r="B107" s="25"/>
      <c r="C107" s="13">
        <v>42356</v>
      </c>
      <c r="D107" s="14"/>
      <c r="E107" s="31"/>
      <c r="F107" s="31"/>
      <c r="G107" s="36"/>
      <c r="H107" s="31"/>
      <c r="I107" s="31"/>
      <c r="J107" s="31"/>
      <c r="K107" s="15"/>
      <c r="L107" s="37"/>
      <c r="M107" s="17"/>
      <c r="N107" s="18">
        <f>N106/N$2</f>
        <v>0.48</v>
      </c>
      <c r="O107" s="19"/>
      <c r="P107" s="19">
        <f>P106/P$2</f>
        <v>1E-3</v>
      </c>
      <c r="Q107" s="19">
        <f>Q106/Q$2</f>
        <v>0.17199999999999999</v>
      </c>
      <c r="R107" s="19">
        <f>R106/R$2</f>
        <v>0</v>
      </c>
      <c r="S107" s="19">
        <f>S106/S$2</f>
        <v>1.4999999999999999E-2</v>
      </c>
      <c r="T107" s="19"/>
      <c r="U107" s="19">
        <f t="shared" ref="U107:AG107" si="66">U106/U$2</f>
        <v>0</v>
      </c>
      <c r="V107" s="19">
        <f t="shared" si="66"/>
        <v>0</v>
      </c>
      <c r="W107" s="19">
        <f t="shared" si="66"/>
        <v>0</v>
      </c>
      <c r="X107" s="19">
        <f t="shared" si="66"/>
        <v>0</v>
      </c>
      <c r="Y107" s="19">
        <f t="shared" si="66"/>
        <v>7.3999999999999996E-2</v>
      </c>
      <c r="Z107" s="19">
        <f t="shared" si="66"/>
        <v>3.8000000000000002E-5</v>
      </c>
      <c r="AA107" s="19">
        <f t="shared" si="66"/>
        <v>9.1000000000000004E-3</v>
      </c>
      <c r="AB107" s="19">
        <f t="shared" si="66"/>
        <v>3.1428571428571431E-2</v>
      </c>
      <c r="AC107" s="19">
        <f t="shared" si="66"/>
        <v>4.0000000000000002E-4</v>
      </c>
      <c r="AD107" s="19">
        <f t="shared" si="66"/>
        <v>0</v>
      </c>
      <c r="AE107" s="19">
        <f t="shared" si="66"/>
        <v>0</v>
      </c>
      <c r="AF107" s="19">
        <f t="shared" si="66"/>
        <v>0</v>
      </c>
      <c r="AG107" s="19">
        <f t="shared" si="66"/>
        <v>0.96</v>
      </c>
      <c r="AH107" s="29"/>
      <c r="AI107" s="29"/>
      <c r="AJ107" s="29"/>
      <c r="AK107" s="59"/>
      <c r="AL107" s="59"/>
    </row>
    <row r="108" spans="2:38" x14ac:dyDescent="0.25">
      <c r="B108" s="25" t="s">
        <v>99</v>
      </c>
      <c r="C108" s="13">
        <v>42356</v>
      </c>
      <c r="D108" s="14" t="s">
        <v>97</v>
      </c>
      <c r="E108" s="31" t="s">
        <v>45</v>
      </c>
      <c r="F108" s="31">
        <v>66.5</v>
      </c>
      <c r="G108" s="36">
        <v>0.2</v>
      </c>
      <c r="H108" s="31">
        <v>85</v>
      </c>
      <c r="I108" s="31">
        <v>57</v>
      </c>
      <c r="K108" s="31">
        <v>11</v>
      </c>
      <c r="L108" s="15"/>
      <c r="M108" s="17"/>
      <c r="N108" s="18">
        <f>S108/5</f>
        <v>2240</v>
      </c>
      <c r="O108" s="19"/>
      <c r="P108" s="19">
        <v>8420</v>
      </c>
      <c r="Q108" s="19"/>
      <c r="R108" s="34"/>
      <c r="S108" s="19">
        <v>11200</v>
      </c>
      <c r="T108" s="19"/>
      <c r="U108" s="19"/>
      <c r="V108" s="19"/>
      <c r="W108" s="19"/>
      <c r="X108" s="19">
        <v>40900</v>
      </c>
      <c r="Y108" s="19"/>
      <c r="Z108" s="19">
        <f>N108</f>
        <v>2240</v>
      </c>
      <c r="AA108" s="19"/>
      <c r="AB108" s="19"/>
      <c r="AC108" s="19"/>
      <c r="AD108" s="19"/>
      <c r="AE108" s="19"/>
      <c r="AF108" s="19"/>
      <c r="AG108" s="24"/>
      <c r="AH108" s="24"/>
      <c r="AI108" s="24"/>
      <c r="AJ108" s="24"/>
      <c r="AK108" s="59">
        <f>SUM(N108:AJ108)</f>
        <v>65000</v>
      </c>
      <c r="AL108" s="59">
        <f>AK108/(F108*1000)</f>
        <v>0.97744360902255634</v>
      </c>
    </row>
    <row r="109" spans="2:38" hidden="1" x14ac:dyDescent="0.25">
      <c r="B109" s="25"/>
      <c r="C109" s="13">
        <v>42356</v>
      </c>
      <c r="D109" s="14"/>
      <c r="E109" s="31"/>
      <c r="F109" s="31"/>
      <c r="G109" s="36"/>
      <c r="H109" s="31"/>
      <c r="I109" s="31"/>
      <c r="K109" s="31"/>
      <c r="L109" s="15"/>
      <c r="M109" s="17"/>
      <c r="N109" s="18">
        <f>N108/($F108*1000)</f>
        <v>3.3684210526315789E-2</v>
      </c>
      <c r="O109" s="19"/>
      <c r="P109" s="19">
        <f t="shared" ref="P109:AG109" si="67">P108/($F108*1000)</f>
        <v>0.12661654135338346</v>
      </c>
      <c r="Q109" s="19">
        <f t="shared" si="67"/>
        <v>0</v>
      </c>
      <c r="R109" s="19">
        <f t="shared" si="67"/>
        <v>0</v>
      </c>
      <c r="S109" s="19">
        <f t="shared" si="67"/>
        <v>0.16842105263157894</v>
      </c>
      <c r="T109" s="19">
        <f t="shared" si="67"/>
        <v>0</v>
      </c>
      <c r="U109" s="19">
        <f t="shared" si="67"/>
        <v>0</v>
      </c>
      <c r="V109" s="19">
        <f t="shared" si="67"/>
        <v>0</v>
      </c>
      <c r="W109" s="19">
        <f t="shared" si="67"/>
        <v>0</v>
      </c>
      <c r="X109" s="19">
        <f t="shared" si="67"/>
        <v>0.61503759398496238</v>
      </c>
      <c r="Y109" s="19">
        <f t="shared" si="67"/>
        <v>0</v>
      </c>
      <c r="Z109" s="19">
        <f t="shared" si="67"/>
        <v>3.3684210526315789E-2</v>
      </c>
      <c r="AA109" s="19">
        <f t="shared" si="67"/>
        <v>0</v>
      </c>
      <c r="AB109" s="19">
        <f t="shared" si="67"/>
        <v>0</v>
      </c>
      <c r="AC109" s="19">
        <f t="shared" si="67"/>
        <v>0</v>
      </c>
      <c r="AD109" s="19">
        <f t="shared" si="67"/>
        <v>0</v>
      </c>
      <c r="AE109" s="19">
        <f t="shared" si="67"/>
        <v>0</v>
      </c>
      <c r="AF109" s="19">
        <f t="shared" si="67"/>
        <v>0</v>
      </c>
      <c r="AG109" s="19">
        <f t="shared" si="67"/>
        <v>0</v>
      </c>
      <c r="AH109" s="24"/>
      <c r="AI109" s="24"/>
      <c r="AJ109" s="24"/>
      <c r="AK109" s="59"/>
      <c r="AL109" s="59"/>
    </row>
    <row r="110" spans="2:38" hidden="1" x14ac:dyDescent="0.25">
      <c r="B110" s="25"/>
      <c r="C110" s="13">
        <v>42356</v>
      </c>
      <c r="D110" s="14"/>
      <c r="E110" s="31"/>
      <c r="F110" s="31"/>
      <c r="G110" s="36"/>
      <c r="H110" s="31"/>
      <c r="I110" s="31"/>
      <c r="K110" s="31"/>
      <c r="L110" s="15"/>
      <c r="M110" s="17"/>
      <c r="N110" s="18">
        <f>N109/N$2</f>
        <v>3.3684210526315787E-8</v>
      </c>
      <c r="O110" s="19"/>
      <c r="P110" s="19">
        <f>P109/P$2</f>
        <v>1.2661654135338346E-2</v>
      </c>
      <c r="Q110" s="19">
        <f>Q109/Q$2</f>
        <v>0</v>
      </c>
      <c r="R110" s="19">
        <f>R109/R$2</f>
        <v>0</v>
      </c>
      <c r="S110" s="19">
        <f>S109/S$2</f>
        <v>1.6842105263157894E-2</v>
      </c>
      <c r="T110" s="19"/>
      <c r="U110" s="19">
        <f t="shared" ref="U110:AG110" si="68">U109/U$2</f>
        <v>0</v>
      </c>
      <c r="V110" s="19">
        <f t="shared" si="68"/>
        <v>0</v>
      </c>
      <c r="W110" s="19">
        <f t="shared" si="68"/>
        <v>0</v>
      </c>
      <c r="X110" s="19">
        <f t="shared" si="68"/>
        <v>6.1503759398496241E-2</v>
      </c>
      <c r="Y110" s="19">
        <f t="shared" si="68"/>
        <v>0</v>
      </c>
      <c r="Z110" s="19">
        <f t="shared" si="68"/>
        <v>3.368421052631579E-6</v>
      </c>
      <c r="AA110" s="19">
        <f t="shared" si="68"/>
        <v>0</v>
      </c>
      <c r="AB110" s="19">
        <f t="shared" si="68"/>
        <v>0</v>
      </c>
      <c r="AC110" s="19">
        <f t="shared" si="68"/>
        <v>0</v>
      </c>
      <c r="AD110" s="19">
        <f t="shared" si="68"/>
        <v>0</v>
      </c>
      <c r="AE110" s="19">
        <f t="shared" si="68"/>
        <v>0</v>
      </c>
      <c r="AF110" s="19">
        <f t="shared" si="68"/>
        <v>0</v>
      </c>
      <c r="AG110" s="19">
        <f t="shared" si="68"/>
        <v>0</v>
      </c>
      <c r="AH110" s="24"/>
      <c r="AI110" s="24"/>
      <c r="AJ110" s="24"/>
      <c r="AK110" s="59"/>
      <c r="AL110" s="59"/>
    </row>
    <row r="111" spans="2:38" x14ac:dyDescent="0.25">
      <c r="B111" s="25" t="s">
        <v>100</v>
      </c>
      <c r="C111" s="13">
        <v>42356</v>
      </c>
      <c r="D111" s="14" t="s">
        <v>97</v>
      </c>
      <c r="E111" s="31" t="s">
        <v>45</v>
      </c>
      <c r="F111" s="31">
        <v>89</v>
      </c>
      <c r="G111" s="36">
        <v>0.2</v>
      </c>
      <c r="H111" s="31">
        <v>85</v>
      </c>
      <c r="I111" s="31">
        <v>57</v>
      </c>
      <c r="K111" s="31">
        <v>20</v>
      </c>
      <c r="L111" s="15"/>
      <c r="M111" s="17"/>
      <c r="N111" s="18">
        <f t="shared" ref="N111:N126" si="69">Q111/5</f>
        <v>3280</v>
      </c>
      <c r="O111" s="19"/>
      <c r="P111" s="19">
        <v>74800</v>
      </c>
      <c r="Q111" s="19">
        <v>16400</v>
      </c>
      <c r="R111" s="34"/>
      <c r="S111" s="19">
        <v>400000</v>
      </c>
      <c r="T111" s="19"/>
      <c r="U111" s="19">
        <v>29100</v>
      </c>
      <c r="V111" s="19"/>
      <c r="W111" s="19"/>
      <c r="X111" s="19">
        <v>203000</v>
      </c>
      <c r="Y111" s="19"/>
      <c r="Z111" s="19">
        <f t="shared" ref="Z111:Z135" si="70">N111</f>
        <v>3280</v>
      </c>
      <c r="AA111" s="19"/>
      <c r="AB111" s="19"/>
      <c r="AC111" s="19"/>
      <c r="AD111" s="19"/>
      <c r="AE111" s="19"/>
      <c r="AF111" s="19"/>
      <c r="AG111" s="24"/>
      <c r="AH111" s="24"/>
      <c r="AI111" s="24"/>
      <c r="AJ111" s="24"/>
      <c r="AK111" s="59">
        <f>SUM(N111:AJ111)</f>
        <v>729860</v>
      </c>
      <c r="AL111" s="59">
        <f>AK111/(F111*1000)</f>
        <v>8.2006741573033715</v>
      </c>
    </row>
    <row r="112" spans="2:38" hidden="1" x14ac:dyDescent="0.25">
      <c r="B112" s="25"/>
      <c r="C112" s="13">
        <v>42356</v>
      </c>
      <c r="D112" s="14"/>
      <c r="E112" s="31"/>
      <c r="F112" s="31"/>
      <c r="G112" s="36"/>
      <c r="H112" s="31"/>
      <c r="I112" s="31"/>
      <c r="K112" s="31"/>
      <c r="L112" s="15"/>
      <c r="M112" s="17"/>
      <c r="N112" s="18">
        <f>N111/($F111*1000)</f>
        <v>3.6853932584269666E-2</v>
      </c>
      <c r="O112" s="19"/>
      <c r="P112" s="19">
        <f t="shared" ref="P112:AG112" si="71">P111/($F111*1000)</f>
        <v>0.84044943820224716</v>
      </c>
      <c r="Q112" s="19">
        <f t="shared" si="71"/>
        <v>0.1842696629213483</v>
      </c>
      <c r="R112" s="19">
        <f t="shared" si="71"/>
        <v>0</v>
      </c>
      <c r="S112" s="19">
        <f t="shared" si="71"/>
        <v>4.4943820224719104</v>
      </c>
      <c r="T112" s="19">
        <f t="shared" si="71"/>
        <v>0</v>
      </c>
      <c r="U112" s="19">
        <f t="shared" si="71"/>
        <v>0.32696629213483147</v>
      </c>
      <c r="V112" s="19">
        <f t="shared" si="71"/>
        <v>0</v>
      </c>
      <c r="W112" s="19">
        <f t="shared" si="71"/>
        <v>0</v>
      </c>
      <c r="X112" s="19">
        <f t="shared" si="71"/>
        <v>2.2808988764044944</v>
      </c>
      <c r="Y112" s="19">
        <f t="shared" si="71"/>
        <v>0</v>
      </c>
      <c r="Z112" s="19">
        <f t="shared" si="71"/>
        <v>3.6853932584269666E-2</v>
      </c>
      <c r="AA112" s="19">
        <f t="shared" si="71"/>
        <v>0</v>
      </c>
      <c r="AB112" s="19">
        <f t="shared" si="71"/>
        <v>0</v>
      </c>
      <c r="AC112" s="19">
        <f t="shared" si="71"/>
        <v>0</v>
      </c>
      <c r="AD112" s="19">
        <f t="shared" si="71"/>
        <v>0</v>
      </c>
      <c r="AE112" s="19">
        <f t="shared" si="71"/>
        <v>0</v>
      </c>
      <c r="AF112" s="19">
        <f t="shared" si="71"/>
        <v>0</v>
      </c>
      <c r="AG112" s="19">
        <f t="shared" si="71"/>
        <v>0</v>
      </c>
      <c r="AH112" s="24"/>
      <c r="AI112" s="24"/>
      <c r="AJ112" s="24"/>
      <c r="AK112" s="59"/>
      <c r="AL112" s="59"/>
    </row>
    <row r="113" spans="2:38" hidden="1" x14ac:dyDescent="0.25">
      <c r="B113" s="25"/>
      <c r="C113" s="13">
        <v>42356</v>
      </c>
      <c r="D113" s="14"/>
      <c r="E113" s="31"/>
      <c r="F113" s="31"/>
      <c r="G113" s="36"/>
      <c r="H113" s="31"/>
      <c r="I113" s="31"/>
      <c r="K113" s="31"/>
      <c r="L113" s="15"/>
      <c r="M113" s="17"/>
      <c r="N113" s="18">
        <f>N112/N$2</f>
        <v>3.6853932584269667E-8</v>
      </c>
      <c r="O113" s="19"/>
      <c r="P113" s="19">
        <f>P112/P$2</f>
        <v>8.4044943820224718E-2</v>
      </c>
      <c r="Q113" s="19">
        <f>Q112/Q$2</f>
        <v>1.842696629213483E-2</v>
      </c>
      <c r="R113" s="19">
        <f>R112/R$2</f>
        <v>0</v>
      </c>
      <c r="S113" s="19">
        <f>S112/S$2</f>
        <v>0.44943820224719105</v>
      </c>
      <c r="T113" s="19"/>
      <c r="U113" s="19">
        <f t="shared" ref="U113:AG113" si="72">U112/U$2</f>
        <v>3.2696629213483149E-3</v>
      </c>
      <c r="V113" s="19">
        <f t="shared" si="72"/>
        <v>0</v>
      </c>
      <c r="W113" s="19">
        <f t="shared" si="72"/>
        <v>0</v>
      </c>
      <c r="X113" s="19">
        <f t="shared" si="72"/>
        <v>0.22808988764044943</v>
      </c>
      <c r="Y113" s="19">
        <f t="shared" si="72"/>
        <v>0</v>
      </c>
      <c r="Z113" s="19">
        <f t="shared" si="72"/>
        <v>3.6853932584269667E-6</v>
      </c>
      <c r="AA113" s="19">
        <f t="shared" si="72"/>
        <v>0</v>
      </c>
      <c r="AB113" s="19">
        <f t="shared" si="72"/>
        <v>0</v>
      </c>
      <c r="AC113" s="19">
        <f t="shared" si="72"/>
        <v>0</v>
      </c>
      <c r="AD113" s="19">
        <f t="shared" si="72"/>
        <v>0</v>
      </c>
      <c r="AE113" s="19">
        <f t="shared" si="72"/>
        <v>0</v>
      </c>
      <c r="AF113" s="19">
        <f t="shared" si="72"/>
        <v>0</v>
      </c>
      <c r="AG113" s="19">
        <f t="shared" si="72"/>
        <v>0</v>
      </c>
      <c r="AH113" s="24"/>
      <c r="AI113" s="24"/>
      <c r="AJ113" s="24"/>
      <c r="AK113" s="59"/>
      <c r="AL113" s="59"/>
    </row>
    <row r="114" spans="2:38" x14ac:dyDescent="0.25">
      <c r="B114" s="25" t="s">
        <v>101</v>
      </c>
      <c r="C114" s="13">
        <v>42356</v>
      </c>
      <c r="D114" s="14" t="s">
        <v>97</v>
      </c>
      <c r="E114" s="31" t="s">
        <v>45</v>
      </c>
      <c r="F114" s="31">
        <v>71</v>
      </c>
      <c r="G114" s="36">
        <v>0.2</v>
      </c>
      <c r="H114" s="31">
        <v>85</v>
      </c>
      <c r="I114" s="31">
        <v>57</v>
      </c>
      <c r="K114" s="31">
        <v>5</v>
      </c>
      <c r="L114" s="15"/>
      <c r="M114" s="17"/>
      <c r="N114" s="18">
        <f t="shared" si="69"/>
        <v>3440</v>
      </c>
      <c r="O114" s="19"/>
      <c r="P114" s="19">
        <v>10700</v>
      </c>
      <c r="Q114" s="19">
        <v>17200</v>
      </c>
      <c r="R114" s="34">
        <v>98500</v>
      </c>
      <c r="S114" s="19">
        <v>112000</v>
      </c>
      <c r="T114" s="19"/>
      <c r="U114" s="19"/>
      <c r="V114" s="19"/>
      <c r="W114" s="19"/>
      <c r="X114" s="19">
        <v>36200</v>
      </c>
      <c r="Y114" s="19"/>
      <c r="Z114" s="19">
        <f t="shared" si="70"/>
        <v>3440</v>
      </c>
      <c r="AA114" s="19"/>
      <c r="AB114" s="19"/>
      <c r="AC114" s="19"/>
      <c r="AD114" s="19"/>
      <c r="AE114" s="19"/>
      <c r="AF114" s="19"/>
      <c r="AG114" s="24"/>
      <c r="AH114" s="24"/>
      <c r="AI114" s="24"/>
      <c r="AJ114" s="24"/>
      <c r="AK114" s="59">
        <f>SUM(N114:AJ114)</f>
        <v>281480</v>
      </c>
      <c r="AL114" s="59">
        <f>AK114/(F114*1000)</f>
        <v>3.9645070422535209</v>
      </c>
    </row>
    <row r="115" spans="2:38" hidden="1" x14ac:dyDescent="0.25">
      <c r="B115" s="25"/>
      <c r="C115" s="13">
        <v>42356</v>
      </c>
      <c r="D115" s="14"/>
      <c r="E115" s="31"/>
      <c r="F115" s="31"/>
      <c r="G115" s="36"/>
      <c r="H115" s="31"/>
      <c r="I115" s="31"/>
      <c r="J115" s="31"/>
      <c r="K115" s="15"/>
      <c r="L115" s="15"/>
      <c r="M115" s="17"/>
      <c r="N115" s="18">
        <f>N114/($F114*1000)</f>
        <v>4.8450704225352116E-2</v>
      </c>
      <c r="O115" s="19"/>
      <c r="P115" s="19">
        <f t="shared" ref="P115:AG115" si="73">P114/($F114*1000)</f>
        <v>0.15070422535211267</v>
      </c>
      <c r="Q115" s="19">
        <f t="shared" si="73"/>
        <v>0.24225352112676057</v>
      </c>
      <c r="R115" s="19">
        <f t="shared" si="73"/>
        <v>1.3873239436619718</v>
      </c>
      <c r="S115" s="19">
        <f t="shared" si="73"/>
        <v>1.5774647887323943</v>
      </c>
      <c r="T115" s="19">
        <f t="shared" si="73"/>
        <v>0</v>
      </c>
      <c r="U115" s="19">
        <f t="shared" si="73"/>
        <v>0</v>
      </c>
      <c r="V115" s="19">
        <f t="shared" si="73"/>
        <v>0</v>
      </c>
      <c r="W115" s="19">
        <f t="shared" si="73"/>
        <v>0</v>
      </c>
      <c r="X115" s="19">
        <f t="shared" si="73"/>
        <v>0.50985915492957745</v>
      </c>
      <c r="Y115" s="19">
        <f t="shared" si="73"/>
        <v>0</v>
      </c>
      <c r="Z115" s="19">
        <f t="shared" si="73"/>
        <v>4.8450704225352116E-2</v>
      </c>
      <c r="AA115" s="19">
        <f t="shared" si="73"/>
        <v>0</v>
      </c>
      <c r="AB115" s="19">
        <f t="shared" si="73"/>
        <v>0</v>
      </c>
      <c r="AC115" s="19">
        <f t="shared" si="73"/>
        <v>0</v>
      </c>
      <c r="AD115" s="19">
        <f t="shared" si="73"/>
        <v>0</v>
      </c>
      <c r="AE115" s="19">
        <f t="shared" si="73"/>
        <v>0</v>
      </c>
      <c r="AF115" s="19">
        <f t="shared" si="73"/>
        <v>0</v>
      </c>
      <c r="AG115" s="19">
        <f t="shared" si="73"/>
        <v>0</v>
      </c>
      <c r="AH115" s="24"/>
      <c r="AI115" s="24"/>
      <c r="AJ115" s="24"/>
      <c r="AK115" s="59"/>
      <c r="AL115" s="59"/>
    </row>
    <row r="116" spans="2:38" hidden="1" x14ac:dyDescent="0.25">
      <c r="B116" s="25"/>
      <c r="C116" s="13">
        <v>42356</v>
      </c>
      <c r="D116" s="14"/>
      <c r="E116" s="31"/>
      <c r="F116" s="31"/>
      <c r="G116" s="36"/>
      <c r="H116" s="31"/>
      <c r="I116" s="31"/>
      <c r="J116" s="31"/>
      <c r="K116" s="15"/>
      <c r="L116" s="15"/>
      <c r="M116" s="17"/>
      <c r="N116" s="18">
        <f>N115/N$2</f>
        <v>4.8450704225352116E-8</v>
      </c>
      <c r="O116" s="19"/>
      <c r="P116" s="19">
        <f>P115/P$2</f>
        <v>1.5070422535211268E-2</v>
      </c>
      <c r="Q116" s="19">
        <f>Q115/Q$2</f>
        <v>2.4225352112676058E-2</v>
      </c>
      <c r="R116" s="19">
        <f>R115/R$2</f>
        <v>1.3873239436619717E-3</v>
      </c>
      <c r="S116" s="19">
        <f>S115/S$2</f>
        <v>0.15774647887323942</v>
      </c>
      <c r="T116" s="19"/>
      <c r="U116" s="19">
        <f t="shared" ref="U116:AG116" si="74">U115/U$2</f>
        <v>0</v>
      </c>
      <c r="V116" s="19">
        <f t="shared" si="74"/>
        <v>0</v>
      </c>
      <c r="W116" s="19">
        <f t="shared" si="74"/>
        <v>0</v>
      </c>
      <c r="X116" s="19">
        <f t="shared" si="74"/>
        <v>5.0985915492957744E-2</v>
      </c>
      <c r="Y116" s="19">
        <f t="shared" si="74"/>
        <v>0</v>
      </c>
      <c r="Z116" s="19">
        <f t="shared" si="74"/>
        <v>4.8450704225352114E-6</v>
      </c>
      <c r="AA116" s="19">
        <f t="shared" si="74"/>
        <v>0</v>
      </c>
      <c r="AB116" s="19">
        <f t="shared" si="74"/>
        <v>0</v>
      </c>
      <c r="AC116" s="19">
        <f t="shared" si="74"/>
        <v>0</v>
      </c>
      <c r="AD116" s="19">
        <f t="shared" si="74"/>
        <v>0</v>
      </c>
      <c r="AE116" s="19">
        <f t="shared" si="74"/>
        <v>0</v>
      </c>
      <c r="AF116" s="19">
        <f t="shared" si="74"/>
        <v>0</v>
      </c>
      <c r="AG116" s="19">
        <f t="shared" si="74"/>
        <v>0</v>
      </c>
      <c r="AH116" s="24"/>
      <c r="AI116" s="24"/>
      <c r="AJ116" s="24"/>
      <c r="AK116" s="59"/>
      <c r="AL116" s="59"/>
    </row>
    <row r="117" spans="2:38" x14ac:dyDescent="0.25">
      <c r="B117" s="25" t="s">
        <v>102</v>
      </c>
      <c r="C117" s="13">
        <v>42356</v>
      </c>
      <c r="D117" s="14" t="s">
        <v>97</v>
      </c>
      <c r="E117" s="31" t="s">
        <v>45</v>
      </c>
      <c r="F117" s="31">
        <v>70</v>
      </c>
      <c r="G117" s="36">
        <v>0.2</v>
      </c>
      <c r="H117" s="31">
        <v>85</v>
      </c>
      <c r="I117" s="31">
        <v>57</v>
      </c>
      <c r="J117" s="31"/>
      <c r="K117" s="15">
        <v>2</v>
      </c>
      <c r="L117" s="15"/>
      <c r="M117" s="17"/>
      <c r="N117" s="18">
        <f t="shared" si="69"/>
        <v>4340</v>
      </c>
      <c r="O117" s="19"/>
      <c r="P117" s="19">
        <v>21560</v>
      </c>
      <c r="Q117" s="19">
        <v>21700</v>
      </c>
      <c r="R117" s="34">
        <v>95400</v>
      </c>
      <c r="S117" s="19">
        <v>99100</v>
      </c>
      <c r="T117" s="19"/>
      <c r="U117" s="19"/>
      <c r="V117" s="19"/>
      <c r="W117" s="19"/>
      <c r="X117" s="19"/>
      <c r="Y117" s="19"/>
      <c r="Z117" s="19">
        <f t="shared" si="70"/>
        <v>4340</v>
      </c>
      <c r="AA117" s="19"/>
      <c r="AB117" s="19"/>
      <c r="AC117" s="19"/>
      <c r="AD117" s="19"/>
      <c r="AE117" s="19"/>
      <c r="AF117" s="19"/>
      <c r="AG117" s="24"/>
      <c r="AH117" s="24"/>
      <c r="AI117" s="24"/>
      <c r="AJ117" s="24"/>
      <c r="AK117" s="59">
        <f>SUM(N117:AJ117)</f>
        <v>246440</v>
      </c>
      <c r="AL117" s="59">
        <f>AK117/(F117*1000)</f>
        <v>3.5205714285714285</v>
      </c>
    </row>
    <row r="118" spans="2:38" hidden="1" x14ac:dyDescent="0.25">
      <c r="B118" s="25"/>
      <c r="C118" s="13">
        <v>42356</v>
      </c>
      <c r="D118" s="14"/>
      <c r="E118" s="31"/>
      <c r="F118" s="31"/>
      <c r="G118" s="36"/>
      <c r="H118" s="31"/>
      <c r="I118" s="31"/>
      <c r="J118" s="31"/>
      <c r="K118" s="15"/>
      <c r="L118" s="15"/>
      <c r="M118" s="17"/>
      <c r="N118" s="18">
        <f>N117/($F117*1000)</f>
        <v>6.2E-2</v>
      </c>
      <c r="O118" s="19"/>
      <c r="P118" s="19">
        <f t="shared" ref="P118:AG118" si="75">P117/($F117*1000)</f>
        <v>0.308</v>
      </c>
      <c r="Q118" s="19">
        <f t="shared" si="75"/>
        <v>0.31</v>
      </c>
      <c r="R118" s="19">
        <f t="shared" si="75"/>
        <v>1.3628571428571428</v>
      </c>
      <c r="S118" s="19">
        <f t="shared" si="75"/>
        <v>1.4157142857142857</v>
      </c>
      <c r="T118" s="19">
        <f t="shared" si="75"/>
        <v>0</v>
      </c>
      <c r="U118" s="19">
        <f t="shared" si="75"/>
        <v>0</v>
      </c>
      <c r="V118" s="19">
        <f t="shared" si="75"/>
        <v>0</v>
      </c>
      <c r="W118" s="19">
        <f t="shared" si="75"/>
        <v>0</v>
      </c>
      <c r="X118" s="19">
        <f t="shared" si="75"/>
        <v>0</v>
      </c>
      <c r="Y118" s="19">
        <f t="shared" si="75"/>
        <v>0</v>
      </c>
      <c r="Z118" s="19">
        <f t="shared" si="75"/>
        <v>6.2E-2</v>
      </c>
      <c r="AA118" s="19">
        <f t="shared" si="75"/>
        <v>0</v>
      </c>
      <c r="AB118" s="19">
        <f t="shared" si="75"/>
        <v>0</v>
      </c>
      <c r="AC118" s="19">
        <f t="shared" si="75"/>
        <v>0</v>
      </c>
      <c r="AD118" s="19">
        <f t="shared" si="75"/>
        <v>0</v>
      </c>
      <c r="AE118" s="19">
        <f t="shared" si="75"/>
        <v>0</v>
      </c>
      <c r="AF118" s="19">
        <f t="shared" si="75"/>
        <v>0</v>
      </c>
      <c r="AG118" s="19">
        <f t="shared" si="75"/>
        <v>0</v>
      </c>
      <c r="AH118" s="24"/>
      <c r="AI118" s="24"/>
      <c r="AJ118" s="24"/>
      <c r="AK118" s="59"/>
      <c r="AL118" s="59"/>
    </row>
    <row r="119" spans="2:38" hidden="1" x14ac:dyDescent="0.25">
      <c r="B119" s="25"/>
      <c r="C119" s="13">
        <v>42356</v>
      </c>
      <c r="D119" s="14"/>
      <c r="E119" s="31"/>
      <c r="F119" s="31"/>
      <c r="G119" s="36"/>
      <c r="H119" s="31"/>
      <c r="I119" s="31"/>
      <c r="J119" s="31"/>
      <c r="K119" s="15"/>
      <c r="L119" s="15"/>
      <c r="M119" s="17"/>
      <c r="N119" s="18">
        <f>N118/N$2</f>
        <v>6.1999999999999999E-8</v>
      </c>
      <c r="O119" s="19"/>
      <c r="P119" s="19">
        <f>P118/P$2</f>
        <v>3.0800000000000001E-2</v>
      </c>
      <c r="Q119" s="19">
        <f>Q118/Q$2</f>
        <v>3.1E-2</v>
      </c>
      <c r="R119" s="19">
        <f>R118/R$2</f>
        <v>1.3628571428571429E-3</v>
      </c>
      <c r="S119" s="19">
        <f>S118/S$2</f>
        <v>0.14157142857142857</v>
      </c>
      <c r="T119" s="19"/>
      <c r="U119" s="19">
        <f t="shared" ref="U119:AG119" si="76">U118/U$2</f>
        <v>0</v>
      </c>
      <c r="V119" s="19">
        <f t="shared" si="76"/>
        <v>0</v>
      </c>
      <c r="W119" s="19">
        <f t="shared" si="76"/>
        <v>0</v>
      </c>
      <c r="X119" s="19">
        <f t="shared" si="76"/>
        <v>0</v>
      </c>
      <c r="Y119" s="19">
        <f t="shared" si="76"/>
        <v>0</v>
      </c>
      <c r="Z119" s="19">
        <f t="shared" si="76"/>
        <v>6.1999999999999999E-6</v>
      </c>
      <c r="AA119" s="19">
        <f t="shared" si="76"/>
        <v>0</v>
      </c>
      <c r="AB119" s="19">
        <f t="shared" si="76"/>
        <v>0</v>
      </c>
      <c r="AC119" s="19">
        <f t="shared" si="76"/>
        <v>0</v>
      </c>
      <c r="AD119" s="19">
        <f t="shared" si="76"/>
        <v>0</v>
      </c>
      <c r="AE119" s="19">
        <f t="shared" si="76"/>
        <v>0</v>
      </c>
      <c r="AF119" s="19">
        <f t="shared" si="76"/>
        <v>0</v>
      </c>
      <c r="AG119" s="19">
        <f t="shared" si="76"/>
        <v>0</v>
      </c>
      <c r="AH119" s="24"/>
      <c r="AI119" s="24"/>
      <c r="AJ119" s="24"/>
      <c r="AK119" s="59"/>
      <c r="AL119" s="59"/>
    </row>
    <row r="120" spans="2:38" x14ac:dyDescent="0.25">
      <c r="B120" s="25" t="s">
        <v>103</v>
      </c>
      <c r="C120" s="13">
        <v>42356</v>
      </c>
      <c r="D120" s="14" t="s">
        <v>97</v>
      </c>
      <c r="E120" s="31" t="s">
        <v>45</v>
      </c>
      <c r="F120" s="31">
        <v>135</v>
      </c>
      <c r="G120" s="36">
        <v>0.2</v>
      </c>
      <c r="H120" s="31">
        <v>85</v>
      </c>
      <c r="I120" s="31">
        <v>57</v>
      </c>
      <c r="K120" s="31">
        <v>20</v>
      </c>
      <c r="L120" s="15"/>
      <c r="M120" s="17"/>
      <c r="N120" s="18">
        <f t="shared" si="69"/>
        <v>51800</v>
      </c>
      <c r="O120" s="19"/>
      <c r="P120" s="19">
        <v>34100</v>
      </c>
      <c r="Q120" s="19">
        <v>259000</v>
      </c>
      <c r="R120" s="34"/>
      <c r="S120" s="19">
        <v>326000</v>
      </c>
      <c r="T120" s="19"/>
      <c r="U120" s="19"/>
      <c r="V120" s="19"/>
      <c r="W120" s="19">
        <v>8530</v>
      </c>
      <c r="X120" s="19">
        <v>137000</v>
      </c>
      <c r="Y120" s="19"/>
      <c r="Z120" s="19">
        <f t="shared" si="70"/>
        <v>51800</v>
      </c>
      <c r="AA120" s="19"/>
      <c r="AB120" s="19"/>
      <c r="AC120" s="19"/>
      <c r="AD120" s="19"/>
      <c r="AE120" s="19"/>
      <c r="AF120" s="19"/>
      <c r="AG120" s="24"/>
      <c r="AH120" s="24"/>
      <c r="AI120" s="24"/>
      <c r="AJ120" s="24"/>
      <c r="AK120" s="59">
        <f>SUM(N120:AJ120)</f>
        <v>868230</v>
      </c>
      <c r="AL120" s="59">
        <f>AK120/(F120*1000)</f>
        <v>6.4313333333333329</v>
      </c>
    </row>
    <row r="121" spans="2:38" hidden="1" x14ac:dyDescent="0.25">
      <c r="B121" s="25"/>
      <c r="C121" s="13">
        <v>42356</v>
      </c>
      <c r="D121" s="14"/>
      <c r="E121" s="31"/>
      <c r="F121" s="31"/>
      <c r="G121" s="36"/>
      <c r="H121" s="31"/>
      <c r="I121" s="31"/>
      <c r="K121" s="31"/>
      <c r="L121" s="15"/>
      <c r="M121" s="17"/>
      <c r="N121" s="18">
        <f>N120/($F120*1000)</f>
        <v>0.38370370370370371</v>
      </c>
      <c r="O121" s="19"/>
      <c r="P121" s="19">
        <f t="shared" ref="P121:AG121" si="77">P120/($F120*1000)</f>
        <v>0.25259259259259259</v>
      </c>
      <c r="Q121" s="19">
        <f t="shared" si="77"/>
        <v>1.9185185185185185</v>
      </c>
      <c r="R121" s="19">
        <f t="shared" si="77"/>
        <v>0</v>
      </c>
      <c r="S121" s="19">
        <f t="shared" si="77"/>
        <v>2.414814814814815</v>
      </c>
      <c r="T121" s="19">
        <f t="shared" si="77"/>
        <v>0</v>
      </c>
      <c r="U121" s="19">
        <f t="shared" si="77"/>
        <v>0</v>
      </c>
      <c r="V121" s="19">
        <f t="shared" si="77"/>
        <v>0</v>
      </c>
      <c r="W121" s="19">
        <f t="shared" si="77"/>
        <v>6.3185185185185191E-2</v>
      </c>
      <c r="X121" s="19">
        <f t="shared" si="77"/>
        <v>1.0148148148148148</v>
      </c>
      <c r="Y121" s="19">
        <f t="shared" si="77"/>
        <v>0</v>
      </c>
      <c r="Z121" s="19">
        <f t="shared" si="77"/>
        <v>0.38370370370370371</v>
      </c>
      <c r="AA121" s="19">
        <f t="shared" si="77"/>
        <v>0</v>
      </c>
      <c r="AB121" s="19">
        <f t="shared" si="77"/>
        <v>0</v>
      </c>
      <c r="AC121" s="19">
        <f t="shared" si="77"/>
        <v>0</v>
      </c>
      <c r="AD121" s="19">
        <f t="shared" si="77"/>
        <v>0</v>
      </c>
      <c r="AE121" s="19">
        <f t="shared" si="77"/>
        <v>0</v>
      </c>
      <c r="AF121" s="19">
        <f t="shared" si="77"/>
        <v>0</v>
      </c>
      <c r="AG121" s="19">
        <f t="shared" si="77"/>
        <v>0</v>
      </c>
      <c r="AH121" s="24"/>
      <c r="AI121" s="24"/>
      <c r="AJ121" s="24"/>
      <c r="AK121" s="59"/>
      <c r="AL121" s="59"/>
    </row>
    <row r="122" spans="2:38" hidden="1" x14ac:dyDescent="0.25">
      <c r="B122" s="25"/>
      <c r="C122" s="13">
        <v>42356</v>
      </c>
      <c r="D122" s="14"/>
      <c r="E122" s="31"/>
      <c r="F122" s="31"/>
      <c r="G122" s="36"/>
      <c r="H122" s="31"/>
      <c r="I122" s="31"/>
      <c r="K122" s="31"/>
      <c r="L122" s="15"/>
      <c r="M122" s="17"/>
      <c r="N122" s="18">
        <f>N121/N$2</f>
        <v>3.8370370370370371E-7</v>
      </c>
      <c r="O122" s="19"/>
      <c r="P122" s="19">
        <f>P121/P$2</f>
        <v>2.5259259259259259E-2</v>
      </c>
      <c r="Q122" s="19">
        <f>Q121/Q$2</f>
        <v>0.19185185185185186</v>
      </c>
      <c r="R122" s="19">
        <f>R121/R$2</f>
        <v>0</v>
      </c>
      <c r="S122" s="19">
        <f>S121/S$2</f>
        <v>0.24148148148148149</v>
      </c>
      <c r="T122" s="19"/>
      <c r="U122" s="19">
        <f t="shared" ref="U122:AG122" si="78">U121/U$2</f>
        <v>0</v>
      </c>
      <c r="V122" s="19">
        <f t="shared" si="78"/>
        <v>0</v>
      </c>
      <c r="W122" s="19">
        <f t="shared" si="78"/>
        <v>6.3185185185185193E-3</v>
      </c>
      <c r="X122" s="19">
        <f t="shared" si="78"/>
        <v>0.10148148148148148</v>
      </c>
      <c r="Y122" s="19">
        <f t="shared" si="78"/>
        <v>0</v>
      </c>
      <c r="Z122" s="19">
        <f t="shared" si="78"/>
        <v>3.8370370370370373E-5</v>
      </c>
      <c r="AA122" s="19">
        <f t="shared" si="78"/>
        <v>0</v>
      </c>
      <c r="AB122" s="19">
        <f t="shared" si="78"/>
        <v>0</v>
      </c>
      <c r="AC122" s="19">
        <f t="shared" si="78"/>
        <v>0</v>
      </c>
      <c r="AD122" s="19">
        <f t="shared" si="78"/>
        <v>0</v>
      </c>
      <c r="AE122" s="19">
        <f t="shared" si="78"/>
        <v>0</v>
      </c>
      <c r="AF122" s="19">
        <f t="shared" si="78"/>
        <v>0</v>
      </c>
      <c r="AG122" s="19">
        <f t="shared" si="78"/>
        <v>0</v>
      </c>
      <c r="AH122" s="24"/>
      <c r="AI122" s="24"/>
      <c r="AJ122" s="24"/>
      <c r="AK122" s="59"/>
      <c r="AL122" s="59"/>
    </row>
    <row r="123" spans="2:38" x14ac:dyDescent="0.25">
      <c r="B123" s="25" t="s">
        <v>104</v>
      </c>
      <c r="C123" s="13">
        <v>42356</v>
      </c>
      <c r="D123" s="14" t="s">
        <v>97</v>
      </c>
      <c r="E123" s="31" t="s">
        <v>45</v>
      </c>
      <c r="F123" s="31">
        <v>81</v>
      </c>
      <c r="G123" s="36">
        <v>0.2</v>
      </c>
      <c r="H123" s="31">
        <v>85</v>
      </c>
      <c r="I123" s="31">
        <v>57</v>
      </c>
      <c r="K123" s="31">
        <v>2</v>
      </c>
      <c r="L123" s="15"/>
      <c r="M123" s="17"/>
      <c r="N123" s="18">
        <f t="shared" si="69"/>
        <v>1652</v>
      </c>
      <c r="O123" s="19"/>
      <c r="P123" s="19"/>
      <c r="Q123" s="19">
        <v>8260</v>
      </c>
      <c r="R123" s="34">
        <v>65200</v>
      </c>
      <c r="S123" s="19"/>
      <c r="T123" s="19"/>
      <c r="U123" s="19"/>
      <c r="V123" s="19"/>
      <c r="W123" s="19"/>
      <c r="X123" s="19">
        <v>22800</v>
      </c>
      <c r="Y123" s="19"/>
      <c r="Z123" s="19">
        <f t="shared" si="70"/>
        <v>1652</v>
      </c>
      <c r="AA123" s="19"/>
      <c r="AB123" s="19"/>
      <c r="AC123" s="19"/>
      <c r="AD123" s="19">
        <v>41300</v>
      </c>
      <c r="AE123" s="19"/>
      <c r="AF123" s="19"/>
      <c r="AG123" s="24"/>
      <c r="AH123" s="24"/>
      <c r="AI123" s="24"/>
      <c r="AJ123" s="24"/>
      <c r="AK123" s="59">
        <f>SUM(N123:AJ123)</f>
        <v>140864</v>
      </c>
      <c r="AL123" s="59">
        <f>AK123/(F123*1000)</f>
        <v>1.7390617283950618</v>
      </c>
    </row>
    <row r="124" spans="2:38" hidden="1" x14ac:dyDescent="0.25">
      <c r="B124" s="25"/>
      <c r="C124" s="13">
        <v>42356</v>
      </c>
      <c r="D124" s="14"/>
      <c r="E124" s="31"/>
      <c r="F124" s="31"/>
      <c r="G124" s="36"/>
      <c r="H124" s="31"/>
      <c r="I124" s="31"/>
      <c r="K124" s="31"/>
      <c r="L124" s="15"/>
      <c r="M124" s="17"/>
      <c r="N124" s="18">
        <f>N123/($F123*1000)</f>
        <v>2.0395061728395062E-2</v>
      </c>
      <c r="O124" s="19"/>
      <c r="P124" s="19">
        <f t="shared" ref="P124:AG124" si="79">P123/($F123*1000)</f>
        <v>0</v>
      </c>
      <c r="Q124" s="19">
        <f t="shared" si="79"/>
        <v>0.10197530864197531</v>
      </c>
      <c r="R124" s="19">
        <f t="shared" si="79"/>
        <v>0.80493827160493825</v>
      </c>
      <c r="S124" s="19">
        <f t="shared" si="79"/>
        <v>0</v>
      </c>
      <c r="T124" s="19">
        <f t="shared" si="79"/>
        <v>0</v>
      </c>
      <c r="U124" s="19">
        <f t="shared" si="79"/>
        <v>0</v>
      </c>
      <c r="V124" s="19">
        <f t="shared" si="79"/>
        <v>0</v>
      </c>
      <c r="W124" s="19">
        <f t="shared" si="79"/>
        <v>0</v>
      </c>
      <c r="X124" s="19">
        <f t="shared" si="79"/>
        <v>0.2814814814814815</v>
      </c>
      <c r="Y124" s="19">
        <f t="shared" si="79"/>
        <v>0</v>
      </c>
      <c r="Z124" s="19">
        <f t="shared" si="79"/>
        <v>2.0395061728395062E-2</v>
      </c>
      <c r="AA124" s="19">
        <f t="shared" si="79"/>
        <v>0</v>
      </c>
      <c r="AB124" s="19">
        <f t="shared" si="79"/>
        <v>0</v>
      </c>
      <c r="AC124" s="19">
        <f t="shared" si="79"/>
        <v>0</v>
      </c>
      <c r="AD124" s="19">
        <f t="shared" si="79"/>
        <v>0.50987654320987652</v>
      </c>
      <c r="AE124" s="19">
        <f t="shared" si="79"/>
        <v>0</v>
      </c>
      <c r="AF124" s="19">
        <f t="shared" si="79"/>
        <v>0</v>
      </c>
      <c r="AG124" s="19">
        <f t="shared" si="79"/>
        <v>0</v>
      </c>
      <c r="AH124" s="24"/>
      <c r="AI124" s="24"/>
      <c r="AJ124" s="24"/>
      <c r="AK124" s="59"/>
      <c r="AL124" s="59"/>
    </row>
    <row r="125" spans="2:38" hidden="1" x14ac:dyDescent="0.25">
      <c r="B125" s="25"/>
      <c r="C125" s="13">
        <v>42356</v>
      </c>
      <c r="D125" s="14"/>
      <c r="E125" s="31"/>
      <c r="F125" s="31"/>
      <c r="G125" s="36"/>
      <c r="H125" s="31"/>
      <c r="I125" s="31"/>
      <c r="K125" s="31"/>
      <c r="L125" s="15"/>
      <c r="M125" s="17"/>
      <c r="N125" s="18">
        <f>N124/N$2</f>
        <v>2.0395061728395062E-8</v>
      </c>
      <c r="O125" s="19"/>
      <c r="P125" s="19">
        <f>P124/P$2</f>
        <v>0</v>
      </c>
      <c r="Q125" s="19">
        <f>Q124/Q$2</f>
        <v>1.0197530864197531E-2</v>
      </c>
      <c r="R125" s="19">
        <f>R124/R$2</f>
        <v>8.0493827160493824E-4</v>
      </c>
      <c r="S125" s="19">
        <f>S124/S$2</f>
        <v>0</v>
      </c>
      <c r="T125" s="19"/>
      <c r="U125" s="19">
        <f t="shared" ref="U125:AG125" si="80">U124/U$2</f>
        <v>0</v>
      </c>
      <c r="V125" s="19">
        <f t="shared" si="80"/>
        <v>0</v>
      </c>
      <c r="W125" s="19">
        <f t="shared" si="80"/>
        <v>0</v>
      </c>
      <c r="X125" s="19">
        <f t="shared" si="80"/>
        <v>2.8148148148148151E-2</v>
      </c>
      <c r="Y125" s="19">
        <f t="shared" si="80"/>
        <v>0</v>
      </c>
      <c r="Z125" s="19">
        <f t="shared" si="80"/>
        <v>2.0395061728395063E-6</v>
      </c>
      <c r="AA125" s="19">
        <f t="shared" si="80"/>
        <v>0</v>
      </c>
      <c r="AB125" s="19">
        <f t="shared" si="80"/>
        <v>0</v>
      </c>
      <c r="AC125" s="19">
        <f t="shared" si="80"/>
        <v>0</v>
      </c>
      <c r="AD125" s="19">
        <f t="shared" si="80"/>
        <v>5.0987654320987653E-2</v>
      </c>
      <c r="AE125" s="19">
        <f t="shared" si="80"/>
        <v>0</v>
      </c>
      <c r="AF125" s="19">
        <f t="shared" si="80"/>
        <v>0</v>
      </c>
      <c r="AG125" s="19">
        <f t="shared" si="80"/>
        <v>0</v>
      </c>
      <c r="AH125" s="24"/>
      <c r="AI125" s="24"/>
      <c r="AJ125" s="24"/>
      <c r="AK125" s="59"/>
      <c r="AL125" s="59"/>
    </row>
    <row r="126" spans="2:38" x14ac:dyDescent="0.25">
      <c r="B126" s="25" t="s">
        <v>105</v>
      </c>
      <c r="C126" s="13">
        <v>42356</v>
      </c>
      <c r="D126" s="14" t="s">
        <v>97</v>
      </c>
      <c r="E126" s="31" t="s">
        <v>45</v>
      </c>
      <c r="F126" s="31">
        <v>74</v>
      </c>
      <c r="G126" s="36">
        <v>0.2</v>
      </c>
      <c r="H126" s="31">
        <v>85</v>
      </c>
      <c r="I126" s="31">
        <v>57</v>
      </c>
      <c r="K126" s="31">
        <v>20</v>
      </c>
      <c r="L126" s="15"/>
      <c r="M126" s="17"/>
      <c r="N126" s="18">
        <f t="shared" si="69"/>
        <v>3360</v>
      </c>
      <c r="O126" s="19"/>
      <c r="P126" s="19">
        <v>13500</v>
      </c>
      <c r="Q126" s="19">
        <v>16800</v>
      </c>
      <c r="R126" s="34"/>
      <c r="S126" s="19"/>
      <c r="T126" s="19"/>
      <c r="U126" s="19"/>
      <c r="V126" s="19"/>
      <c r="W126" s="19"/>
      <c r="X126" s="19">
        <v>218000</v>
      </c>
      <c r="Y126" s="19"/>
      <c r="Z126" s="19">
        <f t="shared" si="70"/>
        <v>3360</v>
      </c>
      <c r="AA126" s="19"/>
      <c r="AB126" s="19"/>
      <c r="AC126" s="19"/>
      <c r="AD126" s="19">
        <v>47700</v>
      </c>
      <c r="AE126" s="19"/>
      <c r="AF126" s="19"/>
      <c r="AG126" s="24"/>
      <c r="AH126" s="24"/>
      <c r="AI126" s="24"/>
      <c r="AJ126" s="24">
        <v>641000</v>
      </c>
      <c r="AK126" s="59">
        <f>SUM(N126:AJ126)</f>
        <v>943720</v>
      </c>
      <c r="AL126" s="59">
        <f>AK126/(F126*1000)</f>
        <v>12.752972972972973</v>
      </c>
    </row>
    <row r="127" spans="2:38" hidden="1" x14ac:dyDescent="0.25">
      <c r="B127" s="25"/>
      <c r="C127" s="13">
        <v>42356</v>
      </c>
      <c r="D127" s="14"/>
      <c r="E127" s="31"/>
      <c r="F127" s="31"/>
      <c r="G127" s="36"/>
      <c r="H127" s="31"/>
      <c r="I127" s="31"/>
      <c r="K127" s="31"/>
      <c r="L127" s="15"/>
      <c r="M127" s="17"/>
      <c r="N127" s="18">
        <f>N126/($F126*1000)</f>
        <v>4.5405405405405407E-2</v>
      </c>
      <c r="O127" s="19"/>
      <c r="P127" s="19">
        <f t="shared" ref="P127:AG127" si="81">P126/($F126*1000)</f>
        <v>0.18243243243243243</v>
      </c>
      <c r="Q127" s="19">
        <f t="shared" si="81"/>
        <v>0.22702702702702704</v>
      </c>
      <c r="R127" s="19">
        <f t="shared" si="81"/>
        <v>0</v>
      </c>
      <c r="S127" s="19">
        <f t="shared" si="81"/>
        <v>0</v>
      </c>
      <c r="T127" s="19">
        <f t="shared" si="81"/>
        <v>0</v>
      </c>
      <c r="U127" s="19">
        <f t="shared" si="81"/>
        <v>0</v>
      </c>
      <c r="V127" s="19">
        <f t="shared" si="81"/>
        <v>0</v>
      </c>
      <c r="W127" s="19">
        <f t="shared" si="81"/>
        <v>0</v>
      </c>
      <c r="X127" s="19">
        <f t="shared" si="81"/>
        <v>2.9459459459459461</v>
      </c>
      <c r="Y127" s="19">
        <f t="shared" si="81"/>
        <v>0</v>
      </c>
      <c r="Z127" s="19">
        <f t="shared" si="81"/>
        <v>4.5405405405405407E-2</v>
      </c>
      <c r="AA127" s="19">
        <f t="shared" si="81"/>
        <v>0</v>
      </c>
      <c r="AB127" s="19">
        <f t="shared" si="81"/>
        <v>0</v>
      </c>
      <c r="AC127" s="19">
        <f t="shared" si="81"/>
        <v>0</v>
      </c>
      <c r="AD127" s="19">
        <f t="shared" si="81"/>
        <v>0.64459459459459456</v>
      </c>
      <c r="AE127" s="19">
        <f t="shared" si="81"/>
        <v>0</v>
      </c>
      <c r="AF127" s="19">
        <f t="shared" si="81"/>
        <v>0</v>
      </c>
      <c r="AG127" s="19">
        <f t="shared" si="81"/>
        <v>0</v>
      </c>
      <c r="AH127" s="24"/>
      <c r="AI127" s="24"/>
      <c r="AJ127" s="24"/>
      <c r="AK127" s="59"/>
      <c r="AL127" s="59"/>
    </row>
    <row r="128" spans="2:38" hidden="1" x14ac:dyDescent="0.25">
      <c r="B128" s="25"/>
      <c r="C128" s="13">
        <v>42356</v>
      </c>
      <c r="D128" s="14"/>
      <c r="E128" s="31"/>
      <c r="F128" s="31"/>
      <c r="G128" s="36"/>
      <c r="H128" s="31"/>
      <c r="I128" s="31"/>
      <c r="K128" s="31"/>
      <c r="L128" s="15"/>
      <c r="M128" s="17"/>
      <c r="N128" s="18">
        <f>N127/N$2</f>
        <v>4.5405405405405409E-8</v>
      </c>
      <c r="O128" s="19"/>
      <c r="P128" s="19">
        <f>P127/P$2</f>
        <v>1.8243243243243244E-2</v>
      </c>
      <c r="Q128" s="19">
        <f>Q127/Q$2</f>
        <v>2.2702702702702703E-2</v>
      </c>
      <c r="R128" s="19">
        <f>R127/R$2</f>
        <v>0</v>
      </c>
      <c r="S128" s="19">
        <f>S127/S$2</f>
        <v>0</v>
      </c>
      <c r="T128" s="19"/>
      <c r="U128" s="19">
        <f t="shared" ref="U128:AG128" si="82">U127/U$2</f>
        <v>0</v>
      </c>
      <c r="V128" s="19">
        <f t="shared" si="82"/>
        <v>0</v>
      </c>
      <c r="W128" s="19">
        <f t="shared" si="82"/>
        <v>0</v>
      </c>
      <c r="X128" s="19">
        <f t="shared" si="82"/>
        <v>0.29459459459459458</v>
      </c>
      <c r="Y128" s="19">
        <f t="shared" si="82"/>
        <v>0</v>
      </c>
      <c r="Z128" s="19">
        <f t="shared" si="82"/>
        <v>4.5405405405405409E-6</v>
      </c>
      <c r="AA128" s="19">
        <f t="shared" si="82"/>
        <v>0</v>
      </c>
      <c r="AB128" s="19">
        <f t="shared" si="82"/>
        <v>0</v>
      </c>
      <c r="AC128" s="19">
        <f t="shared" si="82"/>
        <v>0</v>
      </c>
      <c r="AD128" s="19">
        <f t="shared" si="82"/>
        <v>6.4459459459459453E-2</v>
      </c>
      <c r="AE128" s="19">
        <f t="shared" si="82"/>
        <v>0</v>
      </c>
      <c r="AF128" s="19">
        <f t="shared" si="82"/>
        <v>0</v>
      </c>
      <c r="AG128" s="19">
        <f t="shared" si="82"/>
        <v>0</v>
      </c>
      <c r="AH128" s="24"/>
      <c r="AI128" s="24"/>
      <c r="AJ128" s="24"/>
      <c r="AK128" s="59"/>
      <c r="AL128" s="59"/>
    </row>
    <row r="129" spans="2:38" x14ac:dyDescent="0.25">
      <c r="B129" s="25" t="s">
        <v>106</v>
      </c>
      <c r="C129" s="13">
        <v>42356</v>
      </c>
      <c r="D129" s="14" t="s">
        <v>97</v>
      </c>
      <c r="E129" s="31" t="s">
        <v>45</v>
      </c>
      <c r="F129" s="31">
        <v>80.5</v>
      </c>
      <c r="G129" s="36">
        <v>0.2</v>
      </c>
      <c r="H129" s="31">
        <v>85</v>
      </c>
      <c r="I129" s="31">
        <v>57</v>
      </c>
      <c r="K129" s="31">
        <v>10</v>
      </c>
      <c r="L129" s="15"/>
      <c r="M129" s="17"/>
      <c r="N129" s="18">
        <f>R129</f>
        <v>2080000</v>
      </c>
      <c r="O129" s="19"/>
      <c r="P129" s="19">
        <v>780000</v>
      </c>
      <c r="Q129" s="19"/>
      <c r="R129" s="34">
        <v>2080000</v>
      </c>
      <c r="S129" s="19">
        <v>76500</v>
      </c>
      <c r="T129" s="19">
        <v>80600</v>
      </c>
      <c r="U129" s="19">
        <v>137000</v>
      </c>
      <c r="V129" s="19"/>
      <c r="W129" s="19"/>
      <c r="X129" s="19">
        <v>39800</v>
      </c>
      <c r="Y129" s="19"/>
      <c r="Z129" s="19">
        <f t="shared" si="70"/>
        <v>2080000</v>
      </c>
      <c r="AA129" s="19"/>
      <c r="AB129" s="19"/>
      <c r="AC129" s="19"/>
      <c r="AD129" s="19">
        <v>192000</v>
      </c>
      <c r="AE129" s="19"/>
      <c r="AF129" s="19"/>
      <c r="AG129" s="24"/>
      <c r="AH129" s="24">
        <v>819000</v>
      </c>
      <c r="AI129" s="24">
        <v>86300</v>
      </c>
      <c r="AJ129" s="24"/>
      <c r="AK129" s="59">
        <f>SUM(N129:AJ129)</f>
        <v>8451200</v>
      </c>
      <c r="AL129" s="59">
        <f>AK129/(F129*1000)</f>
        <v>104.98385093167703</v>
      </c>
    </row>
    <row r="130" spans="2:38" hidden="1" x14ac:dyDescent="0.25">
      <c r="B130" s="25"/>
      <c r="C130" s="13">
        <v>42356</v>
      </c>
      <c r="D130" s="14"/>
      <c r="E130" s="31"/>
      <c r="F130" s="31"/>
      <c r="G130" s="36"/>
      <c r="H130" s="31"/>
      <c r="I130" s="31"/>
      <c r="K130" s="31"/>
      <c r="L130" s="15"/>
      <c r="M130" s="17"/>
      <c r="N130" s="18">
        <f>N129/($F129*1000)</f>
        <v>25.838509316770185</v>
      </c>
      <c r="O130" s="19"/>
      <c r="P130" s="19">
        <f t="shared" ref="P130:AG130" si="83">P129/($F129*1000)</f>
        <v>9.6894409937888195</v>
      </c>
      <c r="Q130" s="19">
        <f t="shared" si="83"/>
        <v>0</v>
      </c>
      <c r="R130" s="19">
        <f t="shared" si="83"/>
        <v>25.838509316770185</v>
      </c>
      <c r="S130" s="19">
        <f t="shared" si="83"/>
        <v>0.9503105590062112</v>
      </c>
      <c r="T130" s="19">
        <f t="shared" si="83"/>
        <v>1.0012422360248447</v>
      </c>
      <c r="U130" s="19">
        <f t="shared" si="83"/>
        <v>1.7018633540372672</v>
      </c>
      <c r="V130" s="19">
        <f t="shared" si="83"/>
        <v>0</v>
      </c>
      <c r="W130" s="19">
        <f t="shared" si="83"/>
        <v>0</v>
      </c>
      <c r="X130" s="19">
        <f t="shared" si="83"/>
        <v>0.49440993788819876</v>
      </c>
      <c r="Y130" s="19">
        <f t="shared" si="83"/>
        <v>0</v>
      </c>
      <c r="Z130" s="19">
        <f t="shared" si="83"/>
        <v>25.838509316770185</v>
      </c>
      <c r="AA130" s="19">
        <f t="shared" si="83"/>
        <v>0</v>
      </c>
      <c r="AB130" s="19">
        <f t="shared" si="83"/>
        <v>0</v>
      </c>
      <c r="AC130" s="19">
        <f t="shared" si="83"/>
        <v>0</v>
      </c>
      <c r="AD130" s="19">
        <f t="shared" si="83"/>
        <v>2.3850931677018634</v>
      </c>
      <c r="AE130" s="19">
        <f t="shared" si="83"/>
        <v>0</v>
      </c>
      <c r="AF130" s="19">
        <f t="shared" si="83"/>
        <v>0</v>
      </c>
      <c r="AG130" s="19">
        <f t="shared" si="83"/>
        <v>0</v>
      </c>
      <c r="AH130" s="24"/>
      <c r="AI130" s="24"/>
      <c r="AJ130" s="24"/>
      <c r="AK130" s="59"/>
      <c r="AL130" s="59"/>
    </row>
    <row r="131" spans="2:38" hidden="1" x14ac:dyDescent="0.25">
      <c r="B131" s="25"/>
      <c r="C131" s="13">
        <v>42356</v>
      </c>
      <c r="D131" s="14"/>
      <c r="E131" s="31"/>
      <c r="F131" s="31"/>
      <c r="G131" s="36"/>
      <c r="H131" s="31"/>
      <c r="I131" s="31"/>
      <c r="K131" s="31"/>
      <c r="L131" s="15"/>
      <c r="M131" s="17"/>
      <c r="N131" s="18">
        <f>N130/N$2</f>
        <v>2.5838509316770185E-5</v>
      </c>
      <c r="O131" s="19"/>
      <c r="P131" s="19">
        <f>P130/P$2</f>
        <v>0.96894409937888193</v>
      </c>
      <c r="Q131" s="19">
        <f>Q130/Q$2</f>
        <v>0</v>
      </c>
      <c r="R131" s="19">
        <f>R130/R$2</f>
        <v>2.5838509316770186E-2</v>
      </c>
      <c r="S131" s="19">
        <f>S130/S$2</f>
        <v>9.5031055900621123E-2</v>
      </c>
      <c r="T131" s="19"/>
      <c r="U131" s="19">
        <f t="shared" ref="U131:AG131" si="84">U130/U$2</f>
        <v>1.7018633540372672E-2</v>
      </c>
      <c r="V131" s="19">
        <f t="shared" si="84"/>
        <v>0</v>
      </c>
      <c r="W131" s="19">
        <f t="shared" si="84"/>
        <v>0</v>
      </c>
      <c r="X131" s="19">
        <f t="shared" si="84"/>
        <v>4.9440993788819873E-2</v>
      </c>
      <c r="Y131" s="19">
        <f t="shared" si="84"/>
        <v>0</v>
      </c>
      <c r="Z131" s="19">
        <f t="shared" si="84"/>
        <v>2.5838509316770185E-3</v>
      </c>
      <c r="AA131" s="19">
        <f t="shared" si="84"/>
        <v>0</v>
      </c>
      <c r="AB131" s="19">
        <f t="shared" si="84"/>
        <v>0</v>
      </c>
      <c r="AC131" s="19">
        <f t="shared" si="84"/>
        <v>0</v>
      </c>
      <c r="AD131" s="19">
        <f t="shared" si="84"/>
        <v>0.23850931677018633</v>
      </c>
      <c r="AE131" s="19">
        <f t="shared" si="84"/>
        <v>0</v>
      </c>
      <c r="AF131" s="19">
        <f t="shared" si="84"/>
        <v>0</v>
      </c>
      <c r="AG131" s="19">
        <f t="shared" si="84"/>
        <v>0</v>
      </c>
      <c r="AH131" s="24"/>
      <c r="AI131" s="24"/>
      <c r="AJ131" s="24"/>
      <c r="AK131" s="59"/>
      <c r="AL131" s="59"/>
    </row>
    <row r="132" spans="2:38" x14ac:dyDescent="0.25">
      <c r="B132" s="25" t="s">
        <v>107</v>
      </c>
      <c r="C132" s="13">
        <v>42356</v>
      </c>
      <c r="D132" s="14" t="s">
        <v>97</v>
      </c>
      <c r="E132" s="31" t="s">
        <v>45</v>
      </c>
      <c r="F132" s="31">
        <v>68.5</v>
      </c>
      <c r="G132" s="36">
        <v>0.2</v>
      </c>
      <c r="H132" s="31">
        <v>85</v>
      </c>
      <c r="I132" s="31">
        <v>57</v>
      </c>
      <c r="K132" s="31">
        <v>2</v>
      </c>
      <c r="L132" s="15"/>
      <c r="M132" s="17"/>
      <c r="N132" s="18">
        <f>R132</f>
        <v>97000</v>
      </c>
      <c r="O132" s="19"/>
      <c r="P132" s="19"/>
      <c r="Q132" s="19"/>
      <c r="R132" s="34">
        <v>97000</v>
      </c>
      <c r="S132" s="19"/>
      <c r="T132" s="19"/>
      <c r="U132" s="19"/>
      <c r="V132" s="19"/>
      <c r="W132" s="19"/>
      <c r="X132" s="19"/>
      <c r="Y132" s="19"/>
      <c r="Z132" s="19">
        <f t="shared" si="70"/>
        <v>97000</v>
      </c>
      <c r="AA132" s="19"/>
      <c r="AB132" s="19"/>
      <c r="AC132" s="19"/>
      <c r="AD132" s="19">
        <v>6280</v>
      </c>
      <c r="AE132" s="19"/>
      <c r="AF132" s="19"/>
      <c r="AG132" s="24"/>
      <c r="AH132" s="24"/>
      <c r="AI132" s="24"/>
      <c r="AJ132" s="24"/>
      <c r="AK132" s="59">
        <f>SUM(N132:AJ132)</f>
        <v>297280</v>
      </c>
      <c r="AL132" s="59">
        <f>AK132/(F132*1000)</f>
        <v>4.33985401459854</v>
      </c>
    </row>
    <row r="133" spans="2:38" hidden="1" x14ac:dyDescent="0.25">
      <c r="B133" s="25"/>
      <c r="C133" s="13">
        <v>42356</v>
      </c>
      <c r="D133" s="14"/>
      <c r="E133" s="31"/>
      <c r="F133" s="31"/>
      <c r="G133" s="36"/>
      <c r="H133" s="31"/>
      <c r="I133" s="31"/>
      <c r="K133" s="31"/>
      <c r="L133" s="15"/>
      <c r="M133" s="17"/>
      <c r="N133" s="18">
        <f>N132/($F132*1000)</f>
        <v>1.416058394160584</v>
      </c>
      <c r="O133" s="19"/>
      <c r="P133" s="19">
        <f t="shared" ref="P133:AG133" si="85">P132/($F132*1000)</f>
        <v>0</v>
      </c>
      <c r="Q133" s="19">
        <f t="shared" si="85"/>
        <v>0</v>
      </c>
      <c r="R133" s="19">
        <f t="shared" si="85"/>
        <v>1.416058394160584</v>
      </c>
      <c r="S133" s="19">
        <f t="shared" si="85"/>
        <v>0</v>
      </c>
      <c r="T133" s="19">
        <f t="shared" si="85"/>
        <v>0</v>
      </c>
      <c r="U133" s="19">
        <f t="shared" si="85"/>
        <v>0</v>
      </c>
      <c r="V133" s="19">
        <f t="shared" si="85"/>
        <v>0</v>
      </c>
      <c r="W133" s="19">
        <f t="shared" si="85"/>
        <v>0</v>
      </c>
      <c r="X133" s="19">
        <f t="shared" si="85"/>
        <v>0</v>
      </c>
      <c r="Y133" s="19">
        <f t="shared" si="85"/>
        <v>0</v>
      </c>
      <c r="Z133" s="19">
        <f t="shared" si="85"/>
        <v>1.416058394160584</v>
      </c>
      <c r="AA133" s="19">
        <f t="shared" si="85"/>
        <v>0</v>
      </c>
      <c r="AB133" s="19">
        <f t="shared" si="85"/>
        <v>0</v>
      </c>
      <c r="AC133" s="19">
        <f t="shared" si="85"/>
        <v>0</v>
      </c>
      <c r="AD133" s="19">
        <f t="shared" si="85"/>
        <v>9.1678832116788317E-2</v>
      </c>
      <c r="AE133" s="19">
        <f t="shared" si="85"/>
        <v>0</v>
      </c>
      <c r="AF133" s="19">
        <f t="shared" si="85"/>
        <v>0</v>
      </c>
      <c r="AG133" s="19">
        <f t="shared" si="85"/>
        <v>0</v>
      </c>
      <c r="AH133" s="24"/>
      <c r="AI133" s="24"/>
      <c r="AJ133" s="24"/>
      <c r="AK133" s="59"/>
      <c r="AL133" s="59"/>
    </row>
    <row r="134" spans="2:38" hidden="1" x14ac:dyDescent="0.25">
      <c r="B134" s="25"/>
      <c r="C134" s="13">
        <v>42356</v>
      </c>
      <c r="D134" s="14"/>
      <c r="E134" s="31"/>
      <c r="F134" s="31"/>
      <c r="G134" s="36"/>
      <c r="H134" s="31"/>
      <c r="I134" s="31"/>
      <c r="K134" s="31"/>
      <c r="L134" s="15"/>
      <c r="M134" s="17"/>
      <c r="N134" s="18">
        <f>N133/N$2</f>
        <v>1.416058394160584E-6</v>
      </c>
      <c r="O134" s="19"/>
      <c r="P134" s="19">
        <f>P133/P$2</f>
        <v>0</v>
      </c>
      <c r="Q134" s="19">
        <f>Q133/Q$2</f>
        <v>0</v>
      </c>
      <c r="R134" s="19">
        <f>R133/R$2</f>
        <v>1.4160583941605839E-3</v>
      </c>
      <c r="S134" s="19">
        <f>S133/S$2</f>
        <v>0</v>
      </c>
      <c r="T134" s="19"/>
      <c r="U134" s="19">
        <f t="shared" ref="U134:AG134" si="86">U133/U$2</f>
        <v>0</v>
      </c>
      <c r="V134" s="19">
        <f t="shared" si="86"/>
        <v>0</v>
      </c>
      <c r="W134" s="19">
        <f t="shared" si="86"/>
        <v>0</v>
      </c>
      <c r="X134" s="19">
        <f t="shared" si="86"/>
        <v>0</v>
      </c>
      <c r="Y134" s="19">
        <f t="shared" si="86"/>
        <v>0</v>
      </c>
      <c r="Z134" s="19">
        <f t="shared" si="86"/>
        <v>1.4160583941605839E-4</v>
      </c>
      <c r="AA134" s="19">
        <f t="shared" si="86"/>
        <v>0</v>
      </c>
      <c r="AB134" s="19">
        <f t="shared" si="86"/>
        <v>0</v>
      </c>
      <c r="AC134" s="19">
        <f t="shared" si="86"/>
        <v>0</v>
      </c>
      <c r="AD134" s="19">
        <f t="shared" si="86"/>
        <v>9.1678832116788324E-3</v>
      </c>
      <c r="AE134" s="19">
        <f t="shared" si="86"/>
        <v>0</v>
      </c>
      <c r="AF134" s="19">
        <f t="shared" si="86"/>
        <v>0</v>
      </c>
      <c r="AG134" s="19">
        <f t="shared" si="86"/>
        <v>0</v>
      </c>
      <c r="AH134" s="24"/>
      <c r="AI134" s="24"/>
      <c r="AJ134" s="24"/>
      <c r="AK134" s="59"/>
      <c r="AL134" s="59"/>
    </row>
    <row r="135" spans="2:38" x14ac:dyDescent="0.25">
      <c r="B135" s="25" t="s">
        <v>108</v>
      </c>
      <c r="C135" s="13">
        <v>42356</v>
      </c>
      <c r="D135" s="14" t="s">
        <v>97</v>
      </c>
      <c r="E135" s="31" t="s">
        <v>45</v>
      </c>
      <c r="F135" s="31">
        <v>84</v>
      </c>
      <c r="G135" s="36">
        <v>0.2</v>
      </c>
      <c r="H135" s="31">
        <v>85</v>
      </c>
      <c r="I135" s="31">
        <v>57</v>
      </c>
      <c r="K135" s="31">
        <v>0.1</v>
      </c>
      <c r="L135" s="15"/>
      <c r="M135" s="17"/>
      <c r="N135" s="18">
        <f>R135</f>
        <v>38100</v>
      </c>
      <c r="O135" s="19"/>
      <c r="P135" s="19"/>
      <c r="Q135" s="19"/>
      <c r="R135" s="34">
        <v>38100</v>
      </c>
      <c r="S135" s="19"/>
      <c r="T135" s="19"/>
      <c r="U135" s="19"/>
      <c r="V135" s="19"/>
      <c r="W135" s="19"/>
      <c r="X135" s="19"/>
      <c r="Y135" s="19"/>
      <c r="Z135" s="19">
        <f t="shared" si="70"/>
        <v>38100</v>
      </c>
      <c r="AA135" s="19"/>
      <c r="AB135" s="19"/>
      <c r="AC135" s="19"/>
      <c r="AD135" s="19"/>
      <c r="AE135" s="19"/>
      <c r="AF135" s="19"/>
      <c r="AG135" s="24"/>
      <c r="AH135" s="24"/>
      <c r="AI135" s="24"/>
      <c r="AJ135" s="24"/>
      <c r="AK135" s="59">
        <f>SUM(N135:AJ135)</f>
        <v>114300</v>
      </c>
      <c r="AL135" s="59">
        <f>AK135/(F135*1000)</f>
        <v>1.3607142857142858</v>
      </c>
    </row>
    <row r="136" spans="2:38" hidden="1" x14ac:dyDescent="0.25">
      <c r="B136" s="25"/>
      <c r="C136" s="13">
        <v>42356</v>
      </c>
      <c r="D136" s="14"/>
      <c r="E136" s="31"/>
      <c r="F136" s="31"/>
      <c r="G136" s="36"/>
      <c r="H136" s="31"/>
      <c r="I136" s="31"/>
      <c r="J136" s="31"/>
      <c r="K136" s="15"/>
      <c r="L136" s="15"/>
      <c r="M136" s="17"/>
      <c r="N136" s="18">
        <f>N135/($F135*1000)</f>
        <v>0.45357142857142857</v>
      </c>
      <c r="O136" s="19"/>
      <c r="P136" s="19">
        <f t="shared" ref="P136:AG136" si="87">P135/($F135*1000)</f>
        <v>0</v>
      </c>
      <c r="Q136" s="19">
        <f t="shared" si="87"/>
        <v>0</v>
      </c>
      <c r="R136" s="19">
        <f t="shared" si="87"/>
        <v>0.45357142857142857</v>
      </c>
      <c r="S136" s="19">
        <f t="shared" si="87"/>
        <v>0</v>
      </c>
      <c r="T136" s="19">
        <f t="shared" si="87"/>
        <v>0</v>
      </c>
      <c r="U136" s="19">
        <f t="shared" si="87"/>
        <v>0</v>
      </c>
      <c r="V136" s="19">
        <f t="shared" si="87"/>
        <v>0</v>
      </c>
      <c r="W136" s="19">
        <f t="shared" si="87"/>
        <v>0</v>
      </c>
      <c r="X136" s="19">
        <f t="shared" si="87"/>
        <v>0</v>
      </c>
      <c r="Y136" s="19">
        <f t="shared" si="87"/>
        <v>0</v>
      </c>
      <c r="Z136" s="19">
        <f t="shared" si="87"/>
        <v>0.45357142857142857</v>
      </c>
      <c r="AA136" s="19">
        <f t="shared" si="87"/>
        <v>0</v>
      </c>
      <c r="AB136" s="19">
        <f t="shared" si="87"/>
        <v>0</v>
      </c>
      <c r="AC136" s="19">
        <f t="shared" si="87"/>
        <v>0</v>
      </c>
      <c r="AD136" s="19">
        <f t="shared" si="87"/>
        <v>0</v>
      </c>
      <c r="AE136" s="19">
        <f t="shared" si="87"/>
        <v>0</v>
      </c>
      <c r="AF136" s="19">
        <f t="shared" si="87"/>
        <v>0</v>
      </c>
      <c r="AG136" s="19">
        <f t="shared" si="87"/>
        <v>0</v>
      </c>
      <c r="AH136" s="24"/>
      <c r="AI136" s="24"/>
      <c r="AJ136" s="24"/>
      <c r="AK136" s="59"/>
      <c r="AL136" s="59"/>
    </row>
    <row r="137" spans="2:38" hidden="1" x14ac:dyDescent="0.25">
      <c r="B137" s="25"/>
      <c r="C137" s="13">
        <v>42356</v>
      </c>
      <c r="D137" s="14"/>
      <c r="E137" s="31"/>
      <c r="F137" s="31"/>
      <c r="G137" s="36"/>
      <c r="H137" s="31"/>
      <c r="I137" s="31"/>
      <c r="J137" s="31"/>
      <c r="K137" s="15"/>
      <c r="L137" s="15"/>
      <c r="M137" s="17"/>
      <c r="N137" s="18">
        <f>N136/N$2</f>
        <v>4.5357142857142859E-7</v>
      </c>
      <c r="O137" s="19"/>
      <c r="P137" s="19">
        <f>P136/P$2</f>
        <v>0</v>
      </c>
      <c r="Q137" s="19">
        <f>Q136/Q$2</f>
        <v>0</v>
      </c>
      <c r="R137" s="19">
        <f>R136/R$2</f>
        <v>4.5357142857142856E-4</v>
      </c>
      <c r="S137" s="19">
        <f>S136/S$2</f>
        <v>0</v>
      </c>
      <c r="T137" s="19"/>
      <c r="U137" s="19">
        <f t="shared" ref="U137:AG137" si="88">U136/U$2</f>
        <v>0</v>
      </c>
      <c r="V137" s="19">
        <f t="shared" si="88"/>
        <v>0</v>
      </c>
      <c r="W137" s="19">
        <f t="shared" si="88"/>
        <v>0</v>
      </c>
      <c r="X137" s="19">
        <f t="shared" si="88"/>
        <v>0</v>
      </c>
      <c r="Y137" s="19">
        <f t="shared" si="88"/>
        <v>0</v>
      </c>
      <c r="Z137" s="19">
        <f t="shared" si="88"/>
        <v>4.5357142857142856E-5</v>
      </c>
      <c r="AA137" s="19">
        <f t="shared" si="88"/>
        <v>0</v>
      </c>
      <c r="AB137" s="19">
        <f t="shared" si="88"/>
        <v>0</v>
      </c>
      <c r="AC137" s="19">
        <f t="shared" si="88"/>
        <v>0</v>
      </c>
      <c r="AD137" s="19">
        <f t="shared" si="88"/>
        <v>0</v>
      </c>
      <c r="AE137" s="19">
        <f t="shared" si="88"/>
        <v>0</v>
      </c>
      <c r="AF137" s="19">
        <f t="shared" si="88"/>
        <v>0</v>
      </c>
      <c r="AG137" s="19">
        <f t="shared" si="88"/>
        <v>0</v>
      </c>
      <c r="AH137" s="24"/>
      <c r="AI137" s="24"/>
      <c r="AJ137" s="24"/>
      <c r="AK137" s="59"/>
      <c r="AL137" s="59"/>
    </row>
    <row r="138" spans="2:38" x14ac:dyDescent="0.25">
      <c r="B138" s="25" t="s">
        <v>109</v>
      </c>
      <c r="C138" s="13">
        <v>42356</v>
      </c>
      <c r="D138" s="14" t="s">
        <v>110</v>
      </c>
      <c r="E138" s="31" t="s">
        <v>111</v>
      </c>
      <c r="F138" s="15">
        <v>148</v>
      </c>
      <c r="G138" s="36">
        <v>0.96</v>
      </c>
      <c r="H138" s="31">
        <v>120</v>
      </c>
      <c r="I138" s="31">
        <v>80</v>
      </c>
      <c r="J138" s="31">
        <v>100</v>
      </c>
      <c r="K138" s="15">
        <v>0.2</v>
      </c>
      <c r="L138" s="15"/>
      <c r="M138" s="17"/>
      <c r="N138" s="18"/>
      <c r="O138" s="24"/>
      <c r="P138" s="24">
        <v>32000</v>
      </c>
      <c r="Q138" s="24">
        <v>33300</v>
      </c>
      <c r="R138" s="24"/>
      <c r="S138" s="24"/>
      <c r="T138" s="24"/>
      <c r="U138" s="24"/>
      <c r="V138" s="24"/>
      <c r="W138" s="24"/>
      <c r="X138" s="24"/>
      <c r="Y138" s="24"/>
      <c r="Z138" s="24">
        <f>Q138/5</f>
        <v>6660</v>
      </c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59">
        <f t="shared" ref="AK138:AK149" si="89">SUM(N138:AJ138)</f>
        <v>71960</v>
      </c>
      <c r="AL138" s="59">
        <f t="shared" ref="AL138:AL149" si="90">AK138/(F138*1000)</f>
        <v>0.48621621621621619</v>
      </c>
    </row>
    <row r="139" spans="2:38" x14ac:dyDescent="0.25">
      <c r="B139" s="25" t="s">
        <v>112</v>
      </c>
      <c r="C139" s="13">
        <v>42356</v>
      </c>
      <c r="D139" s="14" t="s">
        <v>110</v>
      </c>
      <c r="E139" s="31" t="s">
        <v>111</v>
      </c>
      <c r="F139" s="15">
        <v>129</v>
      </c>
      <c r="G139" s="36">
        <v>0.96</v>
      </c>
      <c r="H139" s="31">
        <v>120</v>
      </c>
      <c r="I139" s="31">
        <v>80</v>
      </c>
      <c r="J139" s="31">
        <v>100</v>
      </c>
      <c r="K139" s="15">
        <v>0.2</v>
      </c>
      <c r="L139" s="15"/>
      <c r="M139" s="17"/>
      <c r="N139" s="18"/>
      <c r="O139" s="24"/>
      <c r="P139" s="24">
        <v>175</v>
      </c>
      <c r="Q139" s="24">
        <v>1890</v>
      </c>
      <c r="R139" s="24"/>
      <c r="S139" s="24"/>
      <c r="T139" s="24"/>
      <c r="U139" s="24"/>
      <c r="V139" s="24"/>
      <c r="W139" s="24"/>
      <c r="X139" s="24">
        <v>11200</v>
      </c>
      <c r="Y139" s="24"/>
      <c r="Z139" s="24">
        <f>Q139/5</f>
        <v>378</v>
      </c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59">
        <f t="shared" si="89"/>
        <v>13643</v>
      </c>
      <c r="AL139" s="59">
        <f t="shared" si="90"/>
        <v>0.10575968992248062</v>
      </c>
    </row>
    <row r="140" spans="2:38" x14ac:dyDescent="0.25">
      <c r="B140" s="25" t="s">
        <v>113</v>
      </c>
      <c r="C140" s="13">
        <v>42356</v>
      </c>
      <c r="D140" s="14" t="s">
        <v>110</v>
      </c>
      <c r="E140" s="31" t="s">
        <v>111</v>
      </c>
      <c r="F140" s="15">
        <v>84</v>
      </c>
      <c r="G140" s="36">
        <v>0.96</v>
      </c>
      <c r="H140" s="31">
        <v>120</v>
      </c>
      <c r="I140" s="31">
        <v>80</v>
      </c>
      <c r="J140" s="31">
        <v>100</v>
      </c>
      <c r="K140" s="15">
        <v>0.2</v>
      </c>
      <c r="L140" s="15"/>
      <c r="M140" s="17"/>
      <c r="N140" s="18"/>
      <c r="O140" s="24"/>
      <c r="P140" s="24">
        <v>1550</v>
      </c>
      <c r="Q140" s="24">
        <v>1660</v>
      </c>
      <c r="R140" s="24"/>
      <c r="S140" s="24"/>
      <c r="T140" s="24"/>
      <c r="U140" s="24"/>
      <c r="V140" s="24"/>
      <c r="W140" s="24"/>
      <c r="X140" s="24"/>
      <c r="Y140" s="24"/>
      <c r="Z140" s="24">
        <f>Q140/5</f>
        <v>332</v>
      </c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59">
        <f t="shared" si="89"/>
        <v>3542</v>
      </c>
      <c r="AL140" s="59">
        <f t="shared" si="90"/>
        <v>4.2166666666666665E-2</v>
      </c>
    </row>
    <row r="141" spans="2:38" x14ac:dyDescent="0.25">
      <c r="B141" s="25" t="s">
        <v>114</v>
      </c>
      <c r="C141" s="13">
        <v>42356</v>
      </c>
      <c r="D141" s="14" t="s">
        <v>110</v>
      </c>
      <c r="E141" s="31" t="s">
        <v>111</v>
      </c>
      <c r="F141" s="15">
        <v>198</v>
      </c>
      <c r="G141" s="36">
        <v>0.96</v>
      </c>
      <c r="H141" s="31">
        <v>120</v>
      </c>
      <c r="I141" s="31">
        <v>80</v>
      </c>
      <c r="J141" s="31">
        <v>100</v>
      </c>
      <c r="K141" s="15">
        <v>0.2</v>
      </c>
      <c r="L141" s="15"/>
      <c r="M141" s="17"/>
      <c r="N141" s="18"/>
      <c r="O141" s="24"/>
      <c r="P141" s="24">
        <v>3170</v>
      </c>
      <c r="Q141" s="24">
        <v>3660</v>
      </c>
      <c r="R141" s="24"/>
      <c r="S141" s="24">
        <v>3150</v>
      </c>
      <c r="T141" s="24"/>
      <c r="U141" s="24"/>
      <c r="V141" s="24"/>
      <c r="W141" s="24"/>
      <c r="X141" s="24"/>
      <c r="Y141" s="24"/>
      <c r="Z141" s="24">
        <f>Q141/5</f>
        <v>732</v>
      </c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59">
        <f t="shared" si="89"/>
        <v>10712</v>
      </c>
      <c r="AL141" s="59">
        <f t="shared" si="90"/>
        <v>5.4101010101010101E-2</v>
      </c>
    </row>
    <row r="142" spans="2:38" x14ac:dyDescent="0.25">
      <c r="B142" s="25" t="s">
        <v>126</v>
      </c>
      <c r="C142" s="13">
        <v>42356</v>
      </c>
      <c r="D142" s="14" t="s">
        <v>115</v>
      </c>
      <c r="E142" s="15" t="s">
        <v>116</v>
      </c>
      <c r="F142" s="15">
        <v>31</v>
      </c>
      <c r="G142" s="38">
        <v>0.17100000000000001</v>
      </c>
      <c r="H142" s="15">
        <v>30</v>
      </c>
      <c r="I142" s="15">
        <v>30</v>
      </c>
      <c r="J142" s="15">
        <v>190</v>
      </c>
      <c r="K142" s="15">
        <v>0.5</v>
      </c>
      <c r="L142" s="15"/>
      <c r="M142" s="17"/>
      <c r="N142" s="18"/>
      <c r="O142" s="19"/>
      <c r="P142" s="19"/>
      <c r="Q142" s="19"/>
      <c r="R142" s="34"/>
      <c r="S142" s="34">
        <f>((K142*6*(0.002^2))/1.2745)*1000000*25*2</f>
        <v>470.7728520988623</v>
      </c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24"/>
      <c r="AH142" s="24"/>
      <c r="AI142" s="24"/>
      <c r="AJ142" s="24"/>
      <c r="AK142" s="59">
        <f t="shared" si="89"/>
        <v>470.7728520988623</v>
      </c>
      <c r="AL142" s="59">
        <f t="shared" si="90"/>
        <v>1.5186221035447171E-2</v>
      </c>
    </row>
    <row r="143" spans="2:38" x14ac:dyDescent="0.25">
      <c r="B143" s="25" t="s">
        <v>117</v>
      </c>
      <c r="C143" s="13">
        <v>42356</v>
      </c>
      <c r="D143" s="14" t="s">
        <v>59</v>
      </c>
      <c r="E143" s="66" t="s">
        <v>123</v>
      </c>
      <c r="F143" s="31">
        <v>45</v>
      </c>
      <c r="G143" s="36">
        <v>0.03</v>
      </c>
      <c r="H143" s="31">
        <v>52</v>
      </c>
      <c r="I143" s="31">
        <v>31</v>
      </c>
      <c r="J143" s="31"/>
      <c r="K143" s="15">
        <v>0</v>
      </c>
      <c r="L143" s="15"/>
      <c r="M143" s="17"/>
      <c r="N143" s="39" t="s">
        <v>118</v>
      </c>
      <c r="O143" s="40"/>
      <c r="P143" s="40"/>
      <c r="Q143" s="40"/>
      <c r="R143" s="40"/>
      <c r="S143" s="40"/>
      <c r="T143" s="41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24"/>
      <c r="AH143" s="24"/>
      <c r="AI143" s="24"/>
      <c r="AJ143" s="24"/>
      <c r="AK143" s="59">
        <f t="shared" si="89"/>
        <v>0</v>
      </c>
      <c r="AL143" s="59">
        <f t="shared" si="90"/>
        <v>0</v>
      </c>
    </row>
    <row r="144" spans="2:38" x14ac:dyDescent="0.25">
      <c r="B144" s="25" t="s">
        <v>119</v>
      </c>
      <c r="C144" s="13">
        <v>42356</v>
      </c>
      <c r="D144" s="14" t="s">
        <v>59</v>
      </c>
      <c r="E144" s="66" t="s">
        <v>123</v>
      </c>
      <c r="F144" s="31">
        <v>12</v>
      </c>
      <c r="G144" s="36">
        <v>0.03</v>
      </c>
      <c r="H144" s="31">
        <v>52</v>
      </c>
      <c r="I144" s="31">
        <v>31</v>
      </c>
      <c r="J144" s="31"/>
      <c r="K144" s="15">
        <v>0</v>
      </c>
      <c r="L144" s="15"/>
      <c r="M144" s="17"/>
      <c r="N144" s="39" t="s">
        <v>118</v>
      </c>
      <c r="O144" s="40"/>
      <c r="P144" s="40"/>
      <c r="Q144" s="40"/>
      <c r="R144" s="40"/>
      <c r="S144" s="40"/>
      <c r="T144" s="41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24"/>
      <c r="AH144" s="24"/>
      <c r="AI144" s="24"/>
      <c r="AJ144" s="24"/>
      <c r="AK144" s="59">
        <f t="shared" si="89"/>
        <v>0</v>
      </c>
      <c r="AL144" s="59">
        <f t="shared" si="90"/>
        <v>0</v>
      </c>
    </row>
    <row r="145" spans="2:38" hidden="1" x14ac:dyDescent="0.25">
      <c r="B145" s="25"/>
      <c r="C145" s="13">
        <v>42356</v>
      </c>
      <c r="D145" s="31"/>
      <c r="E145" s="66"/>
      <c r="F145" s="31"/>
      <c r="G145" s="36"/>
      <c r="H145" s="31"/>
      <c r="I145" s="31"/>
      <c r="J145" s="31"/>
      <c r="K145" s="15"/>
      <c r="L145" s="15"/>
      <c r="M145" s="17"/>
      <c r="N145" s="28"/>
      <c r="O145" s="27"/>
      <c r="P145" s="28"/>
      <c r="Q145" s="28"/>
      <c r="R145" s="42"/>
      <c r="S145" s="28"/>
      <c r="T145" s="27"/>
      <c r="U145" s="28"/>
      <c r="V145" s="27"/>
      <c r="W145" s="27"/>
      <c r="X145" s="28"/>
      <c r="Y145" s="27"/>
      <c r="Z145" s="27"/>
      <c r="AA145" s="27"/>
      <c r="AB145" s="27"/>
      <c r="AC145" s="27"/>
      <c r="AD145" s="27"/>
      <c r="AE145" s="27"/>
      <c r="AF145" s="27"/>
      <c r="AG145" s="29"/>
      <c r="AH145" s="29"/>
      <c r="AI145" s="29"/>
      <c r="AJ145" s="29"/>
      <c r="AK145" s="59">
        <f t="shared" si="89"/>
        <v>0</v>
      </c>
      <c r="AL145" s="59" t="e">
        <f t="shared" si="90"/>
        <v>#DIV/0!</v>
      </c>
    </row>
    <row r="146" spans="2:38" hidden="1" x14ac:dyDescent="0.25">
      <c r="B146" s="25"/>
      <c r="C146" s="13">
        <v>42356</v>
      </c>
      <c r="D146" s="31"/>
      <c r="E146" s="66"/>
      <c r="F146" s="31"/>
      <c r="G146" s="36"/>
      <c r="H146" s="31"/>
      <c r="I146" s="31"/>
      <c r="J146" s="31"/>
      <c r="K146" s="15"/>
      <c r="L146" s="15"/>
      <c r="M146" s="17"/>
      <c r="N146" s="28"/>
      <c r="O146" s="27"/>
      <c r="P146" s="28"/>
      <c r="Q146" s="28"/>
      <c r="R146" s="42"/>
      <c r="S146" s="28"/>
      <c r="T146" s="27"/>
      <c r="U146" s="28"/>
      <c r="V146" s="27"/>
      <c r="W146" s="27"/>
      <c r="X146" s="28"/>
      <c r="Y146" s="27"/>
      <c r="Z146" s="27"/>
      <c r="AA146" s="27"/>
      <c r="AB146" s="27"/>
      <c r="AC146" s="27"/>
      <c r="AD146" s="27"/>
      <c r="AE146" s="27"/>
      <c r="AF146" s="27"/>
      <c r="AG146" s="29"/>
      <c r="AH146" s="29"/>
      <c r="AI146" s="29"/>
      <c r="AJ146" s="29"/>
      <c r="AK146" s="59">
        <f t="shared" si="89"/>
        <v>0</v>
      </c>
      <c r="AL146" s="59" t="e">
        <f t="shared" si="90"/>
        <v>#DIV/0!</v>
      </c>
    </row>
    <row r="147" spans="2:38" x14ac:dyDescent="0.25">
      <c r="B147" s="25" t="s">
        <v>120</v>
      </c>
      <c r="C147" s="13">
        <v>42356</v>
      </c>
      <c r="D147" s="14" t="s">
        <v>59</v>
      </c>
      <c r="E147" s="66" t="s">
        <v>124</v>
      </c>
      <c r="F147" s="15">
        <v>8</v>
      </c>
      <c r="G147" s="31">
        <v>0.06</v>
      </c>
      <c r="H147" s="31">
        <v>62</v>
      </c>
      <c r="I147" s="31">
        <v>40</v>
      </c>
      <c r="J147" s="31"/>
      <c r="K147" s="15">
        <v>0.2</v>
      </c>
      <c r="L147" s="15"/>
      <c r="M147" s="17"/>
      <c r="N147" s="18">
        <v>50699568</v>
      </c>
      <c r="O147" s="19"/>
      <c r="P147" s="19"/>
      <c r="Q147" s="19"/>
      <c r="R147" s="34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24"/>
      <c r="AH147" s="24"/>
      <c r="AI147" s="24"/>
      <c r="AJ147" s="24"/>
      <c r="AK147" s="59">
        <f t="shared" si="89"/>
        <v>50699568</v>
      </c>
      <c r="AL147" s="59">
        <f t="shared" si="90"/>
        <v>6337.4459999999999</v>
      </c>
    </row>
    <row r="148" spans="2:38" hidden="1" x14ac:dyDescent="0.25">
      <c r="B148" s="30"/>
      <c r="C148" s="43"/>
      <c r="D148" s="31"/>
      <c r="E148" s="31"/>
      <c r="F148" s="31"/>
      <c r="G148" s="36"/>
      <c r="H148" s="31"/>
      <c r="I148" s="31"/>
      <c r="J148" s="31"/>
      <c r="K148" s="15"/>
      <c r="L148" s="15"/>
      <c r="M148" s="17"/>
      <c r="N148" s="28"/>
      <c r="O148" s="27"/>
      <c r="P148" s="28"/>
      <c r="Q148" s="28"/>
      <c r="R148" s="42"/>
      <c r="S148" s="28"/>
      <c r="T148" s="27"/>
      <c r="U148" s="28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9"/>
      <c r="AH148" s="29"/>
      <c r="AI148" s="29"/>
      <c r="AJ148" s="29"/>
      <c r="AK148" s="60">
        <f t="shared" si="89"/>
        <v>0</v>
      </c>
      <c r="AL148" s="62" t="e">
        <f t="shared" si="90"/>
        <v>#DIV/0!</v>
      </c>
    </row>
    <row r="149" spans="2:38" hidden="1" x14ac:dyDescent="0.25">
      <c r="B149" s="30"/>
      <c r="C149" s="43"/>
      <c r="D149" s="31"/>
      <c r="E149" s="31"/>
      <c r="F149" s="31"/>
      <c r="G149" s="36"/>
      <c r="H149" s="31"/>
      <c r="I149" s="31"/>
      <c r="J149" s="31"/>
      <c r="K149" s="15"/>
      <c r="L149" s="15"/>
      <c r="M149" s="17"/>
      <c r="N149" s="28"/>
      <c r="O149" s="27"/>
      <c r="P149" s="28"/>
      <c r="Q149" s="28"/>
      <c r="R149" s="42"/>
      <c r="S149" s="28"/>
      <c r="T149" s="27"/>
      <c r="U149" s="28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9"/>
      <c r="AH149" s="29"/>
      <c r="AI149" s="29"/>
      <c r="AJ149" s="29"/>
      <c r="AK149" s="60">
        <f t="shared" si="89"/>
        <v>0</v>
      </c>
      <c r="AL149" s="62" t="e">
        <f t="shared" si="90"/>
        <v>#DIV/0!</v>
      </c>
    </row>
    <row r="150" spans="2:38" hidden="1" x14ac:dyDescent="0.25">
      <c r="B150" s="30"/>
      <c r="C150" s="43"/>
      <c r="D150" s="31"/>
      <c r="E150" s="31"/>
      <c r="F150" s="31"/>
      <c r="G150" s="36"/>
      <c r="H150" s="31"/>
      <c r="I150" s="31"/>
      <c r="J150" s="31"/>
      <c r="K150" s="15"/>
      <c r="L150" s="15"/>
      <c r="M150" s="17"/>
      <c r="N150" s="28"/>
      <c r="O150" s="27"/>
      <c r="P150" s="28"/>
      <c r="Q150" s="28"/>
      <c r="R150" s="42"/>
      <c r="S150" s="28"/>
      <c r="T150" s="27"/>
      <c r="U150" s="28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9"/>
      <c r="AH150" s="29"/>
      <c r="AI150" s="29"/>
      <c r="AJ150" s="29"/>
      <c r="AK150" s="60"/>
      <c r="AL150" s="62"/>
    </row>
    <row r="151" spans="2:38" hidden="1" x14ac:dyDescent="0.25">
      <c r="B151" s="30"/>
      <c r="C151" s="43"/>
      <c r="D151" s="31"/>
      <c r="E151" s="31"/>
      <c r="F151" s="31"/>
      <c r="G151" s="36"/>
      <c r="H151" s="31"/>
      <c r="I151" s="31"/>
      <c r="J151" s="31"/>
      <c r="K151" s="15"/>
      <c r="L151" s="15"/>
      <c r="M151" s="17"/>
      <c r="N151" s="28"/>
      <c r="O151" s="27"/>
      <c r="P151" s="28"/>
      <c r="Q151" s="28"/>
      <c r="R151" s="42"/>
      <c r="S151" s="28"/>
      <c r="T151" s="27"/>
      <c r="U151" s="28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9"/>
      <c r="AH151" s="29"/>
      <c r="AI151" s="29"/>
      <c r="AJ151" s="29"/>
      <c r="AK151" s="60"/>
      <c r="AL151" s="62">
        <f>SUM(N151:AJ151)</f>
        <v>0</v>
      </c>
    </row>
    <row r="152" spans="2:38" x14ac:dyDescent="0.25">
      <c r="B152" s="30"/>
      <c r="C152" s="43"/>
      <c r="D152" s="31"/>
      <c r="E152" s="31"/>
      <c r="F152" s="31"/>
      <c r="G152" s="36"/>
      <c r="H152" s="31"/>
      <c r="I152" s="31"/>
      <c r="J152" s="31"/>
      <c r="K152" s="15"/>
      <c r="L152" s="15"/>
      <c r="M152" s="17"/>
      <c r="N152" s="28"/>
      <c r="O152" s="27"/>
      <c r="P152" s="44"/>
      <c r="Q152" s="44"/>
      <c r="R152" s="42"/>
      <c r="S152" s="44"/>
      <c r="T152" s="27"/>
      <c r="U152" s="44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9"/>
      <c r="AH152" s="29"/>
      <c r="AI152" s="29"/>
      <c r="AJ152" s="29"/>
      <c r="AK152" s="60"/>
      <c r="AL152" s="62"/>
    </row>
    <row r="153" spans="2:38" ht="15.75" thickBot="1" x14ac:dyDescent="0.3">
      <c r="B153" s="30"/>
      <c r="C153" s="43"/>
      <c r="D153" s="45"/>
      <c r="E153" s="45"/>
      <c r="F153" s="45"/>
      <c r="G153" s="46"/>
      <c r="H153" s="45"/>
      <c r="I153" s="45"/>
      <c r="J153" s="45"/>
      <c r="K153" s="47"/>
      <c r="L153" s="47"/>
      <c r="M153" s="48"/>
      <c r="N153" s="49"/>
      <c r="O153" s="50"/>
      <c r="P153" s="50"/>
      <c r="Q153" s="50"/>
      <c r="R153" s="51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2"/>
      <c r="AH153" s="52"/>
      <c r="AI153" s="52"/>
      <c r="AJ153" s="52"/>
      <c r="AK153" s="61"/>
      <c r="AL153" s="63"/>
    </row>
    <row r="154" spans="2:38" x14ac:dyDescent="0.25">
      <c r="B154" s="11"/>
      <c r="C154" s="11"/>
    </row>
    <row r="157" spans="2:38" x14ac:dyDescent="0.25">
      <c r="F157" s="53"/>
      <c r="G157" s="54"/>
      <c r="H157" s="53"/>
      <c r="I157" s="53"/>
    </row>
    <row r="158" spans="2:38" x14ac:dyDescent="0.25">
      <c r="F158" s="53"/>
      <c r="G158" s="54"/>
      <c r="H158" s="53"/>
      <c r="I158" s="53"/>
    </row>
    <row r="159" spans="2:38" x14ac:dyDescent="0.25">
      <c r="F159" s="53"/>
      <c r="G159" s="54"/>
      <c r="H159" s="53"/>
      <c r="I159" s="53"/>
    </row>
    <row r="160" spans="2:38" x14ac:dyDescent="0.25">
      <c r="F160" s="53"/>
      <c r="G160" s="54"/>
      <c r="H160" s="53"/>
      <c r="I160" s="53"/>
    </row>
    <row r="161" spans="6:9" x14ac:dyDescent="0.25">
      <c r="F161" s="53"/>
      <c r="G161" s="54"/>
      <c r="H161" s="53"/>
      <c r="I161" s="53"/>
    </row>
  </sheetData>
  <mergeCells count="33">
    <mergeCell ref="K3:K4"/>
    <mergeCell ref="D3:D4"/>
    <mergeCell ref="E3:E4"/>
    <mergeCell ref="F3:F4"/>
    <mergeCell ref="G3:G4"/>
    <mergeCell ref="H3:J3"/>
    <mergeCell ref="W3:W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C3:AC4"/>
    <mergeCell ref="AD3:AD4"/>
    <mergeCell ref="AE3:AE4"/>
    <mergeCell ref="AF3:AF4"/>
    <mergeCell ref="AG3:AG4"/>
    <mergeCell ref="X3:X4"/>
    <mergeCell ref="Y3:Y4"/>
    <mergeCell ref="Z3:Z4"/>
    <mergeCell ref="AA3:AA4"/>
    <mergeCell ref="AB3:AB4"/>
    <mergeCell ref="AK3:AK4"/>
    <mergeCell ref="AL3:AL4"/>
    <mergeCell ref="AH3:AH4"/>
    <mergeCell ref="AI3:AI4"/>
    <mergeCell ref="AJ3:AJ4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Shipment INC_2015_03</vt:lpstr>
      <vt:lpstr>Sheet1</vt:lpstr>
    </vt:vector>
  </TitlesOfParts>
  <Company>STFC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Sennewald, David (STFC,RAL,ISIS)</dc:creator>
  <cp:lastModifiedBy>Bernie Marsh (UK SBS)</cp:lastModifiedBy>
  <dcterms:created xsi:type="dcterms:W3CDTF">2015-11-30T08:47:41Z</dcterms:created>
  <dcterms:modified xsi:type="dcterms:W3CDTF">2017-03-10T10:30:05Z</dcterms:modified>
</cp:coreProperties>
</file>