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modgovuk-my.sharepoint.com/personal/benjamin_jackson112_mod_gov_uk/Documents/Role/DES LE STSP-DCC-STA-PM1a/Survivability/PETREL/PETREL ITT/PETREL ITT Docs/ITT Schedules/"/>
    </mc:Choice>
  </mc:AlternateContent>
  <bookViews>
    <workbookView xWindow="0" yWindow="0" windowWidth="18960" windowHeight="7020" tabRatio="894"/>
  </bookViews>
  <sheets>
    <sheet name="Initial Cost Breakdown" sheetId="1" r:id="rId1"/>
    <sheet name="PETREL Prices" sheetId="16" r:id="rId2"/>
    <sheet name="PETREL SPC Prices" sheetId="15" r:id="rId3"/>
    <sheet name="Banded Qty Discount &amp; leadtimes" sheetId="12" r:id="rId4"/>
    <sheet name="PM Support Costs" sheetId="9" r:id="rId5"/>
    <sheet name="PDS" sheetId="11" r:id="rId6"/>
    <sheet name="RVFM Eval" sheetId="10" r:id="rId7"/>
    <sheet name="RVFM Overview" sheetId="8" r:id="rId8"/>
  </sheets>
  <definedNames>
    <definedName name="CADMIDYN" localSheetId="1">#REF!</definedName>
    <definedName name="CADMIDYN" localSheetId="2">#REF!</definedName>
    <definedName name="CADMIDYN">#REF!</definedName>
    <definedName name="CADMIDYN1" localSheetId="1">#REF!</definedName>
    <definedName name="CADMIDYN1" localSheetId="2">#REF!</definedName>
    <definedName name="CADMIDYN1">#REF!</definedName>
    <definedName name="COSTFORMAT" localSheetId="1">#REF!</definedName>
    <definedName name="COSTFORMAT" localSheetId="2">#REF!</definedName>
    <definedName name="COSTFORMA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0" l="1"/>
  <c r="C24" i="10"/>
  <c r="C25" i="10"/>
  <c r="C23" i="10"/>
  <c r="C16" i="10"/>
  <c r="C10" i="10"/>
  <c r="C6" i="10"/>
  <c r="C7" i="10"/>
  <c r="C5" i="10"/>
  <c r="E9" i="1" l="1"/>
  <c r="N7" i="9" l="1"/>
  <c r="M8" i="9"/>
  <c r="L8" i="9"/>
  <c r="K8" i="9"/>
  <c r="J8" i="9"/>
  <c r="I8" i="9"/>
  <c r="G8" i="9"/>
  <c r="F8" i="9"/>
  <c r="E8" i="9"/>
  <c r="D8" i="9"/>
  <c r="C8" i="9"/>
  <c r="N8" i="9" l="1"/>
  <c r="D12" i="8" s="1"/>
  <c r="F49" i="10"/>
  <c r="G49" i="10"/>
  <c r="H49" i="10"/>
  <c r="I49" i="10"/>
  <c r="J49" i="10"/>
  <c r="K49" i="10"/>
  <c r="L49" i="10"/>
  <c r="M49" i="10"/>
  <c r="E49" i="10"/>
  <c r="C12" i="8" l="1"/>
  <c r="C7" i="8"/>
  <c r="D7" i="8" s="1"/>
  <c r="C61" i="1" l="1"/>
  <c r="C62" i="1"/>
  <c r="C63" i="1"/>
  <c r="C64" i="1"/>
  <c r="C65" i="1"/>
  <c r="C60" i="1"/>
  <c r="C58" i="1"/>
  <c r="C59" i="1"/>
  <c r="C57" i="1"/>
  <c r="C38" i="1"/>
  <c r="C39" i="1"/>
  <c r="C37" i="1"/>
  <c r="C51" i="1"/>
  <c r="C52" i="1"/>
  <c r="C53" i="1"/>
  <c r="C54" i="1"/>
  <c r="C55" i="1"/>
  <c r="C50" i="1"/>
  <c r="C48" i="1"/>
  <c r="C49" i="1"/>
  <c r="C47" i="1"/>
  <c r="C31" i="1"/>
  <c r="C32" i="1"/>
  <c r="C33" i="1"/>
  <c r="C34" i="1"/>
  <c r="C35" i="1"/>
  <c r="C30" i="1"/>
  <c r="C28" i="1"/>
  <c r="C29" i="1"/>
  <c r="C27" i="1"/>
  <c r="C41" i="1"/>
  <c r="C42" i="1"/>
  <c r="C43" i="1"/>
  <c r="C44" i="1"/>
  <c r="C45" i="1"/>
  <c r="C40" i="1"/>
  <c r="C5" i="8"/>
  <c r="D5" i="8" s="1"/>
  <c r="C4" i="8"/>
  <c r="D4" i="8" s="1"/>
  <c r="B6" i="8"/>
  <c r="B5" i="8"/>
  <c r="B4" i="8"/>
  <c r="F28" i="10" l="1"/>
  <c r="F10" i="10"/>
  <c r="E16" i="10"/>
  <c r="E7" i="10"/>
  <c r="E6" i="10"/>
  <c r="E5" i="10"/>
  <c r="E34" i="10"/>
  <c r="E24" i="10"/>
  <c r="E25" i="10"/>
  <c r="E23" i="10"/>
  <c r="C28" i="10"/>
  <c r="H9" i="16" l="1"/>
  <c r="H8" i="16"/>
  <c r="H7" i="16"/>
  <c r="G2" i="16"/>
  <c r="D7" i="10" l="1"/>
  <c r="D5" i="10"/>
  <c r="I8" i="16"/>
  <c r="D24" i="10" s="1"/>
  <c r="F24" i="10" s="1"/>
  <c r="G24" i="10" s="1"/>
  <c r="D6" i="10"/>
  <c r="J8" i="16"/>
  <c r="K8" i="16" s="1"/>
  <c r="L8" i="16" s="1"/>
  <c r="M8" i="16" s="1"/>
  <c r="N8" i="16" s="1"/>
  <c r="O8" i="16" s="1"/>
  <c r="P8" i="16" s="1"/>
  <c r="Q8" i="16" s="1"/>
  <c r="J7" i="16"/>
  <c r="I7" i="16"/>
  <c r="D23" i="10" s="1"/>
  <c r="F23" i="10" s="1"/>
  <c r="G23" i="10" s="1"/>
  <c r="J9" i="16"/>
  <c r="K9" i="16" s="1"/>
  <c r="L9" i="16" s="1"/>
  <c r="M9" i="16" s="1"/>
  <c r="N9" i="16" s="1"/>
  <c r="O9" i="16" s="1"/>
  <c r="P9" i="16" s="1"/>
  <c r="Q9" i="16" s="1"/>
  <c r="I9" i="16"/>
  <c r="D25" i="10" s="1"/>
  <c r="F25" i="10" s="1"/>
  <c r="G25" i="10" s="1"/>
  <c r="G27" i="10" l="1"/>
  <c r="G29" i="10" s="1"/>
  <c r="K7" i="16"/>
  <c r="L7" i="16" s="1"/>
  <c r="E26" i="1"/>
  <c r="M7" i="16" l="1"/>
  <c r="C6" i="8"/>
  <c r="D6" i="8" l="1"/>
  <c r="N7" i="16"/>
  <c r="O7" i="16" l="1"/>
  <c r="P7" i="16" l="1"/>
  <c r="V26" i="11"/>
  <c r="T26" i="11"/>
  <c r="L41" i="10" s="1"/>
  <c r="L43" i="10" s="1"/>
  <c r="L44" i="10" s="1"/>
  <c r="R26" i="11"/>
  <c r="K41" i="10" s="1"/>
  <c r="K43" i="10" s="1"/>
  <c r="K44" i="10" s="1"/>
  <c r="P26" i="11"/>
  <c r="J41" i="10" s="1"/>
  <c r="J43" i="10" s="1"/>
  <c r="J44" i="10" s="1"/>
  <c r="N26" i="11"/>
  <c r="I41" i="10" s="1"/>
  <c r="I43" i="10" s="1"/>
  <c r="I44" i="10" s="1"/>
  <c r="L26" i="11"/>
  <c r="H41" i="10" s="1"/>
  <c r="H43" i="10" s="1"/>
  <c r="H44" i="10" s="1"/>
  <c r="J26" i="11"/>
  <c r="G41" i="10" s="1"/>
  <c r="G43" i="10" s="1"/>
  <c r="G44" i="10" s="1"/>
  <c r="H26" i="11"/>
  <c r="F41" i="10" s="1"/>
  <c r="F26" i="11"/>
  <c r="E41" i="10" s="1"/>
  <c r="E43" i="10" s="1"/>
  <c r="E44" i="10" s="1"/>
  <c r="D26" i="11"/>
  <c r="D41" i="10" s="1"/>
  <c r="D43" i="10" s="1"/>
  <c r="D44" i="10" s="1"/>
  <c r="M41" i="10"/>
  <c r="M43" i="10" s="1"/>
  <c r="M44" i="10" s="1"/>
  <c r="F43" i="10" l="1"/>
  <c r="F44" i="10" s="1"/>
  <c r="N44" i="10" s="1"/>
  <c r="D13" i="8" s="1"/>
  <c r="Q7" i="16"/>
  <c r="E2" i="9"/>
  <c r="H18" i="15"/>
  <c r="I18" i="15" s="1"/>
  <c r="J18" i="15" s="1"/>
  <c r="H17" i="15"/>
  <c r="I17" i="15" s="1"/>
  <c r="J17" i="15" s="1"/>
  <c r="H16" i="15"/>
  <c r="H15" i="15"/>
  <c r="H14" i="15"/>
  <c r="H13" i="15"/>
  <c r="H12" i="15"/>
  <c r="H11" i="15"/>
  <c r="H10" i="15"/>
  <c r="H9" i="15"/>
  <c r="H8" i="15"/>
  <c r="H7" i="15"/>
  <c r="G2" i="15"/>
  <c r="N43" i="10" l="1"/>
  <c r="C13" i="8" s="1"/>
  <c r="D16" i="10"/>
  <c r="F16" i="10" s="1"/>
  <c r="G16" i="10" s="1"/>
  <c r="I7" i="15"/>
  <c r="D50" i="10"/>
  <c r="D51" i="10" s="1"/>
  <c r="D52" i="10" s="1"/>
  <c r="I11" i="15"/>
  <c r="I15" i="15"/>
  <c r="I8" i="15"/>
  <c r="I12" i="15"/>
  <c r="I16" i="15"/>
  <c r="I9" i="15"/>
  <c r="I13" i="15"/>
  <c r="I10" i="15"/>
  <c r="I14" i="15"/>
  <c r="F5" i="10"/>
  <c r="G5" i="10" s="1"/>
  <c r="F7" i="10"/>
  <c r="G7" i="10" s="1"/>
  <c r="F6" i="10"/>
  <c r="G6" i="10" s="1"/>
  <c r="K18" i="15"/>
  <c r="L18" i="15" s="1"/>
  <c r="M18" i="15" s="1"/>
  <c r="N18" i="15" s="1"/>
  <c r="O18" i="15" s="1"/>
  <c r="P18" i="15" s="1"/>
  <c r="Q18" i="15" s="1"/>
  <c r="K17" i="15"/>
  <c r="L17" i="15" s="1"/>
  <c r="M17" i="15" s="1"/>
  <c r="N17" i="15" s="1"/>
  <c r="O17" i="15" s="1"/>
  <c r="P17" i="15" s="1"/>
  <c r="Q17" i="15" s="1"/>
  <c r="D34" i="10" l="1"/>
  <c r="F34" i="10" s="1"/>
  <c r="G34" i="10" s="1"/>
  <c r="G36" i="10" s="1"/>
  <c r="J13" i="15"/>
  <c r="K13" i="15" s="1"/>
  <c r="L13" i="15" s="1"/>
  <c r="M13" i="15" s="1"/>
  <c r="N13" i="15" s="1"/>
  <c r="O13" i="15" s="1"/>
  <c r="P13" i="15" s="1"/>
  <c r="Q13" i="15" s="1"/>
  <c r="J8" i="15"/>
  <c r="K8" i="15" s="1"/>
  <c r="L8" i="15" s="1"/>
  <c r="M8" i="15" s="1"/>
  <c r="N8" i="15" s="1"/>
  <c r="O8" i="15" s="1"/>
  <c r="P8" i="15" s="1"/>
  <c r="Q8" i="15" s="1"/>
  <c r="E36" i="1"/>
  <c r="J9" i="15"/>
  <c r="K9" i="15" s="1"/>
  <c r="L9" i="15" s="1"/>
  <c r="M9" i="15" s="1"/>
  <c r="N9" i="15" s="1"/>
  <c r="O9" i="15" s="1"/>
  <c r="P9" i="15" s="1"/>
  <c r="Q9" i="15" s="1"/>
  <c r="J15" i="15"/>
  <c r="K15" i="15" s="1"/>
  <c r="L15" i="15" s="1"/>
  <c r="M15" i="15" s="1"/>
  <c r="N15" i="15" s="1"/>
  <c r="O15" i="15" s="1"/>
  <c r="P15" i="15" s="1"/>
  <c r="Q15" i="15" s="1"/>
  <c r="J10" i="15"/>
  <c r="K10" i="15" s="1"/>
  <c r="L10" i="15" s="1"/>
  <c r="M10" i="15" s="1"/>
  <c r="N10" i="15" s="1"/>
  <c r="O10" i="15" s="1"/>
  <c r="P10" i="15" s="1"/>
  <c r="Q10" i="15" s="1"/>
  <c r="J12" i="15"/>
  <c r="K12" i="15" s="1"/>
  <c r="L12" i="15" s="1"/>
  <c r="M12" i="15" s="1"/>
  <c r="N12" i="15" s="1"/>
  <c r="O12" i="15" s="1"/>
  <c r="P12" i="15" s="1"/>
  <c r="Q12" i="15" s="1"/>
  <c r="J14" i="15"/>
  <c r="K14" i="15" s="1"/>
  <c r="L14" i="15" s="1"/>
  <c r="M14" i="15" s="1"/>
  <c r="N14" i="15" s="1"/>
  <c r="O14" i="15" s="1"/>
  <c r="P14" i="15" s="1"/>
  <c r="Q14" i="15" s="1"/>
  <c r="J16" i="15"/>
  <c r="K16" i="15" s="1"/>
  <c r="L16" i="15" s="1"/>
  <c r="M16" i="15" s="1"/>
  <c r="N16" i="15" s="1"/>
  <c r="O16" i="15" s="1"/>
  <c r="P16" i="15" s="1"/>
  <c r="Q16" i="15" s="1"/>
  <c r="J11" i="15"/>
  <c r="K11" i="15" s="1"/>
  <c r="L11" i="15" s="1"/>
  <c r="M11" i="15" s="1"/>
  <c r="N11" i="15" s="1"/>
  <c r="O11" i="15" s="1"/>
  <c r="P11" i="15" s="1"/>
  <c r="Q11" i="15" s="1"/>
  <c r="J7" i="15"/>
  <c r="E50" i="10"/>
  <c r="E51" i="10" s="1"/>
  <c r="G9" i="10"/>
  <c r="G11" i="10" s="1"/>
  <c r="E52" i="10" l="1"/>
  <c r="E54" i="10"/>
  <c r="C11" i="8"/>
  <c r="D11" i="8" s="1"/>
  <c r="C10" i="8"/>
  <c r="D10" i="8" s="1"/>
  <c r="E46" i="1"/>
  <c r="E56" i="1"/>
  <c r="F50" i="10"/>
  <c r="F51" i="10" s="1"/>
  <c r="F52" i="10" s="1"/>
  <c r="K7" i="15"/>
  <c r="G50" i="10" l="1"/>
  <c r="G51" i="10" s="1"/>
  <c r="G52" i="10" s="1"/>
  <c r="L7" i="15"/>
  <c r="G18" i="10"/>
  <c r="D8" i="8" l="1"/>
  <c r="C8" i="8"/>
  <c r="C9" i="8"/>
  <c r="D9" i="8" s="1"/>
  <c r="H50" i="10"/>
  <c r="H51" i="10" s="1"/>
  <c r="H52" i="10" s="1"/>
  <c r="M7" i="15"/>
  <c r="I50" i="10" l="1"/>
  <c r="I51" i="10" s="1"/>
  <c r="I52" i="10" s="1"/>
  <c r="N7" i="15"/>
  <c r="J50" i="10" l="1"/>
  <c r="J51" i="10" s="1"/>
  <c r="J52" i="10" s="1"/>
  <c r="O7" i="15"/>
  <c r="K50" i="10" l="1"/>
  <c r="K51" i="10" s="1"/>
  <c r="K52" i="10" s="1"/>
  <c r="P7" i="15"/>
  <c r="L50" i="10" l="1"/>
  <c r="L51" i="10" s="1"/>
  <c r="L52" i="10" s="1"/>
  <c r="Q7" i="15"/>
  <c r="M50" i="10" s="1"/>
  <c r="M51" i="10" s="1"/>
  <c r="M52" i="10" s="1"/>
  <c r="N52" i="10" l="1"/>
  <c r="D14" i="8" s="1"/>
  <c r="D3" i="8" s="1"/>
  <c r="E3" i="8" s="1"/>
  <c r="N51" i="10"/>
  <c r="C14" i="8" s="1"/>
  <c r="C3" i="8" s="1"/>
</calcChain>
</file>

<file path=xl/sharedStrings.xml><?xml version="1.0" encoding="utf-8"?>
<sst xmlns="http://schemas.openxmlformats.org/spreadsheetml/2006/main" count="347" uniqueCount="186">
  <si>
    <t>£</t>
  </si>
  <si>
    <r>
      <t xml:space="preserve">Figures provided should be given in </t>
    </r>
    <r>
      <rPr>
        <b/>
        <sz val="10"/>
        <rFont val="Calibri"/>
        <family val="2"/>
        <scheme val="minor"/>
      </rPr>
      <t>constant cost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0"/>
        <rFont val="Calibri"/>
        <family val="2"/>
        <scheme val="minor"/>
      </rPr>
      <t>exclude VAT</t>
    </r>
  </si>
  <si>
    <t>MoD CBS item number</t>
  </si>
  <si>
    <t>Activity - Work Package</t>
  </si>
  <si>
    <t>Activity Descriptors</t>
  </si>
  <si>
    <t>Cost</t>
  </si>
  <si>
    <t>1</t>
  </si>
  <si>
    <t>2</t>
  </si>
  <si>
    <t>3</t>
  </si>
  <si>
    <t>3.1</t>
  </si>
  <si>
    <t>3.2</t>
  </si>
  <si>
    <t>Reliability &amp; Maintainability Report</t>
  </si>
  <si>
    <t>3.3</t>
  </si>
  <si>
    <t>Maintenance Report</t>
  </si>
  <si>
    <t>3.4</t>
  </si>
  <si>
    <t>3.5</t>
  </si>
  <si>
    <t>Packaging, Handling, Storage and Transport  (PHS&amp;T) Plan</t>
  </si>
  <si>
    <t>3.6</t>
  </si>
  <si>
    <t>Configuration Management Plan</t>
  </si>
  <si>
    <t>3.7</t>
  </si>
  <si>
    <t>Obsolescence Management Plan</t>
  </si>
  <si>
    <t>3.8</t>
  </si>
  <si>
    <t>Disposal Plan</t>
  </si>
  <si>
    <t>3.9</t>
  </si>
  <si>
    <t>3.10</t>
  </si>
  <si>
    <t>Logistic Demonstration Plan</t>
  </si>
  <si>
    <t>3.11</t>
  </si>
  <si>
    <t>3.12</t>
  </si>
  <si>
    <t>3.13</t>
  </si>
  <si>
    <t>Level of Repair Analysis Report (LORA) Report.</t>
  </si>
  <si>
    <t>Equipment Breakdown Structure</t>
  </si>
  <si>
    <t>4</t>
  </si>
  <si>
    <t>6</t>
  </si>
  <si>
    <t>6.1</t>
  </si>
  <si>
    <t>6.2</t>
  </si>
  <si>
    <t>6.3</t>
  </si>
  <si>
    <t>6.4</t>
  </si>
  <si>
    <t>Inflation index</t>
  </si>
  <si>
    <t>Description</t>
  </si>
  <si>
    <t>Unit Production Cost (UPC)</t>
  </si>
  <si>
    <t>Delivery Lead Times (weeks)</t>
  </si>
  <si>
    <t>UPC + inflation year on year</t>
  </si>
  <si>
    <t>(Tenderer to complete)</t>
  </si>
  <si>
    <t>Component Name</t>
  </si>
  <si>
    <t>Component Description</t>
  </si>
  <si>
    <t>Minimum Order Quantity (MoQ)</t>
  </si>
  <si>
    <t>% discount to be applied to UPC</t>
  </si>
  <si>
    <t>Total Order quantity</t>
  </si>
  <si>
    <t>Additional % discount to be applied to UPC</t>
  </si>
  <si>
    <t>Financial Year</t>
  </si>
  <si>
    <t>Financial Year - OPTIONS</t>
  </si>
  <si>
    <t>Project Management Support Costs in £/year</t>
  </si>
  <si>
    <t>GRADE</t>
  </si>
  <si>
    <t>STANDARD HOURLY RATE</t>
  </si>
  <si>
    <t>Labour Rate (inclusive of Overhead &amp; Profit)</t>
  </si>
  <si>
    <t>RVFM Scenario Cost Calculation</t>
  </si>
  <si>
    <t>Size banded Qty Discount</t>
  </si>
  <si>
    <t>Total Cost</t>
  </si>
  <si>
    <t>Total Order</t>
  </si>
  <si>
    <t>Total Banded Qty Discount</t>
  </si>
  <si>
    <t>10 Year PM Support Cost</t>
  </si>
  <si>
    <t>Post Design Services</t>
  </si>
  <si>
    <t>Scenario of PDS hours</t>
  </si>
  <si>
    <t>Average Rate</t>
  </si>
  <si>
    <t>Yearly Hours</t>
  </si>
  <si>
    <t>NPV Assessed Cost</t>
  </si>
  <si>
    <t>NPV Assessed total</t>
  </si>
  <si>
    <t>Tenderer to Complete all prices in GBP (£)</t>
  </si>
  <si>
    <t>Year 1</t>
  </si>
  <si>
    <t>Year 2</t>
  </si>
  <si>
    <t>Year 3</t>
  </si>
  <si>
    <t>Year 4</t>
  </si>
  <si>
    <t>Year 5</t>
  </si>
  <si>
    <t>Year 6</t>
  </si>
  <si>
    <t>Year 7</t>
  </si>
  <si>
    <t xml:space="preserve">Year 8 </t>
  </si>
  <si>
    <t>Year 9</t>
  </si>
  <si>
    <t>Year 10</t>
  </si>
  <si>
    <t xml:space="preserve">Year 9 </t>
  </si>
  <si>
    <t>UPC Year 1</t>
  </si>
  <si>
    <t>Project PETREL</t>
  </si>
  <si>
    <t>6.5</t>
  </si>
  <si>
    <t>6.6</t>
  </si>
  <si>
    <t>K38D - Other manufactured goods</t>
  </si>
  <si>
    <t>Authority to update the K38D index</t>
  </si>
  <si>
    <t>PETREL Combat Shirt</t>
  </si>
  <si>
    <t>Size</t>
  </si>
  <si>
    <t>Any</t>
  </si>
  <si>
    <t>PETREL Combat Trouser</t>
  </si>
  <si>
    <t>PETREL Pelvic Protection</t>
  </si>
  <si>
    <t>Scalable Protection</t>
  </si>
  <si>
    <t>PETREL Banded Quantity Discount</t>
  </si>
  <si>
    <t>PETREL Scalable Protection Banded Quantity Discount</t>
  </si>
  <si>
    <t>Quantity of each clothing item (Shirt, Trouser, Pelvic Protection)</t>
  </si>
  <si>
    <t>5001 - 15000</t>
  </si>
  <si>
    <t>15001 - 30000</t>
  </si>
  <si>
    <t>&gt; 30000</t>
  </si>
  <si>
    <t>Quantity of Scalable Protection Set</t>
  </si>
  <si>
    <t>10001 - 30000</t>
  </si>
  <si>
    <t>30001 - 60000</t>
  </si>
  <si>
    <t>&gt; 60000</t>
  </si>
  <si>
    <t>PETREL Procurement / sets</t>
  </si>
  <si>
    <t>PETREL Scalable Protection Procurement / sets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</si>
  <si>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</si>
  <si>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</si>
  <si>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</si>
  <si>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</si>
  <si>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</si>
  <si>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</si>
  <si>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</si>
  <si>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</si>
  <si>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</si>
  <si>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</si>
  <si>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PETREL Tranche 1 - 1,000 Systems</t>
  </si>
  <si>
    <t>PETREL Tranche 2 - 20,000 Systems</t>
  </si>
  <si>
    <t>6.7</t>
  </si>
  <si>
    <t>6.8</t>
  </si>
  <si>
    <t>6.9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</si>
  <si>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</si>
  <si>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</si>
  <si>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</si>
  <si>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</si>
  <si>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</si>
  <si>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</si>
  <si>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</si>
  <si>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</si>
  <si>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</si>
  <si>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</si>
  <si>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500-1000</t>
  </si>
  <si>
    <t>1001 - 5000</t>
  </si>
  <si>
    <t>500-5000</t>
  </si>
  <si>
    <t>5001 - 10000</t>
  </si>
  <si>
    <t>UPC Year 2</t>
  </si>
  <si>
    <t>Quality Management Plan</t>
  </si>
  <si>
    <t>Tranche 1 - PETREL (1000 systems)</t>
  </si>
  <si>
    <t>Tranche 2 - PETREL (1000 systems)</t>
  </si>
  <si>
    <t>Delivery of the completed Quality Management Plan in accordance with the Statement of Requirement</t>
  </si>
  <si>
    <t>8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</si>
  <si>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</si>
  <si>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</si>
  <si>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</si>
  <si>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</si>
  <si>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</si>
  <si>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</si>
  <si>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</si>
  <si>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</si>
  <si>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</si>
  <si>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`</t>
  </si>
  <si>
    <t>System Cost</t>
  </si>
  <si>
    <t>Safety and Environmental (S&amp;E)</t>
  </si>
  <si>
    <t>Integrated Logistic Support (ILS) Publications</t>
  </si>
  <si>
    <t>% rate of replenishment based on Authority Assessment of Product Quality</t>
  </si>
  <si>
    <t>Training Information Package</t>
  </si>
  <si>
    <t>Damage Modes Effects Analysis (DMEA) Report</t>
  </si>
  <si>
    <t>Failure Modes Effects &amp; Criticality Analysis (FMECA) Report.</t>
  </si>
  <si>
    <t>Technical Documentation</t>
  </si>
  <si>
    <t>Codification Plan</t>
  </si>
  <si>
    <t>Configuration of the PETREL system</t>
  </si>
  <si>
    <t>3.14</t>
  </si>
  <si>
    <t>3.15</t>
  </si>
  <si>
    <t>PETREL Scalable Protection Component 1</t>
  </si>
  <si>
    <t>PETREL Scalable Protection Component 2</t>
  </si>
  <si>
    <t>PETREL Scalable Protection Component 3</t>
  </si>
  <si>
    <t>PETREL Scalable Protection Component 4</t>
  </si>
  <si>
    <t>PETREL Scalable Protection Component 5</t>
  </si>
  <si>
    <t>PETREL Scalable Protection Component 6</t>
  </si>
  <si>
    <t xml:space="preserve">Minimum Order Quantity (MoQ) </t>
  </si>
  <si>
    <t>Delivery of the completed S&amp;E Management plan, SECR Part 2 and Certificate of Conformity in accordance with Schedule 1 - Statement of Requirement</t>
  </si>
  <si>
    <t>As per the relevant sections on Schedule 1 - Statement of Requirement (costed where relevant)
This is the total cost for all ILS Publications, individual costs are also to be broken down in the lines below</t>
  </si>
  <si>
    <t>PETREL Tranche 1 - 20% Additional Buys</t>
  </si>
  <si>
    <t>PETREL Tranche 2 - 20% Additional Buys</t>
  </si>
  <si>
    <t>PETREL Prices</t>
  </si>
  <si>
    <t>PETREL SPC Prices</t>
  </si>
  <si>
    <t>Quantity of each item (These costs are automatically generated from the PETREL Prices and the banded quantity discount</t>
  </si>
  <si>
    <t>PM Support Costs</t>
  </si>
  <si>
    <t>PM Deliverables in accordance with Schedule 01 - Statement of Requirement</t>
  </si>
  <si>
    <t>Project  Management (PM) Deliverables</t>
  </si>
  <si>
    <t>Tranche 1 Procurement of 1,000 PETREL Systems + 20% in Year 1</t>
  </si>
  <si>
    <t>Tranche 1 Procurement of 1,000 PETREL Scalable Protection Systems +20% in Year 1</t>
  </si>
  <si>
    <t>Trance 2 Procurement of 20,000 PETREL Systems +20% in Year 1</t>
  </si>
  <si>
    <t>Tranche 2 Procurement of 20,000 PETREL Scalable Protection Systems +20% in Year 1</t>
  </si>
  <si>
    <t>PDS</t>
  </si>
  <si>
    <t>Tranche 1 - PETREL Additional Buys (20%)</t>
  </si>
  <si>
    <t>Tranche 2 - PETREL Additional Buys (20%)</t>
  </si>
  <si>
    <t>Additional Buys (Annual estimated quantity)</t>
  </si>
  <si>
    <t>Additional Buys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</si>
</sst>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£&quot;* #,##0.00_-;\-&quot;£&quot;* #,##0.00_-;_-&quot;£&quot;* &quot;-&quot;??_-;_-@_-"/>
    <numFmt numFmtId="164" formatCode="_-[$£-809]* #,##0.00_-;\-[$£-809]* #,##0.00_-;_-[$£-809]* &quot;-&quot;??_-;_-@_-"/>
    <numFmt numFmtId="165" formatCode="&quot;£&quot;#,##0.00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24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44" fontId="5" fillId="0" borderId="0" applyFont="0" applyFill="0" applyBorder="0" applyAlignment="0" applyProtection="0"/>
    <xf numFmtId="0" fontId="6" fillId="7" borderId="22" applyNumberFormat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19" fillId="12" borderId="0" applyNumberFormat="0" applyBorder="0" applyAlignment="0" applyProtection="0"/>
    <xf numFmtId="0" fontId="20" fillId="14" borderId="0" applyNumberFormat="0" applyBorder="0" applyAlignment="0" applyProtection="0"/>
    <xf numFmtId="44" fontId="5" fillId="0" borderId="0" applyFont="0" applyFill="0" applyBorder="0" applyAlignment="0" applyProtection="0"/>
  </cellStyleXfs>
  <cellXfs count="22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2" fillId="0" borderId="0" xfId="1"/>
    <xf numFmtId="0" fontId="2" fillId="0" borderId="0" xfId="1" applyBorder="1"/>
    <xf numFmtId="0" fontId="2" fillId="0" borderId="0" xfId="1" applyFont="1" applyBorder="1"/>
    <xf numFmtId="0" fontId="2" fillId="0" borderId="0" xfId="1" applyNumberFormat="1" applyAlignment="1">
      <alignment horizontal="center" vertical="center"/>
    </xf>
    <xf numFmtId="0" fontId="0" fillId="0" borderId="0" xfId="0" applyBorder="1"/>
    <xf numFmtId="0" fontId="4" fillId="0" borderId="0" xfId="0" applyFont="1"/>
    <xf numFmtId="0" fontId="2" fillId="6" borderId="13" xfId="0" applyFont="1" applyFill="1" applyBorder="1" applyAlignment="1"/>
    <xf numFmtId="10" fontId="2" fillId="6" borderId="12" xfId="1" applyNumberFormat="1" applyFill="1" applyBorder="1"/>
    <xf numFmtId="2" fontId="8" fillId="2" borderId="0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49" fontId="8" fillId="4" borderId="8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49" fontId="8" fillId="4" borderId="14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2" fillId="0" borderId="0" xfId="0" applyFont="1"/>
    <xf numFmtId="0" fontId="0" fillId="8" borderId="32" xfId="4" applyFont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/>
    <xf numFmtId="0" fontId="7" fillId="10" borderId="8" xfId="0" applyFont="1" applyFill="1" applyBorder="1"/>
    <xf numFmtId="0" fontId="0" fillId="10" borderId="14" xfId="0" applyFill="1" applyBorder="1"/>
    <xf numFmtId="44" fontId="0" fillId="0" borderId="9" xfId="2" applyFont="1" applyBorder="1" applyAlignment="1">
      <alignment horizontal="center"/>
    </xf>
    <xf numFmtId="0" fontId="0" fillId="10" borderId="28" xfId="0" applyFill="1" applyBorder="1"/>
    <xf numFmtId="0" fontId="0" fillId="8" borderId="11" xfId="4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0" borderId="0" xfId="1" applyFont="1"/>
    <xf numFmtId="164" fontId="7" fillId="11" borderId="13" xfId="0" applyNumberFormat="1" applyFont="1" applyFill="1" applyBorder="1"/>
    <xf numFmtId="0" fontId="0" fillId="0" borderId="19" xfId="0" applyBorder="1"/>
    <xf numFmtId="0" fontId="0" fillId="0" borderId="18" xfId="0" applyBorder="1"/>
    <xf numFmtId="0" fontId="0" fillId="0" borderId="17" xfId="0" applyBorder="1"/>
    <xf numFmtId="0" fontId="0" fillId="0" borderId="3" xfId="0" applyBorder="1"/>
    <xf numFmtId="9" fontId="0" fillId="0" borderId="0" xfId="0" applyNumberFormat="1" applyBorder="1"/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44" fontId="0" fillId="0" borderId="9" xfId="2" applyFont="1" applyBorder="1"/>
    <xf numFmtId="0" fontId="0" fillId="0" borderId="1" xfId="0" applyBorder="1"/>
    <xf numFmtId="0" fontId="0" fillId="0" borderId="39" xfId="0" applyBorder="1" applyAlignment="1">
      <alignment horizontal="center" vertical="center"/>
    </xf>
    <xf numFmtId="44" fontId="0" fillId="0" borderId="39" xfId="2" applyFont="1" applyBorder="1"/>
    <xf numFmtId="0" fontId="0" fillId="0" borderId="1" xfId="0" applyBorder="1" applyAlignment="1">
      <alignment horizontal="center" vertical="center"/>
    </xf>
    <xf numFmtId="0" fontId="0" fillId="0" borderId="23" xfId="0" applyBorder="1"/>
    <xf numFmtId="0" fontId="2" fillId="0" borderId="44" xfId="1" applyBorder="1"/>
    <xf numFmtId="0" fontId="0" fillId="0" borderId="12" xfId="0" applyBorder="1" applyAlignment="1">
      <alignment horizontal="center"/>
    </xf>
    <xf numFmtId="0" fontId="0" fillId="10" borderId="2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5" fillId="9" borderId="6" xfId="5" applyBorder="1" applyAlignment="1">
      <alignment horizontal="center" vertical="center"/>
    </xf>
    <xf numFmtId="0" fontId="5" fillId="9" borderId="6" xfId="5" applyBorder="1" applyAlignment="1">
      <alignment horizontal="center" vertical="center" wrapText="1"/>
    </xf>
    <xf numFmtId="0" fontId="5" fillId="9" borderId="7" xfId="5" applyBorder="1" applyAlignment="1">
      <alignment horizontal="center" vertical="center"/>
    </xf>
    <xf numFmtId="0" fontId="14" fillId="0" borderId="0" xfId="0" applyFont="1"/>
    <xf numFmtId="0" fontId="2" fillId="0" borderId="0" xfId="1" applyAlignment="1">
      <alignment horizontal="center" vertical="center"/>
    </xf>
    <xf numFmtId="0" fontId="0" fillId="0" borderId="0" xfId="4" applyFont="1" applyFill="1" applyBorder="1" applyAlignment="1">
      <alignment horizontal="center"/>
    </xf>
    <xf numFmtId="44" fontId="2" fillId="0" borderId="9" xfId="2" applyFont="1" applyFill="1" applyBorder="1" applyAlignment="1">
      <alignment horizontal="center" vertical="center" wrapText="1"/>
    </xf>
    <xf numFmtId="44" fontId="2" fillId="0" borderId="6" xfId="2" applyFont="1" applyFill="1" applyBorder="1" applyAlignment="1">
      <alignment horizontal="center" vertical="center" wrapText="1"/>
    </xf>
    <xf numFmtId="44" fontId="2" fillId="0" borderId="7" xfId="2" applyFont="1" applyFill="1" applyBorder="1" applyAlignment="1">
      <alignment horizontal="center" vertical="center" wrapText="1"/>
    </xf>
    <xf numFmtId="44" fontId="2" fillId="0" borderId="27" xfId="2" applyFont="1" applyFill="1" applyBorder="1" applyAlignment="1">
      <alignment horizontal="center" vertical="center" wrapText="1"/>
    </xf>
    <xf numFmtId="44" fontId="2" fillId="0" borderId="29" xfId="2" applyFont="1" applyFill="1" applyBorder="1" applyAlignment="1">
      <alignment horizontal="center" vertical="center" wrapText="1"/>
    </xf>
    <xf numFmtId="44" fontId="2" fillId="0" borderId="30" xfId="2" applyFont="1" applyFill="1" applyBorder="1" applyAlignment="1">
      <alignment horizontal="center" vertical="center" wrapText="1"/>
    </xf>
    <xf numFmtId="44" fontId="0" fillId="0" borderId="27" xfId="2" applyFont="1" applyBorder="1"/>
    <xf numFmtId="44" fontId="0" fillId="0" borderId="41" xfId="2" applyFont="1" applyBorder="1"/>
    <xf numFmtId="44" fontId="0" fillId="0" borderId="20" xfId="2" applyFont="1" applyFill="1" applyBorder="1"/>
    <xf numFmtId="0" fontId="5" fillId="9" borderId="37" xfId="5" applyBorder="1" applyAlignment="1">
      <alignment horizontal="center" vertical="center" wrapText="1"/>
    </xf>
    <xf numFmtId="0" fontId="5" fillId="9" borderId="38" xfId="5" applyBorder="1" applyAlignment="1">
      <alignment horizontal="center" vertical="center" wrapText="1"/>
    </xf>
    <xf numFmtId="0" fontId="5" fillId="9" borderId="42" xfId="5" applyBorder="1" applyAlignment="1">
      <alignment horizontal="center" vertical="center" wrapText="1"/>
    </xf>
    <xf numFmtId="0" fontId="5" fillId="9" borderId="41" xfId="5" applyBorder="1" applyAlignment="1">
      <alignment horizontal="center" vertical="center" wrapText="1"/>
    </xf>
    <xf numFmtId="0" fontId="5" fillId="9" borderId="17" xfId="5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0" fillId="0" borderId="0" xfId="2" applyFont="1" applyBorder="1"/>
    <xf numFmtId="44" fontId="7" fillId="0" borderId="0" xfId="2" applyFont="1" applyFill="1" applyBorder="1"/>
    <xf numFmtId="44" fontId="0" fillId="0" borderId="0" xfId="2" applyFont="1" applyFill="1" applyBorder="1"/>
    <xf numFmtId="0" fontId="7" fillId="0" borderId="25" xfId="0" applyFont="1" applyBorder="1"/>
    <xf numFmtId="0" fontId="5" fillId="0" borderId="0" xfId="5" applyFill="1" applyBorder="1" applyAlignment="1">
      <alignment horizontal="center"/>
    </xf>
    <xf numFmtId="165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9" borderId="16" xfId="5" applyNumberFormat="1" applyBorder="1" applyAlignment="1">
      <alignment horizontal="center" vertical="center" wrapText="1"/>
    </xf>
    <xf numFmtId="0" fontId="5" fillId="9" borderId="26" xfId="5" applyBorder="1" applyAlignment="1">
      <alignment horizontal="center" vertical="center"/>
    </xf>
    <xf numFmtId="0" fontId="7" fillId="9" borderId="21" xfId="5" applyFont="1" applyBorder="1" applyAlignment="1">
      <alignment horizontal="center" vertical="center"/>
    </xf>
    <xf numFmtId="0" fontId="7" fillId="10" borderId="13" xfId="0" applyFont="1" applyFill="1" applyBorder="1" applyAlignment="1">
      <alignment wrapText="1"/>
    </xf>
    <xf numFmtId="0" fontId="0" fillId="9" borderId="6" xfId="5" applyFont="1" applyBorder="1" applyAlignment="1">
      <alignment horizontal="center" vertical="center"/>
    </xf>
    <xf numFmtId="44" fontId="4" fillId="0" borderId="0" xfId="3" applyNumberFormat="1" applyFont="1" applyFill="1" applyBorder="1" applyAlignment="1">
      <alignment horizontal="center" vertical="center"/>
    </xf>
    <xf numFmtId="44" fontId="7" fillId="0" borderId="4" xfId="2" applyFont="1" applyFill="1" applyBorder="1"/>
    <xf numFmtId="164" fontId="7" fillId="0" borderId="20" xfId="0" applyNumberFormat="1" applyFont="1" applyFill="1" applyBorder="1"/>
    <xf numFmtId="0" fontId="8" fillId="0" borderId="0" xfId="0" applyFont="1" applyBorder="1" applyAlignment="1">
      <alignment horizontal="right"/>
    </xf>
    <xf numFmtId="0" fontId="17" fillId="0" borderId="0" xfId="0" applyFont="1" applyAlignment="1">
      <alignment horizontal="left" vertical="center" indent="9"/>
    </xf>
    <xf numFmtId="49" fontId="9" fillId="5" borderId="28" xfId="0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0" fontId="0" fillId="0" borderId="0" xfId="0" applyFont="1" applyBorder="1"/>
    <xf numFmtId="0" fontId="0" fillId="10" borderId="2" xfId="0" applyFont="1" applyFill="1" applyBorder="1" applyAlignment="1">
      <alignment horizontal="center" vertical="center" wrapText="1"/>
    </xf>
    <xf numFmtId="0" fontId="11" fillId="0" borderId="9" xfId="2" applyNumberFormat="1" applyFont="1" applyBorder="1" applyAlignment="1">
      <alignment horizontal="center"/>
    </xf>
    <xf numFmtId="0" fontId="6" fillId="7" borderId="6" xfId="3" applyNumberFormat="1" applyBorder="1" applyAlignment="1" applyProtection="1">
      <alignment horizontal="center" vertical="center" wrapText="1"/>
      <protection locked="0"/>
    </xf>
    <xf numFmtId="0" fontId="6" fillId="7" borderId="31" xfId="3" applyBorder="1" applyAlignment="1" applyProtection="1">
      <alignment vertical="center" wrapText="1"/>
      <protection locked="0"/>
    </xf>
    <xf numFmtId="0" fontId="6" fillId="7" borderId="33" xfId="3" applyBorder="1" applyAlignment="1" applyProtection="1">
      <alignment vertical="center" wrapText="1"/>
      <protection locked="0"/>
    </xf>
    <xf numFmtId="0" fontId="6" fillId="7" borderId="45" xfId="3" applyBorder="1" applyAlignment="1" applyProtection="1">
      <alignment vertical="center" wrapText="1"/>
      <protection locked="0"/>
    </xf>
    <xf numFmtId="0" fontId="6" fillId="7" borderId="34" xfId="3" applyBorder="1" applyAlignment="1" applyProtection="1">
      <alignment vertical="center" wrapText="1"/>
      <protection locked="0"/>
    </xf>
    <xf numFmtId="164" fontId="11" fillId="12" borderId="13" xfId="6" applyNumberFormat="1" applyFont="1" applyBorder="1"/>
    <xf numFmtId="164" fontId="11" fillId="12" borderId="23" xfId="6" applyNumberFormat="1" applyFont="1" applyBorder="1"/>
    <xf numFmtId="10" fontId="0" fillId="0" borderId="1" xfId="0" applyNumberFormat="1" applyBorder="1"/>
    <xf numFmtId="10" fontId="0" fillId="0" borderId="9" xfId="0" applyNumberFormat="1" applyBorder="1"/>
    <xf numFmtId="10" fontId="0" fillId="0" borderId="39" xfId="0" applyNumberFormat="1" applyBorder="1"/>
    <xf numFmtId="165" fontId="6" fillId="7" borderId="6" xfId="3" applyNumberFormat="1" applyBorder="1" applyAlignment="1" applyProtection="1">
      <alignment horizontal="center" vertical="center" wrapText="1"/>
      <protection locked="0"/>
    </xf>
    <xf numFmtId="165" fontId="6" fillId="7" borderId="40" xfId="3" applyNumberFormat="1" applyBorder="1" applyAlignment="1" applyProtection="1">
      <alignment horizontal="center" vertical="center" wrapText="1"/>
      <protection locked="0"/>
    </xf>
    <xf numFmtId="165" fontId="6" fillId="7" borderId="10" xfId="3" applyNumberFormat="1" applyBorder="1" applyAlignment="1" applyProtection="1">
      <alignment horizontal="center" vertical="center" wrapText="1"/>
      <protection locked="0"/>
    </xf>
    <xf numFmtId="165" fontId="6" fillId="7" borderId="9" xfId="3" applyNumberFormat="1" applyBorder="1" applyAlignment="1" applyProtection="1">
      <alignment horizontal="center" vertical="center" wrapText="1"/>
      <protection locked="0"/>
    </xf>
    <xf numFmtId="165" fontId="6" fillId="7" borderId="27" xfId="3" applyNumberFormat="1" applyBorder="1" applyAlignment="1" applyProtection="1">
      <alignment horizontal="center" vertical="center" wrapText="1"/>
      <protection locked="0"/>
    </xf>
    <xf numFmtId="165" fontId="6" fillId="7" borderId="46" xfId="3" applyNumberFormat="1" applyBorder="1" applyAlignment="1" applyProtection="1">
      <alignment horizontal="center" vertical="center" wrapText="1"/>
      <protection locked="0"/>
    </xf>
    <xf numFmtId="165" fontId="6" fillId="7" borderId="39" xfId="3" applyNumberFormat="1" applyBorder="1" applyAlignment="1" applyProtection="1">
      <alignment horizontal="center" vertical="center" wrapText="1"/>
      <protection locked="0"/>
    </xf>
    <xf numFmtId="165" fontId="6" fillId="7" borderId="41" xfId="3" applyNumberFormat="1" applyBorder="1" applyAlignment="1" applyProtection="1">
      <alignment horizontal="center" vertical="center" wrapText="1"/>
      <protection locked="0"/>
    </xf>
    <xf numFmtId="165" fontId="6" fillId="7" borderId="35" xfId="3" applyNumberFormat="1" applyBorder="1" applyAlignment="1" applyProtection="1">
      <alignment horizontal="center" vertical="center" wrapText="1"/>
      <protection locked="0"/>
    </xf>
    <xf numFmtId="165" fontId="6" fillId="7" borderId="29" xfId="3" applyNumberFormat="1" applyBorder="1" applyAlignment="1" applyProtection="1">
      <alignment horizontal="center" vertical="center" wrapText="1"/>
      <protection locked="0"/>
    </xf>
    <xf numFmtId="165" fontId="6" fillId="7" borderId="30" xfId="3" applyNumberFormat="1" applyBorder="1" applyAlignment="1" applyProtection="1">
      <alignment horizontal="center" vertical="center" wrapText="1"/>
      <protection locked="0"/>
    </xf>
    <xf numFmtId="165" fontId="0" fillId="0" borderId="20" xfId="0" applyNumberFormat="1" applyBorder="1"/>
    <xf numFmtId="165" fontId="0" fillId="0" borderId="0" xfId="0" applyNumberFormat="1"/>
    <xf numFmtId="0" fontId="0" fillId="9" borderId="20" xfId="5" applyFont="1" applyBorder="1" applyAlignment="1">
      <alignment horizontal="center" vertical="center"/>
    </xf>
    <xf numFmtId="0" fontId="0" fillId="9" borderId="43" xfId="5" applyFont="1" applyBorder="1" applyAlignment="1">
      <alignment horizontal="center" vertical="center"/>
    </xf>
    <xf numFmtId="10" fontId="5" fillId="8" borderId="20" xfId="4" applyNumberFormat="1" applyBorder="1" applyAlignment="1" applyProtection="1">
      <alignment horizontal="center" vertical="center" wrapText="1"/>
      <protection locked="0"/>
    </xf>
    <xf numFmtId="0" fontId="0" fillId="13" borderId="0" xfId="0" applyFont="1" applyFill="1" applyBorder="1" applyAlignment="1">
      <alignment horizontal="center"/>
    </xf>
    <xf numFmtId="0" fontId="0" fillId="0" borderId="13" xfId="0" applyBorder="1"/>
    <xf numFmtId="44" fontId="7" fillId="0" borderId="20" xfId="2" applyFont="1" applyFill="1" applyBorder="1"/>
    <xf numFmtId="0" fontId="0" fillId="0" borderId="9" xfId="2" applyNumberFormat="1" applyFont="1" applyBorder="1" applyAlignment="1">
      <alignment horizontal="center"/>
    </xf>
    <xf numFmtId="44" fontId="11" fillId="0" borderId="9" xfId="2" applyNumberFormat="1" applyFont="1" applyBorder="1" applyAlignment="1">
      <alignment horizontal="center"/>
    </xf>
    <xf numFmtId="44" fontId="6" fillId="7" borderId="7" xfId="2" applyFont="1" applyFill="1" applyBorder="1" applyAlignment="1" applyProtection="1">
      <alignment horizontal="center" vertical="center" wrapText="1"/>
      <protection locked="0"/>
    </xf>
    <xf numFmtId="44" fontId="6" fillId="7" borderId="27" xfId="2" applyFont="1" applyFill="1" applyBorder="1" applyAlignment="1" applyProtection="1">
      <alignment horizontal="center" vertical="center" wrapText="1"/>
      <protection locked="0"/>
    </xf>
    <xf numFmtId="44" fontId="6" fillId="7" borderId="41" xfId="2" applyFont="1" applyFill="1" applyBorder="1" applyAlignment="1" applyProtection="1">
      <alignment horizontal="center" vertical="center" wrapText="1"/>
      <protection locked="0"/>
    </xf>
    <xf numFmtId="44" fontId="6" fillId="7" borderId="30" xfId="2" applyFont="1" applyFill="1" applyBorder="1" applyAlignment="1" applyProtection="1">
      <alignment horizontal="center" vertical="center" wrapText="1"/>
      <protection locked="0"/>
    </xf>
    <xf numFmtId="44" fontId="5" fillId="8" borderId="41" xfId="2" applyFill="1" applyBorder="1" applyAlignment="1">
      <alignment horizontal="center" vertical="center"/>
    </xf>
    <xf numFmtId="44" fontId="5" fillId="8" borderId="27" xfId="2" applyFont="1" applyFill="1" applyBorder="1" applyAlignment="1">
      <alignment horizontal="center" vertical="center"/>
    </xf>
    <xf numFmtId="0" fontId="6" fillId="7" borderId="7" xfId="3" applyNumberFormat="1" applyBorder="1" applyAlignment="1" applyProtection="1">
      <alignment horizontal="center" vertical="center" wrapText="1"/>
      <protection locked="0"/>
    </xf>
    <xf numFmtId="0" fontId="6" fillId="7" borderId="27" xfId="3" applyNumberFormat="1" applyBorder="1" applyAlignment="1" applyProtection="1">
      <alignment horizontal="center" vertical="center" wrapText="1"/>
      <protection locked="0"/>
    </xf>
    <xf numFmtId="0" fontId="6" fillId="7" borderId="30" xfId="3" applyNumberForma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 wrapText="1"/>
    </xf>
    <xf numFmtId="0" fontId="2" fillId="0" borderId="30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vertical="center" wrapText="1"/>
    </xf>
    <xf numFmtId="0" fontId="1" fillId="0" borderId="28" xfId="1" applyFont="1" applyFill="1" applyBorder="1" applyAlignment="1">
      <alignment vertical="center" wrapText="1"/>
    </xf>
    <xf numFmtId="44" fontId="0" fillId="0" borderId="9" xfId="2" applyFont="1" applyBorder="1" applyAlignment="1">
      <alignment horizontal="center" vertical="center"/>
    </xf>
    <xf numFmtId="44" fontId="0" fillId="0" borderId="9" xfId="2" applyFont="1" applyFill="1" applyBorder="1" applyAlignment="1">
      <alignment horizontal="center" vertical="center"/>
    </xf>
    <xf numFmtId="44" fontId="0" fillId="0" borderId="29" xfId="2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4" fontId="0" fillId="0" borderId="11" xfId="2" applyFont="1" applyBorder="1" applyAlignment="1">
      <alignment horizontal="center" vertical="center"/>
    </xf>
    <xf numFmtId="0" fontId="7" fillId="9" borderId="16" xfId="5" applyFont="1" applyBorder="1"/>
    <xf numFmtId="44" fontId="7" fillId="9" borderId="26" xfId="2" applyFont="1" applyFill="1" applyBorder="1"/>
    <xf numFmtId="44" fontId="7" fillId="9" borderId="15" xfId="2" applyFont="1" applyFill="1" applyBorder="1"/>
    <xf numFmtId="44" fontId="2" fillId="0" borderId="40" xfId="2" applyFont="1" applyFill="1" applyBorder="1" applyAlignment="1">
      <alignment horizontal="center" vertical="center" wrapText="1"/>
    </xf>
    <xf numFmtId="44" fontId="2" fillId="0" borderId="10" xfId="2" applyFont="1" applyFill="1" applyBorder="1" applyAlignment="1">
      <alignment horizontal="center" vertical="center" wrapText="1"/>
    </xf>
    <xf numFmtId="44" fontId="2" fillId="0" borderId="35" xfId="2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0" borderId="4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2" fillId="0" borderId="0" xfId="0" applyFont="1" applyAlignment="1">
      <alignment horizontal="left"/>
    </xf>
    <xf numFmtId="164" fontId="7" fillId="0" borderId="12" xfId="0" applyNumberFormat="1" applyFont="1" applyFill="1" applyBorder="1"/>
    <xf numFmtId="164" fontId="11" fillId="12" borderId="12" xfId="6" applyNumberFormat="1" applyFont="1" applyBorder="1"/>
    <xf numFmtId="0" fontId="0" fillId="0" borderId="20" xfId="0" applyBorder="1"/>
    <xf numFmtId="164" fontId="7" fillId="0" borderId="12" xfId="0" applyNumberFormat="1" applyFont="1" applyFill="1" applyBorder="1" applyAlignment="1">
      <alignment vertical="center"/>
    </xf>
    <xf numFmtId="44" fontId="0" fillId="0" borderId="0" xfId="0" applyNumberFormat="1"/>
    <xf numFmtId="49" fontId="9" fillId="5" borderId="29" xfId="0" applyNumberFormat="1" applyFont="1" applyFill="1" applyBorder="1" applyAlignment="1">
      <alignment horizontal="left" vertical="center" wrapText="1" indent="2"/>
    </xf>
    <xf numFmtId="49" fontId="9" fillId="5" borderId="14" xfId="0" applyNumberFormat="1" applyFont="1" applyFill="1" applyBorder="1" applyAlignment="1">
      <alignment horizontal="center" vertical="center"/>
    </xf>
    <xf numFmtId="49" fontId="9" fillId="5" borderId="9" xfId="0" applyNumberFormat="1" applyFont="1" applyFill="1" applyBorder="1" applyAlignment="1">
      <alignment horizontal="left" vertical="center" wrapText="1" indent="2"/>
    </xf>
    <xf numFmtId="49" fontId="9" fillId="5" borderId="47" xfId="0" applyNumberFormat="1" applyFont="1" applyFill="1" applyBorder="1" applyAlignment="1">
      <alignment horizontal="left" vertical="center" wrapText="1" indent="2"/>
    </xf>
    <xf numFmtId="0" fontId="10" fillId="4" borderId="6" xfId="0" applyFont="1" applyFill="1" applyBorder="1" applyAlignment="1">
      <alignment vertical="center" wrapText="1"/>
    </xf>
    <xf numFmtId="0" fontId="10" fillId="4" borderId="9" xfId="0" applyFont="1" applyFill="1" applyBorder="1" applyAlignment="1">
      <alignment vertical="center" wrapText="1"/>
    </xf>
    <xf numFmtId="44" fontId="0" fillId="0" borderId="38" xfId="2" applyFont="1" applyFill="1" applyBorder="1" applyAlignment="1">
      <alignment horizontal="center" vertical="center"/>
    </xf>
    <xf numFmtId="44" fontId="0" fillId="0" borderId="27" xfId="2" applyFont="1" applyFill="1" applyBorder="1" applyAlignment="1">
      <alignment horizontal="center" vertical="center"/>
    </xf>
    <xf numFmtId="44" fontId="0" fillId="0" borderId="30" xfId="2" applyFont="1" applyFill="1" applyBorder="1" applyAlignment="1">
      <alignment horizontal="center" vertical="center"/>
    </xf>
    <xf numFmtId="44" fontId="4" fillId="0" borderId="0" xfId="0" applyNumberFormat="1" applyFont="1" applyAlignment="1">
      <alignment horizontal="left" vertical="center"/>
    </xf>
    <xf numFmtId="164" fontId="0" fillId="0" borderId="0" xfId="0" applyNumberFormat="1"/>
    <xf numFmtId="0" fontId="0" fillId="0" borderId="9" xfId="0" applyNumberForma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0" fillId="10" borderId="14" xfId="0" applyFill="1" applyBorder="1" applyAlignment="1">
      <alignment wrapText="1"/>
    </xf>
    <xf numFmtId="0" fontId="6" fillId="0" borderId="0" xfId="3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left" wrapText="1"/>
    </xf>
    <xf numFmtId="0" fontId="11" fillId="0" borderId="25" xfId="0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5" fillId="9" borderId="13" xfId="5" applyFont="1" applyBorder="1" applyAlignment="1">
      <alignment horizontal="center" vertical="center" wrapText="1"/>
    </xf>
    <xf numFmtId="0" fontId="5" fillId="9" borderId="23" xfId="5" applyFont="1" applyBorder="1" applyAlignment="1">
      <alignment horizontal="center" vertical="center" wrapText="1"/>
    </xf>
    <xf numFmtId="0" fontId="5" fillId="9" borderId="12" xfId="5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5" fillId="9" borderId="2" xfId="5" applyBorder="1" applyAlignment="1">
      <alignment horizontal="center" vertical="center"/>
    </xf>
    <xf numFmtId="0" fontId="5" fillId="9" borderId="5" xfId="5" applyBorder="1" applyAlignment="1">
      <alignment horizontal="center" vertical="center"/>
    </xf>
    <xf numFmtId="0" fontId="0" fillId="9" borderId="2" xfId="5" applyFont="1" applyBorder="1" applyAlignment="1">
      <alignment horizontal="center" vertical="center"/>
    </xf>
    <xf numFmtId="0" fontId="0" fillId="9" borderId="2" xfId="5" applyFont="1" applyBorder="1" applyAlignment="1">
      <alignment horizontal="center" vertical="center" wrapText="1"/>
    </xf>
    <xf numFmtId="0" fontId="5" fillId="9" borderId="5" xfId="5" applyBorder="1" applyAlignment="1">
      <alignment horizontal="center" vertical="center" wrapText="1"/>
    </xf>
    <xf numFmtId="0" fontId="5" fillId="9" borderId="2" xfId="5" applyFont="1" applyBorder="1" applyAlignment="1">
      <alignment horizontal="center" vertical="center"/>
    </xf>
    <xf numFmtId="0" fontId="5" fillId="9" borderId="5" xfId="5" applyFont="1" applyBorder="1" applyAlignment="1">
      <alignment horizontal="center" vertical="center"/>
    </xf>
    <xf numFmtId="0" fontId="5" fillId="9" borderId="2" xfId="5" applyBorder="1" applyAlignment="1">
      <alignment horizontal="center" vertical="center" wrapText="1"/>
    </xf>
    <xf numFmtId="0" fontId="5" fillId="9" borderId="13" xfId="5" applyBorder="1" applyAlignment="1">
      <alignment horizontal="center"/>
    </xf>
    <xf numFmtId="0" fontId="5" fillId="9" borderId="23" xfId="5" applyBorder="1" applyAlignment="1">
      <alignment horizontal="center"/>
    </xf>
    <xf numFmtId="0" fontId="5" fillId="9" borderId="12" xfId="5" applyBorder="1" applyAlignment="1">
      <alignment horizontal="center"/>
    </xf>
    <xf numFmtId="0" fontId="5" fillId="9" borderId="36" xfId="5" applyBorder="1" applyAlignment="1">
      <alignment horizontal="center" vertical="center" wrapText="1"/>
    </xf>
    <xf numFmtId="0" fontId="5" fillId="9" borderId="19" xfId="5" applyBorder="1" applyAlignment="1">
      <alignment horizontal="center" vertical="center" wrapText="1"/>
    </xf>
    <xf numFmtId="0" fontId="5" fillId="9" borderId="24" xfId="5" applyBorder="1" applyAlignment="1">
      <alignment horizontal="center" vertical="center" wrapText="1"/>
    </xf>
    <xf numFmtId="0" fontId="0" fillId="9" borderId="16" xfId="5" applyFont="1" applyBorder="1" applyAlignment="1">
      <alignment horizontal="center"/>
    </xf>
    <xf numFmtId="0" fontId="5" fillId="9" borderId="15" xfId="5" applyBorder="1" applyAlignment="1">
      <alignment horizontal="center"/>
    </xf>
    <xf numFmtId="0" fontId="0" fillId="8" borderId="19" xfId="4" applyFont="1" applyBorder="1" applyAlignment="1">
      <alignment horizontal="center" wrapText="1"/>
    </xf>
    <xf numFmtId="0" fontId="0" fillId="8" borderId="1" xfId="4" applyFont="1" applyBorder="1" applyAlignment="1">
      <alignment horizontal="center" wrapText="1"/>
    </xf>
    <xf numFmtId="0" fontId="0" fillId="8" borderId="18" xfId="4" applyFont="1" applyBorder="1" applyAlignment="1">
      <alignment horizontal="center" wrapText="1"/>
    </xf>
    <xf numFmtId="0" fontId="0" fillId="8" borderId="24" xfId="4" applyFont="1" applyBorder="1" applyAlignment="1">
      <alignment horizontal="center" wrapText="1"/>
    </xf>
    <xf numFmtId="0" fontId="0" fillId="8" borderId="0" xfId="4" applyFont="1" applyBorder="1" applyAlignment="1">
      <alignment horizontal="center" wrapText="1"/>
    </xf>
    <xf numFmtId="0" fontId="0" fillId="8" borderId="25" xfId="4" applyFont="1" applyBorder="1" applyAlignment="1">
      <alignment horizontal="center" wrapText="1"/>
    </xf>
    <xf numFmtId="9" fontId="20" fillId="14" borderId="17" xfId="7" applyNumberFormat="1" applyBorder="1" applyAlignment="1">
      <alignment horizontal="center"/>
    </xf>
    <xf numFmtId="9" fontId="20" fillId="14" borderId="3" xfId="7" applyNumberFormat="1" applyBorder="1" applyAlignment="1">
      <alignment horizontal="center"/>
    </xf>
    <xf numFmtId="9" fontId="20" fillId="14" borderId="4" xfId="7" applyNumberFormat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3" fontId="0" fillId="9" borderId="8" xfId="5" applyNumberFormat="1" applyFont="1" applyBorder="1" applyAlignment="1">
      <alignment horizontal="center" vertical="center" wrapText="1"/>
    </xf>
    <xf numFmtId="3" fontId="5" fillId="9" borderId="6" xfId="5" applyNumberFormat="1" applyBorder="1" applyAlignment="1">
      <alignment horizontal="center" vertical="center" wrapText="1"/>
    </xf>
    <xf numFmtId="0" fontId="2" fillId="0" borderId="0" xfId="1"/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9">
    <cellStyle name="20% - Accent1" xfId="4" builtinId="30"/>
    <cellStyle name="40% - Accent1" xfId="5" builtinId="31"/>
    <cellStyle name="Currency" xfId="2" builtinId="4"/>
    <cellStyle name="Currency 2" xfId="8"/>
    <cellStyle name="Good" xfId="7" builtinId="26"/>
    <cellStyle name="Input" xfId="3" builtinId="20"/>
    <cellStyle name="Neutral" xfId="6" builtinId="28"/>
    <cellStyle name="Normal" xfId="0" builtinId="0"/>
    <cellStyle name="Normal 2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5"/>
  <sheetViews>
    <sheetView showGridLines="0" tabSelected="1" zoomScaleNormal="100" workbookViewId="0">
      <pane ySplit="5" topLeftCell="A6" activePane="bottomLeft" state="frozen"/>
      <selection pane="bottomLeft" activeCell="L15" sqref="L15"/>
    </sheetView>
  </sheetViews>
  <sheetFormatPr defaultColWidth="9.140625" defaultRowHeight="15" x14ac:dyDescent="0.25"/>
  <cols>
    <col min="1" max="1" width="2.5703125" style="12" customWidth="1"/>
    <col min="2" max="2" width="11.28515625" style="13" bestFit="1" customWidth="1"/>
    <col min="3" max="3" width="49.5703125" style="12" customWidth="1"/>
    <col min="4" max="4" width="49.28515625" style="12" customWidth="1"/>
    <col min="5" max="5" width="21.42578125" style="12" customWidth="1"/>
    <col min="6" max="16384" width="9.140625" style="12"/>
  </cols>
  <sheetData>
    <row r="1" spans="2:9" ht="15.75" thickBot="1" x14ac:dyDescent="0.3">
      <c r="B1" s="86"/>
      <c r="C1" s="11"/>
      <c r="D1" s="19" t="s">
        <v>80</v>
      </c>
      <c r="E1" s="20"/>
    </row>
    <row r="2" spans="2:9" ht="15.75" thickBot="1" x14ac:dyDescent="0.3">
      <c r="B2" s="180" t="s">
        <v>83</v>
      </c>
      <c r="C2" s="181"/>
      <c r="D2" s="118">
        <v>0</v>
      </c>
      <c r="E2" s="179"/>
      <c r="F2" s="179"/>
      <c r="G2" s="179"/>
      <c r="H2" s="179"/>
      <c r="I2" s="179"/>
    </row>
    <row r="3" spans="2:9" x14ac:dyDescent="0.25">
      <c r="B3" s="182" t="s">
        <v>67</v>
      </c>
      <c r="C3" s="182"/>
      <c r="D3" s="119" t="s">
        <v>84</v>
      </c>
      <c r="E3" s="179"/>
      <c r="F3" s="179"/>
      <c r="G3" s="179"/>
      <c r="H3" s="179"/>
      <c r="I3" s="179"/>
    </row>
    <row r="4" spans="2:9" ht="15.75" thickBot="1" x14ac:dyDescent="0.3">
      <c r="B4" s="12" t="s">
        <v>1</v>
      </c>
      <c r="E4" s="179"/>
      <c r="F4" s="179"/>
      <c r="G4" s="179"/>
      <c r="H4" s="179"/>
      <c r="I4" s="179"/>
    </row>
    <row r="5" spans="2:9" ht="45.75" thickBot="1" x14ac:dyDescent="0.3">
      <c r="B5" s="78" t="s">
        <v>2</v>
      </c>
      <c r="C5" s="79" t="s">
        <v>3</v>
      </c>
      <c r="D5" s="79" t="s">
        <v>4</v>
      </c>
      <c r="E5" s="79" t="s">
        <v>5</v>
      </c>
    </row>
    <row r="6" spans="2:9" ht="15.75" thickBot="1" x14ac:dyDescent="0.3">
      <c r="B6" s="89"/>
      <c r="C6" s="90"/>
      <c r="D6" s="90"/>
      <c r="E6" s="90"/>
    </row>
    <row r="7" spans="2:9" ht="22.5" x14ac:dyDescent="0.25">
      <c r="B7" s="14" t="s">
        <v>6</v>
      </c>
      <c r="C7" s="15" t="s">
        <v>176</v>
      </c>
      <c r="D7" s="169" t="s">
        <v>175</v>
      </c>
      <c r="E7" s="124"/>
    </row>
    <row r="8" spans="2:9" ht="33.75" x14ac:dyDescent="0.25">
      <c r="B8" s="17" t="s">
        <v>7</v>
      </c>
      <c r="C8" s="18" t="s">
        <v>149</v>
      </c>
      <c r="D8" s="170" t="s">
        <v>167</v>
      </c>
      <c r="E8" s="125"/>
    </row>
    <row r="9" spans="2:9" ht="56.25" x14ac:dyDescent="0.25">
      <c r="B9" s="17" t="s">
        <v>8</v>
      </c>
      <c r="C9" s="18" t="s">
        <v>150</v>
      </c>
      <c r="D9" s="170" t="s">
        <v>168</v>
      </c>
      <c r="E9" s="128" t="str">
        <f>IF(SUM(E10:E22)&lt;1,"",(SUM(E10:E22)))</f>
        <v/>
      </c>
    </row>
    <row r="10" spans="2:9" x14ac:dyDescent="0.25">
      <c r="B10" s="166" t="s">
        <v>9</v>
      </c>
      <c r="C10" s="167" t="s">
        <v>153</v>
      </c>
      <c r="D10" s="16"/>
      <c r="E10" s="125"/>
      <c r="F10" s="87"/>
    </row>
    <row r="11" spans="2:9" ht="25.5" x14ac:dyDescent="0.25">
      <c r="B11" s="166" t="s">
        <v>10</v>
      </c>
      <c r="C11" s="167" t="s">
        <v>154</v>
      </c>
      <c r="D11" s="16"/>
      <c r="E11" s="125"/>
      <c r="F11" s="87"/>
    </row>
    <row r="12" spans="2:9" x14ac:dyDescent="0.25">
      <c r="B12" s="166" t="s">
        <v>12</v>
      </c>
      <c r="C12" s="167" t="s">
        <v>29</v>
      </c>
      <c r="D12" s="16"/>
      <c r="E12" s="125"/>
      <c r="F12" s="87"/>
    </row>
    <row r="13" spans="2:9" x14ac:dyDescent="0.25">
      <c r="B13" s="166" t="s">
        <v>14</v>
      </c>
      <c r="C13" s="167" t="s">
        <v>11</v>
      </c>
      <c r="D13" s="16"/>
      <c r="E13" s="125"/>
      <c r="F13" s="87"/>
    </row>
    <row r="14" spans="2:9" x14ac:dyDescent="0.25">
      <c r="B14" s="166" t="s">
        <v>15</v>
      </c>
      <c r="C14" s="167" t="s">
        <v>13</v>
      </c>
      <c r="D14" s="16"/>
      <c r="E14" s="125"/>
      <c r="F14" s="87"/>
    </row>
    <row r="15" spans="2:9" x14ac:dyDescent="0.25">
      <c r="B15" s="166" t="s">
        <v>17</v>
      </c>
      <c r="C15" s="167" t="s">
        <v>20</v>
      </c>
      <c r="D15" s="16"/>
      <c r="E15" s="125"/>
      <c r="F15" s="87"/>
    </row>
    <row r="16" spans="2:9" x14ac:dyDescent="0.25">
      <c r="B16" s="166" t="s">
        <v>19</v>
      </c>
      <c r="C16" s="167" t="s">
        <v>30</v>
      </c>
      <c r="D16" s="16"/>
      <c r="E16" s="125"/>
      <c r="F16" s="87"/>
    </row>
    <row r="17" spans="2:6" x14ac:dyDescent="0.25">
      <c r="B17" s="166" t="s">
        <v>21</v>
      </c>
      <c r="C17" s="167" t="s">
        <v>25</v>
      </c>
      <c r="D17" s="16"/>
      <c r="E17" s="125"/>
      <c r="F17" s="87"/>
    </row>
    <row r="18" spans="2:6" x14ac:dyDescent="0.25">
      <c r="B18" s="166" t="s">
        <v>23</v>
      </c>
      <c r="C18" s="167" t="s">
        <v>155</v>
      </c>
      <c r="D18" s="16"/>
      <c r="E18" s="125"/>
      <c r="F18" s="87"/>
    </row>
    <row r="19" spans="2:6" x14ac:dyDescent="0.25">
      <c r="B19" s="166" t="s">
        <v>24</v>
      </c>
      <c r="C19" s="168" t="s">
        <v>156</v>
      </c>
      <c r="D19" s="16"/>
      <c r="E19" s="125"/>
      <c r="F19" s="87"/>
    </row>
    <row r="20" spans="2:6" x14ac:dyDescent="0.25">
      <c r="B20" s="166" t="s">
        <v>26</v>
      </c>
      <c r="C20" s="167" t="s">
        <v>157</v>
      </c>
      <c r="D20" s="16"/>
      <c r="E20" s="125"/>
      <c r="F20" s="87"/>
    </row>
    <row r="21" spans="2:6" ht="25.5" x14ac:dyDescent="0.25">
      <c r="B21" s="166" t="s">
        <v>27</v>
      </c>
      <c r="C21" s="167" t="s">
        <v>16</v>
      </c>
      <c r="D21" s="16"/>
      <c r="E21" s="125"/>
      <c r="F21" s="87"/>
    </row>
    <row r="22" spans="2:6" x14ac:dyDescent="0.25">
      <c r="B22" s="166" t="s">
        <v>28</v>
      </c>
      <c r="C22" s="167" t="s">
        <v>18</v>
      </c>
      <c r="D22" s="16"/>
      <c r="E22" s="125"/>
      <c r="F22" s="87"/>
    </row>
    <row r="23" spans="2:6" x14ac:dyDescent="0.25">
      <c r="B23" s="166" t="s">
        <v>158</v>
      </c>
      <c r="C23" s="168" t="s">
        <v>152</v>
      </c>
      <c r="D23" s="16"/>
      <c r="E23" s="125"/>
      <c r="F23" s="87"/>
    </row>
    <row r="24" spans="2:6" x14ac:dyDescent="0.25">
      <c r="B24" s="166" t="s">
        <v>159</v>
      </c>
      <c r="C24" s="167" t="s">
        <v>22</v>
      </c>
      <c r="D24" s="16"/>
      <c r="E24" s="125"/>
      <c r="F24" s="87"/>
    </row>
    <row r="25" spans="2:6" ht="22.5" x14ac:dyDescent="0.25">
      <c r="B25" s="17" t="s">
        <v>31</v>
      </c>
      <c r="C25" s="18" t="s">
        <v>133</v>
      </c>
      <c r="D25" s="170" t="s">
        <v>136</v>
      </c>
      <c r="E25" s="125"/>
      <c r="F25" s="87"/>
    </row>
    <row r="26" spans="2:6" ht="22.5" x14ac:dyDescent="0.25">
      <c r="B26" s="17" t="s">
        <v>103</v>
      </c>
      <c r="C26" s="18" t="s">
        <v>113</v>
      </c>
      <c r="D26" s="170" t="s">
        <v>173</v>
      </c>
      <c r="E26" s="129">
        <f>SUM(E27:E29)</f>
        <v>0</v>
      </c>
      <c r="F26" s="87"/>
    </row>
    <row r="27" spans="2:6" x14ac:dyDescent="0.25">
      <c r="B27" s="166" t="s">
        <v>104</v>
      </c>
      <c r="C27" s="167" t="str">
        <f>'PETREL Prices'!C7</f>
        <v>PETREL Combat Shirt</v>
      </c>
      <c r="D27" s="125"/>
      <c r="E27" s="125"/>
    </row>
    <row r="28" spans="2:6" x14ac:dyDescent="0.25">
      <c r="B28" s="166" t="s">
        <v>105</v>
      </c>
      <c r="C28" s="167" t="str">
        <f>'PETREL Prices'!C8</f>
        <v>PETREL Combat Trouser</v>
      </c>
      <c r="D28" s="125"/>
      <c r="E28" s="125"/>
    </row>
    <row r="29" spans="2:6" x14ac:dyDescent="0.25">
      <c r="B29" s="166" t="s">
        <v>106</v>
      </c>
      <c r="C29" s="167" t="str">
        <f>'PETREL Prices'!C9</f>
        <v>PETREL Pelvic Protection</v>
      </c>
      <c r="D29" s="125"/>
      <c r="E29" s="125"/>
    </row>
    <row r="30" spans="2:6" x14ac:dyDescent="0.25">
      <c r="B30" s="166" t="s">
        <v>107</v>
      </c>
      <c r="C30" s="167" t="str">
        <f>'PETREL SPC Prices'!C7</f>
        <v>PETREL Scalable Protection Component 1</v>
      </c>
      <c r="D30" s="125"/>
      <c r="E30" s="126"/>
    </row>
    <row r="31" spans="2:6" x14ac:dyDescent="0.25">
      <c r="B31" s="166" t="s">
        <v>108</v>
      </c>
      <c r="C31" s="167" t="str">
        <f>'PETREL SPC Prices'!C8</f>
        <v>PETREL Scalable Protection Component 2</v>
      </c>
      <c r="D31" s="125"/>
      <c r="E31" s="126"/>
    </row>
    <row r="32" spans="2:6" x14ac:dyDescent="0.25">
      <c r="B32" s="166" t="s">
        <v>109</v>
      </c>
      <c r="C32" s="167" t="str">
        <f>'PETREL SPC Prices'!C9</f>
        <v>PETREL Scalable Protection Component 3</v>
      </c>
      <c r="D32" s="125"/>
      <c r="E32" s="126"/>
    </row>
    <row r="33" spans="2:6" x14ac:dyDescent="0.25">
      <c r="B33" s="166" t="s">
        <v>110</v>
      </c>
      <c r="C33" s="167" t="str">
        <f>'PETREL SPC Prices'!C10</f>
        <v>PETREL Scalable Protection Component 4</v>
      </c>
      <c r="D33" s="125"/>
      <c r="E33" s="126"/>
    </row>
    <row r="34" spans="2:6" x14ac:dyDescent="0.25">
      <c r="B34" s="166" t="s">
        <v>111</v>
      </c>
      <c r="C34" s="167" t="str">
        <f>'PETREL SPC Prices'!C11</f>
        <v>PETREL Scalable Protection Component 5</v>
      </c>
      <c r="D34" s="125"/>
      <c r="E34" s="126"/>
    </row>
    <row r="35" spans="2:6" x14ac:dyDescent="0.25">
      <c r="B35" s="166" t="s">
        <v>112</v>
      </c>
      <c r="C35" s="167" t="str">
        <f>'PETREL SPC Prices'!C12</f>
        <v>PETREL Scalable Protection Component 6</v>
      </c>
      <c r="D35" s="125"/>
      <c r="E35" s="126"/>
    </row>
    <row r="36" spans="2:6" ht="22.5" x14ac:dyDescent="0.25">
      <c r="B36" s="17" t="s">
        <v>32</v>
      </c>
      <c r="C36" s="18" t="s">
        <v>169</v>
      </c>
      <c r="D36" s="170" t="s">
        <v>173</v>
      </c>
      <c r="E36" s="129">
        <f>SUM(E37:E45)</f>
        <v>0</v>
      </c>
      <c r="F36" s="87"/>
    </row>
    <row r="37" spans="2:6" x14ac:dyDescent="0.25">
      <c r="B37" s="166" t="s">
        <v>33</v>
      </c>
      <c r="C37" s="167" t="str">
        <f>'PETREL Prices'!C7</f>
        <v>PETREL Combat Shirt</v>
      </c>
      <c r="D37" s="125"/>
      <c r="E37" s="125"/>
    </row>
    <row r="38" spans="2:6" x14ac:dyDescent="0.25">
      <c r="B38" s="166" t="s">
        <v>34</v>
      </c>
      <c r="C38" s="167" t="str">
        <f>'PETREL Prices'!C8</f>
        <v>PETREL Combat Trouser</v>
      </c>
      <c r="D38" s="125"/>
      <c r="E38" s="125"/>
    </row>
    <row r="39" spans="2:6" x14ac:dyDescent="0.25">
      <c r="B39" s="166" t="s">
        <v>35</v>
      </c>
      <c r="C39" s="167" t="str">
        <f>'PETREL Prices'!C9</f>
        <v>PETREL Pelvic Protection</v>
      </c>
      <c r="D39" s="125"/>
      <c r="E39" s="125"/>
    </row>
    <row r="40" spans="2:6" x14ac:dyDescent="0.25">
      <c r="B40" s="166" t="s">
        <v>36</v>
      </c>
      <c r="C40" s="167" t="str">
        <f>'PETREL SPC Prices'!C7</f>
        <v>PETREL Scalable Protection Component 1</v>
      </c>
      <c r="D40" s="125"/>
      <c r="E40" s="126"/>
    </row>
    <row r="41" spans="2:6" x14ac:dyDescent="0.25">
      <c r="B41" s="166" t="s">
        <v>81</v>
      </c>
      <c r="C41" s="167" t="str">
        <f>'PETREL SPC Prices'!C8</f>
        <v>PETREL Scalable Protection Component 2</v>
      </c>
      <c r="D41" s="125"/>
      <c r="E41" s="126"/>
    </row>
    <row r="42" spans="2:6" x14ac:dyDescent="0.25">
      <c r="B42" s="166" t="s">
        <v>82</v>
      </c>
      <c r="C42" s="167" t="str">
        <f>'PETREL SPC Prices'!C9</f>
        <v>PETREL Scalable Protection Component 3</v>
      </c>
      <c r="D42" s="125"/>
      <c r="E42" s="126"/>
    </row>
    <row r="43" spans="2:6" x14ac:dyDescent="0.25">
      <c r="B43" s="166" t="s">
        <v>115</v>
      </c>
      <c r="C43" s="167" t="str">
        <f>'PETREL SPC Prices'!C10</f>
        <v>PETREL Scalable Protection Component 4</v>
      </c>
      <c r="D43" s="125"/>
      <c r="E43" s="126"/>
    </row>
    <row r="44" spans="2:6" x14ac:dyDescent="0.25">
      <c r="B44" s="166" t="s">
        <v>116</v>
      </c>
      <c r="C44" s="167" t="str">
        <f>'PETREL SPC Prices'!C11</f>
        <v>PETREL Scalable Protection Component 5</v>
      </c>
      <c r="D44" s="125"/>
      <c r="E44" s="126"/>
    </row>
    <row r="45" spans="2:6" x14ac:dyDescent="0.25">
      <c r="B45" s="166" t="s">
        <v>117</v>
      </c>
      <c r="C45" s="167" t="str">
        <f>'PETREL SPC Prices'!C12</f>
        <v>PETREL Scalable Protection Component 6</v>
      </c>
      <c r="D45" s="125"/>
      <c r="E45" s="126"/>
    </row>
    <row r="46" spans="2:6" ht="22.5" x14ac:dyDescent="0.25">
      <c r="B46" s="17" t="s">
        <v>118</v>
      </c>
      <c r="C46" s="18" t="s">
        <v>114</v>
      </c>
      <c r="D46" s="170" t="s">
        <v>173</v>
      </c>
      <c r="E46" s="129">
        <f>SUM(E47:E55)</f>
        <v>0</v>
      </c>
      <c r="F46" s="87"/>
    </row>
    <row r="47" spans="2:6" x14ac:dyDescent="0.25">
      <c r="B47" s="166" t="s">
        <v>119</v>
      </c>
      <c r="C47" s="167" t="str">
        <f>'PETREL Prices'!C7</f>
        <v>PETREL Combat Shirt</v>
      </c>
      <c r="D47" s="125"/>
      <c r="E47" s="125"/>
    </row>
    <row r="48" spans="2:6" x14ac:dyDescent="0.25">
      <c r="B48" s="166" t="s">
        <v>120</v>
      </c>
      <c r="C48" s="167" t="str">
        <f>'PETREL Prices'!C8</f>
        <v>PETREL Combat Trouser</v>
      </c>
      <c r="D48" s="125"/>
      <c r="E48" s="125"/>
    </row>
    <row r="49" spans="2:6" x14ac:dyDescent="0.25">
      <c r="B49" s="166" t="s">
        <v>121</v>
      </c>
      <c r="C49" s="167" t="str">
        <f>'PETREL Prices'!C9</f>
        <v>PETREL Pelvic Protection</v>
      </c>
      <c r="D49" s="125"/>
      <c r="E49" s="125"/>
    </row>
    <row r="50" spans="2:6" x14ac:dyDescent="0.25">
      <c r="B50" s="166" t="s">
        <v>122</v>
      </c>
      <c r="C50" s="167" t="str">
        <f>'PETREL SPC Prices'!C7</f>
        <v>PETREL Scalable Protection Component 1</v>
      </c>
      <c r="D50" s="125"/>
      <c r="E50" s="126"/>
    </row>
    <row r="51" spans="2:6" x14ac:dyDescent="0.25">
      <c r="B51" s="166" t="s">
        <v>123</v>
      </c>
      <c r="C51" s="167" t="str">
        <f>'PETREL SPC Prices'!C8</f>
        <v>PETREL Scalable Protection Component 2</v>
      </c>
      <c r="D51" s="125"/>
      <c r="E51" s="126"/>
    </row>
    <row r="52" spans="2:6" x14ac:dyDescent="0.25">
      <c r="B52" s="166" t="s">
        <v>124</v>
      </c>
      <c r="C52" s="167" t="str">
        <f>'PETREL SPC Prices'!C9</f>
        <v>PETREL Scalable Protection Component 3</v>
      </c>
      <c r="D52" s="125"/>
      <c r="E52" s="126"/>
    </row>
    <row r="53" spans="2:6" x14ac:dyDescent="0.25">
      <c r="B53" s="166" t="s">
        <v>125</v>
      </c>
      <c r="C53" s="167" t="str">
        <f>'PETREL SPC Prices'!C10</f>
        <v>PETREL Scalable Protection Component 4</v>
      </c>
      <c r="D53" s="125"/>
      <c r="E53" s="126"/>
    </row>
    <row r="54" spans="2:6" x14ac:dyDescent="0.25">
      <c r="B54" s="166" t="s">
        <v>126</v>
      </c>
      <c r="C54" s="167" t="str">
        <f>'PETREL SPC Prices'!C11</f>
        <v>PETREL Scalable Protection Component 5</v>
      </c>
      <c r="D54" s="125"/>
      <c r="E54" s="126"/>
    </row>
    <row r="55" spans="2:6" x14ac:dyDescent="0.25">
      <c r="B55" s="166" t="s">
        <v>127</v>
      </c>
      <c r="C55" s="167" t="str">
        <f>'PETREL SPC Prices'!C12</f>
        <v>PETREL Scalable Protection Component 6</v>
      </c>
      <c r="D55" s="125"/>
      <c r="E55" s="126"/>
    </row>
    <row r="56" spans="2:6" ht="22.5" x14ac:dyDescent="0.25">
      <c r="B56" s="17" t="s">
        <v>137</v>
      </c>
      <c r="C56" s="18" t="s">
        <v>170</v>
      </c>
      <c r="D56" s="170" t="s">
        <v>173</v>
      </c>
      <c r="E56" s="129">
        <f>SUM(E57:E65)</f>
        <v>0</v>
      </c>
      <c r="F56" s="87"/>
    </row>
    <row r="57" spans="2:6" x14ac:dyDescent="0.25">
      <c r="B57" s="166" t="s">
        <v>138</v>
      </c>
      <c r="C57" s="167" t="str">
        <f>'PETREL Prices'!C7</f>
        <v>PETREL Combat Shirt</v>
      </c>
      <c r="D57" s="125"/>
      <c r="E57" s="125"/>
    </row>
    <row r="58" spans="2:6" x14ac:dyDescent="0.25">
      <c r="B58" s="166" t="s">
        <v>139</v>
      </c>
      <c r="C58" s="167" t="str">
        <f>'PETREL Prices'!C8</f>
        <v>PETREL Combat Trouser</v>
      </c>
      <c r="D58" s="125"/>
      <c r="E58" s="125"/>
    </row>
    <row r="59" spans="2:6" x14ac:dyDescent="0.25">
      <c r="B59" s="166" t="s">
        <v>140</v>
      </c>
      <c r="C59" s="167" t="str">
        <f>'PETREL Prices'!C9</f>
        <v>PETREL Pelvic Protection</v>
      </c>
      <c r="D59" s="125"/>
      <c r="E59" s="125"/>
    </row>
    <row r="60" spans="2:6" x14ac:dyDescent="0.25">
      <c r="B60" s="166" t="s">
        <v>141</v>
      </c>
      <c r="C60" s="167" t="str">
        <f>'PETREL SPC Prices'!C7</f>
        <v>PETREL Scalable Protection Component 1</v>
      </c>
      <c r="D60" s="125"/>
      <c r="E60" s="126"/>
    </row>
    <row r="61" spans="2:6" x14ac:dyDescent="0.25">
      <c r="B61" s="166" t="s">
        <v>142</v>
      </c>
      <c r="C61" s="167" t="str">
        <f>'PETREL SPC Prices'!C8</f>
        <v>PETREL Scalable Protection Component 2</v>
      </c>
      <c r="D61" s="125"/>
      <c r="E61" s="126"/>
    </row>
    <row r="62" spans="2:6" x14ac:dyDescent="0.25">
      <c r="B62" s="166" t="s">
        <v>143</v>
      </c>
      <c r="C62" s="167" t="str">
        <f>'PETREL SPC Prices'!C9</f>
        <v>PETREL Scalable Protection Component 3</v>
      </c>
      <c r="D62" s="125"/>
      <c r="E62" s="126"/>
    </row>
    <row r="63" spans="2:6" x14ac:dyDescent="0.25">
      <c r="B63" s="166" t="s">
        <v>144</v>
      </c>
      <c r="C63" s="167" t="str">
        <f>'PETREL SPC Prices'!C10</f>
        <v>PETREL Scalable Protection Component 4</v>
      </c>
      <c r="D63" s="125"/>
      <c r="E63" s="126"/>
    </row>
    <row r="64" spans="2:6" x14ac:dyDescent="0.25">
      <c r="B64" s="166" t="s">
        <v>145</v>
      </c>
      <c r="C64" s="167" t="str">
        <f>'PETREL SPC Prices'!C11</f>
        <v>PETREL Scalable Protection Component 5</v>
      </c>
      <c r="D64" s="125"/>
      <c r="E64" s="126"/>
    </row>
    <row r="65" spans="2:5" ht="15.75" thickBot="1" x14ac:dyDescent="0.3">
      <c r="B65" s="88" t="s">
        <v>146</v>
      </c>
      <c r="C65" s="165" t="str">
        <f>'PETREL SPC Prices'!C12</f>
        <v>PETREL Scalable Protection Component 6</v>
      </c>
      <c r="D65" s="127"/>
      <c r="E65" s="127"/>
    </row>
  </sheetData>
  <sheetProtection formatCells="0" formatColumns="0" formatRows="0" insertColumns="0" insertRows="0" insertHyperlinks="0" deleteColumns="0" deleteRows="0" sort="0"/>
  <mergeCells count="3">
    <mergeCell ref="E2:I4"/>
    <mergeCell ref="B2:C2"/>
    <mergeCell ref="B3:C3"/>
  </mergeCells>
  <dataValidations disablePrompts="1" count="1">
    <dataValidation type="list" allowBlank="1" showInputMessage="1" showErrorMessage="1" sqref="WKY36:WKY41 WBC36:WBC41 VRG36:VRG41 VHK36:VHK41 UXO36:UXO41 UNS36:UNS41 UDW36:UDW41 TUA36:TUA41 TKE36:TKE41 TAI36:TAI41 SQM36:SQM41 SGQ36:SGQ41 RWU36:RWU41 RMY36:RMY41 RDC36:RDC41 QTG36:QTG41 QJK36:QJK41 PZO36:PZO41 PPS36:PPS41 PFW36:PFW41 OWA36:OWA41 OME36:OME41 OCI36:OCI41 NSM36:NSM41 NIQ36:NIQ41 MYU36:MYU41 MOY36:MOY41 MFC36:MFC41 LVG36:LVG41 LLK36:LLK41 LBO36:LBO41 KRS36:KRS41 KHW36:KHW41 JYA36:JYA41 JOE36:JOE41 JEI36:JEI41 IUM36:IUM41 IKQ36:IKQ41 IAU36:IAU41 HQY36:HQY41 HHC36:HHC41 GXG36:GXG41 GNK36:GNK41 GDO36:GDO41 FTS36:FTS41 FJW36:FJW41 FAA36:FAA41 EQE36:EQE41 EGI36:EGI41 DWM36:DWM41 DMQ36:DMQ41 DCU36:DCU41 CSY36:CSY41 CJC36:CJC41 BZG36:BZG41 BPK36:BPK41 BFO36:BFO41 AVS36:AVS41 ALW36:ALW41 ACA36:ACA41 SE36:SE41 II36:II41 WUU36:WUU41 II46:II51 SE46:SE51 ACA46:ACA51 ALW46:ALW51 AVS46:AVS51 BFO46:BFO51 BPK46:BPK51 BZG46:BZG51 CJC46:CJC51 CSY46:CSY51 DCU46:DCU51 DMQ46:DMQ51 DWM46:DWM51 EGI46:EGI51 EQE46:EQE51 FAA46:FAA51 FJW46:FJW51 FTS46:FTS51 GDO46:GDO51 GNK46:GNK51 GXG46:GXG51 HHC46:HHC51 HQY46:HQY51 IAU46:IAU51 IKQ46:IKQ51 IUM46:IUM51 JEI46:JEI51 JOE46:JOE51 JYA46:JYA51 KHW46:KHW51 KRS46:KRS51 LBO46:LBO51 LLK46:LLK51 LVG46:LVG51 MFC46:MFC51 MOY46:MOY51 MYU46:MYU51 NIQ46:NIQ51 NSM46:NSM51 OCI46:OCI51 OME46:OME51 OWA46:OWA51 PFW46:PFW51 PPS46:PPS51 PZO46:PZO51 QJK46:QJK51 QTG46:QTG51 RDC46:RDC51 RMY46:RMY51 RWU46:RWU51 SGQ46:SGQ51 SQM46:SQM51 TAI46:TAI51 TKE46:TKE51 TUA46:TUA51 UDW46:UDW51 UNS46:UNS51 UXO46:UXO51 VHK46:VHK51 VRG46:VRG51 WBC46:WBC51 WKY46:WKY51 WKY56:WKY61 WBC56:WBC61 VRG56:VRG61 VHK56:VHK61 UXO56:UXO61 UNS56:UNS61 UDW56:UDW61 TUA56:TUA61 TKE56:TKE61 TAI56:TAI61 SQM56:SQM61 SGQ56:SGQ61 RWU56:RWU61 RMY56:RMY61 RDC56:RDC61 QTG56:QTG61 QJK56:QJK61 PZO56:PZO61 PPS56:PPS61 PFW56:PFW61 OWA56:OWA61 OME56:OME61 OCI56:OCI61 NSM56:NSM61 NIQ56:NIQ61 MYU56:MYU61 MOY56:MOY61 MFC56:MFC61 LVG56:LVG61 LLK56:LLK61 LBO56:LBO61 KRS56:KRS61 KHW56:KHW61 JYA56:JYA61 JOE56:JOE61 JEI56:JEI61 IUM56:IUM61 IKQ56:IKQ61 IAU56:IAU61 HQY56:HQY61 HHC56:HHC61 GXG56:GXG61 GNK56:GNK61 GDO56:GDO61 FTS56:FTS61 FJW56:FJW61 FAA56:FAA61 EQE56:EQE61 EGI56:EGI61 DWM56:DWM61 DMQ56:DMQ61 DCU56:DCU61 CSY56:CSY61 CJC56:CJC61 BZG56:BZG61 BPK56:BPK61 BFO56:BFO61 AVS56:AVS61 ALW56:ALW61 ACA56:ACA61 SE56:SE61 II56:II61 WUU56:WUU61 WUU46:WUU51 II7:II31 SE7:SE31 ACA7:ACA31 ALW7:ALW31 AVS7:AVS31 BFO7:BFO31 BPK7:BPK31 BZG7:BZG31 CJC7:CJC31 CSY7:CSY31 DCU7:DCU31 DMQ7:DMQ31 DWM7:DWM31 EGI7:EGI31 EQE7:EQE31 FAA7:FAA31 FJW7:FJW31 FTS7:FTS31 GDO7:GDO31 GNK7:GNK31 GXG7:GXG31 HHC7:HHC31 HQY7:HQY31 IAU7:IAU31 IKQ7:IKQ31 IUM7:IUM31 JEI7:JEI31 JOE7:JOE31 JYA7:JYA31 KHW7:KHW31 KRS7:KRS31 LBO7:LBO31 LLK7:LLK31 LVG7:LVG31 MFC7:MFC31 MOY7:MOY31 MYU7:MYU31 NIQ7:NIQ31 NSM7:NSM31 OCI7:OCI31 OME7:OME31 OWA7:OWA31 PFW7:PFW31 PPS7:PPS31 PZO7:PZO31 QJK7:QJK31 QTG7:QTG31 RDC7:RDC31 RMY7:RMY31 RWU7:RWU31 SGQ7:SGQ31 SQM7:SQM31 TAI7:TAI31 TKE7:TKE31 TUA7:TUA31 UDW7:UDW31 UNS7:UNS31 UXO7:UXO31 VHK7:VHK31 VRG7:VRG31 WBC7:WBC31 WKY7:WKY31 WUU7:WUU31">
      <formula1>COSTFORMAT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"/>
  <sheetViews>
    <sheetView zoomScale="85" zoomScaleNormal="85" workbookViewId="0">
      <selection activeCell="G19" sqref="G19"/>
    </sheetView>
  </sheetViews>
  <sheetFormatPr defaultRowHeight="15" x14ac:dyDescent="0.25"/>
  <cols>
    <col min="1" max="1" width="3.140625" customWidth="1"/>
    <col min="2" max="2" width="19.85546875" style="30" customWidth="1"/>
    <col min="3" max="3" width="32.140625" customWidth="1"/>
    <col min="4" max="4" width="10.7109375" bestFit="1" customWidth="1"/>
    <col min="5" max="5" width="4.140625" customWidth="1"/>
    <col min="6" max="6" width="19.7109375" customWidth="1"/>
    <col min="7" max="7" width="17.85546875" bestFit="1" customWidth="1"/>
    <col min="9" max="9" width="11.5703125" customWidth="1"/>
    <col min="10" max="10" width="10.5703125" bestFit="1" customWidth="1"/>
  </cols>
  <sheetData>
    <row r="1" spans="2:17" ht="15.75" thickBot="1" x14ac:dyDescent="0.3">
      <c r="B1" s="6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7" ht="16.5" thickTop="1" thickBot="1" x14ac:dyDescent="0.3">
      <c r="C2" s="80" t="s">
        <v>171</v>
      </c>
      <c r="D2" s="46"/>
      <c r="E2" s="3"/>
      <c r="F2" s="9" t="s">
        <v>37</v>
      </c>
      <c r="G2" s="10">
        <f>'Initial Cost Breakdown'!D2</f>
        <v>0</v>
      </c>
      <c r="H2" s="3"/>
      <c r="I2" s="3"/>
      <c r="J2" s="3"/>
    </row>
    <row r="3" spans="2:17" ht="16.5" thickTop="1" thickBot="1" x14ac:dyDescent="0.3">
      <c r="B3" s="6"/>
      <c r="C3" s="3"/>
      <c r="D3" s="3"/>
      <c r="E3" s="3"/>
      <c r="F3" s="3"/>
      <c r="G3" s="3"/>
      <c r="H3" s="3"/>
      <c r="I3" s="3"/>
      <c r="J3" s="3"/>
      <c r="K3" s="3"/>
      <c r="L3" s="3"/>
    </row>
    <row r="4" spans="2:17" s="30" customFormat="1" ht="27" customHeight="1" thickBot="1" x14ac:dyDescent="0.3">
      <c r="C4" s="187" t="s">
        <v>38</v>
      </c>
      <c r="D4" s="189" t="s">
        <v>86</v>
      </c>
      <c r="E4" s="54"/>
      <c r="F4" s="190" t="s">
        <v>39</v>
      </c>
      <c r="G4" s="190" t="s">
        <v>166</v>
      </c>
      <c r="H4" s="183" t="s">
        <v>41</v>
      </c>
      <c r="I4" s="184"/>
      <c r="J4" s="184"/>
      <c r="K4" s="184"/>
      <c r="L4" s="184"/>
      <c r="M4" s="184"/>
      <c r="N4" s="184"/>
      <c r="O4" s="184"/>
      <c r="P4" s="184"/>
      <c r="Q4" s="185"/>
    </row>
    <row r="5" spans="2:17" s="30" customFormat="1" ht="15.75" thickBot="1" x14ac:dyDescent="0.3">
      <c r="C5" s="188"/>
      <c r="D5" s="188"/>
      <c r="E5" s="54"/>
      <c r="F5" s="191"/>
      <c r="G5" s="191"/>
      <c r="H5" s="116" t="s">
        <v>68</v>
      </c>
      <c r="I5" s="116" t="s">
        <v>69</v>
      </c>
      <c r="J5" s="116" t="s">
        <v>70</v>
      </c>
      <c r="K5" s="116" t="s">
        <v>71</v>
      </c>
      <c r="L5" s="116" t="s">
        <v>72</v>
      </c>
      <c r="M5" s="116" t="s">
        <v>73</v>
      </c>
      <c r="N5" s="116" t="s">
        <v>74</v>
      </c>
      <c r="O5" s="116" t="s">
        <v>75</v>
      </c>
      <c r="P5" s="116" t="s">
        <v>76</v>
      </c>
      <c r="Q5" s="116" t="s">
        <v>77</v>
      </c>
    </row>
    <row r="6" spans="2:17" ht="15.75" thickBot="1" x14ac:dyDescent="0.3">
      <c r="B6" s="186"/>
      <c r="C6" s="186"/>
      <c r="D6" s="186"/>
      <c r="E6" s="3"/>
      <c r="F6" s="4"/>
      <c r="G6" s="5"/>
      <c r="H6" s="4"/>
      <c r="I6" s="3"/>
      <c r="J6" s="3"/>
      <c r="K6" s="4"/>
      <c r="L6" s="4"/>
    </row>
    <row r="7" spans="2:17" ht="57.75" customHeight="1" thickBot="1" x14ac:dyDescent="0.3">
      <c r="C7" s="136" t="s">
        <v>85</v>
      </c>
      <c r="D7" s="137" t="s">
        <v>87</v>
      </c>
      <c r="E7" s="3"/>
      <c r="F7" s="93"/>
      <c r="G7" s="137">
        <v>500</v>
      </c>
      <c r="H7" s="148">
        <f>IF(ISNUMBER($F7),$F7,0)</f>
        <v>0</v>
      </c>
      <c r="I7" s="57">
        <f>H7</f>
        <v>0</v>
      </c>
      <c r="J7" s="57">
        <f>H7</f>
        <v>0</v>
      </c>
      <c r="K7" s="57">
        <f t="shared" ref="K7:Q9" si="0">IF(ISNUMBER(J7),J7+(J7*($G$2)),0)</f>
        <v>0</v>
      </c>
      <c r="L7" s="57">
        <f>IF(ISNUMBER(K7),K7+(K7*($G$2)),0)</f>
        <v>0</v>
      </c>
      <c r="M7" s="57">
        <f t="shared" si="0"/>
        <v>0</v>
      </c>
      <c r="N7" s="57">
        <f t="shared" si="0"/>
        <v>0</v>
      </c>
      <c r="O7" s="57">
        <f t="shared" si="0"/>
        <v>0</v>
      </c>
      <c r="P7" s="57">
        <f t="shared" si="0"/>
        <v>0</v>
      </c>
      <c r="Q7" s="58">
        <f t="shared" si="0"/>
        <v>0</v>
      </c>
    </row>
    <row r="8" spans="2:17" ht="57.75" customHeight="1" thickBot="1" x14ac:dyDescent="0.3">
      <c r="C8" s="138" t="s">
        <v>88</v>
      </c>
      <c r="D8" s="134" t="s">
        <v>87</v>
      </c>
      <c r="E8" s="3"/>
      <c r="F8" s="93"/>
      <c r="G8" s="134">
        <v>500</v>
      </c>
      <c r="H8" s="149">
        <f>IF(ISNUMBER($F8),$F8,0)</f>
        <v>0</v>
      </c>
      <c r="I8" s="56">
        <f>H8</f>
        <v>0</v>
      </c>
      <c r="J8" s="56">
        <f>H8</f>
        <v>0</v>
      </c>
      <c r="K8" s="56">
        <f t="shared" si="0"/>
        <v>0</v>
      </c>
      <c r="L8" s="56">
        <f t="shared" si="0"/>
        <v>0</v>
      </c>
      <c r="M8" s="56">
        <f t="shared" si="0"/>
        <v>0</v>
      </c>
      <c r="N8" s="56">
        <f t="shared" si="0"/>
        <v>0</v>
      </c>
      <c r="O8" s="56">
        <f t="shared" si="0"/>
        <v>0</v>
      </c>
      <c r="P8" s="56">
        <f t="shared" si="0"/>
        <v>0</v>
      </c>
      <c r="Q8" s="59">
        <f t="shared" si="0"/>
        <v>0</v>
      </c>
    </row>
    <row r="9" spans="2:17" ht="57.75" customHeight="1" thickBot="1" x14ac:dyDescent="0.3">
      <c r="C9" s="139" t="s">
        <v>89</v>
      </c>
      <c r="D9" s="135" t="s">
        <v>87</v>
      </c>
      <c r="E9" s="3"/>
      <c r="F9" s="93"/>
      <c r="G9" s="135">
        <v>500</v>
      </c>
      <c r="H9" s="150">
        <f>IF(ISNUMBER($F9),$F9,0)</f>
        <v>0</v>
      </c>
      <c r="I9" s="60">
        <f>H9</f>
        <v>0</v>
      </c>
      <c r="J9" s="60">
        <f>H9</f>
        <v>0</v>
      </c>
      <c r="K9" s="60">
        <f t="shared" si="0"/>
        <v>0</v>
      </c>
      <c r="L9" s="60">
        <f t="shared" si="0"/>
        <v>0</v>
      </c>
      <c r="M9" s="60">
        <f t="shared" si="0"/>
        <v>0</v>
      </c>
      <c r="N9" s="60">
        <f t="shared" si="0"/>
        <v>0</v>
      </c>
      <c r="O9" s="60">
        <f t="shared" si="0"/>
        <v>0</v>
      </c>
      <c r="P9" s="60">
        <f t="shared" si="0"/>
        <v>0</v>
      </c>
      <c r="Q9" s="61">
        <f t="shared" si="0"/>
        <v>0</v>
      </c>
    </row>
    <row r="10" spans="2:17" ht="16.5" customHeight="1" x14ac:dyDescent="0.25"/>
    <row r="11" spans="2:17" ht="16.5" customHeight="1" x14ac:dyDescent="0.25"/>
    <row r="12" spans="2:17" ht="16.5" customHeight="1" x14ac:dyDescent="0.25"/>
    <row r="13" spans="2:17" ht="16.5" customHeight="1" x14ac:dyDescent="0.25"/>
    <row r="14" spans="2:17" ht="16.5" customHeight="1" x14ac:dyDescent="0.25"/>
  </sheetData>
  <sheetProtection formatCells="0" formatColumns="0" formatRows="0" insertColumns="0" insertRows="0" insertHyperlinks="0" deleteColumns="0" deleteRows="0" sort="0"/>
  <mergeCells count="6">
    <mergeCell ref="H4:Q4"/>
    <mergeCell ref="B6:D6"/>
    <mergeCell ref="C4:C5"/>
    <mergeCell ref="D4:D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3"/>
  <sheetViews>
    <sheetView zoomScaleNormal="100" workbookViewId="0">
      <selection activeCell="B7" sqref="B7"/>
    </sheetView>
  </sheetViews>
  <sheetFormatPr defaultRowHeight="15" x14ac:dyDescent="0.25"/>
  <cols>
    <col min="1" max="1" width="3.140625" customWidth="1"/>
    <col min="2" max="2" width="19.85546875" style="30" customWidth="1"/>
    <col min="3" max="3" width="28.85546875" customWidth="1"/>
    <col min="4" max="4" width="22.42578125" style="8" bestFit="1" customWidth="1"/>
    <col min="5" max="5" width="4.140625" customWidth="1"/>
    <col min="6" max="6" width="19.7109375" customWidth="1"/>
    <col min="7" max="7" width="17.85546875" bestFit="1" customWidth="1"/>
    <col min="9" max="9" width="11.5703125" bestFit="1" customWidth="1"/>
    <col min="10" max="10" width="10.5703125" bestFit="1" customWidth="1"/>
  </cols>
  <sheetData>
    <row r="1" spans="2:17" ht="15.75" thickBot="1" x14ac:dyDescent="0.3">
      <c r="B1" s="6"/>
      <c r="C1" s="3"/>
      <c r="D1" s="31"/>
      <c r="E1" s="3"/>
      <c r="F1" s="3"/>
      <c r="G1" s="3"/>
      <c r="H1" s="3"/>
      <c r="I1" s="3"/>
      <c r="J1" s="3"/>
      <c r="K1" s="3"/>
      <c r="L1" s="3"/>
    </row>
    <row r="2" spans="2:17" ht="16.5" thickTop="1" thickBot="1" x14ac:dyDescent="0.3">
      <c r="C2" s="80" t="s">
        <v>172</v>
      </c>
      <c r="D2" s="31"/>
      <c r="E2" s="3"/>
      <c r="F2" s="9" t="s">
        <v>37</v>
      </c>
      <c r="G2" s="10">
        <f>'Initial Cost Breakdown'!D2</f>
        <v>0</v>
      </c>
      <c r="H2" s="3"/>
      <c r="I2" s="3"/>
      <c r="J2" s="3"/>
    </row>
    <row r="3" spans="2:17" ht="16.5" thickTop="1" thickBot="1" x14ac:dyDescent="0.3">
      <c r="B3" s="6"/>
      <c r="C3" s="3"/>
      <c r="D3" s="31"/>
      <c r="E3" s="3"/>
      <c r="F3" s="3"/>
      <c r="G3" s="3"/>
      <c r="H3" s="3"/>
      <c r="I3" s="3"/>
      <c r="J3" s="3"/>
      <c r="K3" s="3"/>
      <c r="L3" s="3"/>
    </row>
    <row r="4" spans="2:17" s="30" customFormat="1" ht="27" customHeight="1" thickBot="1" x14ac:dyDescent="0.3">
      <c r="B4" s="6"/>
      <c r="C4" s="189" t="s">
        <v>43</v>
      </c>
      <c r="D4" s="192" t="s">
        <v>44</v>
      </c>
      <c r="E4" s="54"/>
      <c r="F4" s="190" t="s">
        <v>39</v>
      </c>
      <c r="G4" s="194" t="s">
        <v>45</v>
      </c>
      <c r="H4" s="183" t="s">
        <v>41</v>
      </c>
      <c r="I4" s="184"/>
      <c r="J4" s="184"/>
      <c r="K4" s="184"/>
      <c r="L4" s="184"/>
      <c r="M4" s="184"/>
      <c r="N4" s="184"/>
      <c r="O4" s="184"/>
      <c r="P4" s="184"/>
      <c r="Q4" s="185"/>
    </row>
    <row r="5" spans="2:17" s="30" customFormat="1" ht="15.75" thickBot="1" x14ac:dyDescent="0.3">
      <c r="B5" s="6"/>
      <c r="C5" s="188"/>
      <c r="D5" s="193"/>
      <c r="E5" s="54"/>
      <c r="F5" s="191"/>
      <c r="G5" s="191"/>
      <c r="H5" s="116" t="s">
        <v>68</v>
      </c>
      <c r="I5" s="116" t="s">
        <v>69</v>
      </c>
      <c r="J5" s="116" t="s">
        <v>70</v>
      </c>
      <c r="K5" s="116" t="s">
        <v>71</v>
      </c>
      <c r="L5" s="116" t="s">
        <v>72</v>
      </c>
      <c r="M5" s="116" t="s">
        <v>73</v>
      </c>
      <c r="N5" s="116" t="s">
        <v>74</v>
      </c>
      <c r="O5" s="116" t="s">
        <v>75</v>
      </c>
      <c r="P5" s="116" t="s">
        <v>76</v>
      </c>
      <c r="Q5" s="116" t="s">
        <v>77</v>
      </c>
    </row>
    <row r="6" spans="2:17" ht="15.75" thickBot="1" x14ac:dyDescent="0.3">
      <c r="B6" s="186"/>
      <c r="C6" s="186"/>
      <c r="D6" s="186"/>
      <c r="E6" s="3"/>
      <c r="F6" s="4"/>
      <c r="G6" s="5"/>
      <c r="H6" s="4"/>
      <c r="I6" s="3"/>
      <c r="J6" s="3"/>
      <c r="K6" s="4"/>
      <c r="L6" s="4"/>
    </row>
    <row r="7" spans="2:17" ht="57.75" customHeight="1" thickBot="1" x14ac:dyDescent="0.3">
      <c r="B7" s="6"/>
      <c r="C7" s="93" t="s">
        <v>160</v>
      </c>
      <c r="D7" s="93" t="s">
        <v>42</v>
      </c>
      <c r="E7" s="3"/>
      <c r="F7" s="93"/>
      <c r="G7" s="93" t="s">
        <v>42</v>
      </c>
      <c r="H7" s="57">
        <f>IF(ISNUMBER($F7),$F7,0)</f>
        <v>0</v>
      </c>
      <c r="I7" s="57">
        <f t="shared" ref="I7:J18" si="0">H7</f>
        <v>0</v>
      </c>
      <c r="J7" s="57">
        <f t="shared" si="0"/>
        <v>0</v>
      </c>
      <c r="K7" s="57">
        <f t="shared" ref="K7:Q7" si="1">IF(ISNUMBER(J7),J7+(J7*($G$2)),0)</f>
        <v>0</v>
      </c>
      <c r="L7" s="57">
        <f t="shared" si="1"/>
        <v>0</v>
      </c>
      <c r="M7" s="57">
        <f t="shared" si="1"/>
        <v>0</v>
      </c>
      <c r="N7" s="57">
        <f t="shared" si="1"/>
        <v>0</v>
      </c>
      <c r="O7" s="57">
        <f t="shared" si="1"/>
        <v>0</v>
      </c>
      <c r="P7" s="57">
        <f t="shared" si="1"/>
        <v>0</v>
      </c>
      <c r="Q7" s="58">
        <f t="shared" si="1"/>
        <v>0</v>
      </c>
    </row>
    <row r="8" spans="2:17" ht="57.75" customHeight="1" thickBot="1" x14ac:dyDescent="0.3">
      <c r="B8" s="6"/>
      <c r="C8" s="93" t="s">
        <v>161</v>
      </c>
      <c r="D8" s="93" t="s">
        <v>42</v>
      </c>
      <c r="E8" s="3"/>
      <c r="F8" s="93"/>
      <c r="G8" s="93" t="s">
        <v>42</v>
      </c>
      <c r="H8" s="56">
        <f t="shared" ref="H8:H18" si="2">IF(ISNUMBER($F8),$F8,0)</f>
        <v>0</v>
      </c>
      <c r="I8" s="56">
        <f t="shared" si="0"/>
        <v>0</v>
      </c>
      <c r="J8" s="56">
        <f t="shared" si="0"/>
        <v>0</v>
      </c>
      <c r="K8" s="56">
        <f t="shared" ref="K8:Q18" si="3">IF(ISNUMBER(J8),J8+(J8*($G$2)),0)</f>
        <v>0</v>
      </c>
      <c r="L8" s="56">
        <f t="shared" si="3"/>
        <v>0</v>
      </c>
      <c r="M8" s="56">
        <f t="shared" si="3"/>
        <v>0</v>
      </c>
      <c r="N8" s="56">
        <f t="shared" si="3"/>
        <v>0</v>
      </c>
      <c r="O8" s="56">
        <f t="shared" si="3"/>
        <v>0</v>
      </c>
      <c r="P8" s="56">
        <f t="shared" si="3"/>
        <v>0</v>
      </c>
      <c r="Q8" s="59">
        <f t="shared" si="3"/>
        <v>0</v>
      </c>
    </row>
    <row r="9" spans="2:17" ht="57.75" customHeight="1" thickBot="1" x14ac:dyDescent="0.3">
      <c r="B9" s="6"/>
      <c r="C9" s="93" t="s">
        <v>162</v>
      </c>
      <c r="D9" s="93" t="s">
        <v>42</v>
      </c>
      <c r="E9" s="3"/>
      <c r="F9" s="93"/>
      <c r="G9" s="93" t="s">
        <v>42</v>
      </c>
      <c r="H9" s="56">
        <f t="shared" si="2"/>
        <v>0</v>
      </c>
      <c r="I9" s="56">
        <f t="shared" si="0"/>
        <v>0</v>
      </c>
      <c r="J9" s="56">
        <f t="shared" si="0"/>
        <v>0</v>
      </c>
      <c r="K9" s="56">
        <f t="shared" si="3"/>
        <v>0</v>
      </c>
      <c r="L9" s="56">
        <f t="shared" si="3"/>
        <v>0</v>
      </c>
      <c r="M9" s="56">
        <f t="shared" si="3"/>
        <v>0</v>
      </c>
      <c r="N9" s="56">
        <f t="shared" si="3"/>
        <v>0</v>
      </c>
      <c r="O9" s="56">
        <f t="shared" si="3"/>
        <v>0</v>
      </c>
      <c r="P9" s="56">
        <f t="shared" si="3"/>
        <v>0</v>
      </c>
      <c r="Q9" s="59">
        <f t="shared" si="3"/>
        <v>0</v>
      </c>
    </row>
    <row r="10" spans="2:17" ht="57.75" customHeight="1" thickBot="1" x14ac:dyDescent="0.3">
      <c r="B10" s="6"/>
      <c r="C10" s="93" t="s">
        <v>163</v>
      </c>
      <c r="D10" s="93" t="s">
        <v>42</v>
      </c>
      <c r="E10" s="3"/>
      <c r="F10" s="93"/>
      <c r="G10" s="93" t="s">
        <v>42</v>
      </c>
      <c r="H10" s="56">
        <f t="shared" si="2"/>
        <v>0</v>
      </c>
      <c r="I10" s="56">
        <f t="shared" si="0"/>
        <v>0</v>
      </c>
      <c r="J10" s="56">
        <f t="shared" si="0"/>
        <v>0</v>
      </c>
      <c r="K10" s="56">
        <f t="shared" si="3"/>
        <v>0</v>
      </c>
      <c r="L10" s="56">
        <f t="shared" si="3"/>
        <v>0</v>
      </c>
      <c r="M10" s="56">
        <f t="shared" si="3"/>
        <v>0</v>
      </c>
      <c r="N10" s="56">
        <f t="shared" si="3"/>
        <v>0</v>
      </c>
      <c r="O10" s="56">
        <f t="shared" si="3"/>
        <v>0</v>
      </c>
      <c r="P10" s="56">
        <f t="shared" si="3"/>
        <v>0</v>
      </c>
      <c r="Q10" s="59">
        <f t="shared" si="3"/>
        <v>0</v>
      </c>
    </row>
    <row r="11" spans="2:17" ht="57.75" customHeight="1" thickBot="1" x14ac:dyDescent="0.3">
      <c r="B11" s="6"/>
      <c r="C11" s="93" t="s">
        <v>164</v>
      </c>
      <c r="D11" s="93" t="s">
        <v>42</v>
      </c>
      <c r="E11" s="3"/>
      <c r="F11" s="93"/>
      <c r="G11" s="93" t="s">
        <v>42</v>
      </c>
      <c r="H11" s="56">
        <f t="shared" si="2"/>
        <v>0</v>
      </c>
      <c r="I11" s="56">
        <f t="shared" si="0"/>
        <v>0</v>
      </c>
      <c r="J11" s="56">
        <f t="shared" si="0"/>
        <v>0</v>
      </c>
      <c r="K11" s="56">
        <f t="shared" si="3"/>
        <v>0</v>
      </c>
      <c r="L11" s="56">
        <f t="shared" si="3"/>
        <v>0</v>
      </c>
      <c r="M11" s="56">
        <f t="shared" si="3"/>
        <v>0</v>
      </c>
      <c r="N11" s="56">
        <f t="shared" si="3"/>
        <v>0</v>
      </c>
      <c r="O11" s="56">
        <f t="shared" si="3"/>
        <v>0</v>
      </c>
      <c r="P11" s="56">
        <f t="shared" si="3"/>
        <v>0</v>
      </c>
      <c r="Q11" s="59">
        <f t="shared" si="3"/>
        <v>0</v>
      </c>
    </row>
    <row r="12" spans="2:17" ht="57.75" customHeight="1" thickBot="1" x14ac:dyDescent="0.3">
      <c r="B12" s="6"/>
      <c r="C12" s="93" t="s">
        <v>165</v>
      </c>
      <c r="D12" s="93" t="s">
        <v>42</v>
      </c>
      <c r="E12" s="3"/>
      <c r="F12" s="93"/>
      <c r="G12" s="93" t="s">
        <v>42</v>
      </c>
      <c r="H12" s="56">
        <f t="shared" si="2"/>
        <v>0</v>
      </c>
      <c r="I12" s="56">
        <f t="shared" si="0"/>
        <v>0</v>
      </c>
      <c r="J12" s="56">
        <f t="shared" si="0"/>
        <v>0</v>
      </c>
      <c r="K12" s="56">
        <f t="shared" si="3"/>
        <v>0</v>
      </c>
      <c r="L12" s="56">
        <f t="shared" si="3"/>
        <v>0</v>
      </c>
      <c r="M12" s="56">
        <f t="shared" si="3"/>
        <v>0</v>
      </c>
      <c r="N12" s="56">
        <f t="shared" si="3"/>
        <v>0</v>
      </c>
      <c r="O12" s="56">
        <f t="shared" si="3"/>
        <v>0</v>
      </c>
      <c r="P12" s="56">
        <f t="shared" si="3"/>
        <v>0</v>
      </c>
      <c r="Q12" s="59">
        <f t="shared" si="3"/>
        <v>0</v>
      </c>
    </row>
    <row r="13" spans="2:17" ht="57.75" customHeight="1" thickBot="1" x14ac:dyDescent="0.3">
      <c r="B13" s="6"/>
      <c r="C13" s="93"/>
      <c r="D13" s="93"/>
      <c r="E13" s="3"/>
      <c r="F13" s="103"/>
      <c r="G13" s="93"/>
      <c r="H13" s="56">
        <f t="shared" si="2"/>
        <v>0</v>
      </c>
      <c r="I13" s="56">
        <f t="shared" si="0"/>
        <v>0</v>
      </c>
      <c r="J13" s="56">
        <f t="shared" si="0"/>
        <v>0</v>
      </c>
      <c r="K13" s="56">
        <f t="shared" si="3"/>
        <v>0</v>
      </c>
      <c r="L13" s="56">
        <f t="shared" si="3"/>
        <v>0</v>
      </c>
      <c r="M13" s="56">
        <f t="shared" si="3"/>
        <v>0</v>
      </c>
      <c r="N13" s="56">
        <f t="shared" si="3"/>
        <v>0</v>
      </c>
      <c r="O13" s="56">
        <f t="shared" si="3"/>
        <v>0</v>
      </c>
      <c r="P13" s="56">
        <f t="shared" si="3"/>
        <v>0</v>
      </c>
      <c r="Q13" s="59">
        <f t="shared" si="3"/>
        <v>0</v>
      </c>
    </row>
    <row r="14" spans="2:17" ht="57.75" customHeight="1" thickBot="1" x14ac:dyDescent="0.3">
      <c r="B14" s="6"/>
      <c r="C14" s="93"/>
      <c r="D14" s="93"/>
      <c r="E14" s="3"/>
      <c r="F14" s="103"/>
      <c r="G14" s="93"/>
      <c r="H14" s="56">
        <f t="shared" si="2"/>
        <v>0</v>
      </c>
      <c r="I14" s="56">
        <f t="shared" si="0"/>
        <v>0</v>
      </c>
      <c r="J14" s="56">
        <f t="shared" si="0"/>
        <v>0</v>
      </c>
      <c r="K14" s="56">
        <f t="shared" si="3"/>
        <v>0</v>
      </c>
      <c r="L14" s="56">
        <f t="shared" si="3"/>
        <v>0</v>
      </c>
      <c r="M14" s="56">
        <f t="shared" si="3"/>
        <v>0</v>
      </c>
      <c r="N14" s="56">
        <f t="shared" si="3"/>
        <v>0</v>
      </c>
      <c r="O14" s="56">
        <f t="shared" si="3"/>
        <v>0</v>
      </c>
      <c r="P14" s="56">
        <f t="shared" si="3"/>
        <v>0</v>
      </c>
      <c r="Q14" s="59">
        <f t="shared" si="3"/>
        <v>0</v>
      </c>
    </row>
    <row r="15" spans="2:17" ht="57.75" customHeight="1" thickBot="1" x14ac:dyDescent="0.3">
      <c r="B15" s="6"/>
      <c r="C15" s="93"/>
      <c r="D15" s="93"/>
      <c r="E15" s="3"/>
      <c r="F15" s="103"/>
      <c r="G15" s="93"/>
      <c r="H15" s="56">
        <f t="shared" si="2"/>
        <v>0</v>
      </c>
      <c r="I15" s="56">
        <f t="shared" si="0"/>
        <v>0</v>
      </c>
      <c r="J15" s="56">
        <f t="shared" si="0"/>
        <v>0</v>
      </c>
      <c r="K15" s="56">
        <f t="shared" si="3"/>
        <v>0</v>
      </c>
      <c r="L15" s="56">
        <f t="shared" si="3"/>
        <v>0</v>
      </c>
      <c r="M15" s="56">
        <f t="shared" si="3"/>
        <v>0</v>
      </c>
      <c r="N15" s="56">
        <f t="shared" si="3"/>
        <v>0</v>
      </c>
      <c r="O15" s="56">
        <f t="shared" si="3"/>
        <v>0</v>
      </c>
      <c r="P15" s="56">
        <f t="shared" si="3"/>
        <v>0</v>
      </c>
      <c r="Q15" s="59">
        <f t="shared" si="3"/>
        <v>0</v>
      </c>
    </row>
    <row r="16" spans="2:17" ht="57.75" customHeight="1" thickBot="1" x14ac:dyDescent="0.3">
      <c r="B16" s="6"/>
      <c r="C16" s="93"/>
      <c r="D16" s="93"/>
      <c r="E16" s="3"/>
      <c r="F16" s="103"/>
      <c r="G16" s="93"/>
      <c r="H16" s="56">
        <f t="shared" si="2"/>
        <v>0</v>
      </c>
      <c r="I16" s="56">
        <f t="shared" si="0"/>
        <v>0</v>
      </c>
      <c r="J16" s="56">
        <f t="shared" si="0"/>
        <v>0</v>
      </c>
      <c r="K16" s="56">
        <f t="shared" si="3"/>
        <v>0</v>
      </c>
      <c r="L16" s="56">
        <f t="shared" si="3"/>
        <v>0</v>
      </c>
      <c r="M16" s="56">
        <f t="shared" si="3"/>
        <v>0</v>
      </c>
      <c r="N16" s="56">
        <f t="shared" si="3"/>
        <v>0</v>
      </c>
      <c r="O16" s="56">
        <f t="shared" si="3"/>
        <v>0</v>
      </c>
      <c r="P16" s="56">
        <f t="shared" si="3"/>
        <v>0</v>
      </c>
      <c r="Q16" s="59">
        <f t="shared" si="3"/>
        <v>0</v>
      </c>
    </row>
    <row r="17" spans="2:17" ht="57.75" customHeight="1" thickBot="1" x14ac:dyDescent="0.3">
      <c r="B17" s="6"/>
      <c r="C17" s="93"/>
      <c r="D17" s="93"/>
      <c r="E17" s="3"/>
      <c r="F17" s="103"/>
      <c r="G17" s="93"/>
      <c r="H17" s="56">
        <f t="shared" si="2"/>
        <v>0</v>
      </c>
      <c r="I17" s="56">
        <f t="shared" si="0"/>
        <v>0</v>
      </c>
      <c r="J17" s="56">
        <f t="shared" si="0"/>
        <v>0</v>
      </c>
      <c r="K17" s="56">
        <f t="shared" si="3"/>
        <v>0</v>
      </c>
      <c r="L17" s="56">
        <f t="shared" si="3"/>
        <v>0</v>
      </c>
      <c r="M17" s="56">
        <f t="shared" si="3"/>
        <v>0</v>
      </c>
      <c r="N17" s="56">
        <f t="shared" si="3"/>
        <v>0</v>
      </c>
      <c r="O17" s="56">
        <f t="shared" si="3"/>
        <v>0</v>
      </c>
      <c r="P17" s="56">
        <f t="shared" si="3"/>
        <v>0</v>
      </c>
      <c r="Q17" s="59">
        <f t="shared" si="3"/>
        <v>0</v>
      </c>
    </row>
    <row r="18" spans="2:17" ht="57.75" customHeight="1" thickBot="1" x14ac:dyDescent="0.3">
      <c r="B18" s="6"/>
      <c r="C18" s="93"/>
      <c r="D18" s="93"/>
      <c r="E18" s="3"/>
      <c r="F18" s="103"/>
      <c r="G18" s="93"/>
      <c r="H18" s="60">
        <f t="shared" si="2"/>
        <v>0</v>
      </c>
      <c r="I18" s="60">
        <f t="shared" si="0"/>
        <v>0</v>
      </c>
      <c r="J18" s="60">
        <f t="shared" si="0"/>
        <v>0</v>
      </c>
      <c r="K18" s="60">
        <f t="shared" si="3"/>
        <v>0</v>
      </c>
      <c r="L18" s="60">
        <f t="shared" si="3"/>
        <v>0</v>
      </c>
      <c r="M18" s="60">
        <f t="shared" si="3"/>
        <v>0</v>
      </c>
      <c r="N18" s="60">
        <f t="shared" si="3"/>
        <v>0</v>
      </c>
      <c r="O18" s="60">
        <f t="shared" si="3"/>
        <v>0</v>
      </c>
      <c r="P18" s="60">
        <f t="shared" si="3"/>
        <v>0</v>
      </c>
      <c r="Q18" s="61">
        <f t="shared" si="3"/>
        <v>0</v>
      </c>
    </row>
    <row r="19" spans="2:17" ht="16.5" customHeight="1" x14ac:dyDescent="0.25"/>
    <row r="20" spans="2:17" ht="16.5" customHeight="1" x14ac:dyDescent="0.25"/>
    <row r="21" spans="2:17" ht="16.5" customHeight="1" x14ac:dyDescent="0.25"/>
    <row r="22" spans="2:17" ht="16.5" customHeight="1" x14ac:dyDescent="0.25"/>
    <row r="23" spans="2:17" ht="16.5" customHeight="1" x14ac:dyDescent="0.25"/>
  </sheetData>
  <sheetProtection formatCells="0" formatColumns="0" formatRows="0" insertColumns="0" insertRows="0" insertHyperlinks="0" deleteColumns="0" deleteRows="0" sort="0"/>
  <mergeCells count="6">
    <mergeCell ref="H4:Q4"/>
    <mergeCell ref="B6:D6"/>
    <mergeCell ref="C4:C5"/>
    <mergeCell ref="D4:D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M5" sqref="M5"/>
    </sheetView>
  </sheetViews>
  <sheetFormatPr defaultRowHeight="15" x14ac:dyDescent="0.25"/>
  <cols>
    <col min="2" max="3" width="16.7109375" customWidth="1"/>
    <col min="4" max="4" width="17.140625" customWidth="1"/>
    <col min="6" max="7" width="16.7109375" customWidth="1"/>
    <col min="8" max="8" width="17.140625" customWidth="1"/>
  </cols>
  <sheetData>
    <row r="2" spans="2:8" ht="21" x14ac:dyDescent="0.35">
      <c r="B2" s="53" t="s">
        <v>91</v>
      </c>
    </row>
    <row r="3" spans="2:8" ht="21.75" thickBot="1" x14ac:dyDescent="0.4">
      <c r="B3" s="53"/>
    </row>
    <row r="4" spans="2:8" ht="75.75" thickBot="1" x14ac:dyDescent="0.3">
      <c r="B4" s="91" t="s">
        <v>93</v>
      </c>
      <c r="C4" s="91" t="s">
        <v>46</v>
      </c>
      <c r="D4" s="91" t="s">
        <v>40</v>
      </c>
      <c r="E4" s="30"/>
      <c r="F4" s="91" t="s">
        <v>47</v>
      </c>
      <c r="G4" s="91" t="s">
        <v>48</v>
      </c>
      <c r="H4" s="91" t="s">
        <v>40</v>
      </c>
    </row>
    <row r="5" spans="2:8" ht="30.75" thickBot="1" x14ac:dyDescent="0.3">
      <c r="B5" s="133" t="s">
        <v>128</v>
      </c>
      <c r="C5" s="130"/>
      <c r="D5" s="130" t="s">
        <v>42</v>
      </c>
      <c r="E5" s="30"/>
      <c r="F5" s="133" t="s">
        <v>130</v>
      </c>
      <c r="G5" s="130"/>
      <c r="H5" s="130" t="s">
        <v>42</v>
      </c>
    </row>
    <row r="6" spans="2:8" ht="30.75" thickBot="1" x14ac:dyDescent="0.3">
      <c r="B6" s="38" t="s">
        <v>129</v>
      </c>
      <c r="C6" s="130"/>
      <c r="D6" s="131" t="s">
        <v>42</v>
      </c>
      <c r="E6" s="30"/>
      <c r="F6" s="38" t="s">
        <v>131</v>
      </c>
      <c r="G6" s="130"/>
      <c r="H6" s="131" t="s">
        <v>42</v>
      </c>
    </row>
    <row r="7" spans="2:8" ht="30.75" thickBot="1" x14ac:dyDescent="0.3">
      <c r="B7" s="38" t="s">
        <v>94</v>
      </c>
      <c r="C7" s="130"/>
      <c r="D7" s="131" t="s">
        <v>42</v>
      </c>
      <c r="E7" s="30"/>
      <c r="F7" s="38" t="s">
        <v>98</v>
      </c>
      <c r="G7" s="130"/>
      <c r="H7" s="131" t="s">
        <v>42</v>
      </c>
    </row>
    <row r="8" spans="2:8" ht="30.75" thickBot="1" x14ac:dyDescent="0.3">
      <c r="B8" s="38" t="s">
        <v>95</v>
      </c>
      <c r="C8" s="130"/>
      <c r="D8" s="131" t="s">
        <v>42</v>
      </c>
      <c r="E8" s="30"/>
      <c r="F8" s="38" t="s">
        <v>99</v>
      </c>
      <c r="G8" s="130"/>
      <c r="H8" s="131" t="s">
        <v>42</v>
      </c>
    </row>
    <row r="9" spans="2:8" ht="30.75" thickBot="1" x14ac:dyDescent="0.3">
      <c r="B9" s="39" t="s">
        <v>96</v>
      </c>
      <c r="C9" s="130"/>
      <c r="D9" s="132" t="s">
        <v>42</v>
      </c>
      <c r="E9" s="30"/>
      <c r="F9" s="39" t="s">
        <v>100</v>
      </c>
      <c r="G9" s="130"/>
      <c r="H9" s="132" t="s">
        <v>42</v>
      </c>
    </row>
    <row r="12" spans="2:8" ht="21" x14ac:dyDescent="0.35">
      <c r="B12" s="53" t="s">
        <v>92</v>
      </c>
    </row>
    <row r="13" spans="2:8" ht="21.75" thickBot="1" x14ac:dyDescent="0.4">
      <c r="B13" s="53"/>
    </row>
    <row r="14" spans="2:8" ht="45.75" thickBot="1" x14ac:dyDescent="0.3">
      <c r="B14" s="48" t="s">
        <v>97</v>
      </c>
      <c r="C14" s="48" t="s">
        <v>46</v>
      </c>
      <c r="D14" s="91" t="s">
        <v>40</v>
      </c>
      <c r="E14" s="30"/>
    </row>
    <row r="15" spans="2:8" ht="30.75" thickBot="1" x14ac:dyDescent="0.3">
      <c r="B15" s="133" t="s">
        <v>128</v>
      </c>
      <c r="C15" s="130"/>
      <c r="D15" s="130" t="s">
        <v>42</v>
      </c>
      <c r="E15" s="30"/>
    </row>
    <row r="16" spans="2:8" ht="30.75" thickBot="1" x14ac:dyDescent="0.3">
      <c r="B16" s="38" t="s">
        <v>129</v>
      </c>
      <c r="C16" s="130"/>
      <c r="D16" s="131" t="s">
        <v>42</v>
      </c>
      <c r="E16" s="2"/>
    </row>
    <row r="17" spans="2:5" ht="30.75" thickBot="1" x14ac:dyDescent="0.3">
      <c r="B17" s="38" t="s">
        <v>94</v>
      </c>
      <c r="C17" s="130"/>
      <c r="D17" s="131" t="s">
        <v>42</v>
      </c>
      <c r="E17" s="2"/>
    </row>
    <row r="18" spans="2:5" ht="30.75" thickBot="1" x14ac:dyDescent="0.3">
      <c r="B18" s="38" t="s">
        <v>95</v>
      </c>
      <c r="C18" s="130"/>
      <c r="D18" s="131" t="s">
        <v>42</v>
      </c>
      <c r="E18" s="2"/>
    </row>
    <row r="19" spans="2:5" ht="30.75" thickBot="1" x14ac:dyDescent="0.3">
      <c r="B19" s="39" t="s">
        <v>96</v>
      </c>
      <c r="C19" s="130"/>
      <c r="D19" s="132" t="s">
        <v>42</v>
      </c>
      <c r="E19" s="2"/>
    </row>
  </sheetData>
  <sheetProtection formatCells="0" formatColumns="0" formatRows="0" insertColumns="0" insertRows="0" insertHyperlinks="0" deleteColumns="0" deleteRows="0" sort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L15" sqref="L15"/>
    </sheetView>
  </sheetViews>
  <sheetFormatPr defaultRowHeight="15" x14ac:dyDescent="0.25"/>
  <cols>
    <col min="1" max="1" width="3.7109375" customWidth="1"/>
    <col min="2" max="2" width="19.140625" bestFit="1" customWidth="1"/>
    <col min="3" max="3" width="15.28515625" bestFit="1" customWidth="1"/>
    <col min="4" max="7" width="14.28515625" bestFit="1" customWidth="1"/>
    <col min="8" max="8" width="7" style="1" customWidth="1"/>
    <col min="9" max="9" width="15.28515625" bestFit="1" customWidth="1"/>
    <col min="10" max="16" width="14.28515625" bestFit="1" customWidth="1"/>
    <col min="17" max="17" width="15.28515625" bestFit="1" customWidth="1"/>
  </cols>
  <sheetData>
    <row r="1" spans="1:14" ht="15.75" thickBot="1" x14ac:dyDescent="0.3"/>
    <row r="2" spans="1:14" ht="19.5" thickBot="1" x14ac:dyDescent="0.35">
      <c r="B2" s="21" t="s">
        <v>174</v>
      </c>
      <c r="D2" s="9" t="s">
        <v>37</v>
      </c>
      <c r="E2" s="10">
        <f>'Initial Cost Breakdown'!D2</f>
        <v>0</v>
      </c>
      <c r="H2" s="8"/>
    </row>
    <row r="3" spans="1:14" x14ac:dyDescent="0.25">
      <c r="D3" s="8"/>
    </row>
    <row r="4" spans="1:14" ht="19.5" thickBot="1" x14ac:dyDescent="0.35">
      <c r="B4" s="21"/>
    </row>
    <row r="5" spans="1:14" ht="15.75" thickBot="1" x14ac:dyDescent="0.3">
      <c r="B5" s="74"/>
      <c r="C5" s="195" t="s">
        <v>49</v>
      </c>
      <c r="D5" s="196"/>
      <c r="E5" s="196"/>
      <c r="F5" s="196"/>
      <c r="G5" s="197"/>
      <c r="H5" s="75"/>
      <c r="I5" s="195" t="s">
        <v>50</v>
      </c>
      <c r="J5" s="196"/>
      <c r="K5" s="196"/>
      <c r="L5" s="196"/>
      <c r="M5" s="197"/>
    </row>
    <row r="6" spans="1:14" ht="15.75" thickBot="1" x14ac:dyDescent="0.3">
      <c r="A6" s="7"/>
      <c r="B6" s="24"/>
      <c r="C6" s="116" t="s">
        <v>68</v>
      </c>
      <c r="D6" s="116" t="s">
        <v>69</v>
      </c>
      <c r="E6" s="116" t="s">
        <v>70</v>
      </c>
      <c r="F6" s="116" t="s">
        <v>71</v>
      </c>
      <c r="G6" s="116" t="s">
        <v>72</v>
      </c>
      <c r="H6" s="55"/>
      <c r="I6" s="116" t="s">
        <v>73</v>
      </c>
      <c r="J6" s="116" t="s">
        <v>74</v>
      </c>
      <c r="K6" s="116" t="s">
        <v>75</v>
      </c>
      <c r="L6" s="116" t="s">
        <v>76</v>
      </c>
      <c r="M6" s="116" t="s">
        <v>77</v>
      </c>
    </row>
    <row r="7" spans="1:14" ht="60.75" thickBot="1" x14ac:dyDescent="0.3">
      <c r="B7" s="81" t="s">
        <v>51</v>
      </c>
      <c r="C7" s="93"/>
      <c r="D7" s="93"/>
      <c r="E7" s="93"/>
      <c r="F7" s="93"/>
      <c r="G7" s="93"/>
      <c r="H7" s="83"/>
      <c r="I7" s="93"/>
      <c r="J7" s="93"/>
      <c r="K7" s="93"/>
      <c r="L7" s="93"/>
      <c r="M7" s="93"/>
      <c r="N7" s="163">
        <f>SUM(C7:M7)</f>
        <v>0</v>
      </c>
    </row>
    <row r="8" spans="1:14" ht="15.75" thickBot="1" x14ac:dyDescent="0.3">
      <c r="B8" s="162" t="s">
        <v>66</v>
      </c>
      <c r="C8" s="98">
        <f>C7*1</f>
        <v>0</v>
      </c>
      <c r="D8" s="99">
        <f>D7*0.9662</f>
        <v>0</v>
      </c>
      <c r="E8" s="99">
        <f>E7*0.9335</f>
        <v>0</v>
      </c>
      <c r="F8" s="99">
        <f>F7*0.9019</f>
        <v>0</v>
      </c>
      <c r="G8" s="161">
        <f>G7*0.8714</f>
        <v>0</v>
      </c>
      <c r="I8" s="98">
        <f>H7*0.842</f>
        <v>0</v>
      </c>
      <c r="J8" s="99">
        <f>I7*0.8135</f>
        <v>0</v>
      </c>
      <c r="K8" s="99">
        <f>J7*0.786</f>
        <v>0</v>
      </c>
      <c r="L8" s="99">
        <f>K7*0.7594</f>
        <v>0</v>
      </c>
      <c r="M8" s="161">
        <f>L7*0.7337</f>
        <v>0</v>
      </c>
      <c r="N8" s="160">
        <f>SUM(C8:M8)</f>
        <v>0</v>
      </c>
    </row>
    <row r="9" spans="1:14" ht="18.75" x14ac:dyDescent="0.3">
      <c r="B9" s="21"/>
    </row>
    <row r="10" spans="1:14" x14ac:dyDescent="0.25">
      <c r="H10" s="23"/>
    </row>
  </sheetData>
  <sheetProtection formatCells="0" formatColumns="0" formatRows="0" insertColumns="0" insertRows="0" insertHyperlinks="0" deleteColumns="0" deleteRows="0" sort="0"/>
  <mergeCells count="2">
    <mergeCell ref="C5:G5"/>
    <mergeCell ref="I5:M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G31" sqref="G31"/>
    </sheetView>
  </sheetViews>
  <sheetFormatPr defaultRowHeight="15" x14ac:dyDescent="0.25"/>
  <cols>
    <col min="1" max="1" width="2.28515625" customWidth="1"/>
    <col min="2" max="2" width="3.28515625" bestFit="1" customWidth="1"/>
    <col min="3" max="3" width="25.5703125" customWidth="1"/>
    <col min="4" max="23" width="17.42578125" customWidth="1"/>
  </cols>
  <sheetData>
    <row r="1" spans="2:23" ht="15.75" thickBot="1" x14ac:dyDescent="0.3"/>
    <row r="2" spans="2:23" ht="15.75" thickBot="1" x14ac:dyDescent="0.3">
      <c r="D2" s="201" t="s">
        <v>68</v>
      </c>
      <c r="E2" s="202"/>
      <c r="F2" s="201" t="s">
        <v>69</v>
      </c>
      <c r="G2" s="202"/>
      <c r="H2" s="201" t="s">
        <v>70</v>
      </c>
      <c r="I2" s="202"/>
      <c r="J2" s="201" t="s">
        <v>71</v>
      </c>
      <c r="K2" s="202"/>
      <c r="L2" s="201" t="s">
        <v>72</v>
      </c>
      <c r="M2" s="202"/>
      <c r="N2" s="201" t="s">
        <v>73</v>
      </c>
      <c r="O2" s="202"/>
      <c r="P2" s="201" t="s">
        <v>74</v>
      </c>
      <c r="Q2" s="202"/>
      <c r="R2" s="201" t="s">
        <v>75</v>
      </c>
      <c r="S2" s="202"/>
      <c r="T2" s="201" t="s">
        <v>78</v>
      </c>
      <c r="U2" s="202"/>
      <c r="V2" s="201" t="s">
        <v>77</v>
      </c>
      <c r="W2" s="202"/>
    </row>
    <row r="3" spans="2:23" ht="60" x14ac:dyDescent="0.25">
      <c r="B3" s="194"/>
      <c r="C3" s="199" t="s">
        <v>52</v>
      </c>
      <c r="D3" s="65" t="s">
        <v>53</v>
      </c>
      <c r="E3" s="66" t="s">
        <v>54</v>
      </c>
      <c r="F3" s="65" t="s">
        <v>53</v>
      </c>
      <c r="G3" s="66" t="s">
        <v>54</v>
      </c>
      <c r="H3" s="65" t="s">
        <v>53</v>
      </c>
      <c r="I3" s="66" t="s">
        <v>54</v>
      </c>
      <c r="J3" s="65" t="s">
        <v>53</v>
      </c>
      <c r="K3" s="66" t="s">
        <v>54</v>
      </c>
      <c r="L3" s="65" t="s">
        <v>53</v>
      </c>
      <c r="M3" s="66" t="s">
        <v>54</v>
      </c>
      <c r="N3" s="65" t="s">
        <v>53</v>
      </c>
      <c r="O3" s="66" t="s">
        <v>54</v>
      </c>
      <c r="P3" s="65" t="s">
        <v>53</v>
      </c>
      <c r="Q3" s="66" t="s">
        <v>54</v>
      </c>
      <c r="R3" s="65" t="s">
        <v>53</v>
      </c>
      <c r="S3" s="66" t="s">
        <v>54</v>
      </c>
      <c r="T3" s="65" t="s">
        <v>53</v>
      </c>
      <c r="U3" s="66" t="s">
        <v>54</v>
      </c>
      <c r="V3" s="65" t="s">
        <v>53</v>
      </c>
      <c r="W3" s="66" t="s">
        <v>54</v>
      </c>
    </row>
    <row r="4" spans="2:23" ht="15.75" thickBot="1" x14ac:dyDescent="0.3">
      <c r="B4" s="198"/>
      <c r="C4" s="200"/>
      <c r="D4" s="67" t="s">
        <v>0</v>
      </c>
      <c r="E4" s="68" t="s">
        <v>0</v>
      </c>
      <c r="F4" s="67" t="s">
        <v>0</v>
      </c>
      <c r="G4" s="68" t="s">
        <v>0</v>
      </c>
      <c r="H4" s="67" t="s">
        <v>0</v>
      </c>
      <c r="I4" s="68" t="s">
        <v>0</v>
      </c>
      <c r="J4" s="67" t="s">
        <v>0</v>
      </c>
      <c r="K4" s="68" t="s">
        <v>0</v>
      </c>
      <c r="L4" s="67" t="s">
        <v>0</v>
      </c>
      <c r="M4" s="68" t="s">
        <v>0</v>
      </c>
      <c r="N4" s="67" t="s">
        <v>0</v>
      </c>
      <c r="O4" s="68" t="s">
        <v>0</v>
      </c>
      <c r="P4" s="67" t="s">
        <v>0</v>
      </c>
      <c r="Q4" s="68" t="s">
        <v>0</v>
      </c>
      <c r="R4" s="67" t="s">
        <v>0</v>
      </c>
      <c r="S4" s="68" t="s">
        <v>0</v>
      </c>
      <c r="T4" s="67" t="s">
        <v>0</v>
      </c>
      <c r="U4" s="68" t="s">
        <v>0</v>
      </c>
      <c r="V4" s="67" t="s">
        <v>0</v>
      </c>
      <c r="W4" s="68" t="s">
        <v>0</v>
      </c>
    </row>
    <row r="5" spans="2:23" ht="15.75" thickBot="1" x14ac:dyDescent="0.3">
      <c r="B5" s="69">
        <v>1</v>
      </c>
      <c r="C5" s="94"/>
      <c r="D5" s="104"/>
      <c r="E5" s="103"/>
      <c r="F5" s="104"/>
      <c r="G5" s="103"/>
      <c r="H5" s="104"/>
      <c r="I5" s="103"/>
      <c r="J5" s="104"/>
      <c r="K5" s="103"/>
      <c r="L5" s="104"/>
      <c r="M5" s="103"/>
      <c r="N5" s="104"/>
      <c r="O5" s="103"/>
      <c r="P5" s="104"/>
      <c r="Q5" s="103"/>
      <c r="R5" s="104"/>
      <c r="S5" s="103"/>
      <c r="T5" s="104"/>
      <c r="U5" s="103"/>
      <c r="V5" s="104"/>
      <c r="W5" s="103"/>
    </row>
    <row r="6" spans="2:23" ht="15.75" thickBot="1" x14ac:dyDescent="0.3">
      <c r="B6" s="69">
        <v>2</v>
      </c>
      <c r="C6" s="95"/>
      <c r="D6" s="105"/>
      <c r="E6" s="106"/>
      <c r="F6" s="105"/>
      <c r="G6" s="106"/>
      <c r="H6" s="105"/>
      <c r="I6" s="106"/>
      <c r="J6" s="105"/>
      <c r="K6" s="106"/>
      <c r="L6" s="105"/>
      <c r="M6" s="106"/>
      <c r="N6" s="105"/>
      <c r="O6" s="106"/>
      <c r="P6" s="105"/>
      <c r="Q6" s="106"/>
      <c r="R6" s="105"/>
      <c r="S6" s="106"/>
      <c r="T6" s="105"/>
      <c r="U6" s="106"/>
      <c r="V6" s="105"/>
      <c r="W6" s="107"/>
    </row>
    <row r="7" spans="2:23" ht="15.75" thickBot="1" x14ac:dyDescent="0.3">
      <c r="B7" s="69">
        <v>3</v>
      </c>
      <c r="C7" s="95"/>
      <c r="D7" s="105"/>
      <c r="E7" s="106"/>
      <c r="F7" s="105"/>
      <c r="G7" s="106"/>
      <c r="H7" s="105"/>
      <c r="I7" s="106"/>
      <c r="J7" s="105"/>
      <c r="K7" s="106"/>
      <c r="L7" s="105"/>
      <c r="M7" s="106"/>
      <c r="N7" s="105"/>
      <c r="O7" s="106"/>
      <c r="P7" s="105"/>
      <c r="Q7" s="106"/>
      <c r="R7" s="105"/>
      <c r="S7" s="106"/>
      <c r="T7" s="105"/>
      <c r="U7" s="106"/>
      <c r="V7" s="105"/>
      <c r="W7" s="107"/>
    </row>
    <row r="8" spans="2:23" ht="15.75" thickBot="1" x14ac:dyDescent="0.3">
      <c r="B8" s="69">
        <v>4</v>
      </c>
      <c r="C8" s="95"/>
      <c r="D8" s="105"/>
      <c r="E8" s="106"/>
      <c r="F8" s="105"/>
      <c r="G8" s="106"/>
      <c r="H8" s="105"/>
      <c r="I8" s="106"/>
      <c r="J8" s="105"/>
      <c r="K8" s="106"/>
      <c r="L8" s="105"/>
      <c r="M8" s="106"/>
      <c r="N8" s="105"/>
      <c r="O8" s="106"/>
      <c r="P8" s="105"/>
      <c r="Q8" s="106"/>
      <c r="R8" s="105"/>
      <c r="S8" s="106"/>
      <c r="T8" s="105"/>
      <c r="U8" s="106"/>
      <c r="V8" s="105"/>
      <c r="W8" s="107"/>
    </row>
    <row r="9" spans="2:23" ht="15.75" thickBot="1" x14ac:dyDescent="0.3">
      <c r="B9" s="69">
        <v>5</v>
      </c>
      <c r="C9" s="95"/>
      <c r="D9" s="105"/>
      <c r="E9" s="106"/>
      <c r="F9" s="105"/>
      <c r="G9" s="106"/>
      <c r="H9" s="105"/>
      <c r="I9" s="106"/>
      <c r="J9" s="105"/>
      <c r="K9" s="106"/>
      <c r="L9" s="105"/>
      <c r="M9" s="106"/>
      <c r="N9" s="105"/>
      <c r="O9" s="106"/>
      <c r="P9" s="105"/>
      <c r="Q9" s="106"/>
      <c r="R9" s="105"/>
      <c r="S9" s="106"/>
      <c r="T9" s="105"/>
      <c r="U9" s="106"/>
      <c r="V9" s="105"/>
      <c r="W9" s="107"/>
    </row>
    <row r="10" spans="2:23" ht="15.75" thickBot="1" x14ac:dyDescent="0.3">
      <c r="B10" s="69">
        <v>6</v>
      </c>
      <c r="C10" s="95"/>
      <c r="D10" s="105"/>
      <c r="E10" s="106"/>
      <c r="F10" s="105"/>
      <c r="G10" s="106"/>
      <c r="H10" s="105"/>
      <c r="I10" s="106"/>
      <c r="J10" s="105"/>
      <c r="K10" s="106"/>
      <c r="L10" s="105"/>
      <c r="M10" s="106"/>
      <c r="N10" s="105"/>
      <c r="O10" s="106"/>
      <c r="P10" s="105"/>
      <c r="Q10" s="106"/>
      <c r="R10" s="105"/>
      <c r="S10" s="106"/>
      <c r="T10" s="105"/>
      <c r="U10" s="106"/>
      <c r="V10" s="105"/>
      <c r="W10" s="107"/>
    </row>
    <row r="11" spans="2:23" ht="15.75" thickBot="1" x14ac:dyDescent="0.3">
      <c r="B11" s="69">
        <v>7</v>
      </c>
      <c r="C11" s="95"/>
      <c r="D11" s="105"/>
      <c r="E11" s="106"/>
      <c r="F11" s="105"/>
      <c r="G11" s="106"/>
      <c r="H11" s="105"/>
      <c r="I11" s="106"/>
      <c r="J11" s="105"/>
      <c r="K11" s="106"/>
      <c r="L11" s="105"/>
      <c r="M11" s="106"/>
      <c r="N11" s="105"/>
      <c r="O11" s="106"/>
      <c r="P11" s="105"/>
      <c r="Q11" s="106"/>
      <c r="R11" s="105"/>
      <c r="S11" s="106"/>
      <c r="T11" s="105"/>
      <c r="U11" s="106"/>
      <c r="V11" s="105"/>
      <c r="W11" s="107"/>
    </row>
    <row r="12" spans="2:23" ht="15.75" thickBot="1" x14ac:dyDescent="0.3">
      <c r="B12" s="69">
        <v>8</v>
      </c>
      <c r="C12" s="95"/>
      <c r="D12" s="105"/>
      <c r="E12" s="106"/>
      <c r="F12" s="105"/>
      <c r="G12" s="106"/>
      <c r="H12" s="105"/>
      <c r="I12" s="106"/>
      <c r="J12" s="105"/>
      <c r="K12" s="106"/>
      <c r="L12" s="105"/>
      <c r="M12" s="106"/>
      <c r="N12" s="105"/>
      <c r="O12" s="106"/>
      <c r="P12" s="105"/>
      <c r="Q12" s="106"/>
      <c r="R12" s="105"/>
      <c r="S12" s="106"/>
      <c r="T12" s="105"/>
      <c r="U12" s="106"/>
      <c r="V12" s="105"/>
      <c r="W12" s="107"/>
    </row>
    <row r="13" spans="2:23" ht="15.75" thickBot="1" x14ac:dyDescent="0.3">
      <c r="B13" s="69">
        <v>9</v>
      </c>
      <c r="C13" s="95"/>
      <c r="D13" s="105"/>
      <c r="E13" s="106"/>
      <c r="F13" s="105"/>
      <c r="G13" s="106"/>
      <c r="H13" s="105"/>
      <c r="I13" s="106"/>
      <c r="J13" s="105"/>
      <c r="K13" s="106"/>
      <c r="L13" s="105"/>
      <c r="M13" s="106"/>
      <c r="N13" s="105"/>
      <c r="O13" s="106"/>
      <c r="P13" s="105"/>
      <c r="Q13" s="106"/>
      <c r="R13" s="105"/>
      <c r="S13" s="106"/>
      <c r="T13" s="105"/>
      <c r="U13" s="106"/>
      <c r="V13" s="105"/>
      <c r="W13" s="107"/>
    </row>
    <row r="14" spans="2:23" ht="15.75" thickBot="1" x14ac:dyDescent="0.3">
      <c r="B14" s="69">
        <v>10</v>
      </c>
      <c r="C14" s="95"/>
      <c r="D14" s="105"/>
      <c r="E14" s="106"/>
      <c r="F14" s="105"/>
      <c r="G14" s="106"/>
      <c r="H14" s="105"/>
      <c r="I14" s="106"/>
      <c r="J14" s="105"/>
      <c r="K14" s="106"/>
      <c r="L14" s="105"/>
      <c r="M14" s="106"/>
      <c r="N14" s="105"/>
      <c r="O14" s="106"/>
      <c r="P14" s="105"/>
      <c r="Q14" s="106"/>
      <c r="R14" s="105"/>
      <c r="S14" s="106"/>
      <c r="T14" s="105"/>
      <c r="U14" s="106"/>
      <c r="V14" s="105"/>
      <c r="W14" s="107"/>
    </row>
    <row r="15" spans="2:23" ht="15.75" thickBot="1" x14ac:dyDescent="0.3">
      <c r="B15" s="69">
        <v>11</v>
      </c>
      <c r="C15" s="95"/>
      <c r="D15" s="105"/>
      <c r="E15" s="106"/>
      <c r="F15" s="105"/>
      <c r="G15" s="106"/>
      <c r="H15" s="105"/>
      <c r="I15" s="106"/>
      <c r="J15" s="105"/>
      <c r="K15" s="106"/>
      <c r="L15" s="105"/>
      <c r="M15" s="106"/>
      <c r="N15" s="105"/>
      <c r="O15" s="106"/>
      <c r="P15" s="105"/>
      <c r="Q15" s="106"/>
      <c r="R15" s="105"/>
      <c r="S15" s="106"/>
      <c r="T15" s="105"/>
      <c r="U15" s="106"/>
      <c r="V15" s="105"/>
      <c r="W15" s="107"/>
    </row>
    <row r="16" spans="2:23" ht="15.75" thickBot="1" x14ac:dyDescent="0.3">
      <c r="B16" s="69">
        <v>12</v>
      </c>
      <c r="C16" s="96"/>
      <c r="D16" s="108"/>
      <c r="E16" s="109"/>
      <c r="F16" s="108"/>
      <c r="G16" s="109"/>
      <c r="H16" s="108"/>
      <c r="I16" s="109"/>
      <c r="J16" s="108"/>
      <c r="K16" s="109"/>
      <c r="L16" s="108"/>
      <c r="M16" s="109"/>
      <c r="N16" s="108"/>
      <c r="O16" s="109"/>
      <c r="P16" s="108"/>
      <c r="Q16" s="109"/>
      <c r="R16" s="108"/>
      <c r="S16" s="109"/>
      <c r="T16" s="108"/>
      <c r="U16" s="109"/>
      <c r="V16" s="108"/>
      <c r="W16" s="110"/>
    </row>
    <row r="17" spans="2:23" ht="15.75" thickBot="1" x14ac:dyDescent="0.3">
      <c r="B17" s="69">
        <v>13</v>
      </c>
      <c r="C17" s="96"/>
      <c r="D17" s="108"/>
      <c r="E17" s="109"/>
      <c r="F17" s="108"/>
      <c r="G17" s="109"/>
      <c r="H17" s="108"/>
      <c r="I17" s="109"/>
      <c r="J17" s="108"/>
      <c r="K17" s="109"/>
      <c r="L17" s="108"/>
      <c r="M17" s="109"/>
      <c r="N17" s="108"/>
      <c r="O17" s="109"/>
      <c r="P17" s="108"/>
      <c r="Q17" s="109"/>
      <c r="R17" s="108"/>
      <c r="S17" s="109"/>
      <c r="T17" s="108"/>
      <c r="U17" s="109"/>
      <c r="V17" s="108"/>
      <c r="W17" s="110"/>
    </row>
    <row r="18" spans="2:23" ht="15.75" thickBot="1" x14ac:dyDescent="0.3">
      <c r="B18" s="69">
        <v>14</v>
      </c>
      <c r="C18" s="96"/>
      <c r="D18" s="108"/>
      <c r="E18" s="109"/>
      <c r="F18" s="108"/>
      <c r="G18" s="109"/>
      <c r="H18" s="108"/>
      <c r="I18" s="109"/>
      <c r="J18" s="108"/>
      <c r="K18" s="109"/>
      <c r="L18" s="108"/>
      <c r="M18" s="109"/>
      <c r="N18" s="108"/>
      <c r="O18" s="109"/>
      <c r="P18" s="108"/>
      <c r="Q18" s="109"/>
      <c r="R18" s="108"/>
      <c r="S18" s="109"/>
      <c r="T18" s="108"/>
      <c r="U18" s="109"/>
      <c r="V18" s="108"/>
      <c r="W18" s="110"/>
    </row>
    <row r="19" spans="2:23" ht="15.75" thickBot="1" x14ac:dyDescent="0.3">
      <c r="B19" s="69">
        <v>15</v>
      </c>
      <c r="C19" s="96"/>
      <c r="D19" s="108"/>
      <c r="E19" s="109"/>
      <c r="F19" s="108"/>
      <c r="G19" s="109"/>
      <c r="H19" s="108"/>
      <c r="I19" s="109"/>
      <c r="J19" s="108"/>
      <c r="K19" s="109"/>
      <c r="L19" s="108"/>
      <c r="M19" s="109"/>
      <c r="N19" s="108"/>
      <c r="O19" s="109"/>
      <c r="P19" s="108"/>
      <c r="Q19" s="109"/>
      <c r="R19" s="108"/>
      <c r="S19" s="109"/>
      <c r="T19" s="108"/>
      <c r="U19" s="109"/>
      <c r="V19" s="108"/>
      <c r="W19" s="110"/>
    </row>
    <row r="20" spans="2:23" ht="15.75" thickBot="1" x14ac:dyDescent="0.3">
      <c r="B20" s="69">
        <v>16</v>
      </c>
      <c r="C20" s="96"/>
      <c r="D20" s="108"/>
      <c r="E20" s="109"/>
      <c r="F20" s="108"/>
      <c r="G20" s="109"/>
      <c r="H20" s="108"/>
      <c r="I20" s="109"/>
      <c r="J20" s="108"/>
      <c r="K20" s="109"/>
      <c r="L20" s="108"/>
      <c r="M20" s="109"/>
      <c r="N20" s="108"/>
      <c r="O20" s="109"/>
      <c r="P20" s="108"/>
      <c r="Q20" s="109"/>
      <c r="R20" s="108"/>
      <c r="S20" s="109"/>
      <c r="T20" s="108"/>
      <c r="U20" s="109"/>
      <c r="V20" s="108"/>
      <c r="W20" s="110"/>
    </row>
    <row r="21" spans="2:23" ht="15.75" thickBot="1" x14ac:dyDescent="0.3">
      <c r="B21" s="69">
        <v>17</v>
      </c>
      <c r="C21" s="96"/>
      <c r="D21" s="108"/>
      <c r="E21" s="109"/>
      <c r="F21" s="108"/>
      <c r="G21" s="109"/>
      <c r="H21" s="108"/>
      <c r="I21" s="109"/>
      <c r="J21" s="108"/>
      <c r="K21" s="109"/>
      <c r="L21" s="108"/>
      <c r="M21" s="109"/>
      <c r="N21" s="108"/>
      <c r="O21" s="109"/>
      <c r="P21" s="108"/>
      <c r="Q21" s="109"/>
      <c r="R21" s="108"/>
      <c r="S21" s="109"/>
      <c r="T21" s="108"/>
      <c r="U21" s="109"/>
      <c r="V21" s="108"/>
      <c r="W21" s="110"/>
    </row>
    <row r="22" spans="2:23" ht="15.75" thickBot="1" x14ac:dyDescent="0.3">
      <c r="B22" s="69">
        <v>18</v>
      </c>
      <c r="C22" s="96"/>
      <c r="D22" s="108"/>
      <c r="E22" s="109"/>
      <c r="F22" s="108"/>
      <c r="G22" s="109"/>
      <c r="H22" s="108"/>
      <c r="I22" s="109"/>
      <c r="J22" s="108"/>
      <c r="K22" s="109"/>
      <c r="L22" s="108"/>
      <c r="M22" s="109"/>
      <c r="N22" s="108"/>
      <c r="O22" s="109"/>
      <c r="P22" s="108"/>
      <c r="Q22" s="109"/>
      <c r="R22" s="108"/>
      <c r="S22" s="109"/>
      <c r="T22" s="108"/>
      <c r="U22" s="109"/>
      <c r="V22" s="108"/>
      <c r="W22" s="110"/>
    </row>
    <row r="23" spans="2:23" ht="15.75" thickBot="1" x14ac:dyDescent="0.3">
      <c r="B23" s="69">
        <v>19</v>
      </c>
      <c r="C23" s="96"/>
      <c r="D23" s="108"/>
      <c r="E23" s="109"/>
      <c r="F23" s="108"/>
      <c r="G23" s="109"/>
      <c r="H23" s="108"/>
      <c r="I23" s="109"/>
      <c r="J23" s="108"/>
      <c r="K23" s="109"/>
      <c r="L23" s="108"/>
      <c r="M23" s="109"/>
      <c r="N23" s="108"/>
      <c r="O23" s="109"/>
      <c r="P23" s="108"/>
      <c r="Q23" s="109"/>
      <c r="R23" s="108"/>
      <c r="S23" s="109"/>
      <c r="T23" s="108"/>
      <c r="U23" s="109"/>
      <c r="V23" s="108"/>
      <c r="W23" s="110"/>
    </row>
    <row r="24" spans="2:23" ht="15.75" thickBot="1" x14ac:dyDescent="0.3">
      <c r="B24" s="69">
        <v>20</v>
      </c>
      <c r="C24" s="96"/>
      <c r="D24" s="108"/>
      <c r="E24" s="109"/>
      <c r="F24" s="108"/>
      <c r="G24" s="109"/>
      <c r="H24" s="108"/>
      <c r="I24" s="109"/>
      <c r="J24" s="108"/>
      <c r="K24" s="109"/>
      <c r="L24" s="108"/>
      <c r="M24" s="109"/>
      <c r="N24" s="108"/>
      <c r="O24" s="109"/>
      <c r="P24" s="108"/>
      <c r="Q24" s="109"/>
      <c r="R24" s="108"/>
      <c r="S24" s="109"/>
      <c r="T24" s="108"/>
      <c r="U24" s="109"/>
      <c r="V24" s="108"/>
      <c r="W24" s="110"/>
    </row>
    <row r="25" spans="2:23" ht="15.75" thickBot="1" x14ac:dyDescent="0.3">
      <c r="B25" s="69">
        <v>21</v>
      </c>
      <c r="C25" s="97"/>
      <c r="D25" s="111"/>
      <c r="E25" s="112"/>
      <c r="F25" s="111"/>
      <c r="G25" s="112"/>
      <c r="H25" s="111"/>
      <c r="I25" s="112"/>
      <c r="J25" s="111"/>
      <c r="K25" s="112"/>
      <c r="L25" s="111"/>
      <c r="M25" s="112"/>
      <c r="N25" s="111"/>
      <c r="O25" s="112"/>
      <c r="P25" s="111"/>
      <c r="Q25" s="112"/>
      <c r="R25" s="111"/>
      <c r="S25" s="112"/>
      <c r="T25" s="111"/>
      <c r="U25" s="112"/>
      <c r="V25" s="111"/>
      <c r="W25" s="113"/>
    </row>
    <row r="26" spans="2:23" ht="15.75" thickBot="1" x14ac:dyDescent="0.3">
      <c r="D26" s="114">
        <f>IF(SUM(D5:D25)&gt;0,AVERAGE(D5:D25),0)</f>
        <v>0</v>
      </c>
      <c r="E26" s="115"/>
      <c r="F26" s="114">
        <f>IF(SUM(F5:F25)&gt;0,AVERAGE(F5:F25),0)</f>
        <v>0</v>
      </c>
      <c r="G26" s="115"/>
      <c r="H26" s="114">
        <f>IF(SUM(H5:H25)&gt;0,AVERAGE(H5:H25),0)</f>
        <v>0</v>
      </c>
      <c r="I26" s="115"/>
      <c r="J26" s="114">
        <f>IF(SUM(J5:J25)&gt;0,AVERAGE(J5:J25),0)</f>
        <v>0</v>
      </c>
      <c r="K26" s="115"/>
      <c r="L26" s="114">
        <f>IF(SUM(L5:L25)&gt;0,AVERAGE(L5:L25),0)</f>
        <v>0</v>
      </c>
      <c r="M26" s="115"/>
      <c r="N26" s="114">
        <f>IF(SUM(N5:N25)&gt;0,AVERAGE(N5:N25),0)</f>
        <v>0</v>
      </c>
      <c r="O26" s="115"/>
      <c r="P26" s="114">
        <f>IF(SUM(P5:P25)&gt;0,AVERAGE(P5:P25),0)</f>
        <v>0</v>
      </c>
      <c r="Q26" s="115"/>
      <c r="R26" s="114">
        <f>IF(SUM(R5:R25)&gt;0,AVERAGE(R5:R25),0)</f>
        <v>0</v>
      </c>
      <c r="S26" s="115"/>
      <c r="T26" s="114">
        <f>IF(SUM(T5:T25)&gt;0,AVERAGE(T5:T25),0)</f>
        <v>0</v>
      </c>
      <c r="U26" s="115"/>
      <c r="V26" s="114">
        <f>IF(SUM(V5:V25)&gt;0,AVERAGE(V5:V25),0)</f>
        <v>0</v>
      </c>
      <c r="W26" s="115"/>
    </row>
  </sheetData>
  <sheetProtection formatCells="0" formatColumns="0" formatRows="0" insertColumns="0" insertRows="0" insertHyperlinks="0" deleteColumns="0" deleteRows="0" sort="0"/>
  <mergeCells count="12">
    <mergeCell ref="B3:B4"/>
    <mergeCell ref="C3:C4"/>
    <mergeCell ref="V2:W2"/>
    <mergeCell ref="D2:E2"/>
    <mergeCell ref="F2:G2"/>
    <mergeCell ref="H2:I2"/>
    <mergeCell ref="J2:K2"/>
    <mergeCell ref="L2:M2"/>
    <mergeCell ref="N2:O2"/>
    <mergeCell ref="P2:Q2"/>
    <mergeCell ref="R2:S2"/>
    <mergeCell ref="T2:U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4"/>
  <sheetViews>
    <sheetView showGridLines="0" zoomScaleNormal="100" workbookViewId="0">
      <selection activeCell="I6" sqref="I6"/>
    </sheetView>
  </sheetViews>
  <sheetFormatPr defaultRowHeight="15" x14ac:dyDescent="0.25"/>
  <cols>
    <col min="1" max="1" width="3.42578125" customWidth="1"/>
    <col min="2" max="2" width="22" style="157" customWidth="1"/>
    <col min="3" max="3" width="18.28515625" customWidth="1"/>
    <col min="4" max="6" width="14.7109375" customWidth="1"/>
    <col min="7" max="7" width="18" bestFit="1" customWidth="1"/>
    <col min="8" max="13" width="14.7109375" customWidth="1"/>
    <col min="14" max="14" width="15.42578125" bestFit="1" customWidth="1"/>
    <col min="17" max="17" width="22" customWidth="1"/>
    <col min="18" max="18" width="20.85546875" bestFit="1" customWidth="1"/>
    <col min="19" max="19" width="20.42578125" bestFit="1" customWidth="1"/>
  </cols>
  <sheetData>
    <row r="2" spans="2:9" ht="21" x14ac:dyDescent="0.35">
      <c r="B2" s="152" t="s">
        <v>55</v>
      </c>
    </row>
    <row r="3" spans="2:9" ht="16.5" thickBot="1" x14ac:dyDescent="0.3">
      <c r="B3" s="153" t="s">
        <v>177</v>
      </c>
    </row>
    <row r="4" spans="2:9" ht="30" x14ac:dyDescent="0.25">
      <c r="B4" s="215" t="s">
        <v>101</v>
      </c>
      <c r="C4" s="216"/>
      <c r="D4" s="82" t="s">
        <v>79</v>
      </c>
      <c r="E4" s="51" t="s">
        <v>56</v>
      </c>
      <c r="F4" s="50" t="s">
        <v>5</v>
      </c>
      <c r="G4" s="52" t="s">
        <v>57</v>
      </c>
      <c r="I4" s="49"/>
    </row>
    <row r="5" spans="2:9" x14ac:dyDescent="0.25">
      <c r="B5" s="151" t="s">
        <v>85</v>
      </c>
      <c r="C5" s="176">
        <f>'Initial Cost Breakdown'!D27*1.2</f>
        <v>0</v>
      </c>
      <c r="D5" s="40">
        <f>'PETREL Prices'!H7</f>
        <v>0</v>
      </c>
      <c r="E5" s="101">
        <f>'Banded Qty Discount &amp; leadtimes'!C6</f>
        <v>0</v>
      </c>
      <c r="F5" s="40">
        <f>D5*(1-E5)</f>
        <v>0</v>
      </c>
      <c r="G5" s="62">
        <f>C5*F5</f>
        <v>0</v>
      </c>
    </row>
    <row r="6" spans="2:9" x14ac:dyDescent="0.25">
      <c r="B6" s="151" t="s">
        <v>88</v>
      </c>
      <c r="C6" s="176">
        <f>'Initial Cost Breakdown'!D28*1.2</f>
        <v>0</v>
      </c>
      <c r="D6" s="40">
        <f>'PETREL Prices'!H8</f>
        <v>0</v>
      </c>
      <c r="E6" s="101">
        <f>'Banded Qty Discount &amp; leadtimes'!C6</f>
        <v>0</v>
      </c>
      <c r="F6" s="40">
        <f>D6*(1-E6)</f>
        <v>0</v>
      </c>
      <c r="G6" s="62">
        <f>C6*F6</f>
        <v>0</v>
      </c>
    </row>
    <row r="7" spans="2:9" x14ac:dyDescent="0.25">
      <c r="B7" s="151" t="s">
        <v>89</v>
      </c>
      <c r="C7" s="176">
        <f>'Initial Cost Breakdown'!D29*1.2</f>
        <v>0</v>
      </c>
      <c r="D7" s="40">
        <f>'PETREL Prices'!H9</f>
        <v>0</v>
      </c>
      <c r="E7" s="101">
        <f>'Banded Qty Discount &amp; leadtimes'!C6</f>
        <v>0</v>
      </c>
      <c r="F7" s="40">
        <f>D7*(1-E7)</f>
        <v>0</v>
      </c>
      <c r="G7" s="62">
        <f>C7*F7</f>
        <v>0</v>
      </c>
    </row>
    <row r="8" spans="2:9" ht="15.75" thickBot="1" x14ac:dyDescent="0.3">
      <c r="B8" s="154"/>
      <c r="C8" s="42"/>
      <c r="D8" s="40"/>
      <c r="E8" s="102"/>
      <c r="F8" s="43"/>
      <c r="G8" s="63"/>
      <c r="I8" s="7"/>
    </row>
    <row r="9" spans="2:9" ht="15.75" thickBot="1" x14ac:dyDescent="0.3">
      <c r="B9" s="155"/>
      <c r="C9" s="44"/>
      <c r="D9" s="45"/>
      <c r="E9" s="45"/>
      <c r="F9" s="45"/>
      <c r="G9" s="64">
        <f>SUM(G5:G8)</f>
        <v>0</v>
      </c>
    </row>
    <row r="10" spans="2:9" ht="15.75" thickBot="1" x14ac:dyDescent="0.3">
      <c r="B10" s="156" t="s">
        <v>58</v>
      </c>
      <c r="C10" s="47">
        <f>SUM(C5:C8)</f>
        <v>0</v>
      </c>
      <c r="D10" s="33" t="s">
        <v>59</v>
      </c>
      <c r="E10" s="41"/>
      <c r="F10" s="100">
        <f>'Banded Qty Discount &amp; leadtimes'!G6</f>
        <v>0</v>
      </c>
      <c r="G10" s="34"/>
      <c r="I10" s="8"/>
    </row>
    <row r="11" spans="2:9" ht="15.75" thickBot="1" x14ac:dyDescent="0.3">
      <c r="D11" s="35" t="s">
        <v>57</v>
      </c>
      <c r="E11" s="36"/>
      <c r="F11" s="36"/>
      <c r="G11" s="84">
        <f>G9*(1-F10)</f>
        <v>0</v>
      </c>
    </row>
    <row r="12" spans="2:9" x14ac:dyDescent="0.25">
      <c r="D12" s="7"/>
      <c r="E12" s="7"/>
      <c r="F12" s="7"/>
      <c r="G12" s="72"/>
      <c r="H12" s="7"/>
    </row>
    <row r="13" spans="2:9" x14ac:dyDescent="0.25">
      <c r="B13" s="158"/>
      <c r="C13" s="70"/>
      <c r="D13" s="71"/>
      <c r="E13" s="37"/>
      <c r="F13" s="71"/>
      <c r="G13" s="73"/>
      <c r="I13" s="8"/>
    </row>
    <row r="14" spans="2:9" ht="16.5" thickBot="1" x14ac:dyDescent="0.3">
      <c r="B14" s="153" t="s">
        <v>178</v>
      </c>
      <c r="D14" s="7"/>
      <c r="E14" s="7"/>
      <c r="F14" s="7"/>
      <c r="G14" s="72"/>
    </row>
    <row r="15" spans="2:9" ht="30" x14ac:dyDescent="0.25">
      <c r="B15" s="215" t="s">
        <v>102</v>
      </c>
      <c r="C15" s="216"/>
      <c r="D15" s="82" t="s">
        <v>79</v>
      </c>
      <c r="E15" s="51" t="s">
        <v>56</v>
      </c>
      <c r="F15" s="50" t="s">
        <v>5</v>
      </c>
      <c r="G15" s="52" t="s">
        <v>57</v>
      </c>
    </row>
    <row r="16" spans="2:9" x14ac:dyDescent="0.25">
      <c r="B16" s="151" t="s">
        <v>90</v>
      </c>
      <c r="C16" s="177">
        <f>'Initial Cost Breakdown'!D30*1.2</f>
        <v>0</v>
      </c>
      <c r="D16" s="40">
        <f>SUM('PETREL SPC Prices'!H7:H164)</f>
        <v>0</v>
      </c>
      <c r="E16" s="101">
        <f>'Banded Qty Discount &amp; leadtimes'!C16</f>
        <v>0</v>
      </c>
      <c r="F16" s="40">
        <f>D16*(1-E16)</f>
        <v>0</v>
      </c>
      <c r="G16" s="62">
        <f>C16*F16</f>
        <v>0</v>
      </c>
      <c r="I16" s="8"/>
    </row>
    <row r="17" spans="2:9" ht="15.75" thickBot="1" x14ac:dyDescent="0.3">
      <c r="B17" s="154"/>
      <c r="C17" s="42"/>
      <c r="D17" s="43"/>
      <c r="E17" s="102"/>
      <c r="F17" s="43"/>
      <c r="G17" s="63"/>
    </row>
    <row r="18" spans="2:9" ht="15.75" thickBot="1" x14ac:dyDescent="0.3">
      <c r="B18" s="155"/>
      <c r="C18" s="44"/>
      <c r="D18" s="120" t="s">
        <v>57</v>
      </c>
      <c r="E18" s="45"/>
      <c r="F18" s="45"/>
      <c r="G18" s="121">
        <f>SUM(G16:G17)</f>
        <v>0</v>
      </c>
    </row>
    <row r="19" spans="2:9" x14ac:dyDescent="0.25">
      <c r="D19" s="7"/>
      <c r="E19" s="7"/>
      <c r="F19" s="7"/>
      <c r="G19" s="72"/>
      <c r="H19" s="7"/>
    </row>
    <row r="20" spans="2:9" s="3" customFormat="1" ht="12.75" x14ac:dyDescent="0.2">
      <c r="B20" s="217"/>
      <c r="C20" s="217"/>
    </row>
    <row r="21" spans="2:9" ht="16.5" thickBot="1" x14ac:dyDescent="0.3">
      <c r="B21" s="153" t="s">
        <v>179</v>
      </c>
    </row>
    <row r="22" spans="2:9" ht="30" x14ac:dyDescent="0.25">
      <c r="B22" s="215" t="s">
        <v>101</v>
      </c>
      <c r="C22" s="216"/>
      <c r="D22" s="82" t="s">
        <v>132</v>
      </c>
      <c r="E22" s="51" t="s">
        <v>56</v>
      </c>
      <c r="F22" s="50" t="s">
        <v>5</v>
      </c>
      <c r="G22" s="52" t="s">
        <v>57</v>
      </c>
      <c r="I22" s="49"/>
    </row>
    <row r="23" spans="2:9" x14ac:dyDescent="0.25">
      <c r="B23" s="151" t="s">
        <v>85</v>
      </c>
      <c r="C23" s="176">
        <f>'Initial Cost Breakdown'!D47*1.2</f>
        <v>0</v>
      </c>
      <c r="D23" s="40">
        <f>'PETREL Prices'!I7</f>
        <v>0</v>
      </c>
      <c r="E23" s="101">
        <f>'Banded Qty Discount &amp; leadtimes'!C9</f>
        <v>0</v>
      </c>
      <c r="F23" s="40">
        <f>D23*(1-E23)</f>
        <v>0</v>
      </c>
      <c r="G23" s="62">
        <f>C23*F23</f>
        <v>0</v>
      </c>
    </row>
    <row r="24" spans="2:9" x14ac:dyDescent="0.25">
      <c r="B24" s="151" t="s">
        <v>88</v>
      </c>
      <c r="C24" s="176">
        <f>'Initial Cost Breakdown'!D48*1.2</f>
        <v>0</v>
      </c>
      <c r="D24" s="40">
        <f>'PETREL Prices'!I8</f>
        <v>0</v>
      </c>
      <c r="E24" s="101">
        <f>'Banded Qty Discount &amp; leadtimes'!C9</f>
        <v>0</v>
      </c>
      <c r="F24" s="40">
        <f>D24*(1-E24)</f>
        <v>0</v>
      </c>
      <c r="G24" s="62">
        <f>C24*F24</f>
        <v>0</v>
      </c>
    </row>
    <row r="25" spans="2:9" x14ac:dyDescent="0.25">
      <c r="B25" s="151" t="s">
        <v>89</v>
      </c>
      <c r="C25" s="176">
        <f>'Initial Cost Breakdown'!D49*1.2</f>
        <v>0</v>
      </c>
      <c r="D25" s="40">
        <f>'PETREL Prices'!I9</f>
        <v>0</v>
      </c>
      <c r="E25" s="101">
        <f>'Banded Qty Discount &amp; leadtimes'!C9</f>
        <v>0</v>
      </c>
      <c r="F25" s="40">
        <f>D25*(1-E25)</f>
        <v>0</v>
      </c>
      <c r="G25" s="62">
        <f>C25*F25</f>
        <v>0</v>
      </c>
    </row>
    <row r="26" spans="2:9" ht="15.75" thickBot="1" x14ac:dyDescent="0.3">
      <c r="B26" s="154"/>
      <c r="C26" s="42"/>
      <c r="D26" s="40"/>
      <c r="E26" s="102"/>
      <c r="F26" s="43"/>
      <c r="G26" s="63"/>
    </row>
    <row r="27" spans="2:9" ht="15.75" thickBot="1" x14ac:dyDescent="0.3">
      <c r="B27" s="155"/>
      <c r="C27" s="44"/>
      <c r="D27" s="45"/>
      <c r="E27" s="45"/>
      <c r="F27" s="45"/>
      <c r="G27" s="64">
        <f>SUM(G23:G26)</f>
        <v>0</v>
      </c>
    </row>
    <row r="28" spans="2:9" ht="15.75" thickBot="1" x14ac:dyDescent="0.3">
      <c r="B28" s="156" t="s">
        <v>58</v>
      </c>
      <c r="C28" s="47">
        <f>SUM(C23:C26)</f>
        <v>0</v>
      </c>
      <c r="D28" s="33" t="s">
        <v>59</v>
      </c>
      <c r="E28" s="41"/>
      <c r="F28" s="100">
        <f>'Banded Qty Discount &amp; leadtimes'!G9</f>
        <v>0</v>
      </c>
      <c r="G28" s="34"/>
      <c r="I28" s="8"/>
    </row>
    <row r="29" spans="2:9" ht="15.75" thickBot="1" x14ac:dyDescent="0.3">
      <c r="D29" s="35" t="s">
        <v>57</v>
      </c>
      <c r="E29" s="36"/>
      <c r="F29" s="36"/>
      <c r="G29" s="84">
        <f>G27*(1-F28)</f>
        <v>0</v>
      </c>
    </row>
    <row r="30" spans="2:9" x14ac:dyDescent="0.25">
      <c r="D30" s="7"/>
      <c r="E30" s="7"/>
      <c r="F30" s="7"/>
      <c r="G30" s="72"/>
      <c r="H30" s="7"/>
    </row>
    <row r="31" spans="2:9" x14ac:dyDescent="0.25">
      <c r="B31" s="158"/>
      <c r="C31" s="70"/>
      <c r="D31" s="71"/>
      <c r="E31" s="37"/>
      <c r="F31" s="71"/>
      <c r="G31" s="73"/>
      <c r="I31" s="8"/>
    </row>
    <row r="32" spans="2:9" ht="16.5" thickBot="1" x14ac:dyDescent="0.3">
      <c r="B32" s="153" t="s">
        <v>180</v>
      </c>
      <c r="D32" s="7"/>
      <c r="E32" s="7"/>
      <c r="F32" s="7"/>
      <c r="G32" s="72"/>
    </row>
    <row r="33" spans="2:17" ht="30" x14ac:dyDescent="0.25">
      <c r="B33" s="215" t="s">
        <v>102</v>
      </c>
      <c r="C33" s="216"/>
      <c r="D33" s="117" t="s">
        <v>132</v>
      </c>
      <c r="E33" s="51" t="s">
        <v>56</v>
      </c>
      <c r="F33" s="50" t="s">
        <v>5</v>
      </c>
      <c r="G33" s="52" t="s">
        <v>57</v>
      </c>
    </row>
    <row r="34" spans="2:17" x14ac:dyDescent="0.25">
      <c r="B34" s="151" t="s">
        <v>90</v>
      </c>
      <c r="C34" s="177">
        <f>'Initial Cost Breakdown'!D50*1.2</f>
        <v>0</v>
      </c>
      <c r="D34" s="40">
        <f>SUM('PETREL SPC Prices'!I7:I148)</f>
        <v>0</v>
      </c>
      <c r="E34" s="101">
        <f>'Banded Qty Discount &amp; leadtimes'!C19</f>
        <v>0</v>
      </c>
      <c r="F34" s="40">
        <f>D34*(1-E34)</f>
        <v>0</v>
      </c>
      <c r="G34" s="62">
        <f>C34*F34</f>
        <v>0</v>
      </c>
      <c r="I34" s="8"/>
    </row>
    <row r="35" spans="2:17" ht="15.75" thickBot="1" x14ac:dyDescent="0.3">
      <c r="B35" s="154"/>
      <c r="C35" s="42"/>
      <c r="D35" s="40"/>
      <c r="E35" s="102"/>
      <c r="F35" s="43"/>
      <c r="G35" s="63"/>
    </row>
    <row r="36" spans="2:17" ht="15.75" thickBot="1" x14ac:dyDescent="0.3">
      <c r="B36" s="155"/>
      <c r="C36" s="44"/>
      <c r="D36" s="120" t="s">
        <v>57</v>
      </c>
      <c r="E36" s="45"/>
      <c r="F36" s="45"/>
      <c r="G36" s="121">
        <f>SUM(G34:G35)</f>
        <v>0</v>
      </c>
    </row>
    <row r="37" spans="2:17" x14ac:dyDescent="0.25">
      <c r="D37" s="7"/>
      <c r="E37" s="7"/>
      <c r="F37" s="7"/>
      <c r="G37" s="72"/>
      <c r="H37" s="7"/>
    </row>
    <row r="38" spans="2:17" ht="19.5" thickBot="1" x14ac:dyDescent="0.35">
      <c r="B38" s="159" t="s">
        <v>61</v>
      </c>
    </row>
    <row r="39" spans="2:17" ht="15.75" thickBot="1" x14ac:dyDescent="0.3">
      <c r="B39" s="157" t="s">
        <v>62</v>
      </c>
      <c r="D39" s="212"/>
      <c r="E39" s="213"/>
      <c r="F39" s="213"/>
      <c r="G39" s="213"/>
      <c r="H39" s="213"/>
      <c r="I39" s="213"/>
      <c r="J39" s="213"/>
      <c r="K39" s="213"/>
      <c r="L39" s="213"/>
      <c r="M39" s="214"/>
    </row>
    <row r="40" spans="2:17" x14ac:dyDescent="0.25">
      <c r="C40" s="25"/>
      <c r="D40" s="22" t="s">
        <v>68</v>
      </c>
      <c r="E40" s="29" t="s">
        <v>69</v>
      </c>
      <c r="F40" s="29" t="s">
        <v>70</v>
      </c>
      <c r="G40" s="29" t="s">
        <v>71</v>
      </c>
      <c r="H40" s="29" t="s">
        <v>72</v>
      </c>
      <c r="I40" s="22" t="s">
        <v>73</v>
      </c>
      <c r="J40" s="29" t="s">
        <v>74</v>
      </c>
      <c r="K40" s="29" t="s">
        <v>75</v>
      </c>
      <c r="L40" s="29" t="s">
        <v>76</v>
      </c>
      <c r="M40" s="29" t="s">
        <v>77</v>
      </c>
    </row>
    <row r="41" spans="2:17" x14ac:dyDescent="0.25">
      <c r="C41" s="26" t="s">
        <v>63</v>
      </c>
      <c r="D41" s="27">
        <f>PDS!D26</f>
        <v>0</v>
      </c>
      <c r="E41" s="27">
        <f>PDS!F26</f>
        <v>0</v>
      </c>
      <c r="F41" s="27">
        <f>PDS!H26</f>
        <v>0</v>
      </c>
      <c r="G41" s="27">
        <f>PDS!J26</f>
        <v>0</v>
      </c>
      <c r="H41" s="27">
        <f>PDS!L26</f>
        <v>0</v>
      </c>
      <c r="I41" s="27">
        <f>PDS!N26</f>
        <v>0</v>
      </c>
      <c r="J41" s="27">
        <f>PDS!P26</f>
        <v>0</v>
      </c>
      <c r="K41" s="27">
        <f>PDS!R26</f>
        <v>0</v>
      </c>
      <c r="L41" s="27">
        <f>PDS!T26</f>
        <v>0</v>
      </c>
      <c r="M41" s="27">
        <f>PDS!V26</f>
        <v>0</v>
      </c>
    </row>
    <row r="42" spans="2:17" ht="15.75" thickBot="1" x14ac:dyDescent="0.3">
      <c r="C42" s="28" t="s">
        <v>64</v>
      </c>
      <c r="D42" s="92">
        <v>300</v>
      </c>
      <c r="E42" s="92">
        <v>300</v>
      </c>
      <c r="F42" s="92">
        <v>200</v>
      </c>
      <c r="G42" s="92">
        <v>100</v>
      </c>
      <c r="H42" s="92">
        <v>100</v>
      </c>
      <c r="I42" s="92">
        <v>300</v>
      </c>
      <c r="J42" s="92">
        <v>200</v>
      </c>
      <c r="K42" s="92">
        <v>100</v>
      </c>
      <c r="L42" s="92">
        <v>100</v>
      </c>
      <c r="M42" s="92">
        <v>100</v>
      </c>
    </row>
    <row r="43" spans="2:17" ht="15.75" thickBot="1" x14ac:dyDescent="0.3">
      <c r="D43" s="32">
        <f>IF(ISBLANK(D41),"",(D41*D42))</f>
        <v>0</v>
      </c>
      <c r="E43" s="32">
        <f t="shared" ref="E43:M43" si="0">IF(ISBLANK(E41),"",(E41*E42))</f>
        <v>0</v>
      </c>
      <c r="F43" s="32">
        <f>IF(ISBLANK(F41),"",(F41*F42))</f>
        <v>0</v>
      </c>
      <c r="G43" s="32">
        <f t="shared" si="0"/>
        <v>0</v>
      </c>
      <c r="H43" s="32">
        <f t="shared" si="0"/>
        <v>0</v>
      </c>
      <c r="I43" s="32">
        <f t="shared" si="0"/>
        <v>0</v>
      </c>
      <c r="J43" s="32">
        <f t="shared" si="0"/>
        <v>0</v>
      </c>
      <c r="K43" s="32">
        <f t="shared" si="0"/>
        <v>0</v>
      </c>
      <c r="L43" s="32">
        <f t="shared" si="0"/>
        <v>0</v>
      </c>
      <c r="M43" s="32">
        <f t="shared" si="0"/>
        <v>0</v>
      </c>
      <c r="N43" s="85">
        <f>SUM(D43:M43)</f>
        <v>0</v>
      </c>
    </row>
    <row r="44" spans="2:17" ht="15.75" thickBot="1" x14ac:dyDescent="0.3">
      <c r="C44" t="s">
        <v>66</v>
      </c>
      <c r="D44" s="98">
        <f>D43*1</f>
        <v>0</v>
      </c>
      <c r="E44" s="99">
        <f>E43*0.9662</f>
        <v>0</v>
      </c>
      <c r="F44" s="99">
        <f>F43*0.9335</f>
        <v>0</v>
      </c>
      <c r="G44" s="99">
        <f>G43*0.9019</f>
        <v>0</v>
      </c>
      <c r="H44" s="99">
        <f>H43*0.8714</f>
        <v>0</v>
      </c>
      <c r="I44" s="99">
        <f>I43*0.842</f>
        <v>0</v>
      </c>
      <c r="J44" s="99">
        <f>J43*0.8135</f>
        <v>0</v>
      </c>
      <c r="K44" s="99">
        <f>K43*0.786</f>
        <v>0</v>
      </c>
      <c r="L44" s="99">
        <f>L43*0.7594</f>
        <v>0</v>
      </c>
      <c r="M44" s="99">
        <f>M43*0.7337</f>
        <v>0</v>
      </c>
      <c r="N44" s="85">
        <f>SUM(D44:M44)</f>
        <v>0</v>
      </c>
    </row>
    <row r="46" spans="2:17" ht="19.5" thickBot="1" x14ac:dyDescent="0.35">
      <c r="B46" s="159" t="s">
        <v>185</v>
      </c>
    </row>
    <row r="47" spans="2:17" ht="15.75" thickBot="1" x14ac:dyDescent="0.3">
      <c r="D47" s="212"/>
      <c r="E47" s="213"/>
      <c r="F47" s="213"/>
      <c r="G47" s="213"/>
      <c r="H47" s="213"/>
      <c r="I47" s="213"/>
      <c r="J47" s="213"/>
      <c r="K47" s="213"/>
      <c r="L47" s="213"/>
      <c r="M47" s="214"/>
      <c r="O47" s="203" t="s">
        <v>151</v>
      </c>
      <c r="P47" s="204"/>
      <c r="Q47" s="205"/>
    </row>
    <row r="48" spans="2:17" x14ac:dyDescent="0.25">
      <c r="C48" s="25"/>
      <c r="D48" s="22" t="s">
        <v>68</v>
      </c>
      <c r="E48" s="29" t="s">
        <v>69</v>
      </c>
      <c r="F48" s="29" t="s">
        <v>70</v>
      </c>
      <c r="G48" s="29" t="s">
        <v>71</v>
      </c>
      <c r="H48" s="29" t="s">
        <v>72</v>
      </c>
      <c r="I48" s="22" t="s">
        <v>73</v>
      </c>
      <c r="J48" s="29" t="s">
        <v>74</v>
      </c>
      <c r="K48" s="29" t="s">
        <v>75</v>
      </c>
      <c r="L48" s="29" t="s">
        <v>76</v>
      </c>
      <c r="M48" s="29" t="s">
        <v>77</v>
      </c>
      <c r="O48" s="206"/>
      <c r="P48" s="207"/>
      <c r="Q48" s="208"/>
    </row>
    <row r="49" spans="3:17" ht="45.75" thickBot="1" x14ac:dyDescent="0.3">
      <c r="C49" s="178" t="s">
        <v>184</v>
      </c>
      <c r="D49" s="122">
        <v>0</v>
      </c>
      <c r="E49" s="122">
        <f t="shared" ref="E49:M49" si="1">21000*$O$49</f>
        <v>4200</v>
      </c>
      <c r="F49" s="122">
        <f t="shared" si="1"/>
        <v>4200</v>
      </c>
      <c r="G49" s="122">
        <f t="shared" si="1"/>
        <v>4200</v>
      </c>
      <c r="H49" s="122">
        <f t="shared" si="1"/>
        <v>4200</v>
      </c>
      <c r="I49" s="122">
        <f t="shared" si="1"/>
        <v>4200</v>
      </c>
      <c r="J49" s="122">
        <f t="shared" si="1"/>
        <v>4200</v>
      </c>
      <c r="K49" s="122">
        <f t="shared" si="1"/>
        <v>4200</v>
      </c>
      <c r="L49" s="122">
        <f t="shared" si="1"/>
        <v>4200</v>
      </c>
      <c r="M49" s="122">
        <f t="shared" si="1"/>
        <v>4200</v>
      </c>
      <c r="O49" s="209">
        <v>0.2</v>
      </c>
      <c r="P49" s="210"/>
      <c r="Q49" s="211"/>
    </row>
    <row r="50" spans="3:17" ht="15.75" thickBot="1" x14ac:dyDescent="0.3">
      <c r="C50" s="28" t="s">
        <v>148</v>
      </c>
      <c r="D50" s="123">
        <f>(2*('PETREL Prices'!H7+'PETREL Prices'!H8+'PETREL Prices'!H9))+(SUM('PETREL SPC Prices'!H7:H24))</f>
        <v>0</v>
      </c>
      <c r="E50" s="123">
        <f>(2*('PETREL Prices'!I7+'PETREL Prices'!I8+'PETREL Prices'!I9))+(SUM('PETREL SPC Prices'!I7:I24))</f>
        <v>0</v>
      </c>
      <c r="F50" s="123">
        <f>(2*('PETREL Prices'!J7+'PETREL Prices'!J8+'PETREL Prices'!J9))+(SUM('PETREL SPC Prices'!J7:J24))</f>
        <v>0</v>
      </c>
      <c r="G50" s="123">
        <f>(2*('PETREL Prices'!K7+'PETREL Prices'!K8+'PETREL Prices'!K9))+(SUM('PETREL SPC Prices'!K7:K24))</f>
        <v>0</v>
      </c>
      <c r="H50" s="123">
        <f>(2*('PETREL Prices'!L7+'PETREL Prices'!L8+'PETREL Prices'!L9))+(SUM('PETREL SPC Prices'!L7:L24))</f>
        <v>0</v>
      </c>
      <c r="I50" s="123">
        <f>(2*('PETREL Prices'!M7+'PETREL Prices'!M8+'PETREL Prices'!M9))+(SUM('PETREL SPC Prices'!M7:M24))</f>
        <v>0</v>
      </c>
      <c r="J50" s="123">
        <f>(2*('PETREL Prices'!N7+'PETREL Prices'!N8+'PETREL Prices'!N9))+(SUM('PETREL SPC Prices'!N7:N24))</f>
        <v>0</v>
      </c>
      <c r="K50" s="123">
        <f>(2*('PETREL Prices'!O7+'PETREL Prices'!O8+'PETREL Prices'!O9))+(SUM('PETREL SPC Prices'!O7:O24))</f>
        <v>0</v>
      </c>
      <c r="L50" s="123">
        <f>(2*('PETREL Prices'!P7+'PETREL Prices'!P8+'PETREL Prices'!P9))+(SUM('PETREL SPC Prices'!P7:P24))</f>
        <v>0</v>
      </c>
      <c r="M50" s="123">
        <f>(2*('PETREL Prices'!Q7+'PETREL Prices'!Q8+'PETREL Prices'!Q9))+(SUM('PETREL SPC Prices'!Q7:Q24))</f>
        <v>0</v>
      </c>
    </row>
    <row r="51" spans="3:17" ht="15.75" thickBot="1" x14ac:dyDescent="0.3">
      <c r="D51" s="32">
        <f>IF(ISBLANK(D49),"",(D49*D50))</f>
        <v>0</v>
      </c>
      <c r="E51" s="32">
        <f t="shared" ref="E51:M51" si="2">IF(ISBLANK(E49),"",(E49*E50))</f>
        <v>0</v>
      </c>
      <c r="F51" s="32">
        <f t="shared" si="2"/>
        <v>0</v>
      </c>
      <c r="G51" s="32">
        <f t="shared" si="2"/>
        <v>0</v>
      </c>
      <c r="H51" s="32">
        <f t="shared" si="2"/>
        <v>0</v>
      </c>
      <c r="I51" s="32">
        <f t="shared" si="2"/>
        <v>0</v>
      </c>
      <c r="J51" s="32">
        <f t="shared" si="2"/>
        <v>0</v>
      </c>
      <c r="K51" s="32">
        <f t="shared" si="2"/>
        <v>0</v>
      </c>
      <c r="L51" s="32">
        <f t="shared" si="2"/>
        <v>0</v>
      </c>
      <c r="M51" s="32">
        <f t="shared" si="2"/>
        <v>0</v>
      </c>
      <c r="N51" s="85">
        <f>SUM(D51:M51)</f>
        <v>0</v>
      </c>
    </row>
    <row r="52" spans="3:17" ht="15.75" thickBot="1" x14ac:dyDescent="0.3">
      <c r="C52" t="s">
        <v>66</v>
      </c>
      <c r="D52" s="98">
        <f>D51*1</f>
        <v>0</v>
      </c>
      <c r="E52" s="99">
        <f>E51*0.9662</f>
        <v>0</v>
      </c>
      <c r="F52" s="99">
        <f>F51*0.9335</f>
        <v>0</v>
      </c>
      <c r="G52" s="99">
        <f>G51*0.9019</f>
        <v>0</v>
      </c>
      <c r="H52" s="99">
        <f>H51*0.8714</f>
        <v>0</v>
      </c>
      <c r="I52" s="99">
        <f>I51*0.842</f>
        <v>0</v>
      </c>
      <c r="J52" s="99">
        <f>J51*0.8135</f>
        <v>0</v>
      </c>
      <c r="K52" s="99">
        <f>K51*0.786</f>
        <v>0</v>
      </c>
      <c r="L52" s="99">
        <f>L51*0.7594</f>
        <v>0</v>
      </c>
      <c r="M52" s="99">
        <f>M51*0.7337</f>
        <v>0</v>
      </c>
      <c r="N52" s="85">
        <f>SUM(D52:M52)</f>
        <v>0</v>
      </c>
      <c r="Q52" s="164"/>
    </row>
    <row r="54" spans="3:17" x14ac:dyDescent="0.25">
      <c r="E54" s="175">
        <f>E51*1.2</f>
        <v>0</v>
      </c>
    </row>
  </sheetData>
  <sheetProtection algorithmName="SHA-512" hashValue="noedfUvduqJToJdmG0K28EULCiTsRH1KUiMfgoz6ORc4SIHgn6lfO6q36rhtpoQwhoKZyGnrKXVfUcyZfyCvIA==" saltValue="mGx41tQGYLMR8cdsYYDYaA==" spinCount="100000" sheet="1" formatCells="0" formatColumns="0" formatRows="0" insertColumns="0" insertRows="0" insertHyperlinks="0" deleteColumns="0" deleteRows="0" sort="0"/>
  <mergeCells count="9">
    <mergeCell ref="O47:Q48"/>
    <mergeCell ref="O49:Q49"/>
    <mergeCell ref="D47:M47"/>
    <mergeCell ref="D39:M39"/>
    <mergeCell ref="B4:C4"/>
    <mergeCell ref="B15:C15"/>
    <mergeCell ref="B20:C20"/>
    <mergeCell ref="B22:C22"/>
    <mergeCell ref="B33:C3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showGridLines="0" zoomScaleNormal="100" workbookViewId="0">
      <selection activeCell="F12" sqref="F12"/>
    </sheetView>
  </sheetViews>
  <sheetFormatPr defaultRowHeight="15" x14ac:dyDescent="0.25"/>
  <cols>
    <col min="2" max="2" width="41.140625" bestFit="1" customWidth="1"/>
    <col min="3" max="3" width="18.85546875" customWidth="1"/>
    <col min="4" max="4" width="20.140625" customWidth="1"/>
    <col min="5" max="5" width="18.28515625" customWidth="1"/>
    <col min="6" max="6" width="14.28515625" bestFit="1" customWidth="1"/>
  </cols>
  <sheetData>
    <row r="2" spans="1:14" ht="15.75" thickBot="1" x14ac:dyDescent="0.3">
      <c r="C2" t="s">
        <v>57</v>
      </c>
      <c r="D2" t="s">
        <v>65</v>
      </c>
    </row>
    <row r="3" spans="1:14" ht="15" customHeight="1" thickBot="1" x14ac:dyDescent="0.3">
      <c r="B3" s="145" t="s">
        <v>147</v>
      </c>
      <c r="C3" s="146">
        <f>SUM(C4:C14)</f>
        <v>0</v>
      </c>
      <c r="D3" s="147">
        <f>SUM(D4:D15)</f>
        <v>0</v>
      </c>
      <c r="E3" s="218" t="str">
        <f>IF(D3&gt;26000000,"NPV Assessed Cost for RVFM exceeds affordability line, See the Speacial Notices and Instructions to Tenderers (SNITs) for more details","")</f>
        <v/>
      </c>
      <c r="F3" s="219"/>
      <c r="G3" s="219"/>
      <c r="H3" s="219"/>
      <c r="I3" s="219"/>
      <c r="J3" s="219"/>
      <c r="K3" s="219"/>
      <c r="L3" s="219"/>
      <c r="M3" s="219"/>
      <c r="N3" s="219"/>
    </row>
    <row r="4" spans="1:14" s="30" customFormat="1" ht="20.100000000000001" customHeight="1" x14ac:dyDescent="0.25">
      <c r="A4" s="30">
        <v>1</v>
      </c>
      <c r="B4" s="143" t="str">
        <f>'Initial Cost Breakdown'!C7</f>
        <v>Project  Management (PM) Deliverables</v>
      </c>
      <c r="C4" s="144">
        <f>'Initial Cost Breakdown'!E7</f>
        <v>0</v>
      </c>
      <c r="D4" s="171">
        <f>C4</f>
        <v>0</v>
      </c>
      <c r="E4" s="218"/>
      <c r="F4" s="219"/>
      <c r="G4" s="219"/>
      <c r="H4" s="219"/>
      <c r="I4" s="219"/>
      <c r="J4" s="219"/>
      <c r="K4" s="219"/>
      <c r="L4" s="219"/>
      <c r="M4" s="219"/>
      <c r="N4" s="219"/>
    </row>
    <row r="5" spans="1:14" s="30" customFormat="1" ht="20.100000000000001" customHeight="1" x14ac:dyDescent="0.25">
      <c r="A5" s="30">
        <v>2</v>
      </c>
      <c r="B5" s="38" t="str">
        <f>'Initial Cost Breakdown'!C8</f>
        <v>Safety and Environmental (S&amp;E)</v>
      </c>
      <c r="C5" s="140">
        <f>'Initial Cost Breakdown'!E8</f>
        <v>0</v>
      </c>
      <c r="D5" s="172">
        <f>C5</f>
        <v>0</v>
      </c>
      <c r="E5" s="218"/>
      <c r="F5" s="219"/>
      <c r="G5" s="219"/>
      <c r="H5" s="219"/>
      <c r="I5" s="219"/>
      <c r="J5" s="219"/>
      <c r="K5" s="219"/>
      <c r="L5" s="219"/>
      <c r="M5" s="219"/>
      <c r="N5" s="219"/>
    </row>
    <row r="6" spans="1:14" s="30" customFormat="1" ht="20.100000000000001" customHeight="1" x14ac:dyDescent="0.25">
      <c r="A6" s="30">
        <v>3</v>
      </c>
      <c r="B6" s="38" t="str">
        <f>'Initial Cost Breakdown'!C9</f>
        <v>Integrated Logistic Support (ILS) Publications</v>
      </c>
      <c r="C6" s="140" t="str">
        <f>'Initial Cost Breakdown'!E9</f>
        <v/>
      </c>
      <c r="D6" s="172" t="str">
        <f>C6</f>
        <v/>
      </c>
      <c r="E6" s="218"/>
      <c r="F6" s="219"/>
      <c r="G6" s="219"/>
      <c r="H6" s="219"/>
      <c r="I6" s="219"/>
      <c r="J6" s="219"/>
      <c r="K6" s="219"/>
      <c r="L6" s="219"/>
      <c r="M6" s="219"/>
      <c r="N6" s="219"/>
    </row>
    <row r="7" spans="1:14" s="30" customFormat="1" ht="20.100000000000001" customHeight="1" x14ac:dyDescent="0.25">
      <c r="A7" s="30">
        <v>4</v>
      </c>
      <c r="B7" s="38" t="s">
        <v>133</v>
      </c>
      <c r="C7" s="140">
        <f>'Initial Cost Breakdown'!E25</f>
        <v>0</v>
      </c>
      <c r="D7" s="172">
        <f>C7</f>
        <v>0</v>
      </c>
      <c r="E7" s="218"/>
      <c r="F7" s="219"/>
      <c r="G7" s="219"/>
      <c r="H7" s="219"/>
      <c r="I7" s="219"/>
      <c r="J7" s="219"/>
      <c r="K7" s="219"/>
      <c r="L7" s="219"/>
      <c r="M7" s="219"/>
      <c r="N7" s="219"/>
    </row>
    <row r="8" spans="1:14" s="30" customFormat="1" ht="20.100000000000001" customHeight="1" x14ac:dyDescent="0.25">
      <c r="A8" s="30">
        <v>5</v>
      </c>
      <c r="B8" s="38" t="s">
        <v>134</v>
      </c>
      <c r="C8" s="141">
        <f>'RVFM Eval'!G11+'RVFM Eval'!G18</f>
        <v>0</v>
      </c>
      <c r="D8" s="172">
        <f>'RVFM Eval'!G11+'RVFM Eval'!G18</f>
        <v>0</v>
      </c>
      <c r="E8" s="218"/>
      <c r="F8" s="219"/>
      <c r="G8" s="219"/>
      <c r="H8" s="219"/>
      <c r="I8" s="219"/>
      <c r="J8" s="219"/>
      <c r="K8" s="219"/>
      <c r="L8" s="219"/>
      <c r="M8" s="219"/>
      <c r="N8" s="219"/>
    </row>
    <row r="9" spans="1:14" s="30" customFormat="1" ht="20.100000000000001" customHeight="1" x14ac:dyDescent="0.25">
      <c r="A9" s="30">
        <v>6</v>
      </c>
      <c r="B9" s="38" t="s">
        <v>182</v>
      </c>
      <c r="C9" s="141">
        <f>'RVFM Eval'!G18</f>
        <v>0</v>
      </c>
      <c r="D9" s="172">
        <f>C9</f>
        <v>0</v>
      </c>
      <c r="E9" s="218"/>
      <c r="F9" s="219"/>
      <c r="G9" s="219"/>
      <c r="H9" s="219"/>
      <c r="I9" s="219"/>
      <c r="J9" s="219"/>
      <c r="K9" s="219"/>
      <c r="L9" s="219"/>
      <c r="M9" s="219"/>
      <c r="N9" s="219"/>
    </row>
    <row r="10" spans="1:14" s="30" customFormat="1" ht="19.5" customHeight="1" x14ac:dyDescent="0.25">
      <c r="A10" s="30">
        <v>7</v>
      </c>
      <c r="B10" s="38" t="s">
        <v>135</v>
      </c>
      <c r="C10" s="141">
        <f>'RVFM Eval'!G29+'RVFM Eval'!G36</f>
        <v>0</v>
      </c>
      <c r="D10" s="172">
        <f>C10</f>
        <v>0</v>
      </c>
      <c r="E10" s="218"/>
      <c r="F10" s="219"/>
      <c r="G10" s="219"/>
      <c r="H10" s="219"/>
      <c r="I10" s="219"/>
      <c r="J10" s="219"/>
      <c r="K10" s="219"/>
      <c r="L10" s="219"/>
      <c r="M10" s="219"/>
      <c r="N10" s="219"/>
    </row>
    <row r="11" spans="1:14" s="30" customFormat="1" ht="20.100000000000001" customHeight="1" x14ac:dyDescent="0.25">
      <c r="A11" s="30">
        <v>8</v>
      </c>
      <c r="B11" s="38" t="s">
        <v>183</v>
      </c>
      <c r="C11" s="141">
        <f>'RVFM Eval'!G36</f>
        <v>0</v>
      </c>
      <c r="D11" s="172">
        <f>C11</f>
        <v>0</v>
      </c>
      <c r="E11" s="218"/>
      <c r="F11" s="219"/>
      <c r="G11" s="219"/>
      <c r="H11" s="219"/>
      <c r="I11" s="219"/>
      <c r="J11" s="219"/>
      <c r="K11" s="219"/>
      <c r="L11" s="219"/>
      <c r="M11" s="219"/>
      <c r="N11" s="219"/>
    </row>
    <row r="12" spans="1:14" s="30" customFormat="1" ht="20.100000000000001" customHeight="1" x14ac:dyDescent="0.25">
      <c r="A12" s="30">
        <v>12</v>
      </c>
      <c r="B12" s="38" t="s">
        <v>60</v>
      </c>
      <c r="C12" s="140">
        <f>SUM('PM Support Costs'!C7:G7,'PM Support Costs'!I7:M7)</f>
        <v>0</v>
      </c>
      <c r="D12" s="172">
        <f>'PM Support Costs'!N8</f>
        <v>0</v>
      </c>
    </row>
    <row r="13" spans="1:14" s="30" customFormat="1" ht="20.100000000000001" customHeight="1" x14ac:dyDescent="0.25">
      <c r="A13" s="30">
        <v>10</v>
      </c>
      <c r="B13" s="38" t="s">
        <v>181</v>
      </c>
      <c r="C13" s="140">
        <f>'RVFM Eval'!N43</f>
        <v>0</v>
      </c>
      <c r="D13" s="172">
        <f>'RVFM Eval'!N44</f>
        <v>0</v>
      </c>
      <c r="E13" s="76"/>
      <c r="F13" s="174"/>
      <c r="G13" s="77"/>
      <c r="H13" s="77"/>
      <c r="I13" s="77"/>
      <c r="J13" s="77"/>
    </row>
    <row r="14" spans="1:14" s="30" customFormat="1" ht="20.100000000000001" customHeight="1" thickBot="1" x14ac:dyDescent="0.3">
      <c r="A14" s="30">
        <v>11</v>
      </c>
      <c r="B14" s="39" t="s">
        <v>185</v>
      </c>
      <c r="C14" s="142">
        <f>'RVFM Eval'!N51</f>
        <v>0</v>
      </c>
      <c r="D14" s="173">
        <f>'RVFM Eval'!N52</f>
        <v>0</v>
      </c>
      <c r="E14" s="76"/>
      <c r="F14" s="174"/>
      <c r="G14" s="77"/>
      <c r="H14" s="77"/>
      <c r="I14" s="77"/>
      <c r="J14" s="77"/>
    </row>
    <row r="15" spans="1:14" x14ac:dyDescent="0.25">
      <c r="F15" s="174"/>
    </row>
    <row r="16" spans="1:14" x14ac:dyDescent="0.25">
      <c r="B16" s="8"/>
    </row>
    <row r="17" spans="2:2" x14ac:dyDescent="0.25">
      <c r="B17" s="8"/>
    </row>
  </sheetData>
  <sheetProtection algorithmName="SHA-512" hashValue="3D3r7SDz3SpOr3QfgH2G0fOzFwccjR8ZcFou2PJKNGvk5AUoQM/7jCMGfNerUoXdd+IBYRBh37+lGsLQlpuAMQ==" saltValue="a1zWGWrVLfqwzEhBET2BgA==" spinCount="100000" sheet="1" formatCells="0" formatColumns="0" formatRows="0" insertColumns="0" insertRows="0" insertHyperlinks="0" deleteColumns="0" deleteRows="0" sort="0"/>
  <mergeCells count="1">
    <mergeCell ref="E3:N11"/>
  </mergeCells>
  <conditionalFormatting sqref="D3">
    <cfRule type="cellIs" dxfId="0" priority="2" operator="greaterThan">
      <formula>60000000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Initial Cost Breakdown</vt:lpstr>
      <vt:lpstr>PETREL Prices</vt:lpstr>
      <vt:lpstr>PETREL SPC Prices</vt:lpstr>
      <vt:lpstr>Banded Qty Discount &amp; leadtimes</vt:lpstr>
      <vt:lpstr>PM Support Costs</vt:lpstr>
      <vt:lpstr>PDS</vt:lpstr>
      <vt:lpstr>RVFM Eval</vt:lpstr>
      <vt:lpstr>RVFM Overview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staffordg100</dc:creator>
  <cp:keywords/>
  <dc:description/>
  <cp:lastModifiedBy>jacksonb112</cp:lastModifiedBy>
  <cp:revision/>
  <dcterms:created xsi:type="dcterms:W3CDTF">2017-08-22T07:56:17Z</dcterms:created>
  <dcterms:modified xsi:type="dcterms:W3CDTF">2018-03-06T14:30:28Z</dcterms:modified>
  <cp:category/>
  <cp:contentStatus/>
</cp:coreProperties>
</file>