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J:\V2020 Conservation Project\05 Timber Supply\09 Procurement\"/>
    </mc:Choice>
  </mc:AlternateContent>
  <xr:revisionPtr revIDLastSave="0" documentId="13_ncr:1_{B43E8F7A-5363-4A52-8AC8-6E557F68549A}" xr6:coauthVersionLast="36" xr6:coauthVersionMax="47" xr10:uidLastSave="{00000000-0000-0000-0000-000000000000}"/>
  <bookViews>
    <workbookView xWindow="0" yWindow="0" windowWidth="28800" windowHeight="12225" xr2:uid="{C73A0963-DE32-4109-A55C-C2A7009F847D}"/>
  </bookViews>
  <sheets>
    <sheet name="1. User Notes" sheetId="15" r:id="rId1"/>
    <sheet name="Batch Summary" sheetId="13" state="hidden" r:id="rId2"/>
    <sheet name="2. Midships" sheetId="2" r:id="rId3"/>
    <sheet name="3. Internal Elements" sheetId="17" r:id="rId4"/>
    <sheet name="4. Compass Timbers" sheetId="19" r:id="rId5"/>
    <sheet name="5. Day OHP &amp; Subsistence" sheetId="14" r:id="rId6"/>
    <sheet name="6. By Lots" sheetId="20" r:id="rId7"/>
    <sheet name="7. Summary" sheetId="8" r:id="rId8"/>
    <sheet name="8. Bow" sheetId="9" r:id="rId9"/>
    <sheet name="9. Stern" sheetId="10" r:id="rId10"/>
    <sheet name="Pick List" sheetId="5" state="hidden" r:id="rId11"/>
    <sheet name="Nielsens Cutting List" sheetId="1" state="hidden" r:id="rId12"/>
  </sheets>
  <definedNames>
    <definedName name="_xlnm._FilterDatabase" localSheetId="2" hidden="1">'2. Midships'!$C$7:$AD$237</definedName>
    <definedName name="_xlnm._FilterDatabase" localSheetId="3" hidden="1">'3. Internal Elements'!$C$7:$Z$58</definedName>
    <definedName name="_xlnm._FilterDatabase" localSheetId="4" hidden="1">'4. Compass Timbers'!$C$7:$AE$22</definedName>
    <definedName name="_xlnm._FilterDatabase" localSheetId="8" hidden="1">'8. Bow'!$C$6:$Z$140</definedName>
    <definedName name="_xlnm._FilterDatabase" localSheetId="9" hidden="1">'9. Stern'!$A$6:$Z$137</definedName>
    <definedName name="Bow">'8. Bow'!$C$6:$Z$139</definedName>
    <definedName name="Compass">'4. Compass Timbers'!$C$7:$AE$22</definedName>
    <definedName name="Internal">'3. Internal Elements'!$C$7:$Z$58</definedName>
    <definedName name="Internal_Pivot">'6. By Lots'!$B$14:$C$17</definedName>
    <definedName name="Midships" localSheetId="3">'3. Internal Elements'!$C$7:$Z$58</definedName>
    <definedName name="Midships" localSheetId="4">'4. Compass Timbers'!$C$7:$AE$22</definedName>
    <definedName name="Midships">'2. Midships'!$C$7:$AD$237</definedName>
    <definedName name="Midships_Pivot">'6. By Lots'!$B$6:$D$9</definedName>
    <definedName name="_xlnm.Print_Area" localSheetId="0">'1. User Notes'!$B$2:$C$14</definedName>
    <definedName name="_xlnm.Print_Area" localSheetId="2">'2. Midships'!$B$2:$AD$74</definedName>
    <definedName name="_xlnm.Print_Area" localSheetId="3">'3. Internal Elements'!$B$2:$Z$58</definedName>
    <definedName name="_xlnm.Print_Area" localSheetId="4">'4. Compass Timbers'!$C$2:$AE$22</definedName>
    <definedName name="_xlnm.Print_Area" localSheetId="5">'5. Day OHP &amp; Subsistence'!$B$2:$F$61</definedName>
    <definedName name="_xlnm.Print_Area" localSheetId="7">'7. Summary'!$B$2:$I$28</definedName>
    <definedName name="_xlnm.Print_Area" localSheetId="11">'Nielsens Cutting List'!$A$1:$I$559</definedName>
    <definedName name="Stern">'9. Stern'!$C$6:$Z$136</definedName>
  </definedNames>
  <calcPr calcId="191029"/>
  <pivotCaches>
    <pivotCache cacheId="0" r:id="rId13"/>
    <pivotCache cacheId="1" r:id="rId1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19" l="1"/>
  <c r="L10" i="19" l="1"/>
  <c r="L11" i="19"/>
  <c r="L12" i="19"/>
  <c r="L13" i="19"/>
  <c r="L14" i="19"/>
  <c r="L15" i="19"/>
  <c r="L16" i="19"/>
  <c r="L17" i="19"/>
  <c r="L18" i="19"/>
  <c r="L19" i="19"/>
  <c r="L20" i="19"/>
  <c r="L21" i="19"/>
  <c r="L9" i="19"/>
  <c r="K10" i="19"/>
  <c r="K12" i="19"/>
  <c r="K13" i="19"/>
  <c r="K14" i="19"/>
  <c r="K15" i="19"/>
  <c r="K16" i="19"/>
  <c r="K17" i="19"/>
  <c r="K18" i="19"/>
  <c r="K19" i="19"/>
  <c r="K20" i="19"/>
  <c r="K21" i="19"/>
  <c r="K9" i="19"/>
  <c r="M10" i="19"/>
  <c r="M11" i="19"/>
  <c r="M12" i="19"/>
  <c r="M13" i="19"/>
  <c r="M14" i="19"/>
  <c r="M15" i="19"/>
  <c r="M16" i="19"/>
  <c r="M17" i="19"/>
  <c r="M18" i="19"/>
  <c r="M19" i="19"/>
  <c r="M20" i="19"/>
  <c r="M21" i="19"/>
  <c r="M9" i="19"/>
  <c r="N10" i="19"/>
  <c r="N11" i="19"/>
  <c r="N12" i="19"/>
  <c r="N13" i="19"/>
  <c r="N14" i="19"/>
  <c r="N15" i="19"/>
  <c r="N16" i="19"/>
  <c r="N17" i="19"/>
  <c r="N18" i="19"/>
  <c r="N19" i="19"/>
  <c r="N20" i="19"/>
  <c r="N21" i="19"/>
  <c r="N9" i="19"/>
  <c r="F46" i="14" l="1"/>
  <c r="F47" i="14"/>
  <c r="F48" i="14"/>
  <c r="F49" i="14"/>
  <c r="F50" i="14"/>
  <c r="F51" i="14"/>
  <c r="F45" i="14"/>
  <c r="D12" i="8"/>
  <c r="AB22" i="19"/>
  <c r="E26" i="8" s="1"/>
  <c r="Q9" i="19" l="1"/>
  <c r="Q13" i="19"/>
  <c r="Q14" i="19"/>
  <c r="Q15" i="19"/>
  <c r="Q16" i="19"/>
  <c r="Q17" i="19"/>
  <c r="Q18" i="19"/>
  <c r="Q19" i="19"/>
  <c r="Q20" i="19"/>
  <c r="Q21" i="19"/>
  <c r="S14" i="19"/>
  <c r="S15" i="19"/>
  <c r="S16" i="19"/>
  <c r="S17" i="19"/>
  <c r="S18" i="19"/>
  <c r="S19" i="19"/>
  <c r="S20" i="19"/>
  <c r="S21" i="19"/>
  <c r="AE22" i="19" l="1"/>
  <c r="D19" i="8"/>
  <c r="D17" i="8"/>
  <c r="E19" i="8"/>
  <c r="D16" i="8"/>
  <c r="D20" i="8"/>
  <c r="E16" i="8"/>
  <c r="E27" i="8" l="1"/>
  <c r="E28" i="8" s="1"/>
  <c r="E12" i="8"/>
  <c r="F26" i="8"/>
  <c r="F20" i="8"/>
  <c r="H20" i="8" s="1"/>
  <c r="I20" i="8" s="1"/>
  <c r="F16" i="8"/>
  <c r="H16" i="8" s="1"/>
  <c r="F19" i="8"/>
  <c r="H19" i="8" s="1"/>
  <c r="F17" i="8"/>
  <c r="H17" i="8" s="1"/>
  <c r="I17" i="8" s="1"/>
  <c r="D21" i="8"/>
  <c r="E18" i="8"/>
  <c r="E21" i="8"/>
  <c r="D18" i="8"/>
  <c r="F27" i="8" l="1"/>
  <c r="H27" i="8" s="1"/>
  <c r="I27" i="8" s="1"/>
  <c r="H26" i="8"/>
  <c r="E23" i="8"/>
  <c r="F18" i="8"/>
  <c r="I18" i="8" s="1"/>
  <c r="D23" i="8"/>
  <c r="I16" i="8"/>
  <c r="H18" i="8"/>
  <c r="I19" i="8"/>
  <c r="H21" i="8"/>
  <c r="F21" i="8"/>
  <c r="F28" i="8" l="1"/>
  <c r="I26" i="8"/>
  <c r="I28" i="8" s="1"/>
  <c r="H28" i="8"/>
  <c r="F23" i="8"/>
  <c r="I21" i="8"/>
  <c r="K559" i="1" l="1"/>
  <c r="K558" i="1"/>
  <c r="K557" i="1"/>
  <c r="K556" i="1"/>
  <c r="K555" i="1"/>
  <c r="K554" i="1"/>
  <c r="K553" i="1"/>
  <c r="K552" i="1"/>
  <c r="K551" i="1"/>
  <c r="K547" i="1"/>
  <c r="F547" i="1"/>
  <c r="K546" i="1"/>
  <c r="F546" i="1"/>
  <c r="K545" i="1"/>
  <c r="F545" i="1"/>
  <c r="K544" i="1"/>
  <c r="F544" i="1"/>
  <c r="K543" i="1"/>
  <c r="F543" i="1"/>
  <c r="K542" i="1"/>
  <c r="F542" i="1"/>
  <c r="K541" i="1"/>
  <c r="F541" i="1"/>
  <c r="K540" i="1"/>
  <c r="K539" i="1"/>
  <c r="K535" i="1"/>
  <c r="F535" i="1"/>
  <c r="K534" i="1"/>
  <c r="F534" i="1"/>
  <c r="K533" i="1"/>
  <c r="F533" i="1"/>
  <c r="K532" i="1"/>
  <c r="F532" i="1"/>
  <c r="K531" i="1"/>
  <c r="F531" i="1"/>
  <c r="K530" i="1"/>
  <c r="F530" i="1"/>
  <c r="K529" i="1"/>
  <c r="F529" i="1"/>
  <c r="K528" i="1"/>
  <c r="F528" i="1"/>
  <c r="K527" i="1"/>
  <c r="F527" i="1"/>
  <c r="K526" i="1"/>
  <c r="K522" i="1"/>
  <c r="F522" i="1"/>
  <c r="K521" i="1"/>
  <c r="F521" i="1"/>
  <c r="K520" i="1"/>
  <c r="F520" i="1"/>
  <c r="K519" i="1"/>
  <c r="F519" i="1"/>
  <c r="K518" i="1"/>
  <c r="F518" i="1"/>
  <c r="K517" i="1"/>
  <c r="F517" i="1"/>
  <c r="K516" i="1"/>
  <c r="F516" i="1"/>
  <c r="K515" i="1"/>
  <c r="F515" i="1"/>
  <c r="K514" i="1"/>
  <c r="K511" i="1"/>
  <c r="K510" i="1"/>
  <c r="F510" i="1"/>
  <c r="K509" i="1"/>
  <c r="F509" i="1"/>
  <c r="K508" i="1"/>
  <c r="F508" i="1"/>
  <c r="K507" i="1"/>
  <c r="F507" i="1"/>
  <c r="K506" i="1"/>
  <c r="F506" i="1"/>
  <c r="K505" i="1"/>
  <c r="F505" i="1"/>
  <c r="K504" i="1"/>
  <c r="F504" i="1"/>
  <c r="K503" i="1"/>
  <c r="F503" i="1"/>
  <c r="K502" i="1"/>
  <c r="K498" i="1"/>
  <c r="F498" i="1"/>
  <c r="K497" i="1"/>
  <c r="F497" i="1"/>
  <c r="K496" i="1"/>
  <c r="F496" i="1"/>
  <c r="K495" i="1"/>
  <c r="F495" i="1"/>
  <c r="K494" i="1"/>
  <c r="F494" i="1"/>
  <c r="K493" i="1"/>
  <c r="F493" i="1"/>
  <c r="K492" i="1"/>
  <c r="F492" i="1"/>
  <c r="K491" i="1"/>
  <c r="F491" i="1"/>
  <c r="K490" i="1"/>
  <c r="K486" i="1"/>
  <c r="F486" i="1"/>
  <c r="K485" i="1"/>
  <c r="F485" i="1"/>
  <c r="K484" i="1"/>
  <c r="F484" i="1"/>
  <c r="K483" i="1"/>
  <c r="F483" i="1"/>
  <c r="K482" i="1"/>
  <c r="F482" i="1"/>
  <c r="K481" i="1"/>
  <c r="F481" i="1"/>
  <c r="K480" i="1"/>
  <c r="F480" i="1"/>
  <c r="K479" i="1"/>
  <c r="F479" i="1"/>
  <c r="K478" i="1"/>
  <c r="K474" i="1"/>
  <c r="F474" i="1"/>
  <c r="K473" i="1"/>
  <c r="F473" i="1"/>
  <c r="K472" i="1"/>
  <c r="F472" i="1"/>
  <c r="K471" i="1"/>
  <c r="F471" i="1"/>
  <c r="K470" i="1"/>
  <c r="F470" i="1"/>
  <c r="K469" i="1"/>
  <c r="F469" i="1"/>
  <c r="K468" i="1"/>
  <c r="F468" i="1"/>
  <c r="K467" i="1"/>
  <c r="F467" i="1"/>
  <c r="K466" i="1"/>
  <c r="K462" i="1"/>
  <c r="K461" i="1"/>
  <c r="K460" i="1"/>
  <c r="K459" i="1"/>
  <c r="F459" i="1"/>
  <c r="K458" i="1"/>
  <c r="F458" i="1"/>
  <c r="K457" i="1"/>
  <c r="F457" i="1"/>
  <c r="K456" i="1"/>
  <c r="F456" i="1"/>
  <c r="K455" i="1"/>
  <c r="F455" i="1"/>
  <c r="K454" i="1"/>
  <c r="K453" i="1"/>
  <c r="K452" i="1"/>
  <c r="K448" i="1"/>
  <c r="K447" i="1"/>
  <c r="K446" i="1"/>
  <c r="K445" i="1"/>
  <c r="K444" i="1"/>
  <c r="K443" i="1"/>
  <c r="K442" i="1"/>
  <c r="K441" i="1"/>
  <c r="K440" i="1"/>
  <c r="K439" i="1"/>
  <c r="K438" i="1"/>
  <c r="K437" i="1"/>
  <c r="K436" i="1"/>
  <c r="K435" i="1"/>
  <c r="K434" i="1"/>
  <c r="K433" i="1"/>
  <c r="K432" i="1"/>
  <c r="K428" i="1"/>
  <c r="K427" i="1"/>
  <c r="K426" i="1"/>
  <c r="K425" i="1"/>
  <c r="K424" i="1"/>
  <c r="K423" i="1"/>
  <c r="K422" i="1"/>
  <c r="K421" i="1"/>
  <c r="K420" i="1"/>
  <c r="K419" i="1"/>
  <c r="K418" i="1"/>
  <c r="K417" i="1"/>
  <c r="K416" i="1"/>
  <c r="K415" i="1"/>
  <c r="K414" i="1"/>
  <c r="K413" i="1"/>
  <c r="K409" i="1"/>
  <c r="K408" i="1"/>
  <c r="K407" i="1"/>
  <c r="K406" i="1"/>
  <c r="K405" i="1"/>
  <c r="K404" i="1"/>
  <c r="K403" i="1"/>
  <c r="K402" i="1"/>
  <c r="K401" i="1"/>
  <c r="K400" i="1"/>
  <c r="K399" i="1"/>
  <c r="K398" i="1"/>
  <c r="K397" i="1"/>
  <c r="K396" i="1"/>
  <c r="K395" i="1"/>
  <c r="K391" i="1"/>
  <c r="K390" i="1"/>
  <c r="K389" i="1"/>
  <c r="K388" i="1"/>
  <c r="K387" i="1"/>
  <c r="K386" i="1"/>
  <c r="K385" i="1"/>
  <c r="K384" i="1"/>
  <c r="K383" i="1"/>
  <c r="K382" i="1"/>
  <c r="K381" i="1"/>
  <c r="K380" i="1"/>
  <c r="K376" i="1"/>
  <c r="K375" i="1"/>
  <c r="K374" i="1"/>
  <c r="K373" i="1"/>
  <c r="K372" i="1"/>
  <c r="K371" i="1"/>
  <c r="K370" i="1"/>
  <c r="K369" i="1"/>
  <c r="K368" i="1"/>
  <c r="K364" i="1"/>
  <c r="K363" i="1"/>
  <c r="F363" i="1"/>
  <c r="K362" i="1"/>
  <c r="F362" i="1"/>
  <c r="K361" i="1"/>
  <c r="F361" i="1"/>
  <c r="K360" i="1"/>
  <c r="F360" i="1"/>
  <c r="K359" i="1"/>
  <c r="F359" i="1"/>
  <c r="K358" i="1"/>
  <c r="F358" i="1"/>
  <c r="K357" i="1"/>
  <c r="F357" i="1"/>
  <c r="K356" i="1"/>
  <c r="F356" i="1"/>
  <c r="K355" i="1"/>
  <c r="K351" i="1"/>
  <c r="K350" i="1"/>
  <c r="F350" i="1"/>
  <c r="K349" i="1"/>
  <c r="F349" i="1"/>
  <c r="K348" i="1"/>
  <c r="F348" i="1"/>
  <c r="K347" i="1"/>
  <c r="F347" i="1"/>
  <c r="K346" i="1"/>
  <c r="F346" i="1"/>
  <c r="K345" i="1"/>
  <c r="F345" i="1"/>
  <c r="K344" i="1"/>
  <c r="F344" i="1"/>
  <c r="K343" i="1"/>
  <c r="F343" i="1"/>
  <c r="K342" i="1"/>
  <c r="K338" i="1"/>
  <c r="K337" i="1"/>
  <c r="K336" i="1"/>
  <c r="K335" i="1"/>
  <c r="K334" i="1"/>
  <c r="K333" i="1"/>
  <c r="K332" i="1"/>
  <c r="K331" i="1"/>
  <c r="K330" i="1"/>
  <c r="K329" i="1"/>
  <c r="K328" i="1"/>
  <c r="K327" i="1"/>
  <c r="K323" i="1"/>
  <c r="K322" i="1"/>
  <c r="K321" i="1"/>
  <c r="K320" i="1"/>
  <c r="K319" i="1"/>
  <c r="K318" i="1"/>
  <c r="K317" i="1"/>
  <c r="K316" i="1"/>
  <c r="K315" i="1"/>
  <c r="K314" i="1"/>
  <c r="K313" i="1"/>
  <c r="K312" i="1"/>
  <c r="K311" i="1"/>
  <c r="K310" i="1"/>
  <c r="K309" i="1"/>
  <c r="K308" i="1"/>
  <c r="K307" i="1"/>
  <c r="K303" i="1"/>
  <c r="K302" i="1"/>
  <c r="K301" i="1"/>
  <c r="K300" i="1"/>
  <c r="K299" i="1"/>
  <c r="K298" i="1"/>
  <c r="K297" i="1"/>
  <c r="K296" i="1"/>
  <c r="K295" i="1"/>
  <c r="K294" i="1"/>
  <c r="K293" i="1"/>
  <c r="K292" i="1"/>
  <c r="K291" i="1"/>
  <c r="K290" i="1"/>
  <c r="K289" i="1"/>
  <c r="K288" i="1"/>
  <c r="K287" i="1"/>
  <c r="K283" i="1"/>
  <c r="K282" i="1"/>
  <c r="K281" i="1"/>
  <c r="K280" i="1"/>
  <c r="K279" i="1"/>
  <c r="K278" i="1"/>
  <c r="K277" i="1"/>
  <c r="K276" i="1"/>
  <c r="K275" i="1"/>
  <c r="K274" i="1"/>
  <c r="K273" i="1"/>
  <c r="K272" i="1"/>
  <c r="K271" i="1"/>
  <c r="K270" i="1"/>
  <c r="K269" i="1"/>
  <c r="K265" i="1"/>
  <c r="K264" i="1"/>
  <c r="K263" i="1"/>
  <c r="K262" i="1"/>
  <c r="K261" i="1"/>
  <c r="K260" i="1"/>
  <c r="K259" i="1"/>
  <c r="K258" i="1"/>
  <c r="K257" i="1"/>
  <c r="K256" i="1"/>
  <c r="K255" i="1"/>
  <c r="K254" i="1"/>
  <c r="K253" i="1"/>
  <c r="K249" i="1"/>
  <c r="K248" i="1"/>
  <c r="K247" i="1"/>
  <c r="K246" i="1"/>
  <c r="K245" i="1"/>
  <c r="K244" i="1"/>
  <c r="K243" i="1"/>
  <c r="K242" i="1"/>
  <c r="K241" i="1"/>
  <c r="K237" i="1"/>
  <c r="K236" i="1"/>
  <c r="F236" i="1"/>
  <c r="K235" i="1"/>
  <c r="F235" i="1"/>
  <c r="K234" i="1"/>
  <c r="F234" i="1"/>
  <c r="K233" i="1"/>
  <c r="F233" i="1"/>
  <c r="K232" i="1"/>
  <c r="F232" i="1"/>
  <c r="K231" i="1"/>
  <c r="F231" i="1"/>
  <c r="K230" i="1"/>
  <c r="F230" i="1"/>
  <c r="K229" i="1"/>
  <c r="F229" i="1"/>
  <c r="K228" i="1"/>
  <c r="K224" i="1"/>
  <c r="K223" i="1"/>
  <c r="K222" i="1"/>
  <c r="F222" i="1"/>
  <c r="K221" i="1"/>
  <c r="F221" i="1"/>
  <c r="K220" i="1"/>
  <c r="F220" i="1"/>
  <c r="K219" i="1"/>
  <c r="F219" i="1"/>
  <c r="K218" i="1"/>
  <c r="F218" i="1"/>
  <c r="K217" i="1"/>
  <c r="F217" i="1"/>
  <c r="K216" i="1"/>
  <c r="F216" i="1"/>
  <c r="K215" i="1"/>
  <c r="K211" i="1"/>
  <c r="K210" i="1"/>
  <c r="K209" i="1"/>
  <c r="K208" i="1"/>
  <c r="K207" i="1"/>
  <c r="K206" i="1"/>
  <c r="K205" i="1"/>
  <c r="K204" i="1"/>
  <c r="K203" i="1"/>
  <c r="K202" i="1"/>
  <c r="K201" i="1"/>
  <c r="K197" i="1"/>
  <c r="K196" i="1"/>
  <c r="K195" i="1"/>
  <c r="K194" i="1"/>
  <c r="K193" i="1"/>
  <c r="K192" i="1"/>
  <c r="K191" i="1"/>
  <c r="K190" i="1"/>
  <c r="K189" i="1"/>
  <c r="K188" i="1"/>
  <c r="K187" i="1"/>
  <c r="K186" i="1"/>
  <c r="K185" i="1"/>
  <c r="K184" i="1"/>
  <c r="K180" i="1"/>
  <c r="K179" i="1"/>
  <c r="K178" i="1"/>
  <c r="K177" i="1"/>
  <c r="K176" i="1"/>
  <c r="K175" i="1"/>
  <c r="K174" i="1"/>
  <c r="K173" i="1"/>
  <c r="K172" i="1"/>
  <c r="K171" i="1"/>
  <c r="K170" i="1"/>
  <c r="K169" i="1"/>
  <c r="K168" i="1"/>
  <c r="K167" i="1"/>
  <c r="K166" i="1"/>
  <c r="K162" i="1"/>
  <c r="K161" i="1"/>
  <c r="K160" i="1"/>
  <c r="K159" i="1"/>
  <c r="K158" i="1"/>
  <c r="K157" i="1"/>
  <c r="K156" i="1"/>
  <c r="K155" i="1"/>
  <c r="K154" i="1"/>
  <c r="K153" i="1"/>
  <c r="K152" i="1"/>
  <c r="K151" i="1"/>
  <c r="K150" i="1"/>
  <c r="K149" i="1"/>
  <c r="K145" i="1"/>
  <c r="K144" i="1"/>
  <c r="K143" i="1"/>
  <c r="K142" i="1"/>
  <c r="K141" i="1"/>
  <c r="K140" i="1"/>
  <c r="K139" i="1"/>
  <c r="K138" i="1"/>
  <c r="K137" i="1"/>
  <c r="K136" i="1"/>
  <c r="K135" i="1"/>
  <c r="K134" i="1"/>
  <c r="K133" i="1"/>
  <c r="K129" i="1"/>
  <c r="K128" i="1"/>
  <c r="K127" i="1"/>
  <c r="K126" i="1"/>
  <c r="K125" i="1"/>
  <c r="K124" i="1"/>
  <c r="K123" i="1"/>
  <c r="K122" i="1"/>
  <c r="K121" i="1"/>
  <c r="K117" i="1"/>
  <c r="K116" i="1"/>
  <c r="K115" i="1"/>
  <c r="K114" i="1"/>
  <c r="K113" i="1"/>
  <c r="K112" i="1"/>
  <c r="K111" i="1"/>
  <c r="K110" i="1"/>
  <c r="K109" i="1"/>
  <c r="K105" i="1"/>
  <c r="K104" i="1"/>
  <c r="K103" i="1"/>
  <c r="K102" i="1"/>
  <c r="K101" i="1"/>
  <c r="K100" i="1"/>
  <c r="K99" i="1"/>
  <c r="K98" i="1"/>
  <c r="K97" i="1"/>
  <c r="K96" i="1"/>
  <c r="K92" i="1"/>
  <c r="K91" i="1"/>
  <c r="K90" i="1"/>
  <c r="K89" i="1"/>
  <c r="K88" i="1"/>
  <c r="K87" i="1"/>
  <c r="K86" i="1"/>
  <c r="K85" i="1"/>
  <c r="K84" i="1"/>
  <c r="K83" i="1"/>
  <c r="K79" i="1"/>
  <c r="K78" i="1"/>
  <c r="K77" i="1"/>
  <c r="K76" i="1"/>
  <c r="K75" i="1"/>
  <c r="K74" i="1"/>
  <c r="K73" i="1"/>
  <c r="K69" i="1"/>
  <c r="K68" i="1"/>
  <c r="K67" i="1"/>
  <c r="K66" i="1"/>
  <c r="K65" i="1"/>
  <c r="K64" i="1"/>
  <c r="K60" i="1"/>
  <c r="K59" i="1"/>
  <c r="K58" i="1"/>
  <c r="K57" i="1"/>
  <c r="K56" i="1"/>
  <c r="K52" i="1"/>
  <c r="K51" i="1"/>
  <c r="K50" i="1"/>
  <c r="S136" i="10"/>
  <c r="Z135" i="10"/>
  <c r="N135" i="10"/>
  <c r="L135" i="10"/>
  <c r="Q135" i="10" s="1"/>
  <c r="X135" i="10" s="1"/>
  <c r="K135" i="10"/>
  <c r="P135" i="10" s="1"/>
  <c r="H135" i="10"/>
  <c r="M135" i="10" s="1"/>
  <c r="Z134" i="10"/>
  <c r="P134" i="10"/>
  <c r="N134" i="10"/>
  <c r="K134" i="10"/>
  <c r="L134" i="10" s="1"/>
  <c r="Q134" i="10" s="1"/>
  <c r="X134" i="10" s="1"/>
  <c r="H134" i="10"/>
  <c r="M134" i="10" s="1"/>
  <c r="Z133" i="10"/>
  <c r="P133" i="10"/>
  <c r="N133" i="10"/>
  <c r="K133" i="10"/>
  <c r="L133" i="10" s="1"/>
  <c r="Q133" i="10" s="1"/>
  <c r="H133" i="10"/>
  <c r="M133" i="10" s="1"/>
  <c r="N132" i="10"/>
  <c r="K132" i="10"/>
  <c r="P132" i="10" s="1"/>
  <c r="H132" i="10"/>
  <c r="M132" i="10" s="1"/>
  <c r="Z131" i="10"/>
  <c r="N131" i="10"/>
  <c r="K131" i="10"/>
  <c r="L131" i="10" s="1"/>
  <c r="Q131" i="10" s="1"/>
  <c r="X131" i="10" s="1"/>
  <c r="H131" i="10"/>
  <c r="M131" i="10" s="1"/>
  <c r="Z130" i="10"/>
  <c r="N130" i="10"/>
  <c r="K130" i="10"/>
  <c r="P130" i="10" s="1"/>
  <c r="H130" i="10"/>
  <c r="M130" i="10" s="1"/>
  <c r="S129" i="10"/>
  <c r="Z128" i="10"/>
  <c r="P128" i="10"/>
  <c r="N128" i="10"/>
  <c r="K128" i="10"/>
  <c r="L128" i="10" s="1"/>
  <c r="Q128" i="10" s="1"/>
  <c r="X128" i="10" s="1"/>
  <c r="H128" i="10"/>
  <c r="M128" i="10" s="1"/>
  <c r="Z127" i="10"/>
  <c r="P127" i="10"/>
  <c r="N127" i="10"/>
  <c r="L127" i="10"/>
  <c r="Q127" i="10" s="1"/>
  <c r="X127" i="10" s="1"/>
  <c r="K127" i="10"/>
  <c r="H127" i="10"/>
  <c r="M127" i="10" s="1"/>
  <c r="Z126" i="10"/>
  <c r="N126" i="10"/>
  <c r="L126" i="10"/>
  <c r="Q126" i="10" s="1"/>
  <c r="X126" i="10" s="1"/>
  <c r="K126" i="10"/>
  <c r="P126" i="10" s="1"/>
  <c r="H126" i="10"/>
  <c r="M126" i="10" s="1"/>
  <c r="Z125" i="10"/>
  <c r="N125" i="10"/>
  <c r="K125" i="10"/>
  <c r="L125" i="10" s="1"/>
  <c r="Q125" i="10" s="1"/>
  <c r="X125" i="10" s="1"/>
  <c r="H125" i="10"/>
  <c r="M125" i="10" s="1"/>
  <c r="Z124" i="10"/>
  <c r="N124" i="10"/>
  <c r="L124" i="10"/>
  <c r="Q124" i="10" s="1"/>
  <c r="X124" i="10" s="1"/>
  <c r="K124" i="10"/>
  <c r="P124" i="10" s="1"/>
  <c r="H124" i="10"/>
  <c r="M124" i="10" s="1"/>
  <c r="Z123" i="10"/>
  <c r="N123" i="10"/>
  <c r="M123" i="10"/>
  <c r="K123" i="10"/>
  <c r="P123" i="10" s="1"/>
  <c r="H123" i="10"/>
  <c r="Z122" i="10"/>
  <c r="N122" i="10"/>
  <c r="M122" i="10"/>
  <c r="K122" i="10"/>
  <c r="P122" i="10" s="1"/>
  <c r="H122" i="10"/>
  <c r="Z121" i="10"/>
  <c r="N121" i="10"/>
  <c r="L121" i="10"/>
  <c r="Q121" i="10" s="1"/>
  <c r="X121" i="10" s="1"/>
  <c r="K121" i="10"/>
  <c r="P121" i="10" s="1"/>
  <c r="H121" i="10"/>
  <c r="M121" i="10" s="1"/>
  <c r="Z120" i="10"/>
  <c r="N120" i="10"/>
  <c r="K120" i="10"/>
  <c r="H120" i="10"/>
  <c r="M120" i="10" s="1"/>
  <c r="Z119" i="10"/>
  <c r="N119" i="10"/>
  <c r="K119" i="10"/>
  <c r="P119" i="10" s="1"/>
  <c r="H119" i="10"/>
  <c r="M119" i="10" s="1"/>
  <c r="Z118" i="10"/>
  <c r="N118" i="10"/>
  <c r="K118" i="10"/>
  <c r="P118" i="10" s="1"/>
  <c r="H118" i="10"/>
  <c r="M118" i="10" s="1"/>
  <c r="S117" i="10"/>
  <c r="Z116" i="10"/>
  <c r="N116" i="10"/>
  <c r="K116" i="10"/>
  <c r="P116" i="10" s="1"/>
  <c r="H116" i="10"/>
  <c r="M116" i="10" s="1"/>
  <c r="Z115" i="10"/>
  <c r="P115" i="10"/>
  <c r="N115" i="10"/>
  <c r="K115" i="10"/>
  <c r="L115" i="10" s="1"/>
  <c r="Q115" i="10" s="1"/>
  <c r="X115" i="10" s="1"/>
  <c r="H115" i="10"/>
  <c r="M115" i="10" s="1"/>
  <c r="Z114" i="10"/>
  <c r="N114" i="10"/>
  <c r="L114" i="10"/>
  <c r="Q114" i="10" s="1"/>
  <c r="X114" i="10" s="1"/>
  <c r="K114" i="10"/>
  <c r="P114" i="10" s="1"/>
  <c r="H114" i="10"/>
  <c r="M114" i="10" s="1"/>
  <c r="Z113" i="10"/>
  <c r="N113" i="10"/>
  <c r="K113" i="10"/>
  <c r="P113" i="10" s="1"/>
  <c r="H113" i="10"/>
  <c r="M113" i="10" s="1"/>
  <c r="Z112" i="10"/>
  <c r="N112" i="10"/>
  <c r="K112" i="10"/>
  <c r="L112" i="10" s="1"/>
  <c r="Q112" i="10" s="1"/>
  <c r="X112" i="10" s="1"/>
  <c r="H112" i="10"/>
  <c r="M112" i="10" s="1"/>
  <c r="Z111" i="10"/>
  <c r="N111" i="10"/>
  <c r="L111" i="10"/>
  <c r="Q111" i="10" s="1"/>
  <c r="X111" i="10" s="1"/>
  <c r="K111" i="10"/>
  <c r="P111" i="10" s="1"/>
  <c r="H111" i="10"/>
  <c r="M111" i="10" s="1"/>
  <c r="Z110" i="10"/>
  <c r="Q110" i="10"/>
  <c r="X110" i="10" s="1"/>
  <c r="P110" i="10"/>
  <c r="N110" i="10"/>
  <c r="L110" i="10"/>
  <c r="K110" i="10"/>
  <c r="H110" i="10"/>
  <c r="M110" i="10" s="1"/>
  <c r="Z109" i="10"/>
  <c r="N109" i="10"/>
  <c r="K109" i="10"/>
  <c r="P109" i="10" s="1"/>
  <c r="H109" i="10"/>
  <c r="M109" i="10" s="1"/>
  <c r="Z108" i="10"/>
  <c r="P108" i="10"/>
  <c r="N108" i="10"/>
  <c r="L108" i="10"/>
  <c r="Q108" i="10" s="1"/>
  <c r="X108" i="10" s="1"/>
  <c r="K108" i="10"/>
  <c r="H108" i="10"/>
  <c r="M108" i="10" s="1"/>
  <c r="Z107" i="10"/>
  <c r="N107" i="10"/>
  <c r="K107" i="10"/>
  <c r="H107" i="10"/>
  <c r="M107" i="10" s="1"/>
  <c r="Z106" i="10"/>
  <c r="N106" i="10"/>
  <c r="K106" i="10"/>
  <c r="P106" i="10" s="1"/>
  <c r="H106" i="10"/>
  <c r="M106" i="10" s="1"/>
  <c r="Z105" i="10"/>
  <c r="N105" i="10"/>
  <c r="K105" i="10"/>
  <c r="P105" i="10" s="1"/>
  <c r="H105" i="10"/>
  <c r="M105" i="10" s="1"/>
  <c r="Z104" i="10"/>
  <c r="N104" i="10"/>
  <c r="K104" i="10"/>
  <c r="P104" i="10" s="1"/>
  <c r="H104" i="10"/>
  <c r="M104" i="10" s="1"/>
  <c r="Z103" i="10"/>
  <c r="N103" i="10"/>
  <c r="K103" i="10"/>
  <c r="P103" i="10" s="1"/>
  <c r="H103" i="10"/>
  <c r="M103" i="10" s="1"/>
  <c r="Z102" i="10"/>
  <c r="N102" i="10"/>
  <c r="K102" i="10"/>
  <c r="H102" i="10"/>
  <c r="M102" i="10" s="1"/>
  <c r="S101" i="10"/>
  <c r="Z100" i="10"/>
  <c r="N100" i="10"/>
  <c r="K100" i="10"/>
  <c r="P100" i="10" s="1"/>
  <c r="H100" i="10"/>
  <c r="M100" i="10" s="1"/>
  <c r="Z99" i="10"/>
  <c r="N99" i="10"/>
  <c r="K99" i="10"/>
  <c r="L99" i="10" s="1"/>
  <c r="Q99" i="10" s="1"/>
  <c r="X99" i="10" s="1"/>
  <c r="H99" i="10"/>
  <c r="M99" i="10" s="1"/>
  <c r="Z98" i="10"/>
  <c r="N98" i="10"/>
  <c r="K98" i="10"/>
  <c r="P98" i="10" s="1"/>
  <c r="H98" i="10"/>
  <c r="M98" i="10" s="1"/>
  <c r="Z97" i="10"/>
  <c r="P97" i="10"/>
  <c r="N97" i="10"/>
  <c r="M97" i="10"/>
  <c r="L97" i="10"/>
  <c r="Q97" i="10" s="1"/>
  <c r="X97" i="10" s="1"/>
  <c r="K97" i="10"/>
  <c r="H97" i="10"/>
  <c r="Z96" i="10"/>
  <c r="N96" i="10"/>
  <c r="M96" i="10"/>
  <c r="K96" i="10"/>
  <c r="H96" i="10"/>
  <c r="Z95" i="10"/>
  <c r="P95" i="10"/>
  <c r="N95" i="10"/>
  <c r="L95" i="10"/>
  <c r="Q95" i="10" s="1"/>
  <c r="X95" i="10" s="1"/>
  <c r="K95" i="10"/>
  <c r="H95" i="10"/>
  <c r="M95" i="10" s="1"/>
  <c r="Z94" i="10"/>
  <c r="N94" i="10"/>
  <c r="M94" i="10"/>
  <c r="K94" i="10"/>
  <c r="H94" i="10"/>
  <c r="Z93" i="10"/>
  <c r="N93" i="10"/>
  <c r="K93" i="10"/>
  <c r="P93" i="10" s="1"/>
  <c r="H93" i="10"/>
  <c r="M93" i="10" s="1"/>
  <c r="Z92" i="10"/>
  <c r="N92" i="10"/>
  <c r="M92" i="10"/>
  <c r="K92" i="10"/>
  <c r="P92" i="10" s="1"/>
  <c r="H92" i="10"/>
  <c r="Z91" i="10"/>
  <c r="N91" i="10"/>
  <c r="K91" i="10"/>
  <c r="P91" i="10" s="1"/>
  <c r="H91" i="10"/>
  <c r="M91" i="10" s="1"/>
  <c r="Z90" i="10"/>
  <c r="N90" i="10"/>
  <c r="K90" i="10"/>
  <c r="L90" i="10" s="1"/>
  <c r="Q90" i="10" s="1"/>
  <c r="X90" i="10" s="1"/>
  <c r="H90" i="10"/>
  <c r="M90" i="10" s="1"/>
  <c r="Z89" i="10"/>
  <c r="N89" i="10"/>
  <c r="K89" i="10"/>
  <c r="H89" i="10"/>
  <c r="M89" i="10" s="1"/>
  <c r="Z88" i="10"/>
  <c r="N88" i="10"/>
  <c r="M88" i="10"/>
  <c r="K88" i="10"/>
  <c r="P88" i="10" s="1"/>
  <c r="H88" i="10"/>
  <c r="Z87" i="10"/>
  <c r="P87" i="10"/>
  <c r="N87" i="10"/>
  <c r="K87" i="10"/>
  <c r="L87" i="10" s="1"/>
  <c r="Q87" i="10" s="1"/>
  <c r="X87" i="10" s="1"/>
  <c r="H87" i="10"/>
  <c r="M87" i="10" s="1"/>
  <c r="Z86" i="10"/>
  <c r="P86" i="10"/>
  <c r="N86" i="10"/>
  <c r="K86" i="10"/>
  <c r="L86" i="10" s="1"/>
  <c r="Q86" i="10" s="1"/>
  <c r="X86" i="10" s="1"/>
  <c r="H86" i="10"/>
  <c r="M86" i="10" s="1"/>
  <c r="Z85" i="10"/>
  <c r="N85" i="10"/>
  <c r="K85" i="10"/>
  <c r="P85" i="10" s="1"/>
  <c r="H85" i="10"/>
  <c r="M85" i="10" s="1"/>
  <c r="S84" i="10"/>
  <c r="Z83" i="10"/>
  <c r="N83" i="10"/>
  <c r="K83" i="10"/>
  <c r="P83" i="10" s="1"/>
  <c r="H83" i="10"/>
  <c r="M83" i="10" s="1"/>
  <c r="Z82" i="10"/>
  <c r="P82" i="10"/>
  <c r="N82" i="10"/>
  <c r="M82" i="10"/>
  <c r="L82" i="10"/>
  <c r="Q82" i="10" s="1"/>
  <c r="X82" i="10" s="1"/>
  <c r="K82" i="10"/>
  <c r="H82" i="10"/>
  <c r="Z81" i="10"/>
  <c r="N81" i="10"/>
  <c r="K81" i="10"/>
  <c r="H81" i="10"/>
  <c r="M81" i="10" s="1"/>
  <c r="Z80" i="10"/>
  <c r="N80" i="10"/>
  <c r="K80" i="10"/>
  <c r="P80" i="10" s="1"/>
  <c r="H80" i="10"/>
  <c r="M80" i="10" s="1"/>
  <c r="Z79" i="10"/>
  <c r="Q79" i="10"/>
  <c r="X79" i="10" s="1"/>
  <c r="P79" i="10"/>
  <c r="N79" i="10"/>
  <c r="L79" i="10"/>
  <c r="K79" i="10"/>
  <c r="H79" i="10"/>
  <c r="M79" i="10" s="1"/>
  <c r="Z78" i="10"/>
  <c r="N78" i="10"/>
  <c r="K78" i="10"/>
  <c r="P78" i="10" s="1"/>
  <c r="H78" i="10"/>
  <c r="M78" i="10" s="1"/>
  <c r="Z77" i="10"/>
  <c r="N77" i="10"/>
  <c r="L77" i="10"/>
  <c r="Q77" i="10" s="1"/>
  <c r="X77" i="10" s="1"/>
  <c r="K77" i="10"/>
  <c r="P77" i="10" s="1"/>
  <c r="H77" i="10"/>
  <c r="M77" i="10" s="1"/>
  <c r="Z76" i="10"/>
  <c r="N76" i="10"/>
  <c r="K76" i="10"/>
  <c r="H76" i="10"/>
  <c r="M76" i="10" s="1"/>
  <c r="Z75" i="10"/>
  <c r="N75" i="10"/>
  <c r="M75" i="10"/>
  <c r="K75" i="10"/>
  <c r="P75" i="10" s="1"/>
  <c r="H75" i="10"/>
  <c r="Z74" i="10"/>
  <c r="N74" i="10"/>
  <c r="K74" i="10"/>
  <c r="P74" i="10" s="1"/>
  <c r="H74" i="10"/>
  <c r="M74" i="10" s="1"/>
  <c r="Z73" i="10"/>
  <c r="Q73" i="10"/>
  <c r="X73" i="10" s="1"/>
  <c r="P73" i="10"/>
  <c r="N73" i="10"/>
  <c r="L73" i="10"/>
  <c r="K73" i="10"/>
  <c r="H73" i="10"/>
  <c r="M73" i="10" s="1"/>
  <c r="Z72" i="10"/>
  <c r="N72" i="10"/>
  <c r="K72" i="10"/>
  <c r="L72" i="10" s="1"/>
  <c r="Q72" i="10" s="1"/>
  <c r="X72" i="10" s="1"/>
  <c r="H72" i="10"/>
  <c r="M72" i="10" s="1"/>
  <c r="Z71" i="10"/>
  <c r="P71" i="10"/>
  <c r="N71" i="10"/>
  <c r="K71" i="10"/>
  <c r="L71" i="10" s="1"/>
  <c r="Q71" i="10" s="1"/>
  <c r="X71" i="10" s="1"/>
  <c r="H71" i="10"/>
  <c r="M71" i="10" s="1"/>
  <c r="Z70" i="10"/>
  <c r="N70" i="10"/>
  <c r="K70" i="10"/>
  <c r="L70" i="10" s="1"/>
  <c r="Q70" i="10" s="1"/>
  <c r="H70" i="10"/>
  <c r="M70" i="10" s="1"/>
  <c r="S69" i="10"/>
  <c r="Z68" i="10"/>
  <c r="N68" i="10"/>
  <c r="M68" i="10"/>
  <c r="K68" i="10"/>
  <c r="H68" i="10"/>
  <c r="Z67" i="10"/>
  <c r="N67" i="10"/>
  <c r="K67" i="10"/>
  <c r="P67" i="10" s="1"/>
  <c r="H67" i="10"/>
  <c r="M67" i="10" s="1"/>
  <c r="Z66" i="10"/>
  <c r="N66" i="10"/>
  <c r="M66" i="10"/>
  <c r="K66" i="10"/>
  <c r="P66" i="10" s="1"/>
  <c r="H66" i="10"/>
  <c r="Z65" i="10"/>
  <c r="N65" i="10"/>
  <c r="K65" i="10"/>
  <c r="P65" i="10" s="1"/>
  <c r="H65" i="10"/>
  <c r="M65" i="10" s="1"/>
  <c r="Z64" i="10"/>
  <c r="P64" i="10"/>
  <c r="N64" i="10"/>
  <c r="K64" i="10"/>
  <c r="L64" i="10" s="1"/>
  <c r="Q64" i="10" s="1"/>
  <c r="X64" i="10" s="1"/>
  <c r="H64" i="10"/>
  <c r="M64" i="10" s="1"/>
  <c r="Z63" i="10"/>
  <c r="N63" i="10"/>
  <c r="K63" i="10"/>
  <c r="H63" i="10"/>
  <c r="M63" i="10" s="1"/>
  <c r="Z62" i="10"/>
  <c r="N62" i="10"/>
  <c r="K62" i="10"/>
  <c r="P62" i="10" s="1"/>
  <c r="H62" i="10"/>
  <c r="M62" i="10" s="1"/>
  <c r="Z61" i="10"/>
  <c r="P61" i="10"/>
  <c r="N61" i="10"/>
  <c r="L61" i="10"/>
  <c r="Q61" i="10" s="1"/>
  <c r="X61" i="10" s="1"/>
  <c r="K61" i="10"/>
  <c r="H61" i="10"/>
  <c r="M61" i="10" s="1"/>
  <c r="Z60" i="10"/>
  <c r="P60" i="10"/>
  <c r="N60" i="10"/>
  <c r="K60" i="10"/>
  <c r="L60" i="10" s="1"/>
  <c r="Q60" i="10" s="1"/>
  <c r="X60" i="10" s="1"/>
  <c r="H60" i="10"/>
  <c r="M60" i="10" s="1"/>
  <c r="Z59" i="10"/>
  <c r="P59" i="10"/>
  <c r="N59" i="10"/>
  <c r="K59" i="10"/>
  <c r="L59" i="10" s="1"/>
  <c r="Q59" i="10" s="1"/>
  <c r="X59" i="10" s="1"/>
  <c r="H59" i="10"/>
  <c r="M59" i="10" s="1"/>
  <c r="Z58" i="10"/>
  <c r="N58" i="10"/>
  <c r="K58" i="10"/>
  <c r="P58" i="10" s="1"/>
  <c r="H58" i="10"/>
  <c r="M58" i="10" s="1"/>
  <c r="Z57" i="10"/>
  <c r="N57" i="10"/>
  <c r="K57" i="10"/>
  <c r="H57" i="10"/>
  <c r="M57" i="10" s="1"/>
  <c r="Z56" i="10"/>
  <c r="N56" i="10"/>
  <c r="L56" i="10"/>
  <c r="Q56" i="10" s="1"/>
  <c r="X56" i="10" s="1"/>
  <c r="K56" i="10"/>
  <c r="P56" i="10" s="1"/>
  <c r="H56" i="10"/>
  <c r="M56" i="10" s="1"/>
  <c r="Z55" i="10"/>
  <c r="N55" i="10"/>
  <c r="K55" i="10"/>
  <c r="P55" i="10" s="1"/>
  <c r="H55" i="10"/>
  <c r="M55" i="10" s="1"/>
  <c r="S54" i="10"/>
  <c r="Z53" i="10"/>
  <c r="N53" i="10"/>
  <c r="L53" i="10"/>
  <c r="Q53" i="10" s="1"/>
  <c r="X53" i="10" s="1"/>
  <c r="K53" i="10"/>
  <c r="P53" i="10" s="1"/>
  <c r="H53" i="10"/>
  <c r="M53" i="10" s="1"/>
  <c r="Z52" i="10"/>
  <c r="N52" i="10"/>
  <c r="K52" i="10"/>
  <c r="H52" i="10"/>
  <c r="M52" i="10" s="1"/>
  <c r="Z51" i="10"/>
  <c r="P51" i="10"/>
  <c r="N51" i="10"/>
  <c r="K51" i="10"/>
  <c r="L51" i="10" s="1"/>
  <c r="Q51" i="10" s="1"/>
  <c r="X51" i="10" s="1"/>
  <c r="H51" i="10"/>
  <c r="M51" i="10" s="1"/>
  <c r="Z50" i="10"/>
  <c r="N50" i="10"/>
  <c r="K50" i="10"/>
  <c r="H50" i="10"/>
  <c r="M50" i="10" s="1"/>
  <c r="Z49" i="10"/>
  <c r="N49" i="10"/>
  <c r="M49" i="10"/>
  <c r="K49" i="10"/>
  <c r="P49" i="10" s="1"/>
  <c r="H49" i="10"/>
  <c r="Z48" i="10"/>
  <c r="N48" i="10"/>
  <c r="M48" i="10"/>
  <c r="K48" i="10"/>
  <c r="P48" i="10" s="1"/>
  <c r="H48" i="10"/>
  <c r="Z47" i="10"/>
  <c r="P47" i="10"/>
  <c r="N47" i="10"/>
  <c r="K47" i="10"/>
  <c r="L47" i="10" s="1"/>
  <c r="Q47" i="10" s="1"/>
  <c r="X47" i="10" s="1"/>
  <c r="H47" i="10"/>
  <c r="M47" i="10" s="1"/>
  <c r="Z46" i="10"/>
  <c r="N46" i="10"/>
  <c r="K46" i="10"/>
  <c r="P46" i="10" s="1"/>
  <c r="H46" i="10"/>
  <c r="M46" i="10" s="1"/>
  <c r="Z45" i="10"/>
  <c r="P45" i="10"/>
  <c r="N45" i="10"/>
  <c r="L45" i="10"/>
  <c r="Q45" i="10" s="1"/>
  <c r="X45" i="10" s="1"/>
  <c r="K45" i="10"/>
  <c r="H45" i="10"/>
  <c r="M45" i="10" s="1"/>
  <c r="Z44" i="10"/>
  <c r="N44" i="10"/>
  <c r="K44" i="10"/>
  <c r="H44" i="10"/>
  <c r="M44" i="10" s="1"/>
  <c r="Z43" i="10"/>
  <c r="N43" i="10"/>
  <c r="L43" i="10"/>
  <c r="Q43" i="10" s="1"/>
  <c r="K43" i="10"/>
  <c r="P43" i="10" s="1"/>
  <c r="H43" i="10"/>
  <c r="M43" i="10" s="1"/>
  <c r="S42" i="10"/>
  <c r="Z41" i="10"/>
  <c r="N41" i="10"/>
  <c r="M41" i="10"/>
  <c r="K41" i="10"/>
  <c r="H41" i="10"/>
  <c r="Z40" i="10"/>
  <c r="P40" i="10"/>
  <c r="N40" i="10"/>
  <c r="M40" i="10"/>
  <c r="K40" i="10"/>
  <c r="L40" i="10" s="1"/>
  <c r="Q40" i="10" s="1"/>
  <c r="X40" i="10" s="1"/>
  <c r="H40" i="10"/>
  <c r="Z39" i="10"/>
  <c r="N39" i="10"/>
  <c r="K39" i="10"/>
  <c r="H39" i="10"/>
  <c r="M39" i="10" s="1"/>
  <c r="Z38" i="10"/>
  <c r="N38" i="10"/>
  <c r="K38" i="10"/>
  <c r="H38" i="10"/>
  <c r="M38" i="10" s="1"/>
  <c r="Z37" i="10"/>
  <c r="P37" i="10"/>
  <c r="N37" i="10"/>
  <c r="L37" i="10"/>
  <c r="Q37" i="10" s="1"/>
  <c r="X37" i="10" s="1"/>
  <c r="K37" i="10"/>
  <c r="H37" i="10"/>
  <c r="M37" i="10" s="1"/>
  <c r="Z36" i="10"/>
  <c r="N36" i="10"/>
  <c r="M36" i="10"/>
  <c r="K36" i="10"/>
  <c r="P36" i="10" s="1"/>
  <c r="H36" i="10"/>
  <c r="Z35" i="10"/>
  <c r="N35" i="10"/>
  <c r="M35" i="10"/>
  <c r="K35" i="10"/>
  <c r="P35" i="10" s="1"/>
  <c r="H35" i="10"/>
  <c r="Z34" i="10"/>
  <c r="N34" i="10"/>
  <c r="K34" i="10"/>
  <c r="P34" i="10" s="1"/>
  <c r="H34" i="10"/>
  <c r="M34" i="10" s="1"/>
  <c r="Z33" i="10"/>
  <c r="N33" i="10"/>
  <c r="K33" i="10"/>
  <c r="P33" i="10" s="1"/>
  <c r="H33" i="10"/>
  <c r="M33" i="10" s="1"/>
  <c r="Z32" i="10"/>
  <c r="X32" i="10"/>
  <c r="P32" i="10"/>
  <c r="N32" i="10"/>
  <c r="L32" i="10"/>
  <c r="Q32" i="10" s="1"/>
  <c r="K32" i="10"/>
  <c r="H32" i="10"/>
  <c r="M32" i="10" s="1"/>
  <c r="Z31" i="10"/>
  <c r="N31" i="10"/>
  <c r="K31" i="10"/>
  <c r="H31" i="10"/>
  <c r="M31" i="10" s="1"/>
  <c r="S30" i="10"/>
  <c r="Z29" i="10"/>
  <c r="P29" i="10"/>
  <c r="N29" i="10"/>
  <c r="K29" i="10"/>
  <c r="L29" i="10" s="1"/>
  <c r="Q29" i="10" s="1"/>
  <c r="X29" i="10" s="1"/>
  <c r="H29" i="10"/>
  <c r="M29" i="10" s="1"/>
  <c r="Z28" i="10"/>
  <c r="N28" i="10"/>
  <c r="K28" i="10"/>
  <c r="H28" i="10"/>
  <c r="M28" i="10" s="1"/>
  <c r="Z27" i="10"/>
  <c r="N27" i="10"/>
  <c r="K27" i="10"/>
  <c r="P27" i="10" s="1"/>
  <c r="H27" i="10"/>
  <c r="M27" i="10" s="1"/>
  <c r="Z26" i="10"/>
  <c r="N26" i="10"/>
  <c r="M26" i="10"/>
  <c r="K26" i="10"/>
  <c r="H26" i="10"/>
  <c r="Z25" i="10"/>
  <c r="P25" i="10"/>
  <c r="N25" i="10"/>
  <c r="K25" i="10"/>
  <c r="L25" i="10" s="1"/>
  <c r="Q25" i="10" s="1"/>
  <c r="X25" i="10" s="1"/>
  <c r="H25" i="10"/>
  <c r="M25" i="10" s="1"/>
  <c r="Z24" i="10"/>
  <c r="N24" i="10"/>
  <c r="K24" i="10"/>
  <c r="P24" i="10" s="1"/>
  <c r="H24" i="10"/>
  <c r="M24" i="10" s="1"/>
  <c r="Z23" i="10"/>
  <c r="Q23" i="10"/>
  <c r="X23" i="10" s="1"/>
  <c r="N23" i="10"/>
  <c r="L23" i="10"/>
  <c r="K23" i="10"/>
  <c r="P23" i="10" s="1"/>
  <c r="H23" i="10"/>
  <c r="M23" i="10" s="1"/>
  <c r="Z22" i="10"/>
  <c r="P22" i="10"/>
  <c r="N22" i="10"/>
  <c r="L22" i="10"/>
  <c r="Q22" i="10" s="1"/>
  <c r="X22" i="10" s="1"/>
  <c r="K22" i="10"/>
  <c r="H22" i="10"/>
  <c r="M22" i="10" s="1"/>
  <c r="Z21" i="10"/>
  <c r="P21" i="10"/>
  <c r="N21" i="10"/>
  <c r="L21" i="10"/>
  <c r="Q21" i="10" s="1"/>
  <c r="X21" i="10" s="1"/>
  <c r="K21" i="10"/>
  <c r="H21" i="10"/>
  <c r="M21" i="10" s="1"/>
  <c r="Z20" i="10"/>
  <c r="P20" i="10"/>
  <c r="N20" i="10"/>
  <c r="K20" i="10"/>
  <c r="L20" i="10" s="1"/>
  <c r="Q20" i="10" s="1"/>
  <c r="X20" i="10" s="1"/>
  <c r="H20" i="10"/>
  <c r="M20" i="10" s="1"/>
  <c r="Z19" i="10"/>
  <c r="N19" i="10"/>
  <c r="K19" i="10"/>
  <c r="P19" i="10" s="1"/>
  <c r="H19" i="10"/>
  <c r="M19" i="10" s="1"/>
  <c r="Z18" i="10"/>
  <c r="N18" i="10"/>
  <c r="M18" i="10"/>
  <c r="K18" i="10"/>
  <c r="H18" i="10"/>
  <c r="S17" i="10"/>
  <c r="Z16" i="10"/>
  <c r="N16" i="10"/>
  <c r="K16" i="10"/>
  <c r="H16" i="10"/>
  <c r="M16" i="10" s="1"/>
  <c r="Z15" i="10"/>
  <c r="N15" i="10"/>
  <c r="M15" i="10"/>
  <c r="K15" i="10"/>
  <c r="H15" i="10"/>
  <c r="Z14" i="10"/>
  <c r="P14" i="10"/>
  <c r="N14" i="10"/>
  <c r="K14" i="10"/>
  <c r="L14" i="10" s="1"/>
  <c r="Q14" i="10" s="1"/>
  <c r="X14" i="10" s="1"/>
  <c r="H14" i="10"/>
  <c r="M14" i="10" s="1"/>
  <c r="Z13" i="10"/>
  <c r="N13" i="10"/>
  <c r="K13" i="10"/>
  <c r="H13" i="10"/>
  <c r="M13" i="10" s="1"/>
  <c r="Z12" i="10"/>
  <c r="N12" i="10"/>
  <c r="K12" i="10"/>
  <c r="P12" i="10" s="1"/>
  <c r="H12" i="10"/>
  <c r="M12" i="10" s="1"/>
  <c r="Z11" i="10"/>
  <c r="P11" i="10"/>
  <c r="N11" i="10"/>
  <c r="M11" i="10"/>
  <c r="L11" i="10"/>
  <c r="Q11" i="10" s="1"/>
  <c r="X11" i="10" s="1"/>
  <c r="K11" i="10"/>
  <c r="H11" i="10"/>
  <c r="Z10" i="10"/>
  <c r="N10" i="10"/>
  <c r="M10" i="10"/>
  <c r="K10" i="10"/>
  <c r="P10" i="10" s="1"/>
  <c r="H10" i="10"/>
  <c r="Z9" i="10"/>
  <c r="N9" i="10"/>
  <c r="M9" i="10"/>
  <c r="K9" i="10"/>
  <c r="L9" i="10" s="1"/>
  <c r="Q9" i="10" s="1"/>
  <c r="X9" i="10" s="1"/>
  <c r="H9" i="10"/>
  <c r="Z8" i="10"/>
  <c r="P8" i="10"/>
  <c r="N8" i="10"/>
  <c r="K8" i="10"/>
  <c r="L8" i="10" s="1"/>
  <c r="Q8" i="10" s="1"/>
  <c r="H8" i="10"/>
  <c r="M8" i="10" s="1"/>
  <c r="S139" i="9"/>
  <c r="Z138" i="9"/>
  <c r="N138" i="9"/>
  <c r="M138" i="9"/>
  <c r="K138" i="9"/>
  <c r="H138" i="9"/>
  <c r="Z137" i="9"/>
  <c r="P137" i="9"/>
  <c r="N137" i="9"/>
  <c r="L137" i="9"/>
  <c r="Q137" i="9" s="1"/>
  <c r="X137" i="9" s="1"/>
  <c r="K137" i="9"/>
  <c r="H137" i="9"/>
  <c r="M137" i="9" s="1"/>
  <c r="Z136" i="9"/>
  <c r="N136" i="9"/>
  <c r="K136" i="9"/>
  <c r="H136" i="9"/>
  <c r="M136" i="9" s="1"/>
  <c r="S135" i="9"/>
  <c r="Z134" i="9"/>
  <c r="N134" i="9"/>
  <c r="M134" i="9"/>
  <c r="K134" i="9"/>
  <c r="H134" i="9"/>
  <c r="Z133" i="9"/>
  <c r="N133" i="9"/>
  <c r="K133" i="9"/>
  <c r="P133" i="9" s="1"/>
  <c r="H133" i="9"/>
  <c r="M133" i="9" s="1"/>
  <c r="Z132" i="9"/>
  <c r="N132" i="9"/>
  <c r="K132" i="9"/>
  <c r="H132" i="9"/>
  <c r="M132" i="9" s="1"/>
  <c r="Z131" i="9"/>
  <c r="N131" i="9"/>
  <c r="K131" i="9"/>
  <c r="P131" i="9" s="1"/>
  <c r="H131" i="9"/>
  <c r="M131" i="9" s="1"/>
  <c r="Z130" i="9"/>
  <c r="N130" i="9"/>
  <c r="K130" i="9"/>
  <c r="P130" i="9" s="1"/>
  <c r="H130" i="9"/>
  <c r="M130" i="9" s="1"/>
  <c r="Z129" i="9"/>
  <c r="N129" i="9"/>
  <c r="K129" i="9"/>
  <c r="P129" i="9" s="1"/>
  <c r="H129" i="9"/>
  <c r="M129" i="9" s="1"/>
  <c r="Z128" i="9"/>
  <c r="X128" i="9"/>
  <c r="P128" i="9"/>
  <c r="N128" i="9"/>
  <c r="L128" i="9"/>
  <c r="Q128" i="9" s="1"/>
  <c r="K128" i="9"/>
  <c r="H128" i="9"/>
  <c r="M128" i="9" s="1"/>
  <c r="Z127" i="9"/>
  <c r="P127" i="9"/>
  <c r="N127" i="9"/>
  <c r="L127" i="9"/>
  <c r="Q127" i="9" s="1"/>
  <c r="X127" i="9" s="1"/>
  <c r="K127" i="9"/>
  <c r="H127" i="9"/>
  <c r="M127" i="9" s="1"/>
  <c r="Z126" i="9"/>
  <c r="N126" i="9"/>
  <c r="K126" i="9"/>
  <c r="P126" i="9" s="1"/>
  <c r="H126" i="9"/>
  <c r="M126" i="9" s="1"/>
  <c r="Z125" i="9"/>
  <c r="N125" i="9"/>
  <c r="K125" i="9"/>
  <c r="P125" i="9" s="1"/>
  <c r="H125" i="9"/>
  <c r="M125" i="9" s="1"/>
  <c r="Z124" i="9"/>
  <c r="N124" i="9"/>
  <c r="K124" i="9"/>
  <c r="H124" i="9"/>
  <c r="M124" i="9" s="1"/>
  <c r="S123" i="9"/>
  <c r="Z122" i="9"/>
  <c r="P122" i="9"/>
  <c r="N122" i="9"/>
  <c r="L122" i="9"/>
  <c r="Q122" i="9" s="1"/>
  <c r="X122" i="9" s="1"/>
  <c r="K122" i="9"/>
  <c r="H122" i="9"/>
  <c r="M122" i="9" s="1"/>
  <c r="Z121" i="9"/>
  <c r="P121" i="9"/>
  <c r="N121" i="9"/>
  <c r="K121" i="9"/>
  <c r="L121" i="9" s="1"/>
  <c r="Q121" i="9" s="1"/>
  <c r="X121" i="9" s="1"/>
  <c r="H121" i="9"/>
  <c r="M121" i="9" s="1"/>
  <c r="Z120" i="9"/>
  <c r="N120" i="9"/>
  <c r="K120" i="9"/>
  <c r="H120" i="9"/>
  <c r="M120" i="9" s="1"/>
  <c r="Z119" i="9"/>
  <c r="N119" i="9"/>
  <c r="L119" i="9"/>
  <c r="Q119" i="9" s="1"/>
  <c r="X119" i="9" s="1"/>
  <c r="K119" i="9"/>
  <c r="P119" i="9" s="1"/>
  <c r="H119" i="9"/>
  <c r="M119" i="9" s="1"/>
  <c r="Z118" i="9"/>
  <c r="N118" i="9"/>
  <c r="K118" i="9"/>
  <c r="L118" i="9" s="1"/>
  <c r="Q118" i="9" s="1"/>
  <c r="X118" i="9" s="1"/>
  <c r="H118" i="9"/>
  <c r="M118" i="9" s="1"/>
  <c r="Z117" i="9"/>
  <c r="N117" i="9"/>
  <c r="M117" i="9"/>
  <c r="K117" i="9"/>
  <c r="P117" i="9" s="1"/>
  <c r="H117" i="9"/>
  <c r="Z116" i="9"/>
  <c r="N116" i="9"/>
  <c r="M116" i="9"/>
  <c r="K116" i="9"/>
  <c r="P116" i="9" s="1"/>
  <c r="H116" i="9"/>
  <c r="Z115" i="9"/>
  <c r="N115" i="9"/>
  <c r="K115" i="9"/>
  <c r="L115" i="9" s="1"/>
  <c r="Q115" i="9" s="1"/>
  <c r="X115" i="9" s="1"/>
  <c r="H115" i="9"/>
  <c r="M115" i="9" s="1"/>
  <c r="Z114" i="9"/>
  <c r="N114" i="9"/>
  <c r="M114" i="9"/>
  <c r="K114" i="9"/>
  <c r="H114" i="9"/>
  <c r="Z113" i="9"/>
  <c r="N113" i="9"/>
  <c r="K113" i="9"/>
  <c r="L113" i="9" s="1"/>
  <c r="Q113" i="9" s="1"/>
  <c r="X113" i="9" s="1"/>
  <c r="H113" i="9"/>
  <c r="M113" i="9" s="1"/>
  <c r="Z112" i="9"/>
  <c r="N112" i="9"/>
  <c r="K112" i="9"/>
  <c r="H112" i="9"/>
  <c r="M112" i="9" s="1"/>
  <c r="Z111" i="9"/>
  <c r="N111" i="9"/>
  <c r="K111" i="9"/>
  <c r="P111" i="9" s="1"/>
  <c r="H111" i="9"/>
  <c r="M111" i="9" s="1"/>
  <c r="Z110" i="9"/>
  <c r="N110" i="9"/>
  <c r="K110" i="9"/>
  <c r="P110" i="9" s="1"/>
  <c r="H110" i="9"/>
  <c r="M110" i="9" s="1"/>
  <c r="Z109" i="9"/>
  <c r="N109" i="9"/>
  <c r="K109" i="9"/>
  <c r="P109" i="9" s="1"/>
  <c r="H109" i="9"/>
  <c r="M109" i="9" s="1"/>
  <c r="S108" i="9"/>
  <c r="Z107" i="9"/>
  <c r="N107" i="9"/>
  <c r="K107" i="9"/>
  <c r="P107" i="9" s="1"/>
  <c r="H107" i="9"/>
  <c r="M107" i="9" s="1"/>
  <c r="Z106" i="9"/>
  <c r="N106" i="9"/>
  <c r="M106" i="9"/>
  <c r="K106" i="9"/>
  <c r="H106" i="9"/>
  <c r="Z105" i="9"/>
  <c r="N105" i="9"/>
  <c r="M105" i="9"/>
  <c r="L105" i="9"/>
  <c r="Q105" i="9" s="1"/>
  <c r="X105" i="9" s="1"/>
  <c r="K105" i="9"/>
  <c r="P105" i="9" s="1"/>
  <c r="H105" i="9"/>
  <c r="Z104" i="9"/>
  <c r="N104" i="9"/>
  <c r="K104" i="9"/>
  <c r="L104" i="9" s="1"/>
  <c r="Q104" i="9" s="1"/>
  <c r="X104" i="9" s="1"/>
  <c r="H104" i="9"/>
  <c r="M104" i="9" s="1"/>
  <c r="Z103" i="9"/>
  <c r="N103" i="9"/>
  <c r="K103" i="9"/>
  <c r="P103" i="9" s="1"/>
  <c r="H103" i="9"/>
  <c r="M103" i="9" s="1"/>
  <c r="Z102" i="9"/>
  <c r="N102" i="9"/>
  <c r="K102" i="9"/>
  <c r="P102" i="9" s="1"/>
  <c r="H102" i="9"/>
  <c r="M102" i="9" s="1"/>
  <c r="Z101" i="9"/>
  <c r="N101" i="9"/>
  <c r="K101" i="9"/>
  <c r="P101" i="9" s="1"/>
  <c r="H101" i="9"/>
  <c r="M101" i="9" s="1"/>
  <c r="Z100" i="9"/>
  <c r="N100" i="9"/>
  <c r="K100" i="9"/>
  <c r="H100" i="9"/>
  <c r="M100" i="9" s="1"/>
  <c r="Z99" i="9"/>
  <c r="N99" i="9"/>
  <c r="K99" i="9"/>
  <c r="P99" i="9" s="1"/>
  <c r="H99" i="9"/>
  <c r="M99" i="9" s="1"/>
  <c r="Z98" i="9"/>
  <c r="N98" i="9"/>
  <c r="K98" i="9"/>
  <c r="P98" i="9" s="1"/>
  <c r="H98" i="9"/>
  <c r="M98" i="9" s="1"/>
  <c r="Z97" i="9"/>
  <c r="N97" i="9"/>
  <c r="M97" i="9"/>
  <c r="L97" i="9"/>
  <c r="Q97" i="9" s="1"/>
  <c r="X97" i="9" s="1"/>
  <c r="K97" i="9"/>
  <c r="P97" i="9" s="1"/>
  <c r="H97" i="9"/>
  <c r="Z96" i="9"/>
  <c r="N96" i="9"/>
  <c r="K96" i="9"/>
  <c r="L96" i="9" s="1"/>
  <c r="Q96" i="9" s="1"/>
  <c r="X96" i="9" s="1"/>
  <c r="H96" i="9"/>
  <c r="M96" i="9" s="1"/>
  <c r="Z95" i="9"/>
  <c r="P95" i="9"/>
  <c r="N95" i="9"/>
  <c r="K95" i="9"/>
  <c r="L95" i="9" s="1"/>
  <c r="Q95" i="9" s="1"/>
  <c r="X95" i="9" s="1"/>
  <c r="H95" i="9"/>
  <c r="M95" i="9" s="1"/>
  <c r="Z94" i="9"/>
  <c r="Q94" i="9"/>
  <c r="X94" i="9" s="1"/>
  <c r="N94" i="9"/>
  <c r="M94" i="9"/>
  <c r="K94" i="9"/>
  <c r="L94" i="9" s="1"/>
  <c r="H94" i="9"/>
  <c r="Z93" i="9"/>
  <c r="P93" i="9"/>
  <c r="N93" i="9"/>
  <c r="M93" i="9"/>
  <c r="L93" i="9"/>
  <c r="Q93" i="9" s="1"/>
  <c r="X93" i="9" s="1"/>
  <c r="K93" i="9"/>
  <c r="H93" i="9"/>
  <c r="Z92" i="9"/>
  <c r="N92" i="9"/>
  <c r="M92" i="9"/>
  <c r="K92" i="9"/>
  <c r="H92" i="9"/>
  <c r="Z91" i="9"/>
  <c r="N91" i="9"/>
  <c r="L91" i="9"/>
  <c r="Q91" i="9" s="1"/>
  <c r="X91" i="9" s="1"/>
  <c r="K91" i="9"/>
  <c r="P91" i="9" s="1"/>
  <c r="H91" i="9"/>
  <c r="M91" i="9" s="1"/>
  <c r="Z90" i="9"/>
  <c r="N90" i="9"/>
  <c r="K90" i="9"/>
  <c r="P90" i="9" s="1"/>
  <c r="H90" i="9"/>
  <c r="M90" i="9" s="1"/>
  <c r="Z89" i="9"/>
  <c r="N89" i="9"/>
  <c r="K89" i="9"/>
  <c r="H89" i="9"/>
  <c r="M89" i="9" s="1"/>
  <c r="Z88" i="9"/>
  <c r="N88" i="9"/>
  <c r="K88" i="9"/>
  <c r="P88" i="9" s="1"/>
  <c r="H88" i="9"/>
  <c r="M88" i="9" s="1"/>
  <c r="S87" i="9"/>
  <c r="Z86" i="9"/>
  <c r="N86" i="9"/>
  <c r="M86" i="9"/>
  <c r="K86" i="9"/>
  <c r="H86" i="9"/>
  <c r="Z85" i="9"/>
  <c r="N85" i="9"/>
  <c r="M85" i="9"/>
  <c r="K85" i="9"/>
  <c r="P85" i="9" s="1"/>
  <c r="H85" i="9"/>
  <c r="Z84" i="9"/>
  <c r="N84" i="9"/>
  <c r="K84" i="9"/>
  <c r="P84" i="9" s="1"/>
  <c r="H84" i="9"/>
  <c r="M84" i="9" s="1"/>
  <c r="Z83" i="9"/>
  <c r="N83" i="9"/>
  <c r="K83" i="9"/>
  <c r="P83" i="9" s="1"/>
  <c r="H83" i="9"/>
  <c r="M83" i="9" s="1"/>
  <c r="Z82" i="9"/>
  <c r="N82" i="9"/>
  <c r="K82" i="9"/>
  <c r="H82" i="9"/>
  <c r="M82" i="9" s="1"/>
  <c r="Z81" i="9"/>
  <c r="P81" i="9"/>
  <c r="N81" i="9"/>
  <c r="L81" i="9"/>
  <c r="Q81" i="9" s="1"/>
  <c r="X81" i="9" s="1"/>
  <c r="K81" i="9"/>
  <c r="H81" i="9"/>
  <c r="M81" i="9" s="1"/>
  <c r="Z80" i="9"/>
  <c r="N80" i="9"/>
  <c r="K80" i="9"/>
  <c r="H80" i="9"/>
  <c r="M80" i="9" s="1"/>
  <c r="Z79" i="9"/>
  <c r="N79" i="9"/>
  <c r="L79" i="9"/>
  <c r="Q79" i="9" s="1"/>
  <c r="X79" i="9" s="1"/>
  <c r="K79" i="9"/>
  <c r="P79" i="9" s="1"/>
  <c r="H79" i="9"/>
  <c r="M79" i="9" s="1"/>
  <c r="Z78" i="9"/>
  <c r="N78" i="9"/>
  <c r="K78" i="9"/>
  <c r="H78" i="9"/>
  <c r="M78" i="9" s="1"/>
  <c r="Z77" i="9"/>
  <c r="N77" i="9"/>
  <c r="K77" i="9"/>
  <c r="P77" i="9" s="1"/>
  <c r="H77" i="9"/>
  <c r="M77" i="9" s="1"/>
  <c r="Z76" i="9"/>
  <c r="N76" i="9"/>
  <c r="K76" i="9"/>
  <c r="P76" i="9" s="1"/>
  <c r="H76" i="9"/>
  <c r="M76" i="9" s="1"/>
  <c r="Z75" i="9"/>
  <c r="N75" i="9"/>
  <c r="K75" i="9"/>
  <c r="L75" i="9" s="1"/>
  <c r="Q75" i="9" s="1"/>
  <c r="X75" i="9" s="1"/>
  <c r="H75" i="9"/>
  <c r="M75" i="9" s="1"/>
  <c r="Z74" i="9"/>
  <c r="N74" i="9"/>
  <c r="M74" i="9"/>
  <c r="K74" i="9"/>
  <c r="L74" i="9" s="1"/>
  <c r="Q74" i="9" s="1"/>
  <c r="X74" i="9" s="1"/>
  <c r="H74" i="9"/>
  <c r="Z73" i="9"/>
  <c r="N73" i="9"/>
  <c r="K73" i="9"/>
  <c r="P73" i="9" s="1"/>
  <c r="H73" i="9"/>
  <c r="M73" i="9" s="1"/>
  <c r="Z72" i="9"/>
  <c r="N72" i="9"/>
  <c r="M72" i="9"/>
  <c r="K72" i="9"/>
  <c r="H72" i="9"/>
  <c r="Z71" i="9"/>
  <c r="P71" i="9"/>
  <c r="N71" i="9"/>
  <c r="K71" i="9"/>
  <c r="L71" i="9" s="1"/>
  <c r="Q71" i="9" s="1"/>
  <c r="X71" i="9" s="1"/>
  <c r="H71" i="9"/>
  <c r="M71" i="9" s="1"/>
  <c r="Z70" i="9"/>
  <c r="N70" i="9"/>
  <c r="K70" i="9"/>
  <c r="P70" i="9" s="1"/>
  <c r="H70" i="9"/>
  <c r="M70" i="9" s="1"/>
  <c r="Z69" i="9"/>
  <c r="N69" i="9"/>
  <c r="M69" i="9"/>
  <c r="K69" i="9"/>
  <c r="P69" i="9" s="1"/>
  <c r="H69" i="9"/>
  <c r="Z68" i="9"/>
  <c r="N68" i="9"/>
  <c r="K68" i="9"/>
  <c r="L68" i="9" s="1"/>
  <c r="Q68" i="9" s="1"/>
  <c r="X68" i="9" s="1"/>
  <c r="H68" i="9"/>
  <c r="M68" i="9" s="1"/>
  <c r="S67" i="9"/>
  <c r="Z66" i="9"/>
  <c r="N66" i="9"/>
  <c r="K66" i="9"/>
  <c r="P66" i="9" s="1"/>
  <c r="H66" i="9"/>
  <c r="M66" i="9" s="1"/>
  <c r="Z65" i="9"/>
  <c r="N65" i="9"/>
  <c r="M65" i="9"/>
  <c r="L65" i="9"/>
  <c r="Q65" i="9" s="1"/>
  <c r="X65" i="9" s="1"/>
  <c r="K65" i="9"/>
  <c r="P65" i="9" s="1"/>
  <c r="H65" i="9"/>
  <c r="Z64" i="9"/>
  <c r="N64" i="9"/>
  <c r="K64" i="9"/>
  <c r="P64" i="9" s="1"/>
  <c r="H64" i="9"/>
  <c r="M64" i="9" s="1"/>
  <c r="Z63" i="9"/>
  <c r="Q63" i="9"/>
  <c r="X63" i="9" s="1"/>
  <c r="P63" i="9"/>
  <c r="N63" i="9"/>
  <c r="L63" i="9"/>
  <c r="K63" i="9"/>
  <c r="H63" i="9"/>
  <c r="M63" i="9" s="1"/>
  <c r="Z62" i="9"/>
  <c r="N62" i="9"/>
  <c r="K62" i="9"/>
  <c r="P62" i="9" s="1"/>
  <c r="H62" i="9"/>
  <c r="M62" i="9" s="1"/>
  <c r="Z61" i="9"/>
  <c r="P61" i="9"/>
  <c r="N61" i="9"/>
  <c r="K61" i="9"/>
  <c r="L61" i="9" s="1"/>
  <c r="Q61" i="9" s="1"/>
  <c r="X61" i="9" s="1"/>
  <c r="H61" i="9"/>
  <c r="M61" i="9" s="1"/>
  <c r="Z60" i="9"/>
  <c r="N60" i="9"/>
  <c r="K60" i="9"/>
  <c r="H60" i="9"/>
  <c r="M60" i="9" s="1"/>
  <c r="Z59" i="9"/>
  <c r="N59" i="9"/>
  <c r="K59" i="9"/>
  <c r="P59" i="9" s="1"/>
  <c r="H59" i="9"/>
  <c r="M59" i="9" s="1"/>
  <c r="Z58" i="9"/>
  <c r="P58" i="9"/>
  <c r="N58" i="9"/>
  <c r="M58" i="9"/>
  <c r="L58" i="9"/>
  <c r="Q58" i="9" s="1"/>
  <c r="X58" i="9" s="1"/>
  <c r="K58" i="9"/>
  <c r="H58" i="9"/>
  <c r="Z57" i="9"/>
  <c r="N57" i="9"/>
  <c r="K57" i="9"/>
  <c r="P57" i="9" s="1"/>
  <c r="H57" i="9"/>
  <c r="M57" i="9" s="1"/>
  <c r="Z56" i="9"/>
  <c r="N56" i="9"/>
  <c r="L56" i="9"/>
  <c r="Q56" i="9" s="1"/>
  <c r="X56" i="9" s="1"/>
  <c r="K56" i="9"/>
  <c r="P56" i="9" s="1"/>
  <c r="H56" i="9"/>
  <c r="M56" i="9" s="1"/>
  <c r="Z55" i="9"/>
  <c r="Q55" i="9"/>
  <c r="X55" i="9" s="1"/>
  <c r="P55" i="9"/>
  <c r="N55" i="9"/>
  <c r="M55" i="9"/>
  <c r="K55" i="9"/>
  <c r="L55" i="9" s="1"/>
  <c r="H55" i="9"/>
  <c r="Z54" i="9"/>
  <c r="Q54" i="9"/>
  <c r="X54" i="9" s="1"/>
  <c r="N54" i="9"/>
  <c r="K54" i="9"/>
  <c r="L54" i="9" s="1"/>
  <c r="H54" i="9"/>
  <c r="M54" i="9" s="1"/>
  <c r="Z53" i="9"/>
  <c r="P53" i="9"/>
  <c r="N53" i="9"/>
  <c r="K53" i="9"/>
  <c r="L53" i="9" s="1"/>
  <c r="Q53" i="9" s="1"/>
  <c r="X53" i="9" s="1"/>
  <c r="H53" i="9"/>
  <c r="M53" i="9" s="1"/>
  <c r="Z52" i="9"/>
  <c r="N52" i="9"/>
  <c r="K52" i="9"/>
  <c r="H52" i="9"/>
  <c r="M52" i="9" s="1"/>
  <c r="S51" i="9"/>
  <c r="Z50" i="9"/>
  <c r="N50" i="9"/>
  <c r="K50" i="9"/>
  <c r="L50" i="9" s="1"/>
  <c r="Q50" i="9" s="1"/>
  <c r="X50" i="9" s="1"/>
  <c r="H50" i="9"/>
  <c r="M50" i="9" s="1"/>
  <c r="Z49" i="9"/>
  <c r="Q49" i="9"/>
  <c r="X49" i="9" s="1"/>
  <c r="P49" i="9"/>
  <c r="N49" i="9"/>
  <c r="L49" i="9"/>
  <c r="K49" i="9"/>
  <c r="H49" i="9"/>
  <c r="M49" i="9" s="1"/>
  <c r="Z48" i="9"/>
  <c r="N48" i="9"/>
  <c r="K48" i="9"/>
  <c r="H48" i="9"/>
  <c r="M48" i="9" s="1"/>
  <c r="Z47" i="9"/>
  <c r="N47" i="9"/>
  <c r="K47" i="9"/>
  <c r="L47" i="9" s="1"/>
  <c r="Q47" i="9" s="1"/>
  <c r="X47" i="9" s="1"/>
  <c r="H47" i="9"/>
  <c r="M47" i="9" s="1"/>
  <c r="Z46" i="9"/>
  <c r="P46" i="9"/>
  <c r="N46" i="9"/>
  <c r="L46" i="9"/>
  <c r="Q46" i="9" s="1"/>
  <c r="X46" i="9" s="1"/>
  <c r="K46" i="9"/>
  <c r="H46" i="9"/>
  <c r="M46" i="9" s="1"/>
  <c r="Z45" i="9"/>
  <c r="N45" i="9"/>
  <c r="M45" i="9"/>
  <c r="L45" i="9"/>
  <c r="Q45" i="9" s="1"/>
  <c r="X45" i="9" s="1"/>
  <c r="K45" i="9"/>
  <c r="P45" i="9" s="1"/>
  <c r="H45" i="9"/>
  <c r="Z44" i="9"/>
  <c r="N44" i="9"/>
  <c r="L44" i="9"/>
  <c r="Q44" i="9" s="1"/>
  <c r="X44" i="9" s="1"/>
  <c r="K44" i="9"/>
  <c r="P44" i="9" s="1"/>
  <c r="H44" i="9"/>
  <c r="M44" i="9" s="1"/>
  <c r="Z43" i="9"/>
  <c r="N43" i="9"/>
  <c r="K43" i="9"/>
  <c r="P43" i="9" s="1"/>
  <c r="H43" i="9"/>
  <c r="M43" i="9" s="1"/>
  <c r="Z42" i="9"/>
  <c r="N42" i="9"/>
  <c r="K42" i="9"/>
  <c r="P42" i="9" s="1"/>
  <c r="H42" i="9"/>
  <c r="M42" i="9" s="1"/>
  <c r="Z41" i="9"/>
  <c r="P41" i="9"/>
  <c r="N41" i="9"/>
  <c r="L41" i="9"/>
  <c r="Q41" i="9" s="1"/>
  <c r="X41" i="9" s="1"/>
  <c r="K41" i="9"/>
  <c r="H41" i="9"/>
  <c r="M41" i="9" s="1"/>
  <c r="Z40" i="9"/>
  <c r="N40" i="9"/>
  <c r="K40" i="9"/>
  <c r="H40" i="9"/>
  <c r="M40" i="9" s="1"/>
  <c r="Z39" i="9"/>
  <c r="N39" i="9"/>
  <c r="L39" i="9"/>
  <c r="Q39" i="9" s="1"/>
  <c r="X39" i="9" s="1"/>
  <c r="K39" i="9"/>
  <c r="P39" i="9" s="1"/>
  <c r="H39" i="9"/>
  <c r="M39" i="9" s="1"/>
  <c r="Z38" i="9"/>
  <c r="P38" i="9"/>
  <c r="N38" i="9"/>
  <c r="M38" i="9"/>
  <c r="L38" i="9"/>
  <c r="Q38" i="9" s="1"/>
  <c r="X38" i="9" s="1"/>
  <c r="K38" i="9"/>
  <c r="H38" i="9"/>
  <c r="Z37" i="9"/>
  <c r="N37" i="9"/>
  <c r="M37" i="9"/>
  <c r="K37" i="9"/>
  <c r="P37" i="9" s="1"/>
  <c r="H37" i="9"/>
  <c r="S36" i="9"/>
  <c r="Z35" i="9"/>
  <c r="N35" i="9"/>
  <c r="K35" i="9"/>
  <c r="H35" i="9"/>
  <c r="M35" i="9" s="1"/>
  <c r="Z34" i="9"/>
  <c r="P34" i="9"/>
  <c r="N34" i="9"/>
  <c r="M34" i="9"/>
  <c r="K34" i="9"/>
  <c r="L34" i="9" s="1"/>
  <c r="Q34" i="9" s="1"/>
  <c r="X34" i="9" s="1"/>
  <c r="H34" i="9"/>
  <c r="Z33" i="9"/>
  <c r="N33" i="9"/>
  <c r="M33" i="9"/>
  <c r="K33" i="9"/>
  <c r="P33" i="9" s="1"/>
  <c r="H33" i="9"/>
  <c r="Z32" i="9"/>
  <c r="N32" i="9"/>
  <c r="K32" i="9"/>
  <c r="P32" i="9" s="1"/>
  <c r="H32" i="9"/>
  <c r="M32" i="9" s="1"/>
  <c r="Z31" i="9"/>
  <c r="N31" i="9"/>
  <c r="M31" i="9"/>
  <c r="K31" i="9"/>
  <c r="L31" i="9" s="1"/>
  <c r="Q31" i="9" s="1"/>
  <c r="X31" i="9" s="1"/>
  <c r="H31" i="9"/>
  <c r="Z30" i="9"/>
  <c r="N30" i="9"/>
  <c r="K30" i="9"/>
  <c r="L30" i="9" s="1"/>
  <c r="Q30" i="9" s="1"/>
  <c r="X30" i="9" s="1"/>
  <c r="H30" i="9"/>
  <c r="M30" i="9" s="1"/>
  <c r="Z29" i="9"/>
  <c r="P29" i="9"/>
  <c r="N29" i="9"/>
  <c r="K29" i="9"/>
  <c r="L29" i="9" s="1"/>
  <c r="Q29" i="9" s="1"/>
  <c r="X29" i="9" s="1"/>
  <c r="H29" i="9"/>
  <c r="M29" i="9" s="1"/>
  <c r="Z28" i="9"/>
  <c r="N28" i="9"/>
  <c r="K28" i="9"/>
  <c r="H28" i="9"/>
  <c r="M28" i="9" s="1"/>
  <c r="Z27" i="9"/>
  <c r="P27" i="9"/>
  <c r="N27" i="9"/>
  <c r="K27" i="9"/>
  <c r="L27" i="9" s="1"/>
  <c r="Q27" i="9" s="1"/>
  <c r="X27" i="9" s="1"/>
  <c r="H27" i="9"/>
  <c r="M27" i="9" s="1"/>
  <c r="Z26" i="9"/>
  <c r="N26" i="9"/>
  <c r="K26" i="9"/>
  <c r="L26" i="9" s="1"/>
  <c r="Q26" i="9" s="1"/>
  <c r="X26" i="9" s="1"/>
  <c r="H26" i="9"/>
  <c r="M26" i="9" s="1"/>
  <c r="Z25" i="9"/>
  <c r="N25" i="9"/>
  <c r="M25" i="9"/>
  <c r="L25" i="9"/>
  <c r="Q25" i="9" s="1"/>
  <c r="X25" i="9" s="1"/>
  <c r="K25" i="9"/>
  <c r="P25" i="9" s="1"/>
  <c r="H25" i="9"/>
  <c r="Z24" i="9"/>
  <c r="N24" i="9"/>
  <c r="L24" i="9"/>
  <c r="Q24" i="9" s="1"/>
  <c r="X24" i="9" s="1"/>
  <c r="K24" i="9"/>
  <c r="P24" i="9" s="1"/>
  <c r="H24" i="9"/>
  <c r="M24" i="9" s="1"/>
  <c r="Z23" i="9"/>
  <c r="N23" i="9"/>
  <c r="K23" i="9"/>
  <c r="P23" i="9" s="1"/>
  <c r="H23" i="9"/>
  <c r="M23" i="9" s="1"/>
  <c r="Z22" i="9"/>
  <c r="N22" i="9"/>
  <c r="K22" i="9"/>
  <c r="H22" i="9"/>
  <c r="M22" i="9" s="1"/>
  <c r="Z21" i="9"/>
  <c r="N21" i="9"/>
  <c r="K21" i="9"/>
  <c r="P21" i="9" s="1"/>
  <c r="H21" i="9"/>
  <c r="M21" i="9" s="1"/>
  <c r="Z20" i="9"/>
  <c r="N20" i="9"/>
  <c r="M20" i="9"/>
  <c r="K20" i="9"/>
  <c r="H20" i="9"/>
  <c r="Z19" i="9"/>
  <c r="N19" i="9"/>
  <c r="K19" i="9"/>
  <c r="H19" i="9"/>
  <c r="M19" i="9" s="1"/>
  <c r="S18" i="9"/>
  <c r="Z17" i="9"/>
  <c r="N17" i="9"/>
  <c r="K17" i="9"/>
  <c r="P17" i="9" s="1"/>
  <c r="H17" i="9"/>
  <c r="M17" i="9" s="1"/>
  <c r="Z16" i="9"/>
  <c r="N16" i="9"/>
  <c r="M16" i="9"/>
  <c r="K16" i="9"/>
  <c r="H16" i="9"/>
  <c r="Z15" i="9"/>
  <c r="N15" i="9"/>
  <c r="L15" i="9"/>
  <c r="Q15" i="9" s="1"/>
  <c r="X15" i="9" s="1"/>
  <c r="K15" i="9"/>
  <c r="P15" i="9" s="1"/>
  <c r="H15" i="9"/>
  <c r="M15" i="9" s="1"/>
  <c r="Z14" i="9"/>
  <c r="N14" i="9"/>
  <c r="K14" i="9"/>
  <c r="P14" i="9" s="1"/>
  <c r="H14" i="9"/>
  <c r="M14" i="9" s="1"/>
  <c r="Z13" i="9"/>
  <c r="N13" i="9"/>
  <c r="M13" i="9"/>
  <c r="K13" i="9"/>
  <c r="H13" i="9"/>
  <c r="Z12" i="9"/>
  <c r="N12" i="9"/>
  <c r="M12" i="9"/>
  <c r="K12" i="9"/>
  <c r="H12" i="9"/>
  <c r="Z11" i="9"/>
  <c r="N11" i="9"/>
  <c r="M11" i="9"/>
  <c r="K11" i="9"/>
  <c r="L11" i="9" s="1"/>
  <c r="Q11" i="9" s="1"/>
  <c r="X11" i="9" s="1"/>
  <c r="H11" i="9"/>
  <c r="Z10" i="9"/>
  <c r="P10" i="9"/>
  <c r="N10" i="9"/>
  <c r="K10" i="9"/>
  <c r="L10" i="9" s="1"/>
  <c r="Q10" i="9" s="1"/>
  <c r="X10" i="9" s="1"/>
  <c r="H10" i="9"/>
  <c r="M10" i="9" s="1"/>
  <c r="Z9" i="9"/>
  <c r="N9" i="9"/>
  <c r="K9" i="9"/>
  <c r="P9" i="9" s="1"/>
  <c r="H9" i="9"/>
  <c r="M9" i="9" s="1"/>
  <c r="Z8" i="9"/>
  <c r="N8" i="9"/>
  <c r="K8" i="9"/>
  <c r="H8" i="9"/>
  <c r="M8" i="9" s="1"/>
  <c r="F40" i="14"/>
  <c r="F39" i="14"/>
  <c r="F38" i="14"/>
  <c r="F37" i="14"/>
  <c r="F36" i="14"/>
  <c r="F35" i="14"/>
  <c r="F20" i="14"/>
  <c r="F19" i="14"/>
  <c r="F18" i="14"/>
  <c r="F17" i="14"/>
  <c r="F16" i="14"/>
  <c r="F14" i="14"/>
  <c r="F13" i="14"/>
  <c r="F12" i="14"/>
  <c r="F11" i="14"/>
  <c r="R21" i="19"/>
  <c r="O21" i="19"/>
  <c r="U21" i="19" s="1"/>
  <c r="R20" i="19"/>
  <c r="O20" i="19"/>
  <c r="U20" i="19" s="1"/>
  <c r="R19" i="19"/>
  <c r="O19" i="19"/>
  <c r="U19" i="19" s="1"/>
  <c r="R18" i="19"/>
  <c r="O18" i="19"/>
  <c r="U18" i="19" s="1"/>
  <c r="R17" i="19"/>
  <c r="O17" i="19"/>
  <c r="R16" i="19"/>
  <c r="O16" i="19"/>
  <c r="U16" i="19" s="1"/>
  <c r="R15" i="19"/>
  <c r="O15" i="19"/>
  <c r="U15" i="19" s="1"/>
  <c r="R14" i="19"/>
  <c r="O14" i="19"/>
  <c r="U14" i="19" s="1"/>
  <c r="S13" i="19"/>
  <c r="R13" i="19"/>
  <c r="O13" i="19"/>
  <c r="U13" i="19" s="1"/>
  <c r="S12" i="19"/>
  <c r="R12" i="19"/>
  <c r="Q12" i="19"/>
  <c r="O12" i="19"/>
  <c r="U12" i="19" s="1"/>
  <c r="S11" i="19"/>
  <c r="R11" i="19"/>
  <c r="Q11" i="19"/>
  <c r="O11" i="19"/>
  <c r="U11" i="19" s="1"/>
  <c r="S10" i="19"/>
  <c r="R10" i="19"/>
  <c r="Q10" i="19"/>
  <c r="O10" i="19"/>
  <c r="U10" i="19" s="1"/>
  <c r="S9" i="19"/>
  <c r="R9" i="19"/>
  <c r="O9" i="19"/>
  <c r="U9" i="19" s="1"/>
  <c r="N57" i="17"/>
  <c r="K57" i="17"/>
  <c r="N56" i="17"/>
  <c r="M56" i="17"/>
  <c r="K56" i="17"/>
  <c r="P56" i="17" s="1"/>
  <c r="P55" i="17"/>
  <c r="N55" i="17"/>
  <c r="M55" i="17"/>
  <c r="K55" i="17"/>
  <c r="L55" i="17" s="1"/>
  <c r="Q55" i="17" s="1"/>
  <c r="Z55" i="17" s="1"/>
  <c r="N54" i="17"/>
  <c r="M54" i="17"/>
  <c r="K54" i="17"/>
  <c r="P54" i="17" s="1"/>
  <c r="N53" i="17"/>
  <c r="M53" i="17"/>
  <c r="K53" i="17"/>
  <c r="L53" i="17" s="1"/>
  <c r="Q53" i="17" s="1"/>
  <c r="Z53" i="17" s="1"/>
  <c r="N52" i="17"/>
  <c r="M52" i="17"/>
  <c r="K52" i="17"/>
  <c r="P52" i="17" s="1"/>
  <c r="N51" i="17"/>
  <c r="M51" i="17"/>
  <c r="K51" i="17"/>
  <c r="P51" i="17" s="1"/>
  <c r="N50" i="17"/>
  <c r="M50" i="17"/>
  <c r="K50" i="17"/>
  <c r="P50" i="17" s="1"/>
  <c r="N49" i="17"/>
  <c r="M49" i="17"/>
  <c r="K49" i="17"/>
  <c r="P49" i="17" s="1"/>
  <c r="N48" i="17"/>
  <c r="M48" i="17"/>
  <c r="K48" i="17"/>
  <c r="P48" i="17" s="1"/>
  <c r="N47" i="17"/>
  <c r="M47" i="17"/>
  <c r="K47" i="17"/>
  <c r="L47" i="17" s="1"/>
  <c r="Q47" i="17" s="1"/>
  <c r="Z47" i="17" s="1"/>
  <c r="N46" i="17"/>
  <c r="M46" i="17"/>
  <c r="K46" i="17"/>
  <c r="N45" i="17"/>
  <c r="M45" i="17"/>
  <c r="K45" i="17"/>
  <c r="L45" i="17" s="1"/>
  <c r="Q45" i="17" s="1"/>
  <c r="Z45" i="17" s="1"/>
  <c r="N44" i="17"/>
  <c r="M44" i="17"/>
  <c r="K44" i="17"/>
  <c r="P44" i="17" s="1"/>
  <c r="N43" i="17"/>
  <c r="M43" i="17"/>
  <c r="K43" i="17"/>
  <c r="P43" i="17" s="1"/>
  <c r="N42" i="17"/>
  <c r="M42" i="17"/>
  <c r="K42" i="17"/>
  <c r="P42" i="17" s="1"/>
  <c r="N41" i="17"/>
  <c r="M41" i="17"/>
  <c r="K41" i="17"/>
  <c r="N40" i="17"/>
  <c r="M40" i="17"/>
  <c r="K40" i="17"/>
  <c r="P40" i="17" s="1"/>
  <c r="N39" i="17"/>
  <c r="M39" i="17"/>
  <c r="K39" i="17"/>
  <c r="L39" i="17" s="1"/>
  <c r="Q39" i="17" s="1"/>
  <c r="Z39" i="17" s="1"/>
  <c r="N38" i="17"/>
  <c r="M38" i="17"/>
  <c r="K38" i="17"/>
  <c r="L38" i="17" s="1"/>
  <c r="Q38" i="17" s="1"/>
  <c r="Z38" i="17" s="1"/>
  <c r="N37" i="17"/>
  <c r="M37" i="17"/>
  <c r="K37" i="17"/>
  <c r="L37" i="17" s="1"/>
  <c r="Q37" i="17" s="1"/>
  <c r="Z37" i="17" s="1"/>
  <c r="N36" i="17"/>
  <c r="M36" i="17"/>
  <c r="K36" i="17"/>
  <c r="L36" i="17" s="1"/>
  <c r="Q36" i="17" s="1"/>
  <c r="Z36" i="17" s="1"/>
  <c r="N35" i="17"/>
  <c r="M35" i="17"/>
  <c r="K35" i="17"/>
  <c r="P35" i="17" s="1"/>
  <c r="N34" i="17"/>
  <c r="M34" i="17"/>
  <c r="K34" i="17"/>
  <c r="P34" i="17" s="1"/>
  <c r="N33" i="17"/>
  <c r="M33" i="17"/>
  <c r="K33" i="17"/>
  <c r="L33" i="17" s="1"/>
  <c r="Q33" i="17" s="1"/>
  <c r="Z33" i="17" s="1"/>
  <c r="N32" i="17"/>
  <c r="M32" i="17"/>
  <c r="K32" i="17"/>
  <c r="P32" i="17" s="1"/>
  <c r="N31" i="17"/>
  <c r="M31" i="17"/>
  <c r="K31" i="17"/>
  <c r="L31" i="17" s="1"/>
  <c r="Q31" i="17" s="1"/>
  <c r="Z31" i="17" s="1"/>
  <c r="N30" i="17"/>
  <c r="M30" i="17"/>
  <c r="K30" i="17"/>
  <c r="N29" i="17"/>
  <c r="M29" i="17"/>
  <c r="K29" i="17"/>
  <c r="L29" i="17" s="1"/>
  <c r="Q29" i="17" s="1"/>
  <c r="Z29" i="17" s="1"/>
  <c r="N28" i="17"/>
  <c r="M28" i="17"/>
  <c r="K28" i="17"/>
  <c r="N27" i="17"/>
  <c r="M27" i="17"/>
  <c r="K27" i="17"/>
  <c r="P27" i="17" s="1"/>
  <c r="N26" i="17"/>
  <c r="M26" i="17"/>
  <c r="K26" i="17"/>
  <c r="L26" i="17" s="1"/>
  <c r="Q26" i="17" s="1"/>
  <c r="Z26" i="17" s="1"/>
  <c r="N25" i="17"/>
  <c r="M25" i="17"/>
  <c r="K25" i="17"/>
  <c r="L25" i="17" s="1"/>
  <c r="Q25" i="17" s="1"/>
  <c r="Z25" i="17" s="1"/>
  <c r="N24" i="17"/>
  <c r="M24" i="17"/>
  <c r="K24" i="17"/>
  <c r="P24" i="17" s="1"/>
  <c r="N23" i="17"/>
  <c r="M23" i="17"/>
  <c r="K23" i="17"/>
  <c r="L23" i="17" s="1"/>
  <c r="Q23" i="17" s="1"/>
  <c r="Z23" i="17" s="1"/>
  <c r="N22" i="17"/>
  <c r="M22" i="17"/>
  <c r="K22" i="17"/>
  <c r="P22" i="17" s="1"/>
  <c r="N21" i="17"/>
  <c r="M21" i="17"/>
  <c r="K21" i="17"/>
  <c r="L21" i="17" s="1"/>
  <c r="Q21" i="17" s="1"/>
  <c r="Z21" i="17" s="1"/>
  <c r="N20" i="17"/>
  <c r="M20" i="17"/>
  <c r="K20" i="17"/>
  <c r="P20" i="17" s="1"/>
  <c r="N19" i="17"/>
  <c r="M19" i="17"/>
  <c r="K19" i="17"/>
  <c r="P19" i="17" s="1"/>
  <c r="N18" i="17"/>
  <c r="M18" i="17"/>
  <c r="K18" i="17"/>
  <c r="L18" i="17" s="1"/>
  <c r="Q18" i="17" s="1"/>
  <c r="Z18" i="17" s="1"/>
  <c r="N17" i="17"/>
  <c r="M17" i="17"/>
  <c r="K17" i="17"/>
  <c r="N16" i="17"/>
  <c r="M16" i="17"/>
  <c r="K16" i="17"/>
  <c r="P16" i="17" s="1"/>
  <c r="N15" i="17"/>
  <c r="M15" i="17"/>
  <c r="K15" i="17"/>
  <c r="N14" i="17"/>
  <c r="M14" i="17"/>
  <c r="K14" i="17"/>
  <c r="P14" i="17" s="1"/>
  <c r="N13" i="17"/>
  <c r="M13" i="17"/>
  <c r="K13" i="17"/>
  <c r="L13" i="17" s="1"/>
  <c r="Q13" i="17" s="1"/>
  <c r="Z13" i="17" s="1"/>
  <c r="N12" i="17"/>
  <c r="M12" i="17"/>
  <c r="K12" i="17"/>
  <c r="P12" i="17" s="1"/>
  <c r="N11" i="17"/>
  <c r="M11" i="17"/>
  <c r="K11" i="17"/>
  <c r="N10" i="17"/>
  <c r="M10" i="17"/>
  <c r="K10" i="17"/>
  <c r="N9" i="17"/>
  <c r="M9" i="17"/>
  <c r="K9" i="17"/>
  <c r="P9" i="17" s="1"/>
  <c r="S236" i="2"/>
  <c r="AD235" i="2"/>
  <c r="N235" i="2"/>
  <c r="K235" i="2"/>
  <c r="P235" i="2" s="1"/>
  <c r="H235" i="2"/>
  <c r="M235" i="2" s="1"/>
  <c r="AD234" i="2"/>
  <c r="N234" i="2"/>
  <c r="K234" i="2"/>
  <c r="L234" i="2" s="1"/>
  <c r="Q234" i="2" s="1"/>
  <c r="AB234" i="2" s="1"/>
  <c r="H234" i="2"/>
  <c r="M234" i="2" s="1"/>
  <c r="AD233" i="2"/>
  <c r="N233" i="2"/>
  <c r="K233" i="2"/>
  <c r="H233" i="2"/>
  <c r="M233" i="2" s="1"/>
  <c r="S232" i="2"/>
  <c r="AD231" i="2"/>
  <c r="N231" i="2"/>
  <c r="K231" i="2"/>
  <c r="H231" i="2"/>
  <c r="M231" i="2" s="1"/>
  <c r="AD230" i="2"/>
  <c r="N230" i="2"/>
  <c r="K230" i="2"/>
  <c r="H230" i="2"/>
  <c r="M230" i="2" s="1"/>
  <c r="AD229" i="2"/>
  <c r="N229" i="2"/>
  <c r="K229" i="2"/>
  <c r="P229" i="2" s="1"/>
  <c r="H229" i="2"/>
  <c r="M229" i="2" s="1"/>
  <c r="AD228" i="2"/>
  <c r="N228" i="2"/>
  <c r="K228" i="2"/>
  <c r="H228" i="2"/>
  <c r="M228" i="2" s="1"/>
  <c r="AD227" i="2"/>
  <c r="N227" i="2"/>
  <c r="K227" i="2"/>
  <c r="P227" i="2" s="1"/>
  <c r="H227" i="2"/>
  <c r="M227" i="2" s="1"/>
  <c r="AD226" i="2"/>
  <c r="N226" i="2"/>
  <c r="K226" i="2"/>
  <c r="L226" i="2" s="1"/>
  <c r="Q226" i="2" s="1"/>
  <c r="AB226" i="2" s="1"/>
  <c r="H226" i="2"/>
  <c r="M226" i="2" s="1"/>
  <c r="AD225" i="2"/>
  <c r="N225" i="2"/>
  <c r="K225" i="2"/>
  <c r="H225" i="2"/>
  <c r="M225" i="2" s="1"/>
  <c r="AD224" i="2"/>
  <c r="N224" i="2"/>
  <c r="K224" i="2"/>
  <c r="P224" i="2" s="1"/>
  <c r="H224" i="2"/>
  <c r="M224" i="2" s="1"/>
  <c r="AD223" i="2"/>
  <c r="N223" i="2"/>
  <c r="K223" i="2"/>
  <c r="L223" i="2" s="1"/>
  <c r="Q223" i="2" s="1"/>
  <c r="AB223" i="2" s="1"/>
  <c r="H223" i="2"/>
  <c r="M223" i="2" s="1"/>
  <c r="AD222" i="2"/>
  <c r="N222" i="2"/>
  <c r="K222" i="2"/>
  <c r="P222" i="2" s="1"/>
  <c r="H222" i="2"/>
  <c r="M222" i="2" s="1"/>
  <c r="AD221" i="2"/>
  <c r="N221" i="2"/>
  <c r="K221" i="2"/>
  <c r="P221" i="2" s="1"/>
  <c r="H221" i="2"/>
  <c r="M221" i="2" s="1"/>
  <c r="AD220" i="2"/>
  <c r="N220" i="2"/>
  <c r="K220" i="2"/>
  <c r="H220" i="2"/>
  <c r="M220" i="2" s="1"/>
  <c r="AD219" i="2"/>
  <c r="N219" i="2"/>
  <c r="K219" i="2"/>
  <c r="P219" i="2" s="1"/>
  <c r="H219" i="2"/>
  <c r="M219" i="2" s="1"/>
  <c r="S218" i="2"/>
  <c r="AD217" i="2"/>
  <c r="N217" i="2"/>
  <c r="K217" i="2"/>
  <c r="P217" i="2" s="1"/>
  <c r="H217" i="2"/>
  <c r="M217" i="2" s="1"/>
  <c r="AD216" i="2"/>
  <c r="N216" i="2"/>
  <c r="K216" i="2"/>
  <c r="H216" i="2"/>
  <c r="M216" i="2" s="1"/>
  <c r="AD215" i="2"/>
  <c r="N215" i="2"/>
  <c r="K215" i="2"/>
  <c r="H215" i="2"/>
  <c r="M215" i="2" s="1"/>
  <c r="AD214" i="2"/>
  <c r="N214" i="2"/>
  <c r="K214" i="2"/>
  <c r="P214" i="2" s="1"/>
  <c r="H214" i="2"/>
  <c r="M214" i="2" s="1"/>
  <c r="AD213" i="2"/>
  <c r="N213" i="2"/>
  <c r="K213" i="2"/>
  <c r="H213" i="2"/>
  <c r="M213" i="2" s="1"/>
  <c r="AD212" i="2"/>
  <c r="N212" i="2"/>
  <c r="K212" i="2"/>
  <c r="P212" i="2" s="1"/>
  <c r="H212" i="2"/>
  <c r="M212" i="2" s="1"/>
  <c r="AD211" i="2"/>
  <c r="N211" i="2"/>
  <c r="K211" i="2"/>
  <c r="H211" i="2"/>
  <c r="M211" i="2" s="1"/>
  <c r="AD210" i="2"/>
  <c r="N210" i="2"/>
  <c r="K210" i="2"/>
  <c r="H210" i="2"/>
  <c r="M210" i="2" s="1"/>
  <c r="AD209" i="2"/>
  <c r="N209" i="2"/>
  <c r="K209" i="2"/>
  <c r="L209" i="2" s="1"/>
  <c r="Q209" i="2" s="1"/>
  <c r="AB209" i="2" s="1"/>
  <c r="H209" i="2"/>
  <c r="M209" i="2" s="1"/>
  <c r="AD208" i="2"/>
  <c r="N208" i="2"/>
  <c r="K208" i="2"/>
  <c r="L208" i="2" s="1"/>
  <c r="Q208" i="2" s="1"/>
  <c r="AB208" i="2" s="1"/>
  <c r="H208" i="2"/>
  <c r="M208" i="2" s="1"/>
  <c r="AD207" i="2"/>
  <c r="N207" i="2"/>
  <c r="K207" i="2"/>
  <c r="L207" i="2" s="1"/>
  <c r="Q207" i="2" s="1"/>
  <c r="AB207" i="2" s="1"/>
  <c r="H207" i="2"/>
  <c r="M207" i="2" s="1"/>
  <c r="AD206" i="2"/>
  <c r="N206" i="2"/>
  <c r="K206" i="2"/>
  <c r="P206" i="2" s="1"/>
  <c r="H206" i="2"/>
  <c r="M206" i="2" s="1"/>
  <c r="AD205" i="2"/>
  <c r="N205" i="2"/>
  <c r="K205" i="2"/>
  <c r="H205" i="2"/>
  <c r="M205" i="2" s="1"/>
  <c r="AD204" i="2"/>
  <c r="N204" i="2"/>
  <c r="K204" i="2"/>
  <c r="P204" i="2" s="1"/>
  <c r="H204" i="2"/>
  <c r="M204" i="2" s="1"/>
  <c r="AD203" i="2"/>
  <c r="N203" i="2"/>
  <c r="K203" i="2"/>
  <c r="P203" i="2" s="1"/>
  <c r="H203" i="2"/>
  <c r="M203" i="2" s="1"/>
  <c r="AD202" i="2"/>
  <c r="N202" i="2"/>
  <c r="K202" i="2"/>
  <c r="P202" i="2" s="1"/>
  <c r="H202" i="2"/>
  <c r="M202" i="2" s="1"/>
  <c r="AD201" i="2"/>
  <c r="N201" i="2"/>
  <c r="K201" i="2"/>
  <c r="P201" i="2" s="1"/>
  <c r="H201" i="2"/>
  <c r="M201" i="2" s="1"/>
  <c r="AD200" i="2"/>
  <c r="N200" i="2"/>
  <c r="K200" i="2"/>
  <c r="H200" i="2"/>
  <c r="M200" i="2" s="1"/>
  <c r="AD199" i="2"/>
  <c r="N199" i="2"/>
  <c r="K199" i="2"/>
  <c r="H199" i="2"/>
  <c r="M199" i="2" s="1"/>
  <c r="AD198" i="2"/>
  <c r="N198" i="2"/>
  <c r="K198" i="2"/>
  <c r="P198" i="2" s="1"/>
  <c r="H198" i="2"/>
  <c r="M198" i="2" s="1"/>
  <c r="AD197" i="2"/>
  <c r="N197" i="2"/>
  <c r="K197" i="2"/>
  <c r="H197" i="2"/>
  <c r="M197" i="2" s="1"/>
  <c r="AD196" i="2"/>
  <c r="N196" i="2"/>
  <c r="K196" i="2"/>
  <c r="P196" i="2" s="1"/>
  <c r="H196" i="2"/>
  <c r="M196" i="2" s="1"/>
  <c r="S195" i="2"/>
  <c r="AD194" i="2"/>
  <c r="N194" i="2"/>
  <c r="K194" i="2"/>
  <c r="P194" i="2" s="1"/>
  <c r="H194" i="2"/>
  <c r="M194" i="2" s="1"/>
  <c r="AD193" i="2"/>
  <c r="N193" i="2"/>
  <c r="K193" i="2"/>
  <c r="P193" i="2" s="1"/>
  <c r="H193" i="2"/>
  <c r="M193" i="2" s="1"/>
  <c r="AD192" i="2"/>
  <c r="N192" i="2"/>
  <c r="K192" i="2"/>
  <c r="L192" i="2" s="1"/>
  <c r="Q192" i="2" s="1"/>
  <c r="AB192" i="2" s="1"/>
  <c r="H192" i="2"/>
  <c r="M192" i="2" s="1"/>
  <c r="AD191" i="2"/>
  <c r="N191" i="2"/>
  <c r="K191" i="2"/>
  <c r="L191" i="2" s="1"/>
  <c r="Q191" i="2" s="1"/>
  <c r="AB191" i="2" s="1"/>
  <c r="H191" i="2"/>
  <c r="M191" i="2" s="1"/>
  <c r="AD190" i="2"/>
  <c r="N190" i="2"/>
  <c r="K190" i="2"/>
  <c r="L190" i="2" s="1"/>
  <c r="Q190" i="2" s="1"/>
  <c r="AB190" i="2" s="1"/>
  <c r="H190" i="2"/>
  <c r="M190" i="2" s="1"/>
  <c r="AD189" i="2"/>
  <c r="N189" i="2"/>
  <c r="K189" i="2"/>
  <c r="P189" i="2" s="1"/>
  <c r="H189" i="2"/>
  <c r="M189" i="2" s="1"/>
  <c r="AD188" i="2"/>
  <c r="N188" i="2"/>
  <c r="K188" i="2"/>
  <c r="P188" i="2" s="1"/>
  <c r="H188" i="2"/>
  <c r="M188" i="2" s="1"/>
  <c r="AD187" i="2"/>
  <c r="N187" i="2"/>
  <c r="K187" i="2"/>
  <c r="P187" i="2" s="1"/>
  <c r="H187" i="2"/>
  <c r="M187" i="2" s="1"/>
  <c r="AD186" i="2"/>
  <c r="N186" i="2"/>
  <c r="K186" i="2"/>
  <c r="L186" i="2" s="1"/>
  <c r="Q186" i="2" s="1"/>
  <c r="AB186" i="2" s="1"/>
  <c r="H186" i="2"/>
  <c r="M186" i="2" s="1"/>
  <c r="AD185" i="2"/>
  <c r="N185" i="2"/>
  <c r="K185" i="2"/>
  <c r="P185" i="2" s="1"/>
  <c r="H185" i="2"/>
  <c r="M185" i="2" s="1"/>
  <c r="AD184" i="2"/>
  <c r="N184" i="2"/>
  <c r="K184" i="2"/>
  <c r="P184" i="2" s="1"/>
  <c r="H184" i="2"/>
  <c r="M184" i="2" s="1"/>
  <c r="AD183" i="2"/>
  <c r="N183" i="2"/>
  <c r="K183" i="2"/>
  <c r="P183" i="2" s="1"/>
  <c r="H183" i="2"/>
  <c r="M183" i="2" s="1"/>
  <c r="AD182" i="2"/>
  <c r="N182" i="2"/>
  <c r="K182" i="2"/>
  <c r="L182" i="2" s="1"/>
  <c r="Q182" i="2" s="1"/>
  <c r="AB182" i="2" s="1"/>
  <c r="H182" i="2"/>
  <c r="M182" i="2" s="1"/>
  <c r="AD181" i="2"/>
  <c r="N181" i="2"/>
  <c r="K181" i="2"/>
  <c r="P181" i="2" s="1"/>
  <c r="H181" i="2"/>
  <c r="M181" i="2" s="1"/>
  <c r="AD180" i="2"/>
  <c r="N180" i="2"/>
  <c r="K180" i="2"/>
  <c r="L180" i="2" s="1"/>
  <c r="Q180" i="2" s="1"/>
  <c r="AB180" i="2" s="1"/>
  <c r="H180" i="2"/>
  <c r="M180" i="2" s="1"/>
  <c r="AD179" i="2"/>
  <c r="N179" i="2"/>
  <c r="K179" i="2"/>
  <c r="L179" i="2" s="1"/>
  <c r="Q179" i="2" s="1"/>
  <c r="AB179" i="2" s="1"/>
  <c r="H179" i="2"/>
  <c r="M179" i="2" s="1"/>
  <c r="AD178" i="2"/>
  <c r="N178" i="2"/>
  <c r="K178" i="2"/>
  <c r="P178" i="2" s="1"/>
  <c r="H178" i="2"/>
  <c r="M178" i="2" s="1"/>
  <c r="AD177" i="2"/>
  <c r="N177" i="2"/>
  <c r="K177" i="2"/>
  <c r="L177" i="2" s="1"/>
  <c r="Q177" i="2" s="1"/>
  <c r="AB177" i="2" s="1"/>
  <c r="H177" i="2"/>
  <c r="M177" i="2" s="1"/>
  <c r="AD176" i="2"/>
  <c r="N176" i="2"/>
  <c r="K176" i="2"/>
  <c r="L176" i="2" s="1"/>
  <c r="Q176" i="2" s="1"/>
  <c r="AB176" i="2" s="1"/>
  <c r="H176" i="2"/>
  <c r="M176" i="2" s="1"/>
  <c r="AD175" i="2"/>
  <c r="N175" i="2"/>
  <c r="K175" i="2"/>
  <c r="P175" i="2" s="1"/>
  <c r="H175" i="2"/>
  <c r="M175" i="2" s="1"/>
  <c r="AD174" i="2"/>
  <c r="N174" i="2"/>
  <c r="K174" i="2"/>
  <c r="L174" i="2" s="1"/>
  <c r="Q174" i="2" s="1"/>
  <c r="AB174" i="2" s="1"/>
  <c r="H174" i="2"/>
  <c r="M174" i="2" s="1"/>
  <c r="AD173" i="2"/>
  <c r="N173" i="2"/>
  <c r="K173" i="2"/>
  <c r="P173" i="2" s="1"/>
  <c r="H173" i="2"/>
  <c r="M173" i="2" s="1"/>
  <c r="AD172" i="2"/>
  <c r="N172" i="2"/>
  <c r="K172" i="2"/>
  <c r="L172" i="2" s="1"/>
  <c r="Q172" i="2" s="1"/>
  <c r="AB172" i="2" s="1"/>
  <c r="H172" i="2"/>
  <c r="M172" i="2" s="1"/>
  <c r="AD171" i="2"/>
  <c r="N171" i="2"/>
  <c r="K171" i="2"/>
  <c r="P171" i="2" s="1"/>
  <c r="H171" i="2"/>
  <c r="M171" i="2" s="1"/>
  <c r="AD170" i="2"/>
  <c r="N170" i="2"/>
  <c r="K170" i="2"/>
  <c r="L170" i="2" s="1"/>
  <c r="Q170" i="2" s="1"/>
  <c r="AB170" i="2" s="1"/>
  <c r="H170" i="2"/>
  <c r="M170" i="2" s="1"/>
  <c r="AD169" i="2"/>
  <c r="N169" i="2"/>
  <c r="K169" i="2"/>
  <c r="L169" i="2" s="1"/>
  <c r="Q169" i="2" s="1"/>
  <c r="AB169" i="2" s="1"/>
  <c r="H169" i="2"/>
  <c r="M169" i="2" s="1"/>
  <c r="AD168" i="2"/>
  <c r="N168" i="2"/>
  <c r="K168" i="2"/>
  <c r="P168" i="2" s="1"/>
  <c r="H168" i="2"/>
  <c r="M168" i="2" s="1"/>
  <c r="AD167" i="2"/>
  <c r="N167" i="2"/>
  <c r="K167" i="2"/>
  <c r="P167" i="2" s="1"/>
  <c r="H167" i="2"/>
  <c r="M167" i="2" s="1"/>
  <c r="AD166" i="2"/>
  <c r="N166" i="2"/>
  <c r="K166" i="2"/>
  <c r="H166" i="2"/>
  <c r="M166" i="2" s="1"/>
  <c r="AD165" i="2"/>
  <c r="N165" i="2"/>
  <c r="K165" i="2"/>
  <c r="P165" i="2" s="1"/>
  <c r="H165" i="2"/>
  <c r="M165" i="2" s="1"/>
  <c r="S164" i="2"/>
  <c r="AD163" i="2"/>
  <c r="N163" i="2"/>
  <c r="K163" i="2"/>
  <c r="L163" i="2" s="1"/>
  <c r="Q163" i="2" s="1"/>
  <c r="AB163" i="2" s="1"/>
  <c r="H163" i="2"/>
  <c r="M163" i="2" s="1"/>
  <c r="AD162" i="2"/>
  <c r="N162" i="2"/>
  <c r="K162" i="2"/>
  <c r="L162" i="2" s="1"/>
  <c r="Q162" i="2" s="1"/>
  <c r="AB162" i="2" s="1"/>
  <c r="H162" i="2"/>
  <c r="M162" i="2" s="1"/>
  <c r="AD161" i="2"/>
  <c r="N161" i="2"/>
  <c r="K161" i="2"/>
  <c r="L161" i="2" s="1"/>
  <c r="Q161" i="2" s="1"/>
  <c r="AB161" i="2" s="1"/>
  <c r="H161" i="2"/>
  <c r="M161" i="2" s="1"/>
  <c r="AD160" i="2"/>
  <c r="N160" i="2"/>
  <c r="K160" i="2"/>
  <c r="P160" i="2" s="1"/>
  <c r="H160" i="2"/>
  <c r="M160" i="2" s="1"/>
  <c r="AD159" i="2"/>
  <c r="N159" i="2"/>
  <c r="K159" i="2"/>
  <c r="P159" i="2" s="1"/>
  <c r="H159" i="2"/>
  <c r="M159" i="2" s="1"/>
  <c r="AD158" i="2"/>
  <c r="N158" i="2"/>
  <c r="K158" i="2"/>
  <c r="P158" i="2" s="1"/>
  <c r="H158" i="2"/>
  <c r="M158" i="2" s="1"/>
  <c r="AD157" i="2"/>
  <c r="N157" i="2"/>
  <c r="K157" i="2"/>
  <c r="L157" i="2" s="1"/>
  <c r="Q157" i="2" s="1"/>
  <c r="AB157" i="2" s="1"/>
  <c r="H157" i="2"/>
  <c r="M157" i="2" s="1"/>
  <c r="AD156" i="2"/>
  <c r="N156" i="2"/>
  <c r="K156" i="2"/>
  <c r="P156" i="2" s="1"/>
  <c r="H156" i="2"/>
  <c r="M156" i="2" s="1"/>
  <c r="AD155" i="2"/>
  <c r="N155" i="2"/>
  <c r="K155" i="2"/>
  <c r="P155" i="2" s="1"/>
  <c r="H155" i="2"/>
  <c r="M155" i="2" s="1"/>
  <c r="AD154" i="2"/>
  <c r="N154" i="2"/>
  <c r="K154" i="2"/>
  <c r="P154" i="2" s="1"/>
  <c r="H154" i="2"/>
  <c r="M154" i="2" s="1"/>
  <c r="AD153" i="2"/>
  <c r="N153" i="2"/>
  <c r="K153" i="2"/>
  <c r="H153" i="2"/>
  <c r="M153" i="2" s="1"/>
  <c r="AD152" i="2"/>
  <c r="N152" i="2"/>
  <c r="K152" i="2"/>
  <c r="P152" i="2" s="1"/>
  <c r="H152" i="2"/>
  <c r="M152" i="2" s="1"/>
  <c r="AD151" i="2"/>
  <c r="N151" i="2"/>
  <c r="K151" i="2"/>
  <c r="P151" i="2" s="1"/>
  <c r="H151" i="2"/>
  <c r="M151" i="2" s="1"/>
  <c r="AD150" i="2"/>
  <c r="N150" i="2"/>
  <c r="K150" i="2"/>
  <c r="L150" i="2" s="1"/>
  <c r="Q150" i="2" s="1"/>
  <c r="AB150" i="2" s="1"/>
  <c r="H150" i="2"/>
  <c r="M150" i="2" s="1"/>
  <c r="AD149" i="2"/>
  <c r="N149" i="2"/>
  <c r="K149" i="2"/>
  <c r="H149" i="2"/>
  <c r="M149" i="2" s="1"/>
  <c r="AD148" i="2"/>
  <c r="N148" i="2"/>
  <c r="K148" i="2"/>
  <c r="L148" i="2" s="1"/>
  <c r="Q148" i="2" s="1"/>
  <c r="AB148" i="2" s="1"/>
  <c r="H148" i="2"/>
  <c r="M148" i="2" s="1"/>
  <c r="AD147" i="2"/>
  <c r="N147" i="2"/>
  <c r="K147" i="2"/>
  <c r="H147" i="2"/>
  <c r="M147" i="2" s="1"/>
  <c r="AD146" i="2"/>
  <c r="N146" i="2"/>
  <c r="K146" i="2"/>
  <c r="L146" i="2" s="1"/>
  <c r="Q146" i="2" s="1"/>
  <c r="AB146" i="2" s="1"/>
  <c r="H146" i="2"/>
  <c r="M146" i="2" s="1"/>
  <c r="AD145" i="2"/>
  <c r="N145" i="2"/>
  <c r="K145" i="2"/>
  <c r="P145" i="2" s="1"/>
  <c r="H145" i="2"/>
  <c r="M145" i="2" s="1"/>
  <c r="AD144" i="2"/>
  <c r="N144" i="2"/>
  <c r="K144" i="2"/>
  <c r="L144" i="2" s="1"/>
  <c r="Q144" i="2" s="1"/>
  <c r="AB144" i="2" s="1"/>
  <c r="H144" i="2"/>
  <c r="M144" i="2" s="1"/>
  <c r="AD143" i="2"/>
  <c r="N143" i="2"/>
  <c r="K143" i="2"/>
  <c r="P143" i="2" s="1"/>
  <c r="H143" i="2"/>
  <c r="M143" i="2" s="1"/>
  <c r="AD142" i="2"/>
  <c r="N142" i="2"/>
  <c r="K142" i="2"/>
  <c r="P142" i="2" s="1"/>
  <c r="H142" i="2"/>
  <c r="M142" i="2" s="1"/>
  <c r="AD141" i="2"/>
  <c r="N141" i="2"/>
  <c r="K141" i="2"/>
  <c r="L141" i="2" s="1"/>
  <c r="Q141" i="2" s="1"/>
  <c r="AB141" i="2" s="1"/>
  <c r="H141" i="2"/>
  <c r="M141" i="2" s="1"/>
  <c r="AD140" i="2"/>
  <c r="N140" i="2"/>
  <c r="K140" i="2"/>
  <c r="P140" i="2" s="1"/>
  <c r="H140" i="2"/>
  <c r="M140" i="2" s="1"/>
  <c r="AD139" i="2"/>
  <c r="N139" i="2"/>
  <c r="K139" i="2"/>
  <c r="P139" i="2" s="1"/>
  <c r="H139" i="2"/>
  <c r="M139" i="2" s="1"/>
  <c r="AD138" i="2"/>
  <c r="N138" i="2"/>
  <c r="K138" i="2"/>
  <c r="P138" i="2" s="1"/>
  <c r="H138" i="2"/>
  <c r="M138" i="2" s="1"/>
  <c r="AD137" i="2"/>
  <c r="N137" i="2"/>
  <c r="K137" i="2"/>
  <c r="L137" i="2" s="1"/>
  <c r="Q137" i="2" s="1"/>
  <c r="AB137" i="2" s="1"/>
  <c r="H137" i="2"/>
  <c r="M137" i="2" s="1"/>
  <c r="AD136" i="2"/>
  <c r="N136" i="2"/>
  <c r="K136" i="2"/>
  <c r="P136" i="2" s="1"/>
  <c r="H136" i="2"/>
  <c r="M136" i="2" s="1"/>
  <c r="AD135" i="2"/>
  <c r="N135" i="2"/>
  <c r="K135" i="2"/>
  <c r="L135" i="2" s="1"/>
  <c r="Q135" i="2" s="1"/>
  <c r="AB135" i="2" s="1"/>
  <c r="H135" i="2"/>
  <c r="M135" i="2" s="1"/>
  <c r="AD134" i="2"/>
  <c r="N134" i="2"/>
  <c r="K134" i="2"/>
  <c r="L134" i="2" s="1"/>
  <c r="Q134" i="2" s="1"/>
  <c r="AB134" i="2" s="1"/>
  <c r="H134" i="2"/>
  <c r="M134" i="2" s="1"/>
  <c r="AD133" i="2"/>
  <c r="N133" i="2"/>
  <c r="K133" i="2"/>
  <c r="P133" i="2" s="1"/>
  <c r="H133" i="2"/>
  <c r="M133" i="2" s="1"/>
  <c r="S132" i="2"/>
  <c r="AD131" i="2"/>
  <c r="N131" i="2"/>
  <c r="K131" i="2"/>
  <c r="L131" i="2" s="1"/>
  <c r="Q131" i="2" s="1"/>
  <c r="AB131" i="2" s="1"/>
  <c r="H131" i="2"/>
  <c r="M131" i="2" s="1"/>
  <c r="AD130" i="2"/>
  <c r="N130" i="2"/>
  <c r="K130" i="2"/>
  <c r="P130" i="2" s="1"/>
  <c r="H130" i="2"/>
  <c r="M130" i="2" s="1"/>
  <c r="AD129" i="2"/>
  <c r="N129" i="2"/>
  <c r="K129" i="2"/>
  <c r="P129" i="2" s="1"/>
  <c r="H129" i="2"/>
  <c r="M129" i="2" s="1"/>
  <c r="AD128" i="2"/>
  <c r="N128" i="2"/>
  <c r="K128" i="2"/>
  <c r="L128" i="2" s="1"/>
  <c r="Q128" i="2" s="1"/>
  <c r="AB128" i="2" s="1"/>
  <c r="H128" i="2"/>
  <c r="M128" i="2" s="1"/>
  <c r="AD127" i="2"/>
  <c r="N127" i="2"/>
  <c r="K127" i="2"/>
  <c r="L127" i="2" s="1"/>
  <c r="Q127" i="2" s="1"/>
  <c r="AB127" i="2" s="1"/>
  <c r="H127" i="2"/>
  <c r="M127" i="2" s="1"/>
  <c r="AD126" i="2"/>
  <c r="N126" i="2"/>
  <c r="K126" i="2"/>
  <c r="P126" i="2" s="1"/>
  <c r="H126" i="2"/>
  <c r="M126" i="2" s="1"/>
  <c r="AD125" i="2"/>
  <c r="N125" i="2"/>
  <c r="K125" i="2"/>
  <c r="L125" i="2" s="1"/>
  <c r="Q125" i="2" s="1"/>
  <c r="AB125" i="2" s="1"/>
  <c r="H125" i="2"/>
  <c r="M125" i="2" s="1"/>
  <c r="AD124" i="2"/>
  <c r="N124" i="2"/>
  <c r="K124" i="2"/>
  <c r="P124" i="2" s="1"/>
  <c r="H124" i="2"/>
  <c r="M124" i="2" s="1"/>
  <c r="AD123" i="2"/>
  <c r="N123" i="2"/>
  <c r="K123" i="2"/>
  <c r="L123" i="2" s="1"/>
  <c r="Q123" i="2" s="1"/>
  <c r="AB123" i="2" s="1"/>
  <c r="H123" i="2"/>
  <c r="M123" i="2" s="1"/>
  <c r="AD122" i="2"/>
  <c r="N122" i="2"/>
  <c r="K122" i="2"/>
  <c r="P122" i="2" s="1"/>
  <c r="H122" i="2"/>
  <c r="M122" i="2" s="1"/>
  <c r="AD121" i="2"/>
  <c r="N121" i="2"/>
  <c r="K121" i="2"/>
  <c r="P121" i="2" s="1"/>
  <c r="H121" i="2"/>
  <c r="M121" i="2" s="1"/>
  <c r="AD120" i="2"/>
  <c r="N120" i="2"/>
  <c r="K120" i="2"/>
  <c r="P120" i="2" s="1"/>
  <c r="H120" i="2"/>
  <c r="M120" i="2" s="1"/>
  <c r="AD119" i="2"/>
  <c r="N119" i="2"/>
  <c r="K119" i="2"/>
  <c r="L119" i="2" s="1"/>
  <c r="Q119" i="2" s="1"/>
  <c r="AB119" i="2" s="1"/>
  <c r="H119" i="2"/>
  <c r="M119" i="2" s="1"/>
  <c r="AD118" i="2"/>
  <c r="N118" i="2"/>
  <c r="K118" i="2"/>
  <c r="L118" i="2" s="1"/>
  <c r="Q118" i="2" s="1"/>
  <c r="AB118" i="2" s="1"/>
  <c r="H118" i="2"/>
  <c r="M118" i="2" s="1"/>
  <c r="AD117" i="2"/>
  <c r="N117" i="2"/>
  <c r="K117" i="2"/>
  <c r="P117" i="2" s="1"/>
  <c r="H117" i="2"/>
  <c r="M117" i="2" s="1"/>
  <c r="AD116" i="2"/>
  <c r="N116" i="2"/>
  <c r="K116" i="2"/>
  <c r="P116" i="2" s="1"/>
  <c r="H116" i="2"/>
  <c r="M116" i="2" s="1"/>
  <c r="AD115" i="2"/>
  <c r="N115" i="2"/>
  <c r="K115" i="2"/>
  <c r="L115" i="2" s="1"/>
  <c r="Q115" i="2" s="1"/>
  <c r="AB115" i="2" s="1"/>
  <c r="H115" i="2"/>
  <c r="M115" i="2" s="1"/>
  <c r="AD114" i="2"/>
  <c r="N114" i="2"/>
  <c r="K114" i="2"/>
  <c r="P114" i="2" s="1"/>
  <c r="H114" i="2"/>
  <c r="M114" i="2" s="1"/>
  <c r="AD113" i="2"/>
  <c r="N113" i="2"/>
  <c r="K113" i="2"/>
  <c r="P113" i="2" s="1"/>
  <c r="H113" i="2"/>
  <c r="M113" i="2" s="1"/>
  <c r="AD112" i="2"/>
  <c r="N112" i="2"/>
  <c r="K112" i="2"/>
  <c r="L112" i="2" s="1"/>
  <c r="Q112" i="2" s="1"/>
  <c r="AB112" i="2" s="1"/>
  <c r="H112" i="2"/>
  <c r="M112" i="2" s="1"/>
  <c r="AD111" i="2"/>
  <c r="N111" i="2"/>
  <c r="K111" i="2"/>
  <c r="L111" i="2" s="1"/>
  <c r="Q111" i="2" s="1"/>
  <c r="AB111" i="2" s="1"/>
  <c r="H111" i="2"/>
  <c r="M111" i="2" s="1"/>
  <c r="AD110" i="2"/>
  <c r="N110" i="2"/>
  <c r="K110" i="2"/>
  <c r="P110" i="2" s="1"/>
  <c r="H110" i="2"/>
  <c r="M110" i="2" s="1"/>
  <c r="AD109" i="2"/>
  <c r="N109" i="2"/>
  <c r="K109" i="2"/>
  <c r="L109" i="2" s="1"/>
  <c r="Q109" i="2" s="1"/>
  <c r="AB109" i="2" s="1"/>
  <c r="H109" i="2"/>
  <c r="M109" i="2" s="1"/>
  <c r="AD108" i="2"/>
  <c r="N108" i="2"/>
  <c r="K108" i="2"/>
  <c r="P108" i="2" s="1"/>
  <c r="H108" i="2"/>
  <c r="M108" i="2" s="1"/>
  <c r="AD107" i="2"/>
  <c r="N107" i="2"/>
  <c r="K107" i="2"/>
  <c r="L107" i="2" s="1"/>
  <c r="Q107" i="2" s="1"/>
  <c r="AB107" i="2" s="1"/>
  <c r="H107" i="2"/>
  <c r="M107" i="2" s="1"/>
  <c r="AD106" i="2"/>
  <c r="N106" i="2"/>
  <c r="K106" i="2"/>
  <c r="P106" i="2" s="1"/>
  <c r="H106" i="2"/>
  <c r="M106" i="2" s="1"/>
  <c r="AD105" i="2"/>
  <c r="N105" i="2"/>
  <c r="K105" i="2"/>
  <c r="L105" i="2" s="1"/>
  <c r="Q105" i="2" s="1"/>
  <c r="AB105" i="2" s="1"/>
  <c r="H105" i="2"/>
  <c r="M105" i="2" s="1"/>
  <c r="AD104" i="2"/>
  <c r="N104" i="2"/>
  <c r="K104" i="2"/>
  <c r="P104" i="2" s="1"/>
  <c r="H104" i="2"/>
  <c r="M104" i="2" s="1"/>
  <c r="AD103" i="2"/>
  <c r="N103" i="2"/>
  <c r="K103" i="2"/>
  <c r="P103" i="2" s="1"/>
  <c r="H103" i="2"/>
  <c r="M103" i="2" s="1"/>
  <c r="S102" i="2"/>
  <c r="AD101" i="2"/>
  <c r="N101" i="2"/>
  <c r="K101" i="2"/>
  <c r="P101" i="2" s="1"/>
  <c r="H101" i="2"/>
  <c r="M101" i="2" s="1"/>
  <c r="AD100" i="2"/>
  <c r="N100" i="2"/>
  <c r="K100" i="2"/>
  <c r="P100" i="2" s="1"/>
  <c r="H100" i="2"/>
  <c r="M100" i="2" s="1"/>
  <c r="AD99" i="2"/>
  <c r="N99" i="2"/>
  <c r="K99" i="2"/>
  <c r="L99" i="2" s="1"/>
  <c r="Q99" i="2" s="1"/>
  <c r="AB99" i="2" s="1"/>
  <c r="H99" i="2"/>
  <c r="M99" i="2" s="1"/>
  <c r="AD98" i="2"/>
  <c r="N98" i="2"/>
  <c r="K98" i="2"/>
  <c r="P98" i="2" s="1"/>
  <c r="H98" i="2"/>
  <c r="M98" i="2" s="1"/>
  <c r="AD97" i="2"/>
  <c r="N97" i="2"/>
  <c r="K97" i="2"/>
  <c r="P97" i="2" s="1"/>
  <c r="H97" i="2"/>
  <c r="M97" i="2" s="1"/>
  <c r="AD96" i="2"/>
  <c r="N96" i="2"/>
  <c r="K96" i="2"/>
  <c r="L96" i="2" s="1"/>
  <c r="Q96" i="2" s="1"/>
  <c r="AB96" i="2" s="1"/>
  <c r="H96" i="2"/>
  <c r="M96" i="2" s="1"/>
  <c r="AD95" i="2"/>
  <c r="N95" i="2"/>
  <c r="K95" i="2"/>
  <c r="P95" i="2" s="1"/>
  <c r="H95" i="2"/>
  <c r="M95" i="2" s="1"/>
  <c r="AD94" i="2"/>
  <c r="N94" i="2"/>
  <c r="K94" i="2"/>
  <c r="H94" i="2"/>
  <c r="M94" i="2" s="1"/>
  <c r="AD93" i="2"/>
  <c r="N93" i="2"/>
  <c r="K93" i="2"/>
  <c r="L93" i="2" s="1"/>
  <c r="Q93" i="2" s="1"/>
  <c r="AB93" i="2" s="1"/>
  <c r="H93" i="2"/>
  <c r="M93" i="2" s="1"/>
  <c r="AD92" i="2"/>
  <c r="N92" i="2"/>
  <c r="K92" i="2"/>
  <c r="P92" i="2" s="1"/>
  <c r="H92" i="2"/>
  <c r="M92" i="2" s="1"/>
  <c r="AD91" i="2"/>
  <c r="N91" i="2"/>
  <c r="K91" i="2"/>
  <c r="P91" i="2" s="1"/>
  <c r="H91" i="2"/>
  <c r="M91" i="2" s="1"/>
  <c r="AD90" i="2"/>
  <c r="N90" i="2"/>
  <c r="K90" i="2"/>
  <c r="L90" i="2" s="1"/>
  <c r="Q90" i="2" s="1"/>
  <c r="AB90" i="2" s="1"/>
  <c r="H90" i="2"/>
  <c r="M90" i="2" s="1"/>
  <c r="AD89" i="2"/>
  <c r="N89" i="2"/>
  <c r="K89" i="2"/>
  <c r="L89" i="2" s="1"/>
  <c r="Q89" i="2" s="1"/>
  <c r="AB89" i="2" s="1"/>
  <c r="H89" i="2"/>
  <c r="M89" i="2" s="1"/>
  <c r="AD88" i="2"/>
  <c r="N88" i="2"/>
  <c r="K88" i="2"/>
  <c r="L88" i="2" s="1"/>
  <c r="Q88" i="2" s="1"/>
  <c r="AB88" i="2" s="1"/>
  <c r="H88" i="2"/>
  <c r="M88" i="2" s="1"/>
  <c r="AD87" i="2"/>
  <c r="N87" i="2"/>
  <c r="K87" i="2"/>
  <c r="P87" i="2" s="1"/>
  <c r="H87" i="2"/>
  <c r="M87" i="2" s="1"/>
  <c r="AD86" i="2"/>
  <c r="N86" i="2"/>
  <c r="K86" i="2"/>
  <c r="L86" i="2" s="1"/>
  <c r="Q86" i="2" s="1"/>
  <c r="AB86" i="2" s="1"/>
  <c r="H86" i="2"/>
  <c r="M86" i="2" s="1"/>
  <c r="AD85" i="2"/>
  <c r="N85" i="2"/>
  <c r="K85" i="2"/>
  <c r="P85" i="2" s="1"/>
  <c r="H85" i="2"/>
  <c r="M85" i="2" s="1"/>
  <c r="AD84" i="2"/>
  <c r="N84" i="2"/>
  <c r="K84" i="2"/>
  <c r="L84" i="2" s="1"/>
  <c r="Q84" i="2" s="1"/>
  <c r="AB84" i="2" s="1"/>
  <c r="H84" i="2"/>
  <c r="M84" i="2" s="1"/>
  <c r="AD83" i="2"/>
  <c r="N83" i="2"/>
  <c r="K83" i="2"/>
  <c r="L83" i="2" s="1"/>
  <c r="Q83" i="2" s="1"/>
  <c r="AB83" i="2" s="1"/>
  <c r="H83" i="2"/>
  <c r="M83" i="2" s="1"/>
  <c r="AD82" i="2"/>
  <c r="N82" i="2"/>
  <c r="K82" i="2"/>
  <c r="P82" i="2" s="1"/>
  <c r="H82" i="2"/>
  <c r="M82" i="2" s="1"/>
  <c r="AD81" i="2"/>
  <c r="N81" i="2"/>
  <c r="K81" i="2"/>
  <c r="P81" i="2" s="1"/>
  <c r="H81" i="2"/>
  <c r="M81" i="2" s="1"/>
  <c r="AD80" i="2"/>
  <c r="N80" i="2"/>
  <c r="K80" i="2"/>
  <c r="L80" i="2" s="1"/>
  <c r="Q80" i="2" s="1"/>
  <c r="AB80" i="2" s="1"/>
  <c r="H80" i="2"/>
  <c r="M80" i="2" s="1"/>
  <c r="AD79" i="2"/>
  <c r="N79" i="2"/>
  <c r="K79" i="2"/>
  <c r="L79" i="2" s="1"/>
  <c r="Q79" i="2" s="1"/>
  <c r="AB79" i="2" s="1"/>
  <c r="H79" i="2"/>
  <c r="M79" i="2" s="1"/>
  <c r="AD78" i="2"/>
  <c r="N78" i="2"/>
  <c r="K78" i="2"/>
  <c r="H78" i="2"/>
  <c r="M78" i="2" s="1"/>
  <c r="AD77" i="2"/>
  <c r="N77" i="2"/>
  <c r="K77" i="2"/>
  <c r="L77" i="2" s="1"/>
  <c r="Q77" i="2" s="1"/>
  <c r="AB77" i="2" s="1"/>
  <c r="H77" i="2"/>
  <c r="M77" i="2" s="1"/>
  <c r="AD76" i="2"/>
  <c r="N76" i="2"/>
  <c r="K76" i="2"/>
  <c r="P76" i="2" s="1"/>
  <c r="H76" i="2"/>
  <c r="M76" i="2" s="1"/>
  <c r="AD75" i="2"/>
  <c r="N75" i="2"/>
  <c r="K75" i="2"/>
  <c r="P75" i="2" s="1"/>
  <c r="H75" i="2"/>
  <c r="M75" i="2" s="1"/>
  <c r="S74" i="2"/>
  <c r="AD73" i="2"/>
  <c r="N73" i="2"/>
  <c r="K73" i="2"/>
  <c r="L73" i="2" s="1"/>
  <c r="Q73" i="2" s="1"/>
  <c r="AB73" i="2" s="1"/>
  <c r="H73" i="2"/>
  <c r="M73" i="2" s="1"/>
  <c r="AD72" i="2"/>
  <c r="N72" i="2"/>
  <c r="K72" i="2"/>
  <c r="P72" i="2" s="1"/>
  <c r="H72" i="2"/>
  <c r="M72" i="2" s="1"/>
  <c r="AD71" i="2"/>
  <c r="N71" i="2"/>
  <c r="K71" i="2"/>
  <c r="L71" i="2" s="1"/>
  <c r="Q71" i="2" s="1"/>
  <c r="AB71" i="2" s="1"/>
  <c r="H71" i="2"/>
  <c r="M71" i="2" s="1"/>
  <c r="AD70" i="2"/>
  <c r="N70" i="2"/>
  <c r="K70" i="2"/>
  <c r="L70" i="2" s="1"/>
  <c r="Q70" i="2" s="1"/>
  <c r="AB70" i="2" s="1"/>
  <c r="H70" i="2"/>
  <c r="M70" i="2" s="1"/>
  <c r="AD69" i="2"/>
  <c r="N69" i="2"/>
  <c r="K69" i="2"/>
  <c r="P69" i="2" s="1"/>
  <c r="H69" i="2"/>
  <c r="M69" i="2" s="1"/>
  <c r="AD68" i="2"/>
  <c r="N68" i="2"/>
  <c r="K68" i="2"/>
  <c r="P68" i="2" s="1"/>
  <c r="H68" i="2"/>
  <c r="M68" i="2" s="1"/>
  <c r="AD67" i="2"/>
  <c r="N67" i="2"/>
  <c r="K67" i="2"/>
  <c r="L67" i="2" s="1"/>
  <c r="Q67" i="2" s="1"/>
  <c r="AB67" i="2" s="1"/>
  <c r="H67" i="2"/>
  <c r="M67" i="2" s="1"/>
  <c r="AD66" i="2"/>
  <c r="N66" i="2"/>
  <c r="K66" i="2"/>
  <c r="L66" i="2" s="1"/>
  <c r="Q66" i="2" s="1"/>
  <c r="AB66" i="2" s="1"/>
  <c r="H66" i="2"/>
  <c r="M66" i="2" s="1"/>
  <c r="AD65" i="2"/>
  <c r="N65" i="2"/>
  <c r="K65" i="2"/>
  <c r="H65" i="2"/>
  <c r="M65" i="2" s="1"/>
  <c r="AD64" i="2"/>
  <c r="N64" i="2"/>
  <c r="K64" i="2"/>
  <c r="P64" i="2" s="1"/>
  <c r="H64" i="2"/>
  <c r="M64" i="2" s="1"/>
  <c r="AD63" i="2"/>
  <c r="N63" i="2"/>
  <c r="K63" i="2"/>
  <c r="P63" i="2" s="1"/>
  <c r="H63" i="2"/>
  <c r="M63" i="2" s="1"/>
  <c r="AD62" i="2"/>
  <c r="N62" i="2"/>
  <c r="K62" i="2"/>
  <c r="P62" i="2" s="1"/>
  <c r="H62" i="2"/>
  <c r="M62" i="2" s="1"/>
  <c r="AD61" i="2"/>
  <c r="N61" i="2"/>
  <c r="K61" i="2"/>
  <c r="L61" i="2" s="1"/>
  <c r="Q61" i="2" s="1"/>
  <c r="AB61" i="2" s="1"/>
  <c r="H61" i="2"/>
  <c r="M61" i="2" s="1"/>
  <c r="AD60" i="2"/>
  <c r="N60" i="2"/>
  <c r="K60" i="2"/>
  <c r="L60" i="2" s="1"/>
  <c r="Q60" i="2" s="1"/>
  <c r="AB60" i="2" s="1"/>
  <c r="H60" i="2"/>
  <c r="M60" i="2" s="1"/>
  <c r="AD59" i="2"/>
  <c r="N59" i="2"/>
  <c r="K59" i="2"/>
  <c r="P59" i="2" s="1"/>
  <c r="H59" i="2"/>
  <c r="M59" i="2" s="1"/>
  <c r="AD58" i="2"/>
  <c r="N58" i="2"/>
  <c r="K58" i="2"/>
  <c r="P58" i="2" s="1"/>
  <c r="H58" i="2"/>
  <c r="M58" i="2" s="1"/>
  <c r="AD57" i="2"/>
  <c r="N57" i="2"/>
  <c r="K57" i="2"/>
  <c r="L57" i="2" s="1"/>
  <c r="Q57" i="2" s="1"/>
  <c r="AB57" i="2" s="1"/>
  <c r="H57" i="2"/>
  <c r="M57" i="2" s="1"/>
  <c r="AD56" i="2"/>
  <c r="N56" i="2"/>
  <c r="K56" i="2"/>
  <c r="P56" i="2" s="1"/>
  <c r="H56" i="2"/>
  <c r="M56" i="2" s="1"/>
  <c r="AD55" i="2"/>
  <c r="N55" i="2"/>
  <c r="K55" i="2"/>
  <c r="L55" i="2" s="1"/>
  <c r="Q55" i="2" s="1"/>
  <c r="AB55" i="2" s="1"/>
  <c r="H55" i="2"/>
  <c r="M55" i="2" s="1"/>
  <c r="AD54" i="2"/>
  <c r="N54" i="2"/>
  <c r="K54" i="2"/>
  <c r="P54" i="2" s="1"/>
  <c r="H54" i="2"/>
  <c r="M54" i="2" s="1"/>
  <c r="AD53" i="2"/>
  <c r="N53" i="2"/>
  <c r="K53" i="2"/>
  <c r="L53" i="2" s="1"/>
  <c r="Q53" i="2" s="1"/>
  <c r="AB53" i="2" s="1"/>
  <c r="H53" i="2"/>
  <c r="M53" i="2" s="1"/>
  <c r="AD52" i="2"/>
  <c r="N52" i="2"/>
  <c r="K52" i="2"/>
  <c r="P52" i="2" s="1"/>
  <c r="H52" i="2"/>
  <c r="M52" i="2" s="1"/>
  <c r="AD51" i="2"/>
  <c r="N51" i="2"/>
  <c r="K51" i="2"/>
  <c r="L51" i="2" s="1"/>
  <c r="Q51" i="2" s="1"/>
  <c r="AB51" i="2" s="1"/>
  <c r="H51" i="2"/>
  <c r="M51" i="2" s="1"/>
  <c r="AD50" i="2"/>
  <c r="N50" i="2"/>
  <c r="K50" i="2"/>
  <c r="P50" i="2" s="1"/>
  <c r="H50" i="2"/>
  <c r="M50" i="2" s="1"/>
  <c r="AD49" i="2"/>
  <c r="N49" i="2"/>
  <c r="K49" i="2"/>
  <c r="H49" i="2"/>
  <c r="M49" i="2" s="1"/>
  <c r="S48" i="2"/>
  <c r="AD47" i="2"/>
  <c r="N47" i="2"/>
  <c r="K47" i="2"/>
  <c r="L47" i="2" s="1"/>
  <c r="Q47" i="2" s="1"/>
  <c r="AB47" i="2" s="1"/>
  <c r="H47" i="2"/>
  <c r="M47" i="2" s="1"/>
  <c r="AD46" i="2"/>
  <c r="N46" i="2"/>
  <c r="K46" i="2"/>
  <c r="P46" i="2" s="1"/>
  <c r="H46" i="2"/>
  <c r="M46" i="2" s="1"/>
  <c r="AD45" i="2"/>
  <c r="N45" i="2"/>
  <c r="K45" i="2"/>
  <c r="P45" i="2" s="1"/>
  <c r="H45" i="2"/>
  <c r="M45" i="2" s="1"/>
  <c r="AD44" i="2"/>
  <c r="N44" i="2"/>
  <c r="K44" i="2"/>
  <c r="L44" i="2" s="1"/>
  <c r="Q44" i="2" s="1"/>
  <c r="AB44" i="2" s="1"/>
  <c r="H44" i="2"/>
  <c r="M44" i="2" s="1"/>
  <c r="AD43" i="2"/>
  <c r="N43" i="2"/>
  <c r="K43" i="2"/>
  <c r="P43" i="2" s="1"/>
  <c r="H43" i="2"/>
  <c r="M43" i="2" s="1"/>
  <c r="AD42" i="2"/>
  <c r="N42" i="2"/>
  <c r="K42" i="2"/>
  <c r="L42" i="2" s="1"/>
  <c r="Q42" i="2" s="1"/>
  <c r="AB42" i="2" s="1"/>
  <c r="H42" i="2"/>
  <c r="M42" i="2" s="1"/>
  <c r="AD41" i="2"/>
  <c r="N41" i="2"/>
  <c r="K41" i="2"/>
  <c r="L41" i="2" s="1"/>
  <c r="Q41" i="2" s="1"/>
  <c r="AB41" i="2" s="1"/>
  <c r="H41" i="2"/>
  <c r="M41" i="2" s="1"/>
  <c r="AD40" i="2"/>
  <c r="N40" i="2"/>
  <c r="K40" i="2"/>
  <c r="L40" i="2" s="1"/>
  <c r="Q40" i="2" s="1"/>
  <c r="AB40" i="2" s="1"/>
  <c r="H40" i="2"/>
  <c r="M40" i="2" s="1"/>
  <c r="AD39" i="2"/>
  <c r="N39" i="2"/>
  <c r="K39" i="2"/>
  <c r="L39" i="2" s="1"/>
  <c r="Q39" i="2" s="1"/>
  <c r="AB39" i="2" s="1"/>
  <c r="H39" i="2"/>
  <c r="M39" i="2" s="1"/>
  <c r="AD38" i="2"/>
  <c r="N38" i="2"/>
  <c r="K38" i="2"/>
  <c r="L38" i="2" s="1"/>
  <c r="Q38" i="2" s="1"/>
  <c r="AB38" i="2" s="1"/>
  <c r="H38" i="2"/>
  <c r="M38" i="2" s="1"/>
  <c r="AD37" i="2"/>
  <c r="N37" i="2"/>
  <c r="K37" i="2"/>
  <c r="P37" i="2" s="1"/>
  <c r="H37" i="2"/>
  <c r="M37" i="2" s="1"/>
  <c r="AD36" i="2"/>
  <c r="N36" i="2"/>
  <c r="K36" i="2"/>
  <c r="H36" i="2"/>
  <c r="M36" i="2" s="1"/>
  <c r="AD35" i="2"/>
  <c r="N35" i="2"/>
  <c r="K35" i="2"/>
  <c r="P35" i="2" s="1"/>
  <c r="H35" i="2"/>
  <c r="M35" i="2" s="1"/>
  <c r="AD34" i="2"/>
  <c r="N34" i="2"/>
  <c r="K34" i="2"/>
  <c r="P34" i="2" s="1"/>
  <c r="H34" i="2"/>
  <c r="M34" i="2" s="1"/>
  <c r="AD33" i="2"/>
  <c r="N33" i="2"/>
  <c r="K33" i="2"/>
  <c r="P33" i="2" s="1"/>
  <c r="H33" i="2"/>
  <c r="M33" i="2" s="1"/>
  <c r="AD32" i="2"/>
  <c r="N32" i="2"/>
  <c r="K32" i="2"/>
  <c r="L32" i="2" s="1"/>
  <c r="Q32" i="2" s="1"/>
  <c r="AB32" i="2" s="1"/>
  <c r="H32" i="2"/>
  <c r="M32" i="2" s="1"/>
  <c r="AD31" i="2"/>
  <c r="N31" i="2"/>
  <c r="K31" i="2"/>
  <c r="L31" i="2" s="1"/>
  <c r="Q31" i="2" s="1"/>
  <c r="AB31" i="2" s="1"/>
  <c r="H31" i="2"/>
  <c r="M31" i="2" s="1"/>
  <c r="AD30" i="2"/>
  <c r="N30" i="2"/>
  <c r="K30" i="2"/>
  <c r="L30" i="2" s="1"/>
  <c r="Q30" i="2" s="1"/>
  <c r="AB30" i="2" s="1"/>
  <c r="H30" i="2"/>
  <c r="M30" i="2" s="1"/>
  <c r="AD29" i="2"/>
  <c r="N29" i="2"/>
  <c r="K29" i="2"/>
  <c r="P29" i="2" s="1"/>
  <c r="H29" i="2"/>
  <c r="M29" i="2" s="1"/>
  <c r="S28" i="2"/>
  <c r="AD27" i="2"/>
  <c r="N27" i="2"/>
  <c r="M27" i="2"/>
  <c r="K27" i="2"/>
  <c r="L27" i="2" s="1"/>
  <c r="Q27" i="2" s="1"/>
  <c r="AB27" i="2" s="1"/>
  <c r="AD26" i="2"/>
  <c r="N26" i="2"/>
  <c r="M26" i="2"/>
  <c r="K26" i="2"/>
  <c r="P26" i="2" s="1"/>
  <c r="AD25" i="2"/>
  <c r="N25" i="2"/>
  <c r="M25" i="2"/>
  <c r="K25" i="2"/>
  <c r="P25" i="2" s="1"/>
  <c r="AD24" i="2"/>
  <c r="N24" i="2"/>
  <c r="M24" i="2"/>
  <c r="K24" i="2"/>
  <c r="P24" i="2" s="1"/>
  <c r="AD23" i="2"/>
  <c r="N23" i="2"/>
  <c r="M23" i="2"/>
  <c r="K23" i="2"/>
  <c r="L23" i="2" s="1"/>
  <c r="Q23" i="2" s="1"/>
  <c r="AB23" i="2" s="1"/>
  <c r="AD22" i="2"/>
  <c r="N22" i="2"/>
  <c r="M22" i="2"/>
  <c r="K22" i="2"/>
  <c r="L22" i="2" s="1"/>
  <c r="Q22" i="2" s="1"/>
  <c r="AB22" i="2" s="1"/>
  <c r="AD21" i="2"/>
  <c r="N21" i="2"/>
  <c r="M21" i="2"/>
  <c r="K21" i="2"/>
  <c r="P21" i="2" s="1"/>
  <c r="AD20" i="2"/>
  <c r="N20" i="2"/>
  <c r="M20" i="2"/>
  <c r="K20" i="2"/>
  <c r="L20" i="2" s="1"/>
  <c r="Q20" i="2" s="1"/>
  <c r="AB20" i="2" s="1"/>
  <c r="AD19" i="2"/>
  <c r="N19" i="2"/>
  <c r="M19" i="2"/>
  <c r="K19" i="2"/>
  <c r="P19" i="2" s="1"/>
  <c r="AD18" i="2"/>
  <c r="N18" i="2"/>
  <c r="M18" i="2"/>
  <c r="K18" i="2"/>
  <c r="P18" i="2" s="1"/>
  <c r="AD17" i="2"/>
  <c r="N17" i="2"/>
  <c r="M17" i="2"/>
  <c r="K17" i="2"/>
  <c r="L17" i="2" s="1"/>
  <c r="Q17" i="2" s="1"/>
  <c r="AB17" i="2" s="1"/>
  <c r="AD16" i="2"/>
  <c r="N16" i="2"/>
  <c r="M16" i="2"/>
  <c r="K16" i="2"/>
  <c r="L16" i="2" s="1"/>
  <c r="Q16" i="2" s="1"/>
  <c r="AB16" i="2" s="1"/>
  <c r="AD15" i="2"/>
  <c r="N15" i="2"/>
  <c r="M15" i="2"/>
  <c r="K15" i="2"/>
  <c r="P15" i="2" s="1"/>
  <c r="AD14" i="2"/>
  <c r="N14" i="2"/>
  <c r="M14" i="2"/>
  <c r="K14" i="2"/>
  <c r="L14" i="2" s="1"/>
  <c r="Q14" i="2" s="1"/>
  <c r="AB14" i="2" s="1"/>
  <c r="AD13" i="2"/>
  <c r="N13" i="2"/>
  <c r="M13" i="2"/>
  <c r="K13" i="2"/>
  <c r="L13" i="2" s="1"/>
  <c r="Q13" i="2" s="1"/>
  <c r="AD12" i="2"/>
  <c r="N12" i="2"/>
  <c r="M12" i="2"/>
  <c r="K12" i="2"/>
  <c r="L12" i="2" s="1"/>
  <c r="Q12" i="2" s="1"/>
  <c r="AB12" i="2" s="1"/>
  <c r="AD11" i="2"/>
  <c r="N11" i="2"/>
  <c r="M11" i="2"/>
  <c r="K11" i="2"/>
  <c r="L11" i="2" s="1"/>
  <c r="Q11" i="2" s="1"/>
  <c r="AB11" i="2" s="1"/>
  <c r="AD10" i="2"/>
  <c r="N10" i="2"/>
  <c r="M10" i="2"/>
  <c r="K10" i="2"/>
  <c r="L10" i="2" s="1"/>
  <c r="Q10" i="2" s="1"/>
  <c r="AB10" i="2" s="1"/>
  <c r="AD9" i="2"/>
  <c r="N9" i="2"/>
  <c r="M9" i="2"/>
  <c r="K9" i="2"/>
  <c r="L9" i="2" s="1"/>
  <c r="Q9" i="2" s="1"/>
  <c r="D14" i="13"/>
  <c r="C14" i="13"/>
  <c r="D13" i="13"/>
  <c r="C13" i="13"/>
  <c r="D12" i="13"/>
  <c r="C12" i="13"/>
  <c r="D11" i="13"/>
  <c r="C11" i="13"/>
  <c r="D10" i="13"/>
  <c r="C10" i="13"/>
  <c r="D9" i="13"/>
  <c r="C9" i="13"/>
  <c r="D8" i="13"/>
  <c r="C8" i="13"/>
  <c r="D7" i="13"/>
  <c r="C7" i="13"/>
  <c r="D6" i="13"/>
  <c r="C6" i="13"/>
  <c r="D5" i="13"/>
  <c r="C5" i="13"/>
  <c r="P25" i="17" l="1"/>
  <c r="P68" i="9"/>
  <c r="P113" i="9"/>
  <c r="L116" i="9"/>
  <c r="Q116" i="9" s="1"/>
  <c r="X116" i="9" s="1"/>
  <c r="L48" i="10"/>
  <c r="Q48" i="10" s="1"/>
  <c r="X48" i="10" s="1"/>
  <c r="L66" i="10"/>
  <c r="Q66" i="10" s="1"/>
  <c r="X66" i="10" s="1"/>
  <c r="P72" i="10"/>
  <c r="P90" i="10"/>
  <c r="L123" i="10"/>
  <c r="Q123" i="10" s="1"/>
  <c r="X123" i="10" s="1"/>
  <c r="P96" i="9"/>
  <c r="Z42" i="10"/>
  <c r="D36" i="13" s="1"/>
  <c r="L77" i="9"/>
  <c r="Q77" i="9" s="1"/>
  <c r="X77" i="9" s="1"/>
  <c r="L83" i="9"/>
  <c r="Q83" i="9" s="1"/>
  <c r="X83" i="9" s="1"/>
  <c r="L102" i="9"/>
  <c r="Q102" i="9" s="1"/>
  <c r="X102" i="9" s="1"/>
  <c r="L125" i="9"/>
  <c r="Q125" i="9" s="1"/>
  <c r="X125" i="9" s="1"/>
  <c r="L34" i="10"/>
  <c r="Q34" i="10" s="1"/>
  <c r="X34" i="10" s="1"/>
  <c r="L55" i="10"/>
  <c r="Q55" i="10" s="1"/>
  <c r="L85" i="10"/>
  <c r="Q85" i="10" s="1"/>
  <c r="L43" i="9"/>
  <c r="Q43" i="9" s="1"/>
  <c r="X43" i="9" s="1"/>
  <c r="P94" i="9"/>
  <c r="L99" i="9"/>
  <c r="Q99" i="9" s="1"/>
  <c r="X99" i="9" s="1"/>
  <c r="L133" i="9"/>
  <c r="Q133" i="9" s="1"/>
  <c r="X133" i="9" s="1"/>
  <c r="L46" i="10"/>
  <c r="Q46" i="10" s="1"/>
  <c r="X46" i="10" s="1"/>
  <c r="L58" i="10"/>
  <c r="Q58" i="10" s="1"/>
  <c r="X58" i="10" s="1"/>
  <c r="L118" i="10"/>
  <c r="Q118" i="10" s="1"/>
  <c r="X118" i="10" s="1"/>
  <c r="P118" i="9"/>
  <c r="L23" i="9"/>
  <c r="Q23" i="9" s="1"/>
  <c r="X23" i="9" s="1"/>
  <c r="L103" i="10"/>
  <c r="Q103" i="10" s="1"/>
  <c r="X103" i="10" s="1"/>
  <c r="P31" i="9"/>
  <c r="Z136" i="10"/>
  <c r="D43" i="13" s="1"/>
  <c r="P9" i="10"/>
  <c r="P104" i="9"/>
  <c r="Z139" i="9"/>
  <c r="D28" i="13" s="1"/>
  <c r="L69" i="9"/>
  <c r="L111" i="9"/>
  <c r="Q111" i="9" s="1"/>
  <c r="X111" i="9" s="1"/>
  <c r="Z101" i="10"/>
  <c r="D40" i="13" s="1"/>
  <c r="Z117" i="10"/>
  <c r="D41" i="13" s="1"/>
  <c r="Z129" i="10"/>
  <c r="D42" i="13" s="1"/>
  <c r="L14" i="9"/>
  <c r="Q14" i="9" s="1"/>
  <c r="X14" i="9" s="1"/>
  <c r="L17" i="9"/>
  <c r="Q17" i="9" s="1"/>
  <c r="X17" i="9" s="1"/>
  <c r="L21" i="9"/>
  <c r="Q21" i="9" s="1"/>
  <c r="X21" i="9" s="1"/>
  <c r="L66" i="9"/>
  <c r="Q66" i="9" s="1"/>
  <c r="X66" i="9" s="1"/>
  <c r="L103" i="9"/>
  <c r="Q103" i="9" s="1"/>
  <c r="X103" i="9" s="1"/>
  <c r="L117" i="9"/>
  <c r="Q117" i="9" s="1"/>
  <c r="X117" i="9" s="1"/>
  <c r="L100" i="10"/>
  <c r="Q100" i="10" s="1"/>
  <c r="X100" i="10" s="1"/>
  <c r="L9" i="9"/>
  <c r="Q9" i="9" s="1"/>
  <c r="X9" i="9" s="1"/>
  <c r="L109" i="9"/>
  <c r="Q109" i="9" s="1"/>
  <c r="X109" i="9" s="1"/>
  <c r="L126" i="9"/>
  <c r="Q126" i="9" s="1"/>
  <c r="X126" i="9" s="1"/>
  <c r="L32" i="9"/>
  <c r="Q32" i="9" s="1"/>
  <c r="X32" i="9" s="1"/>
  <c r="L84" i="9"/>
  <c r="Q84" i="9" s="1"/>
  <c r="X84" i="9" s="1"/>
  <c r="L90" i="9"/>
  <c r="Q90" i="9" s="1"/>
  <c r="X90" i="9" s="1"/>
  <c r="L131" i="9"/>
  <c r="Q131" i="9" s="1"/>
  <c r="X131" i="9" s="1"/>
  <c r="L35" i="10"/>
  <c r="Q35" i="10" s="1"/>
  <c r="X35" i="10" s="1"/>
  <c r="L92" i="10"/>
  <c r="Q92" i="10" s="1"/>
  <c r="X92" i="10" s="1"/>
  <c r="P131" i="10"/>
  <c r="L64" i="9"/>
  <c r="Q64" i="9" s="1"/>
  <c r="X64" i="9" s="1"/>
  <c r="L73" i="9"/>
  <c r="Q73" i="9" s="1"/>
  <c r="X73" i="9" s="1"/>
  <c r="L76" i="9"/>
  <c r="Q76" i="9" s="1"/>
  <c r="X76" i="9" s="1"/>
  <c r="L19" i="10"/>
  <c r="Q19" i="10" s="1"/>
  <c r="X19" i="10" s="1"/>
  <c r="L27" i="10"/>
  <c r="Q27" i="10" s="1"/>
  <c r="X27" i="10" s="1"/>
  <c r="L33" i="10"/>
  <c r="Q33" i="10" s="1"/>
  <c r="X33" i="10" s="1"/>
  <c r="Z84" i="10"/>
  <c r="D39" i="13" s="1"/>
  <c r="L74" i="10"/>
  <c r="Q74" i="10" s="1"/>
  <c r="X74" i="10" s="1"/>
  <c r="L113" i="10"/>
  <c r="Q113" i="10" s="1"/>
  <c r="X113" i="10" s="1"/>
  <c r="L88" i="9"/>
  <c r="Q88" i="9" s="1"/>
  <c r="X88" i="9" s="1"/>
  <c r="L98" i="9"/>
  <c r="Q98" i="9" s="1"/>
  <c r="X98" i="9" s="1"/>
  <c r="L101" i="9"/>
  <c r="Q101" i="9" s="1"/>
  <c r="X101" i="9" s="1"/>
  <c r="P115" i="9"/>
  <c r="L129" i="9"/>
  <c r="Q129" i="9" s="1"/>
  <c r="X129" i="9" s="1"/>
  <c r="L105" i="10"/>
  <c r="Q105" i="10" s="1"/>
  <c r="X105" i="10" s="1"/>
  <c r="L116" i="10"/>
  <c r="Q116" i="10" s="1"/>
  <c r="X116" i="10" s="1"/>
  <c r="Z67" i="9"/>
  <c r="D23" i="13" s="1"/>
  <c r="L10" i="10"/>
  <c r="Q10" i="10" s="1"/>
  <c r="X10" i="10" s="1"/>
  <c r="L98" i="10"/>
  <c r="Q98" i="10" s="1"/>
  <c r="X98" i="10" s="1"/>
  <c r="Z51" i="9"/>
  <c r="D22" i="13" s="1"/>
  <c r="L194" i="2"/>
  <c r="Q194" i="2" s="1"/>
  <c r="AB194" i="2" s="1"/>
  <c r="L42" i="9"/>
  <c r="Q42" i="9" s="1"/>
  <c r="X42" i="9" s="1"/>
  <c r="P50" i="9"/>
  <c r="Z36" i="9"/>
  <c r="D21" i="13" s="1"/>
  <c r="L62" i="9"/>
  <c r="Q62" i="9" s="1"/>
  <c r="X62" i="9" s="1"/>
  <c r="P60" i="2"/>
  <c r="L22" i="17"/>
  <c r="Q22" i="17" s="1"/>
  <c r="Z22" i="17" s="1"/>
  <c r="P38" i="17"/>
  <c r="L20" i="17"/>
  <c r="Q20" i="17" s="1"/>
  <c r="Z20" i="17" s="1"/>
  <c r="P39" i="17"/>
  <c r="L52" i="17"/>
  <c r="Q52" i="17" s="1"/>
  <c r="Z52" i="17" s="1"/>
  <c r="L49" i="17"/>
  <c r="Q49" i="17" s="1"/>
  <c r="Z49" i="17" s="1"/>
  <c r="L54" i="17"/>
  <c r="Q54" i="17" s="1"/>
  <c r="Z54" i="17" s="1"/>
  <c r="P26" i="17"/>
  <c r="P33" i="17"/>
  <c r="P83" i="2"/>
  <c r="P13" i="2"/>
  <c r="P20" i="2"/>
  <c r="P31" i="2"/>
  <c r="P66" i="2"/>
  <c r="P51" i="2"/>
  <c r="P70" i="2"/>
  <c r="P96" i="2"/>
  <c r="L33" i="2"/>
  <c r="Q33" i="2" s="1"/>
  <c r="AB33" i="2" s="1"/>
  <c r="L188" i="2"/>
  <c r="Q188" i="2" s="1"/>
  <c r="AB188" i="2" s="1"/>
  <c r="P105" i="2"/>
  <c r="L121" i="2"/>
  <c r="Q121" i="2" s="1"/>
  <c r="AB121" i="2" s="1"/>
  <c r="P169" i="2"/>
  <c r="L222" i="2"/>
  <c r="Q222" i="2" s="1"/>
  <c r="AB222" i="2" s="1"/>
  <c r="P27" i="2"/>
  <c r="L183" i="2"/>
  <c r="Q183" i="2" s="1"/>
  <c r="AB183" i="2" s="1"/>
  <c r="P80" i="2"/>
  <c r="L189" i="2"/>
  <c r="Q189" i="2" s="1"/>
  <c r="AB189" i="2" s="1"/>
  <c r="P162" i="2"/>
  <c r="L193" i="2"/>
  <c r="Q193" i="2" s="1"/>
  <c r="AB193" i="2" s="1"/>
  <c r="L24" i="2"/>
  <c r="Q24" i="2" s="1"/>
  <c r="AB24" i="2" s="1"/>
  <c r="L140" i="2"/>
  <c r="Q140" i="2" s="1"/>
  <c r="AB140" i="2" s="1"/>
  <c r="L155" i="2"/>
  <c r="Q155" i="2" s="1"/>
  <c r="AB155" i="2" s="1"/>
  <c r="L217" i="2"/>
  <c r="Q217" i="2" s="1"/>
  <c r="AB217" i="2" s="1"/>
  <c r="L95" i="2"/>
  <c r="Q95" i="2" s="1"/>
  <c r="AB95" i="2" s="1"/>
  <c r="P11" i="2"/>
  <c r="P30" i="2"/>
  <c r="P172" i="2"/>
  <c r="L227" i="2"/>
  <c r="Q227" i="2" s="1"/>
  <c r="AB227" i="2" s="1"/>
  <c r="P23" i="2"/>
  <c r="P73" i="2"/>
  <c r="L100" i="2"/>
  <c r="Q100" i="2" s="1"/>
  <c r="AB100" i="2" s="1"/>
  <c r="L116" i="2"/>
  <c r="Q116" i="2" s="1"/>
  <c r="AB116" i="2" s="1"/>
  <c r="P146" i="2"/>
  <c r="L224" i="2"/>
  <c r="Q224" i="2" s="1"/>
  <c r="AB224" i="2" s="1"/>
  <c r="L219" i="2"/>
  <c r="Q219" i="2" s="1"/>
  <c r="AB219" i="2" s="1"/>
  <c r="P22" i="2"/>
  <c r="L46" i="2"/>
  <c r="Q46" i="2" s="1"/>
  <c r="AB46" i="2" s="1"/>
  <c r="P57" i="2"/>
  <c r="L187" i="2"/>
  <c r="Q187" i="2" s="1"/>
  <c r="AB187" i="2" s="1"/>
  <c r="P144" i="2"/>
  <c r="P79" i="2"/>
  <c r="P127" i="2"/>
  <c r="P134" i="2"/>
  <c r="L103" i="2"/>
  <c r="Q103" i="2" s="1"/>
  <c r="AB103" i="2" s="1"/>
  <c r="P109" i="2"/>
  <c r="P89" i="2"/>
  <c r="P177" i="2"/>
  <c r="P190" i="2"/>
  <c r="P223" i="2"/>
  <c r="P234" i="2"/>
  <c r="AD236" i="2"/>
  <c r="P47" i="2"/>
  <c r="L178" i="2"/>
  <c r="Q178" i="2" s="1"/>
  <c r="AB178" i="2" s="1"/>
  <c r="L206" i="2"/>
  <c r="Q206" i="2" s="1"/>
  <c r="AB206" i="2" s="1"/>
  <c r="P209" i="2"/>
  <c r="L50" i="2"/>
  <c r="Q50" i="2" s="1"/>
  <c r="AB50" i="2" s="1"/>
  <c r="P39" i="2"/>
  <c r="P42" i="2"/>
  <c r="P53" i="2"/>
  <c r="P12" i="2"/>
  <c r="P17" i="2"/>
  <c r="P77" i="2"/>
  <c r="P90" i="2"/>
  <c r="L203" i="2"/>
  <c r="Q203" i="2" s="1"/>
  <c r="AB203" i="2" s="1"/>
  <c r="L159" i="2"/>
  <c r="Q159" i="2" s="1"/>
  <c r="AB159" i="2" s="1"/>
  <c r="L35" i="2"/>
  <c r="Q35" i="2" s="1"/>
  <c r="AB35" i="2" s="1"/>
  <c r="L25" i="2"/>
  <c r="Q25" i="2" s="1"/>
  <c r="AB25" i="2" s="1"/>
  <c r="P14" i="2"/>
  <c r="L81" i="2"/>
  <c r="Q81" i="2" s="1"/>
  <c r="AB81" i="2" s="1"/>
  <c r="L129" i="2"/>
  <c r="Q129" i="2" s="1"/>
  <c r="AB129" i="2" s="1"/>
  <c r="L133" i="2"/>
  <c r="Q133" i="2" s="1"/>
  <c r="AB133" i="2" s="1"/>
  <c r="L143" i="2"/>
  <c r="Q143" i="2" s="1"/>
  <c r="AB143" i="2" s="1"/>
  <c r="P150" i="2"/>
  <c r="P182" i="2"/>
  <c r="L214" i="2"/>
  <c r="Q214" i="2" s="1"/>
  <c r="AB214" i="2" s="1"/>
  <c r="P84" i="2"/>
  <c r="P55" i="2"/>
  <c r="L75" i="2"/>
  <c r="Q75" i="2" s="1"/>
  <c r="AB75" i="2" s="1"/>
  <c r="P88" i="2"/>
  <c r="P93" i="2"/>
  <c r="P174" i="2"/>
  <c r="P179" i="2"/>
  <c r="P191" i="2"/>
  <c r="P16" i="2"/>
  <c r="L21" i="2"/>
  <c r="Q21" i="2" s="1"/>
  <c r="AB21" i="2" s="1"/>
  <c r="P41" i="2"/>
  <c r="P44" i="2"/>
  <c r="P71" i="2"/>
  <c r="L91" i="2"/>
  <c r="Q91" i="2" s="1"/>
  <c r="AB91" i="2" s="1"/>
  <c r="P107" i="2"/>
  <c r="P115" i="2"/>
  <c r="P123" i="2"/>
  <c r="P128" i="2"/>
  <c r="L201" i="2"/>
  <c r="Q201" i="2" s="1"/>
  <c r="AB201" i="2" s="1"/>
  <c r="L198" i="2"/>
  <c r="Q198" i="2" s="1"/>
  <c r="AB198" i="2" s="1"/>
  <c r="L204" i="2"/>
  <c r="Q204" i="2" s="1"/>
  <c r="AB204" i="2" s="1"/>
  <c r="L26" i="2"/>
  <c r="Q26" i="2" s="1"/>
  <c r="AB26" i="2" s="1"/>
  <c r="L37" i="2"/>
  <c r="Q37" i="2" s="1"/>
  <c r="AB37" i="2" s="1"/>
  <c r="L56" i="2"/>
  <c r="Q56" i="2" s="1"/>
  <c r="AB56" i="2" s="1"/>
  <c r="P61" i="2"/>
  <c r="L64" i="2"/>
  <c r="Q64" i="2" s="1"/>
  <c r="AB64" i="2" s="1"/>
  <c r="L110" i="2"/>
  <c r="Q110" i="2" s="1"/>
  <c r="AB110" i="2" s="1"/>
  <c r="L113" i="2"/>
  <c r="Q113" i="2" s="1"/>
  <c r="AB113" i="2" s="1"/>
  <c r="L151" i="2"/>
  <c r="Q151" i="2" s="1"/>
  <c r="AB151" i="2" s="1"/>
  <c r="L160" i="2"/>
  <c r="Q160" i="2" s="1"/>
  <c r="AB160" i="2" s="1"/>
  <c r="L175" i="2"/>
  <c r="Q175" i="2" s="1"/>
  <c r="AB175" i="2" s="1"/>
  <c r="L185" i="2"/>
  <c r="Q185" i="2" s="1"/>
  <c r="AB185" i="2" s="1"/>
  <c r="L59" i="2"/>
  <c r="Q59" i="2" s="1"/>
  <c r="AB59" i="2" s="1"/>
  <c r="P86" i="2"/>
  <c r="P99" i="2"/>
  <c r="P118" i="2"/>
  <c r="P148" i="2"/>
  <c r="P137" i="2"/>
  <c r="P180" i="2"/>
  <c r="P207" i="2"/>
  <c r="L108" i="2"/>
  <c r="Q108" i="2" s="1"/>
  <c r="AB108" i="2" s="1"/>
  <c r="L124" i="2"/>
  <c r="Q124" i="2" s="1"/>
  <c r="AB124" i="2" s="1"/>
  <c r="L235" i="2"/>
  <c r="Q235" i="2" s="1"/>
  <c r="AB235" i="2" s="1"/>
  <c r="L54" i="2"/>
  <c r="Q54" i="2" s="1"/>
  <c r="AB54" i="2" s="1"/>
  <c r="L97" i="2"/>
  <c r="Q97" i="2" s="1"/>
  <c r="AB97" i="2" s="1"/>
  <c r="L62" i="2"/>
  <c r="Q62" i="2" s="1"/>
  <c r="AB62" i="2" s="1"/>
  <c r="P67" i="2"/>
  <c r="L92" i="2"/>
  <c r="Q92" i="2" s="1"/>
  <c r="AB92" i="2" s="1"/>
  <c r="P135" i="2"/>
  <c r="L158" i="2"/>
  <c r="Q158" i="2" s="1"/>
  <c r="AB158" i="2" s="1"/>
  <c r="P163" i="2"/>
  <c r="L173" i="2"/>
  <c r="Q173" i="2" s="1"/>
  <c r="AB173" i="2" s="1"/>
  <c r="L19" i="2"/>
  <c r="Q19" i="2" s="1"/>
  <c r="AB19" i="2" s="1"/>
  <c r="L15" i="2"/>
  <c r="Q15" i="2" s="1"/>
  <c r="AB15" i="2" s="1"/>
  <c r="P9" i="2"/>
  <c r="P32" i="2"/>
  <c r="L76" i="2"/>
  <c r="Q76" i="2" s="1"/>
  <c r="AB76" i="2" s="1"/>
  <c r="AD28" i="2"/>
  <c r="E6" i="8" s="1"/>
  <c r="P40" i="2"/>
  <c r="L52" i="2"/>
  <c r="Q52" i="2" s="1"/>
  <c r="AB52" i="2" s="1"/>
  <c r="L138" i="2"/>
  <c r="Q138" i="2" s="1"/>
  <c r="AB138" i="2" s="1"/>
  <c r="L181" i="2"/>
  <c r="Q181" i="2" s="1"/>
  <c r="AB181" i="2" s="1"/>
  <c r="L18" i="2"/>
  <c r="Q18" i="2" s="1"/>
  <c r="AB18" i="2" s="1"/>
  <c r="L68" i="2"/>
  <c r="Q68" i="2" s="1"/>
  <c r="AB68" i="2" s="1"/>
  <c r="P111" i="2"/>
  <c r="L117" i="2"/>
  <c r="Q117" i="2" s="1"/>
  <c r="AB117" i="2" s="1"/>
  <c r="L136" i="2"/>
  <c r="Q136" i="2" s="1"/>
  <c r="AB136" i="2" s="1"/>
  <c r="L156" i="2"/>
  <c r="Q156" i="2" s="1"/>
  <c r="AB156" i="2" s="1"/>
  <c r="P161" i="2"/>
  <c r="L171" i="2"/>
  <c r="Q171" i="2" s="1"/>
  <c r="AB171" i="2" s="1"/>
  <c r="P176" i="2"/>
  <c r="L184" i="2"/>
  <c r="Q184" i="2" s="1"/>
  <c r="AB184" i="2" s="1"/>
  <c r="P208" i="2"/>
  <c r="L221" i="2"/>
  <c r="Q221" i="2" s="1"/>
  <c r="AB221" i="2" s="1"/>
  <c r="L229" i="2"/>
  <c r="Q229" i="2" s="1"/>
  <c r="AB229" i="2" s="1"/>
  <c r="P38" i="2"/>
  <c r="P226" i="2"/>
  <c r="P10" i="2"/>
  <c r="L145" i="2"/>
  <c r="Q145" i="2" s="1"/>
  <c r="AB145" i="2" s="1"/>
  <c r="AD48" i="2"/>
  <c r="E7" i="8" s="1"/>
  <c r="P12" i="19"/>
  <c r="V12" i="19" s="1"/>
  <c r="W12" i="19" s="1"/>
  <c r="P17" i="19"/>
  <c r="V17" i="19" s="1"/>
  <c r="W17" i="19" s="1"/>
  <c r="U17" i="19"/>
  <c r="P11" i="19"/>
  <c r="V11" i="19" s="1"/>
  <c r="W11" i="19" s="1"/>
  <c r="P9" i="19"/>
  <c r="V9" i="19" s="1"/>
  <c r="W9" i="19" s="1"/>
  <c r="P10" i="19"/>
  <c r="V10" i="19" s="1"/>
  <c r="W10" i="19" s="1"/>
  <c r="P13" i="19"/>
  <c r="V13" i="19" s="1"/>
  <c r="W13" i="19" s="1"/>
  <c r="P16" i="19"/>
  <c r="V16" i="19" s="1"/>
  <c r="W16" i="19" s="1"/>
  <c r="P19" i="19"/>
  <c r="V19" i="19" s="1"/>
  <c r="W19" i="19" s="1"/>
  <c r="P14" i="19"/>
  <c r="V14" i="19" s="1"/>
  <c r="W14" i="19" s="1"/>
  <c r="P21" i="19"/>
  <c r="V21" i="19" s="1"/>
  <c r="W21" i="19" s="1"/>
  <c r="P15" i="19"/>
  <c r="V15" i="19" s="1"/>
  <c r="W15" i="19" s="1"/>
  <c r="P18" i="19"/>
  <c r="V18" i="19" s="1"/>
  <c r="W18" i="19" s="1"/>
  <c r="P78" i="2"/>
  <c r="L78" i="2"/>
  <c r="Q78" i="2" s="1"/>
  <c r="AB78" i="2" s="1"/>
  <c r="AD74" i="2"/>
  <c r="E8" i="8" s="1"/>
  <c r="L43" i="2"/>
  <c r="Q43" i="2" s="1"/>
  <c r="AB43" i="2" s="1"/>
  <c r="L85" i="2"/>
  <c r="Q85" i="2" s="1"/>
  <c r="AB85" i="2" s="1"/>
  <c r="P49" i="2"/>
  <c r="L49" i="2"/>
  <c r="Q49" i="2" s="1"/>
  <c r="P157" i="2"/>
  <c r="L60" i="9"/>
  <c r="Q60" i="9" s="1"/>
  <c r="X60" i="9" s="1"/>
  <c r="P60" i="9"/>
  <c r="AB9" i="2"/>
  <c r="P149" i="2"/>
  <c r="L149" i="2"/>
  <c r="Q149" i="2" s="1"/>
  <c r="AB149" i="2" s="1"/>
  <c r="X43" i="10"/>
  <c r="L34" i="2"/>
  <c r="Q34" i="2" s="1"/>
  <c r="AB34" i="2" s="1"/>
  <c r="L65" i="2"/>
  <c r="Q65" i="2" s="1"/>
  <c r="AB65" i="2" s="1"/>
  <c r="P65" i="2"/>
  <c r="P170" i="2"/>
  <c r="S237" i="2"/>
  <c r="L101" i="2"/>
  <c r="Q101" i="2" s="1"/>
  <c r="AB101" i="2" s="1"/>
  <c r="L94" i="2"/>
  <c r="Q94" i="2" s="1"/>
  <c r="AB94" i="2" s="1"/>
  <c r="P94" i="2"/>
  <c r="L168" i="2"/>
  <c r="Q168" i="2" s="1"/>
  <c r="AB168" i="2" s="1"/>
  <c r="P230" i="2"/>
  <c r="L230" i="2"/>
  <c r="Q230" i="2" s="1"/>
  <c r="AB230" i="2" s="1"/>
  <c r="L153" i="2"/>
  <c r="Q153" i="2" s="1"/>
  <c r="AB153" i="2" s="1"/>
  <c r="P153" i="2"/>
  <c r="L36" i="2"/>
  <c r="Q36" i="2" s="1"/>
  <c r="AB36" i="2" s="1"/>
  <c r="P36" i="2"/>
  <c r="L72" i="2"/>
  <c r="Q72" i="2" s="1"/>
  <c r="AB72" i="2" s="1"/>
  <c r="AD102" i="2"/>
  <c r="L63" i="2"/>
  <c r="Q63" i="2" s="1"/>
  <c r="AB63" i="2" s="1"/>
  <c r="L147" i="2"/>
  <c r="Q147" i="2" s="1"/>
  <c r="AB147" i="2" s="1"/>
  <c r="P147" i="2"/>
  <c r="L202" i="2"/>
  <c r="Q202" i="2" s="1"/>
  <c r="AB202" i="2" s="1"/>
  <c r="P17" i="17"/>
  <c r="L17" i="17"/>
  <c r="Q17" i="17" s="1"/>
  <c r="Z17" i="17" s="1"/>
  <c r="K1" i="1"/>
  <c r="M1" i="1" s="1"/>
  <c r="AD195" i="2"/>
  <c r="L82" i="9"/>
  <c r="Q82" i="9" s="1"/>
  <c r="X82" i="9" s="1"/>
  <c r="P82" i="9"/>
  <c r="P200" i="2"/>
  <c r="L200" i="2"/>
  <c r="Q200" i="2" s="1"/>
  <c r="AB200" i="2" s="1"/>
  <c r="L8" i="9"/>
  <c r="P8" i="9"/>
  <c r="L166" i="2"/>
  <c r="Q166" i="2" s="1"/>
  <c r="AB166" i="2" s="1"/>
  <c r="P166" i="2"/>
  <c r="L211" i="2"/>
  <c r="Q211" i="2" s="1"/>
  <c r="AB211" i="2" s="1"/>
  <c r="P211" i="2"/>
  <c r="P225" i="2"/>
  <c r="L225" i="2"/>
  <c r="Q225" i="2" s="1"/>
  <c r="AB225" i="2" s="1"/>
  <c r="P197" i="2"/>
  <c r="L197" i="2"/>
  <c r="Q197" i="2" s="1"/>
  <c r="AB197" i="2" s="1"/>
  <c r="L233" i="2"/>
  <c r="Q233" i="2" s="1"/>
  <c r="P233" i="2"/>
  <c r="P57" i="17"/>
  <c r="L57" i="17"/>
  <c r="Q57" i="17" s="1"/>
  <c r="Z57" i="17" s="1"/>
  <c r="L12" i="9"/>
  <c r="Q12" i="9" s="1"/>
  <c r="X12" i="9" s="1"/>
  <c r="P12" i="9"/>
  <c r="Z87" i="9"/>
  <c r="D24" i="13" s="1"/>
  <c r="L100" i="9"/>
  <c r="Q100" i="9" s="1"/>
  <c r="X100" i="9" s="1"/>
  <c r="P100" i="9"/>
  <c r="X85" i="10"/>
  <c r="P119" i="2"/>
  <c r="P125" i="2"/>
  <c r="P131" i="2"/>
  <c r="P186" i="2"/>
  <c r="P192" i="2"/>
  <c r="P213" i="2"/>
  <c r="L213" i="2"/>
  <c r="Q213" i="2" s="1"/>
  <c r="AB213" i="2" s="1"/>
  <c r="P30" i="17"/>
  <c r="L30" i="17"/>
  <c r="Q30" i="17" s="1"/>
  <c r="Z30" i="17" s="1"/>
  <c r="L44" i="17"/>
  <c r="Q44" i="17" s="1"/>
  <c r="Z44" i="17" s="1"/>
  <c r="P28" i="10"/>
  <c r="L28" i="10"/>
  <c r="Q28" i="10" s="1"/>
  <c r="X28" i="10" s="1"/>
  <c r="AD218" i="2"/>
  <c r="L29" i="2"/>
  <c r="Q29" i="2" s="1"/>
  <c r="L45" i="2"/>
  <c r="Q45" i="2" s="1"/>
  <c r="AB45" i="2" s="1"/>
  <c r="L58" i="2"/>
  <c r="Q58" i="2" s="1"/>
  <c r="AB58" i="2" s="1"/>
  <c r="L87" i="2"/>
  <c r="Q87" i="2" s="1"/>
  <c r="AB87" i="2" s="1"/>
  <c r="L139" i="2"/>
  <c r="Q139" i="2" s="1"/>
  <c r="AB139" i="2" s="1"/>
  <c r="P13" i="9"/>
  <c r="L13" i="9"/>
  <c r="Q13" i="9" s="1"/>
  <c r="X13" i="9" s="1"/>
  <c r="P106" i="9"/>
  <c r="L106" i="9"/>
  <c r="Q106" i="9" s="1"/>
  <c r="X106" i="9" s="1"/>
  <c r="P19" i="9"/>
  <c r="L19" i="9"/>
  <c r="L104" i="2"/>
  <c r="Q104" i="2" s="1"/>
  <c r="AB104" i="2" s="1"/>
  <c r="L106" i="2"/>
  <c r="Q106" i="2" s="1"/>
  <c r="AB106" i="2" s="1"/>
  <c r="L120" i="2"/>
  <c r="Q120" i="2" s="1"/>
  <c r="AB120" i="2" s="1"/>
  <c r="L122" i="2"/>
  <c r="Q122" i="2" s="1"/>
  <c r="AB122" i="2" s="1"/>
  <c r="L126" i="2"/>
  <c r="Q126" i="2" s="1"/>
  <c r="AB126" i="2" s="1"/>
  <c r="L130" i="2"/>
  <c r="Q130" i="2" s="1"/>
  <c r="AB130" i="2" s="1"/>
  <c r="P141" i="2"/>
  <c r="P36" i="17"/>
  <c r="P41" i="17"/>
  <c r="L41" i="17"/>
  <c r="Q41" i="17" s="1"/>
  <c r="Z41" i="17" s="1"/>
  <c r="P46" i="17"/>
  <c r="L46" i="17"/>
  <c r="Q46" i="17" s="1"/>
  <c r="Z46" i="17" s="1"/>
  <c r="P20" i="19"/>
  <c r="V20" i="19" s="1"/>
  <c r="W20" i="19" s="1"/>
  <c r="P216" i="2"/>
  <c r="L216" i="2"/>
  <c r="Q216" i="2" s="1"/>
  <c r="AB216" i="2" s="1"/>
  <c r="L205" i="2"/>
  <c r="Q205" i="2" s="1"/>
  <c r="AB205" i="2" s="1"/>
  <c r="P205" i="2"/>
  <c r="P231" i="2"/>
  <c r="L231" i="2"/>
  <c r="Q231" i="2" s="1"/>
  <c r="AB231" i="2" s="1"/>
  <c r="P18" i="17"/>
  <c r="Z18" i="9"/>
  <c r="D20" i="13" s="1"/>
  <c r="P22" i="9"/>
  <c r="L22" i="9"/>
  <c r="Q22" i="9" s="1"/>
  <c r="X22" i="9" s="1"/>
  <c r="P26" i="9"/>
  <c r="L69" i="2"/>
  <c r="Q69" i="2" s="1"/>
  <c r="AB69" i="2" s="1"/>
  <c r="L82" i="2"/>
  <c r="Q82" i="2" s="1"/>
  <c r="AB82" i="2" s="1"/>
  <c r="L98" i="2"/>
  <c r="Q98" i="2" s="1"/>
  <c r="AB98" i="2" s="1"/>
  <c r="L114" i="2"/>
  <c r="Q114" i="2" s="1"/>
  <c r="AB114" i="2" s="1"/>
  <c r="L196" i="2"/>
  <c r="Q196" i="2" s="1"/>
  <c r="AD232" i="2"/>
  <c r="L14" i="17"/>
  <c r="Q14" i="17" s="1"/>
  <c r="Z14" i="17" s="1"/>
  <c r="L37" i="9"/>
  <c r="P47" i="9"/>
  <c r="P38" i="10"/>
  <c r="L38" i="10"/>
  <c r="Q38" i="10" s="1"/>
  <c r="X38" i="10" s="1"/>
  <c r="L122" i="10"/>
  <c r="Q122" i="10" s="1"/>
  <c r="X122" i="10" s="1"/>
  <c r="S140" i="9"/>
  <c r="P112" i="2"/>
  <c r="L154" i="2"/>
  <c r="Q154" i="2" s="1"/>
  <c r="AB154" i="2" s="1"/>
  <c r="L167" i="2"/>
  <c r="Q167" i="2" s="1"/>
  <c r="AB167" i="2" s="1"/>
  <c r="L212" i="2"/>
  <c r="Q212" i="2" s="1"/>
  <c r="AB212" i="2" s="1"/>
  <c r="L220" i="2"/>
  <c r="Q220" i="2" s="1"/>
  <c r="AB220" i="2" s="1"/>
  <c r="P220" i="2"/>
  <c r="P23" i="17"/>
  <c r="P28" i="17"/>
  <c r="L28" i="17"/>
  <c r="Q28" i="17" s="1"/>
  <c r="Z28" i="17" s="1"/>
  <c r="Q69" i="9"/>
  <c r="P89" i="9"/>
  <c r="L89" i="9"/>
  <c r="Z135" i="9"/>
  <c r="D27" i="13" s="1"/>
  <c r="P132" i="9"/>
  <c r="L132" i="9"/>
  <c r="Q132" i="9" s="1"/>
  <c r="X132" i="9" s="1"/>
  <c r="P10" i="17"/>
  <c r="L10" i="17"/>
  <c r="Q10" i="17" s="1"/>
  <c r="Z10" i="17" s="1"/>
  <c r="L15" i="17"/>
  <c r="Q15" i="17" s="1"/>
  <c r="Z15" i="17" s="1"/>
  <c r="P15" i="17"/>
  <c r="P75" i="9"/>
  <c r="L57" i="10"/>
  <c r="Q57" i="10" s="1"/>
  <c r="X57" i="10" s="1"/>
  <c r="P57" i="10"/>
  <c r="P228" i="2"/>
  <c r="L228" i="2"/>
  <c r="Q228" i="2" s="1"/>
  <c r="AB228" i="2" s="1"/>
  <c r="L120" i="9"/>
  <c r="Q120" i="9" s="1"/>
  <c r="X120" i="9" s="1"/>
  <c r="P120" i="9"/>
  <c r="AD164" i="2"/>
  <c r="L142" i="2"/>
  <c r="Q142" i="2" s="1"/>
  <c r="AB142" i="2" s="1"/>
  <c r="L152" i="2"/>
  <c r="Q152" i="2" s="1"/>
  <c r="AB152" i="2" s="1"/>
  <c r="L165" i="2"/>
  <c r="Q165" i="2" s="1"/>
  <c r="P210" i="2"/>
  <c r="L210" i="2"/>
  <c r="Q210" i="2" s="1"/>
  <c r="AB210" i="2" s="1"/>
  <c r="P47" i="17"/>
  <c r="P78" i="9"/>
  <c r="L78" i="9"/>
  <c r="Q78" i="9" s="1"/>
  <c r="X78" i="9" s="1"/>
  <c r="P86" i="9"/>
  <c r="L86" i="9"/>
  <c r="Q86" i="9" s="1"/>
  <c r="X86" i="9" s="1"/>
  <c r="L16" i="10"/>
  <c r="Q16" i="10" s="1"/>
  <c r="X16" i="10" s="1"/>
  <c r="P16" i="10"/>
  <c r="L31" i="10"/>
  <c r="Q31" i="10" s="1"/>
  <c r="P31" i="10"/>
  <c r="P199" i="2"/>
  <c r="L199" i="2"/>
  <c r="Q199" i="2" s="1"/>
  <c r="AB199" i="2" s="1"/>
  <c r="P96" i="10"/>
  <c r="L96" i="10"/>
  <c r="Q96" i="10" s="1"/>
  <c r="X96" i="10" s="1"/>
  <c r="P215" i="2"/>
  <c r="L215" i="2"/>
  <c r="Q215" i="2" s="1"/>
  <c r="AB215" i="2" s="1"/>
  <c r="L11" i="17"/>
  <c r="Q11" i="17" s="1"/>
  <c r="Z11" i="17" s="1"/>
  <c r="P11" i="17"/>
  <c r="P35" i="9"/>
  <c r="L35" i="9"/>
  <c r="Q35" i="9" s="1"/>
  <c r="X35" i="9" s="1"/>
  <c r="P28" i="9"/>
  <c r="L28" i="9"/>
  <c r="Q28" i="9" s="1"/>
  <c r="X28" i="9" s="1"/>
  <c r="P52" i="9"/>
  <c r="L52" i="9"/>
  <c r="L80" i="9"/>
  <c r="Q80" i="9" s="1"/>
  <c r="X80" i="9" s="1"/>
  <c r="P80" i="9"/>
  <c r="Z108" i="9"/>
  <c r="D25" i="13" s="1"/>
  <c r="P134" i="9"/>
  <c r="L134" i="9"/>
  <c r="Q134" i="9" s="1"/>
  <c r="X134" i="9" s="1"/>
  <c r="P76" i="10"/>
  <c r="L76" i="10"/>
  <c r="Q76" i="10" s="1"/>
  <c r="X76" i="10" s="1"/>
  <c r="P102" i="10"/>
  <c r="L102" i="10"/>
  <c r="Q102" i="10" s="1"/>
  <c r="P31" i="17"/>
  <c r="L20" i="9"/>
  <c r="Q20" i="9" s="1"/>
  <c r="X20" i="9" s="1"/>
  <c r="P20" i="9"/>
  <c r="P30" i="9"/>
  <c r="P48" i="9"/>
  <c r="L48" i="9"/>
  <c r="Q48" i="9" s="1"/>
  <c r="X48" i="9" s="1"/>
  <c r="P54" i="9"/>
  <c r="Z54" i="10"/>
  <c r="D37" i="13" s="1"/>
  <c r="P94" i="10"/>
  <c r="L94" i="10"/>
  <c r="Q94" i="10" s="1"/>
  <c r="X94" i="10" s="1"/>
  <c r="P72" i="9"/>
  <c r="L72" i="9"/>
  <c r="Q72" i="9" s="1"/>
  <c r="X72" i="9" s="1"/>
  <c r="P26" i="10"/>
  <c r="L26" i="10"/>
  <c r="Q26" i="10" s="1"/>
  <c r="X26" i="10" s="1"/>
  <c r="P68" i="10"/>
  <c r="L68" i="10"/>
  <c r="Q68" i="10" s="1"/>
  <c r="X68" i="10" s="1"/>
  <c r="P114" i="9"/>
  <c r="L114" i="9"/>
  <c r="Q114" i="9" s="1"/>
  <c r="X114" i="9" s="1"/>
  <c r="L130" i="9"/>
  <c r="Q130" i="9" s="1"/>
  <c r="X130" i="9" s="1"/>
  <c r="L44" i="10"/>
  <c r="Q44" i="10" s="1"/>
  <c r="X44" i="10" s="1"/>
  <c r="P44" i="10"/>
  <c r="P120" i="10"/>
  <c r="L120" i="10"/>
  <c r="Q120" i="10" s="1"/>
  <c r="X120" i="10" s="1"/>
  <c r="L40" i="9"/>
  <c r="Q40" i="9" s="1"/>
  <c r="X40" i="9" s="1"/>
  <c r="P40" i="9"/>
  <c r="L12" i="10"/>
  <c r="Q12" i="10" s="1"/>
  <c r="X12" i="10" s="1"/>
  <c r="L59" i="9"/>
  <c r="Q59" i="9" s="1"/>
  <c r="X59" i="9" s="1"/>
  <c r="L70" i="9"/>
  <c r="Q70" i="9" s="1"/>
  <c r="X70" i="9" s="1"/>
  <c r="P74" i="9"/>
  <c r="L107" i="9"/>
  <c r="Q107" i="9" s="1"/>
  <c r="X107" i="9" s="1"/>
  <c r="P112" i="9"/>
  <c r="L112" i="9"/>
  <c r="Q112" i="9" s="1"/>
  <c r="X112" i="9" s="1"/>
  <c r="L124" i="9"/>
  <c r="P124" i="9"/>
  <c r="L24" i="10"/>
  <c r="Q24" i="10" s="1"/>
  <c r="X24" i="10" s="1"/>
  <c r="P41" i="10"/>
  <c r="L41" i="10"/>
  <c r="Q41" i="10" s="1"/>
  <c r="X41" i="10" s="1"/>
  <c r="S137" i="10"/>
  <c r="AD132" i="2"/>
  <c r="P11" i="9"/>
  <c r="L33" i="9"/>
  <c r="Q33" i="9" s="1"/>
  <c r="X33" i="9" s="1"/>
  <c r="L57" i="9"/>
  <c r="Q57" i="9" s="1"/>
  <c r="X57" i="9" s="1"/>
  <c r="L85" i="9"/>
  <c r="Q85" i="9" s="1"/>
  <c r="X85" i="9" s="1"/>
  <c r="P92" i="9"/>
  <c r="L92" i="9"/>
  <c r="Q92" i="9" s="1"/>
  <c r="X92" i="9" s="1"/>
  <c r="P52" i="10"/>
  <c r="L52" i="10"/>
  <c r="Q52" i="10" s="1"/>
  <c r="X52" i="10" s="1"/>
  <c r="P63" i="10"/>
  <c r="L63" i="10"/>
  <c r="Q63" i="10" s="1"/>
  <c r="X63" i="10" s="1"/>
  <c r="L83" i="10"/>
  <c r="Q83" i="10" s="1"/>
  <c r="X83" i="10" s="1"/>
  <c r="P89" i="10"/>
  <c r="L89" i="10"/>
  <c r="Q89" i="10" s="1"/>
  <c r="X89" i="10" s="1"/>
  <c r="L109" i="10"/>
  <c r="Q109" i="10" s="1"/>
  <c r="X109" i="10" s="1"/>
  <c r="L18" i="10"/>
  <c r="Q18" i="10" s="1"/>
  <c r="P18" i="10"/>
  <c r="P39" i="10"/>
  <c r="L39" i="10"/>
  <c r="Q39" i="10" s="1"/>
  <c r="X39" i="10" s="1"/>
  <c r="L16" i="9"/>
  <c r="Q16" i="9" s="1"/>
  <c r="X16" i="9" s="1"/>
  <c r="P16" i="9"/>
  <c r="L110" i="9"/>
  <c r="P138" i="9"/>
  <c r="L138" i="9"/>
  <c r="Q138" i="9" s="1"/>
  <c r="X138" i="9" s="1"/>
  <c r="P15" i="10"/>
  <c r="L15" i="10"/>
  <c r="Q15" i="10" s="1"/>
  <c r="X15" i="10" s="1"/>
  <c r="X55" i="10"/>
  <c r="X8" i="10"/>
  <c r="Z69" i="10"/>
  <c r="D38" i="13" s="1"/>
  <c r="P81" i="10"/>
  <c r="L81" i="10"/>
  <c r="Q81" i="10" s="1"/>
  <c r="X81" i="10" s="1"/>
  <c r="P107" i="10"/>
  <c r="L107" i="10"/>
  <c r="Q107" i="10" s="1"/>
  <c r="X107" i="10" s="1"/>
  <c r="P136" i="9"/>
  <c r="L136" i="9"/>
  <c r="Q136" i="9" s="1"/>
  <c r="Z17" i="10"/>
  <c r="D34" i="13" s="1"/>
  <c r="P13" i="10"/>
  <c r="L13" i="10"/>
  <c r="Q13" i="10" s="1"/>
  <c r="X13" i="10" s="1"/>
  <c r="P50" i="10"/>
  <c r="L50" i="10"/>
  <c r="Q50" i="10" s="1"/>
  <c r="X50" i="10" s="1"/>
  <c r="X70" i="10"/>
  <c r="Z123" i="9"/>
  <c r="D26" i="13" s="1"/>
  <c r="Z30" i="10"/>
  <c r="D35" i="13" s="1"/>
  <c r="P70" i="10"/>
  <c r="P99" i="10"/>
  <c r="P112" i="10"/>
  <c r="P125" i="10"/>
  <c r="L65" i="10"/>
  <c r="Q65" i="10" s="1"/>
  <c r="X65" i="10" s="1"/>
  <c r="L78" i="10"/>
  <c r="Q78" i="10" s="1"/>
  <c r="X78" i="10" s="1"/>
  <c r="L91" i="10"/>
  <c r="Q91" i="10" s="1"/>
  <c r="X91" i="10" s="1"/>
  <c r="L104" i="10"/>
  <c r="Q104" i="10" s="1"/>
  <c r="X104" i="10" s="1"/>
  <c r="L130" i="10"/>
  <c r="Q130" i="10" s="1"/>
  <c r="L67" i="10"/>
  <c r="Q67" i="10" s="1"/>
  <c r="X67" i="10" s="1"/>
  <c r="L80" i="10"/>
  <c r="Q80" i="10" s="1"/>
  <c r="X80" i="10" s="1"/>
  <c r="L93" i="10"/>
  <c r="Q93" i="10" s="1"/>
  <c r="X93" i="10" s="1"/>
  <c r="L106" i="10"/>
  <c r="Q106" i="10" s="1"/>
  <c r="X106" i="10" s="1"/>
  <c r="L119" i="10"/>
  <c r="Q119" i="10" s="1"/>
  <c r="L132" i="10"/>
  <c r="Q132" i="10" s="1"/>
  <c r="L36" i="10"/>
  <c r="Q36" i="10" s="1"/>
  <c r="X36" i="10" s="1"/>
  <c r="L49" i="10"/>
  <c r="Q49" i="10" s="1"/>
  <c r="X49" i="10" s="1"/>
  <c r="L62" i="10"/>
  <c r="Q62" i="10" s="1"/>
  <c r="X62" i="10" s="1"/>
  <c r="L75" i="10"/>
  <c r="Q75" i="10" s="1"/>
  <c r="X75" i="10" s="1"/>
  <c r="L88" i="10"/>
  <c r="Q88" i="10" s="1"/>
  <c r="X88" i="10" s="1"/>
  <c r="L12" i="17"/>
  <c r="Q12" i="17" s="1"/>
  <c r="L19" i="17"/>
  <c r="Q19" i="17" s="1"/>
  <c r="Z19" i="17" s="1"/>
  <c r="L27" i="17"/>
  <c r="Q27" i="17" s="1"/>
  <c r="Z27" i="17" s="1"/>
  <c r="L35" i="17"/>
  <c r="Q35" i="17" s="1"/>
  <c r="Z35" i="17" s="1"/>
  <c r="L43" i="17"/>
  <c r="Q43" i="17" s="1"/>
  <c r="Z43" i="17" s="1"/>
  <c r="L51" i="17"/>
  <c r="Q51" i="17" s="1"/>
  <c r="Z51" i="17" s="1"/>
  <c r="P13" i="17"/>
  <c r="P21" i="17"/>
  <c r="P29" i="17"/>
  <c r="L34" i="17"/>
  <c r="Q34" i="17" s="1"/>
  <c r="Z34" i="17" s="1"/>
  <c r="P37" i="17"/>
  <c r="L42" i="17"/>
  <c r="Q42" i="17" s="1"/>
  <c r="Z42" i="17" s="1"/>
  <c r="P45" i="17"/>
  <c r="L50" i="17"/>
  <c r="Q50" i="17" s="1"/>
  <c r="Z50" i="17" s="1"/>
  <c r="P53" i="17"/>
  <c r="L16" i="17"/>
  <c r="Q16" i="17" s="1"/>
  <c r="Z16" i="17" s="1"/>
  <c r="L24" i="17"/>
  <c r="Q24" i="17" s="1"/>
  <c r="Z24" i="17" s="1"/>
  <c r="L32" i="17"/>
  <c r="Q32" i="17" s="1"/>
  <c r="Z32" i="17" s="1"/>
  <c r="L40" i="17"/>
  <c r="Q40" i="17" s="1"/>
  <c r="Z40" i="17" s="1"/>
  <c r="L48" i="17"/>
  <c r="Q48" i="17" s="1"/>
  <c r="Z48" i="17" s="1"/>
  <c r="L56" i="17"/>
  <c r="Q56" i="17" s="1"/>
  <c r="Z56" i="17" s="1"/>
  <c r="L9" i="17"/>
  <c r="Q9" i="17" s="1"/>
  <c r="Z140" i="9" l="1"/>
  <c r="L87" i="9"/>
  <c r="Z137" i="10"/>
  <c r="E10" i="8"/>
  <c r="P28" i="2"/>
  <c r="Q28" i="2"/>
  <c r="AB28" i="2"/>
  <c r="AB102" i="2"/>
  <c r="AB164" i="2"/>
  <c r="AD237" i="2"/>
  <c r="W22" i="19"/>
  <c r="X130" i="10"/>
  <c r="X136" i="10" s="1"/>
  <c r="Q136" i="10"/>
  <c r="AB233" i="2"/>
  <c r="AB236" i="2" s="1"/>
  <c r="Q236" i="2"/>
  <c r="Q117" i="10"/>
  <c r="X102" i="10"/>
  <c r="X117" i="10" s="1"/>
  <c r="C41" i="13" s="1"/>
  <c r="AB49" i="2"/>
  <c r="AB74" i="2" s="1"/>
  <c r="D8" i="8" s="1"/>
  <c r="F8" i="8" s="1"/>
  <c r="Q74" i="2"/>
  <c r="X101" i="10"/>
  <c r="C40" i="13" s="1"/>
  <c r="Q102" i="2"/>
  <c r="L108" i="9"/>
  <c r="Q89" i="9"/>
  <c r="Q101" i="10"/>
  <c r="AB132" i="2"/>
  <c r="AB165" i="2"/>
  <c r="AB195" i="2" s="1"/>
  <c r="Q195" i="2"/>
  <c r="Q30" i="10"/>
  <c r="X18" i="10"/>
  <c r="X30" i="10" s="1"/>
  <c r="C35" i="13" s="1"/>
  <c r="L51" i="9"/>
  <c r="Q37" i="9"/>
  <c r="AB232" i="2"/>
  <c r="Q48" i="2"/>
  <c r="AB29" i="2"/>
  <c r="AB48" i="2" s="1"/>
  <c r="D7" i="8" s="1"/>
  <c r="F7" i="8" s="1"/>
  <c r="Q17" i="10"/>
  <c r="Q87" i="9"/>
  <c r="X69" i="9"/>
  <c r="X87" i="9" s="1"/>
  <c r="C24" i="13" s="1"/>
  <c r="Q52" i="9"/>
  <c r="L67" i="9"/>
  <c r="Q42" i="10"/>
  <c r="X31" i="10"/>
  <c r="X42" i="10" s="1"/>
  <c r="C36" i="13" s="1"/>
  <c r="L18" i="9"/>
  <c r="Q8" i="9"/>
  <c r="X136" i="9"/>
  <c r="X139" i="9" s="1"/>
  <c r="Q139" i="9"/>
  <c r="X17" i="10"/>
  <c r="C34" i="13" s="1"/>
  <c r="X119" i="10"/>
  <c r="X129" i="10" s="1"/>
  <c r="C42" i="13" s="1"/>
  <c r="Q129" i="10"/>
  <c r="X84" i="10"/>
  <c r="C39" i="13" s="1"/>
  <c r="Q218" i="2"/>
  <c r="AB196" i="2"/>
  <c r="AB218" i="2" s="1"/>
  <c r="Q164" i="2"/>
  <c r="Q54" i="10"/>
  <c r="Q110" i="9"/>
  <c r="L123" i="9"/>
  <c r="Q84" i="10"/>
  <c r="X69" i="10"/>
  <c r="C38" i="13" s="1"/>
  <c r="Q19" i="9"/>
  <c r="L36" i="9"/>
  <c r="X54" i="10"/>
  <c r="C37" i="13" s="1"/>
  <c r="Q69" i="10"/>
  <c r="Q124" i="9"/>
  <c r="L135" i="9"/>
  <c r="Z9" i="17"/>
  <c r="Z58" i="17" s="1"/>
  <c r="D9" i="8" s="1"/>
  <c r="F9" i="8" s="1"/>
  <c r="Q58" i="17"/>
  <c r="Q232" i="2"/>
  <c r="Q132" i="2"/>
  <c r="D6" i="8" l="1"/>
  <c r="D10" i="8" s="1"/>
  <c r="X52" i="9"/>
  <c r="X67" i="9" s="1"/>
  <c r="C23" i="13" s="1"/>
  <c r="Q67" i="9"/>
  <c r="X110" i="9"/>
  <c r="X123" i="9" s="1"/>
  <c r="C26" i="13" s="1"/>
  <c r="Q123" i="9"/>
  <c r="X37" i="9"/>
  <c r="X51" i="9" s="1"/>
  <c r="C22" i="13" s="1"/>
  <c r="Q51" i="9"/>
  <c r="Q237" i="2"/>
  <c r="AB237" i="2"/>
  <c r="X124" i="9"/>
  <c r="X135" i="9" s="1"/>
  <c r="C27" i="13" s="1"/>
  <c r="Q135" i="9"/>
  <c r="Q137" i="10"/>
  <c r="X89" i="9"/>
  <c r="X108" i="9" s="1"/>
  <c r="C25" i="13" s="1"/>
  <c r="Q108" i="9"/>
  <c r="C28" i="13"/>
  <c r="Q18" i="9"/>
  <c r="X8" i="9"/>
  <c r="X18" i="9" s="1"/>
  <c r="C20" i="13" s="1"/>
  <c r="X19" i="9"/>
  <c r="X36" i="9" s="1"/>
  <c r="C21" i="13" s="1"/>
  <c r="Q36" i="9"/>
  <c r="X137" i="10"/>
  <c r="C43" i="13"/>
  <c r="Q140" i="9" l="1"/>
  <c r="F6" i="8"/>
  <c r="F10" i="8" s="1"/>
  <c r="X14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Simon Williams</author>
  </authors>
  <commentList>
    <comment ref="Q6" authorId="0" shapeId="0" xr:uid="{3DF9DB02-1D23-485B-BB75-E326FBBD5EBD}">
      <text>
        <r>
          <rPr>
            <b/>
            <sz val="9"/>
            <color indexed="81"/>
            <rFont val="Tahoma"/>
            <family val="2"/>
          </rPr>
          <t>Simon Williams:</t>
        </r>
        <r>
          <rPr>
            <sz val="9"/>
            <color indexed="81"/>
            <rFont val="Tahoma"/>
            <family val="2"/>
          </rPr>
          <t xml:space="preserve">
DOUBLED TO ACCOUNT FOR PORT AND STARBOARD SIDES</t>
        </r>
      </text>
    </comment>
    <comment ref="S6" authorId="0" shapeId="0" xr:uid="{EB02CD48-9127-43E6-92B0-914DB5519D10}">
      <text>
        <r>
          <rPr>
            <b/>
            <sz val="9"/>
            <color indexed="81"/>
            <rFont val="Tahoma"/>
            <family val="2"/>
          </rPr>
          <t>Simon Williams:</t>
        </r>
        <r>
          <rPr>
            <sz val="9"/>
            <color indexed="81"/>
            <rFont val="Tahoma"/>
            <family val="2"/>
          </rPr>
          <t xml:space="preserve">
DOUBLED TO ACCOUNT FOR PORT AND STARBOARD SIDES
</t>
        </r>
      </text>
    </comment>
  </commentList>
</comments>
</file>

<file path=xl/sharedStrings.xml><?xml version="1.0" encoding="utf-8"?>
<sst xmlns="http://schemas.openxmlformats.org/spreadsheetml/2006/main" count="5363" uniqueCount="520">
  <si>
    <t xml:space="preserve">HMS Victory Topside Plank Cutting List </t>
  </si>
  <si>
    <t xml:space="preserve">Strake No. </t>
  </si>
  <si>
    <t xml:space="preserve">Refers to one breadth of plank wrought from one end of the ship to the other, numbers starting from the plank next to the keel upwards </t>
  </si>
  <si>
    <t xml:space="preserve">Plank No's </t>
  </si>
  <si>
    <t>Each plank is numbered  according to strake and then after the dot, numbered starting from forward working to aft</t>
  </si>
  <si>
    <t xml:space="preserve">Nominal Thickness </t>
  </si>
  <si>
    <t xml:space="preserve">Refers to the plank strake thickness in inches before fairing </t>
  </si>
  <si>
    <t>Length</t>
  </si>
  <si>
    <t>Length of plank  in metres, the length has been rounded up approximately between 70mm and 160mm in length.</t>
  </si>
  <si>
    <t>Breadth</t>
  </si>
  <si>
    <t>Width of plank from drawing and rounded up between 5mm and 10mm,  additional width added if working up or down to a gun port, no allowance for sny. If the planking is worked top and butt or anchor stock the maximum breadth is given</t>
  </si>
  <si>
    <t>Thickness</t>
  </si>
  <si>
    <t>Nominal thickness in mm</t>
  </si>
  <si>
    <t>Plank Shape</t>
  </si>
  <si>
    <t xml:space="preserve">Wrought either; top and butt, anchor stock or parallel </t>
  </si>
  <si>
    <t xml:space="preserve">Butt at Frame No. </t>
  </si>
  <si>
    <t>The joint at the plank ends, the frames are numbered from forward to aft, and the given frame number is where the butt is made, either to the next plank butt or up to a gunport.</t>
  </si>
  <si>
    <t>Stuff of the Topside</t>
  </si>
  <si>
    <t>Sheer Strake</t>
  </si>
  <si>
    <t>The strakes wrought in the topside, of which the upper edge is wrought well with the top timber line, or top of the side, and the lower edge kept well with the upper part of the upper deck ports in midships, so as to be continued whole and not be cut by the ports. It forms the chief strength of the upper part of the topside, and is therefore always worked thicker than the other strakes and scarfed with hook and butt between the drifts.</t>
  </si>
  <si>
    <t>Those strakes of thick stuff in the topside of three-decked ships which are wrought between the middle and upper decks</t>
  </si>
  <si>
    <t xml:space="preserve">Three thick strakes, worked between the lower and middle deck ports </t>
  </si>
  <si>
    <t>Black Strake</t>
  </si>
  <si>
    <t>Principal strakes of thickstuff wrought below the lower deck ports at the broadest part of the body</t>
  </si>
  <si>
    <t xml:space="preserve">Sny </t>
  </si>
  <si>
    <t xml:space="preserve">A term applied to planks when their edges round or curve upwards </t>
  </si>
  <si>
    <t>Slight curve</t>
  </si>
  <si>
    <t>The plank if laminated may require curved jig when gluing up</t>
  </si>
  <si>
    <t>Curved</t>
  </si>
  <si>
    <t>The plank if laminated will require curved jig when gluing up and if solid may require steam bending to shape</t>
  </si>
  <si>
    <t>Works down</t>
  </si>
  <si>
    <t>Where planks above ports carry less than 5 inches in width above a port the strake above is worked down to the stops of the port</t>
  </si>
  <si>
    <t>Works up</t>
  </si>
  <si>
    <t>Where planks below ports carry less than 4 inches in width below a port the strake below is worked up to the stops of the port</t>
  </si>
  <si>
    <t>QD</t>
  </si>
  <si>
    <t>Quarter deck</t>
  </si>
  <si>
    <t>GP</t>
  </si>
  <si>
    <t>Gun port</t>
  </si>
  <si>
    <t>Strake No. 73</t>
  </si>
  <si>
    <t>Nominal Thickness 3"</t>
  </si>
  <si>
    <t xml:space="preserve">Length </t>
  </si>
  <si>
    <t>Butt at</t>
  </si>
  <si>
    <t>Comments</t>
  </si>
  <si>
    <t>Plank No's</t>
  </si>
  <si>
    <t>Description</t>
  </si>
  <si>
    <t>M</t>
  </si>
  <si>
    <t>mm</t>
  </si>
  <si>
    <t>Frame No.</t>
  </si>
  <si>
    <t>Parallel</t>
  </si>
  <si>
    <t>Strake No. 72</t>
  </si>
  <si>
    <t>Plank shape</t>
  </si>
  <si>
    <t>frame no.</t>
  </si>
  <si>
    <t>Straight</t>
  </si>
  <si>
    <t>Slight curve, works down to QD GP no.5</t>
  </si>
  <si>
    <t>Strake No. 71</t>
  </si>
  <si>
    <t>Slight curve, works down to QD gallery doorway</t>
  </si>
  <si>
    <t>Strake No. 70</t>
  </si>
  <si>
    <t>Slight curve, works down to QD GP no. 6</t>
  </si>
  <si>
    <t>Strake No. 69</t>
  </si>
  <si>
    <t>Curved, approximate length</t>
  </si>
  <si>
    <t>99B</t>
  </si>
  <si>
    <t>Strake No. 68</t>
  </si>
  <si>
    <t>41 B</t>
  </si>
  <si>
    <t>91 A</t>
  </si>
  <si>
    <t xml:space="preserve">Slight curve, works up to QD GP no. 3 </t>
  </si>
  <si>
    <t>Strake No. 67</t>
  </si>
  <si>
    <t>Nominal Thickness 4"</t>
  </si>
  <si>
    <t>Sheer rail fitted to top edge under planksheer at waist</t>
  </si>
  <si>
    <t>Strake No. 66</t>
  </si>
  <si>
    <t xml:space="preserve">Channel rail fitted to top edge below  caulking seam </t>
  </si>
  <si>
    <t>Straight, scarf joint at aft end, works down to UD GP no. 4</t>
  </si>
  <si>
    <t>Straight, scarf joint at forward &amp; aft ends, works down to UD GP no. 7</t>
  </si>
  <si>
    <t>Straight, scarf joint at forward  end, works down to UD GP no.'s 8, 9 &amp; 10</t>
  </si>
  <si>
    <t>Slight curve, works up to QD GP no. 6</t>
  </si>
  <si>
    <t>Slight curve, approximate length</t>
  </si>
  <si>
    <t>Strake No. 65</t>
  </si>
  <si>
    <t>Slight curve, works down to UD GP no.1</t>
  </si>
  <si>
    <t>Strake No. 64</t>
  </si>
  <si>
    <t xml:space="preserve">Waist rail fitted to top edge below  caulking seam </t>
  </si>
  <si>
    <t>Slight curve, works down to UD GP no. 14</t>
  </si>
  <si>
    <t>Slight curve, works up to UD quarter gallery doorway</t>
  </si>
  <si>
    <t>Strake No. 63</t>
  </si>
  <si>
    <t>Strake No. 62</t>
  </si>
  <si>
    <t>Strake No. 61</t>
  </si>
  <si>
    <t>Slight curve. Works up to UD GP no.'s 3 &amp; 4</t>
  </si>
  <si>
    <t>Slight curve. Works up to UD GP no.'s 10 &amp; 11</t>
  </si>
  <si>
    <t>Strake No. 60</t>
  </si>
  <si>
    <t>Sheer Wale</t>
  </si>
  <si>
    <t>Stem</t>
  </si>
  <si>
    <t>Curved and may have sny, approximate length</t>
  </si>
  <si>
    <t>Curved and may have sny, works up to the UD GP no. 1</t>
  </si>
  <si>
    <t>83B</t>
  </si>
  <si>
    <t>Slight curve, works up to UD GP no.13</t>
  </si>
  <si>
    <t>Strake No. 59</t>
  </si>
  <si>
    <t>Slight curve, works up to UD GP no. 15</t>
  </si>
  <si>
    <t>Strake No. 58</t>
  </si>
  <si>
    <t>Slight curve, works down to MD GP no.'s 4 &amp; 5</t>
  </si>
  <si>
    <t>Straight,  works down to MD GP no.'s 6 &amp; 7</t>
  </si>
  <si>
    <t>Straight,  works down to MD GP no.'s 8 &amp; 9</t>
  </si>
  <si>
    <t>106 B</t>
  </si>
  <si>
    <t>Straight,  works down to MD GP no.. 11</t>
  </si>
  <si>
    <t>Strake No. 57</t>
  </si>
  <si>
    <t>Nominal Thickness 3 1/2"</t>
  </si>
  <si>
    <t>3 1/2" taper to 3" thickness</t>
  </si>
  <si>
    <t>Curved and may have sny, works down to MD GP no. 3</t>
  </si>
  <si>
    <t>Slight curve, works down to MD GP no.14</t>
  </si>
  <si>
    <t>Strake No. 56</t>
  </si>
  <si>
    <t>4 " taper to 3 1/2" thickness</t>
  </si>
  <si>
    <t>Curved and may have sny, works down to MD GP no. 1</t>
  </si>
  <si>
    <t>Slight curve, works down to MD GP no. 16</t>
  </si>
  <si>
    <t>Strake No. 55</t>
  </si>
  <si>
    <t>Nominal Thickness 4 1/4"</t>
  </si>
  <si>
    <t>4 1/4" taper to 4 " thickness</t>
  </si>
  <si>
    <t xml:space="preserve">Slight curve, approximate length   </t>
  </si>
  <si>
    <t>Strake No. 54</t>
  </si>
  <si>
    <t>Nominal Thickness 4 3/8"</t>
  </si>
  <si>
    <t>4 3/8" taper to 4 1/4" thickness</t>
  </si>
  <si>
    <t>Strake No. 53</t>
  </si>
  <si>
    <t>Nominal Thickness 4 1/2"</t>
  </si>
  <si>
    <t>4 1/2" taper to 4 3/8" thickness</t>
  </si>
  <si>
    <t xml:space="preserve">Slight curve, works up to MD GP no.  4 </t>
  </si>
  <si>
    <t xml:space="preserve">Slight curve , works up to MD GP no.'s 5 &amp; 6 </t>
  </si>
  <si>
    <t>Straight, works up to MD GP no's' 7 &amp; 8</t>
  </si>
  <si>
    <t>Straight, works up to MD GP no. 9</t>
  </si>
  <si>
    <t>Straight, works up to MD GP no. 11</t>
  </si>
  <si>
    <t>Slight curve , works up to MD GP no. 12</t>
  </si>
  <si>
    <t xml:space="preserve">Slight curve  </t>
  </si>
  <si>
    <t>Strake No. 52</t>
  </si>
  <si>
    <t>Nominal Thickness 5 1/2"</t>
  </si>
  <si>
    <t>Strake No. 51</t>
  </si>
  <si>
    <t>Anchor Stock</t>
  </si>
  <si>
    <t>Strake No. 50</t>
  </si>
  <si>
    <t>Slight curve, works down to LD GP no.'s 4 &amp; 5</t>
  </si>
  <si>
    <t>Straight, works down to LD GP no.'s 6 &amp; 7</t>
  </si>
  <si>
    <t>Straight, works down to LD GP no.'s 8, 9 &amp; 10</t>
  </si>
  <si>
    <t>Strake No. 49</t>
  </si>
  <si>
    <t>Nominal Thickness 5 "</t>
  </si>
  <si>
    <t>5" taper to 4 1/2" thickness</t>
  </si>
  <si>
    <t xml:space="preserve">Curved, approximate length </t>
  </si>
  <si>
    <t>Slight curve lower edge works down to LD GP no. 115 at aft end</t>
  </si>
  <si>
    <t>Strake No. 48</t>
  </si>
  <si>
    <t>Nominal Thickness 5 9/16"</t>
  </si>
  <si>
    <t xml:space="preserve"> 5 9/16" taper to 5" thickness</t>
  </si>
  <si>
    <t xml:space="preserve">Curved and may have sny, approximate length </t>
  </si>
  <si>
    <t>Strake No. 47</t>
  </si>
  <si>
    <t>Nominal Thickness 6 1/4"</t>
  </si>
  <si>
    <t>6 1/4" taper to 5 9/16" thickness</t>
  </si>
  <si>
    <t xml:space="preserve">Curved and may have sny </t>
  </si>
  <si>
    <t>Slight curve, lower edge works down to LD GP no. 16, approx. length</t>
  </si>
  <si>
    <t>Strake No. 46</t>
  </si>
  <si>
    <t>Nominal Thickness 7"</t>
  </si>
  <si>
    <t>7" taper to 6 1/4" thickness</t>
  </si>
  <si>
    <t>Strake No. 45</t>
  </si>
  <si>
    <t>Nominal Thickness 8"</t>
  </si>
  <si>
    <t>Bevel to top edge</t>
  </si>
  <si>
    <t>Slight curve, top edge works up to LD GP no. 4</t>
  </si>
  <si>
    <t>Straight, top edge works up to LD GP no. 6</t>
  </si>
  <si>
    <t>Stern</t>
  </si>
  <si>
    <t>Strake No. 44</t>
  </si>
  <si>
    <t>Nominal Thickness 10"</t>
  </si>
  <si>
    <t>Top and butt</t>
  </si>
  <si>
    <t>Curved and may have sny, top edge works up to LD GP no. 2</t>
  </si>
  <si>
    <t xml:space="preserve">Curve and twist, approximate length </t>
  </si>
  <si>
    <t xml:space="preserve">Curve and twist and may have sny, approximate length </t>
  </si>
  <si>
    <t>Strake No. 43</t>
  </si>
  <si>
    <t>Curved and may have sny</t>
  </si>
  <si>
    <t>Strake No. 42</t>
  </si>
  <si>
    <t xml:space="preserve">Extreme curve and twist and may have sny, approximate length </t>
  </si>
  <si>
    <t>Strake No. 41</t>
  </si>
  <si>
    <t>Strake No. 40</t>
  </si>
  <si>
    <t>8" taper to 7 3/4" thickness</t>
  </si>
  <si>
    <t>Curve and twist and may have sny</t>
  </si>
  <si>
    <t>Strake No. 39</t>
  </si>
  <si>
    <t>Nominal Thickness 7 3/4"</t>
  </si>
  <si>
    <t xml:space="preserve"> 7 3/4"taper to 7 1/2" thickness</t>
  </si>
  <si>
    <t>Strake No. 38</t>
  </si>
  <si>
    <t>Nominal Thickness 7 1/2"</t>
  </si>
  <si>
    <t>7 1/2" taper to 7 1/4" thickness</t>
  </si>
  <si>
    <t>Strake No. 37</t>
  </si>
  <si>
    <t>Nominal Thickness 7 1/4"</t>
  </si>
  <si>
    <t>7 1/4" taper to 7" thickness</t>
  </si>
  <si>
    <t xml:space="preserve">stern </t>
  </si>
  <si>
    <t>Cu M TOTAL</t>
  </si>
  <si>
    <t>Cu feet TOTAL</t>
  </si>
  <si>
    <t>Prepared by Dominic Mills of T. Nielsen and Company Limited for Andrew Baines of the National Museum of the Royal Navy 11th May 2022</t>
  </si>
  <si>
    <t>Explanation of Terms, &amp;c. used in Ship-Building</t>
  </si>
  <si>
    <t>Channel Wales</t>
  </si>
  <si>
    <t>Main Wales</t>
  </si>
  <si>
    <t>Measurements taken from HMS Victory Butt Plan Drawing 12th May 2022</t>
  </si>
  <si>
    <t>MD</t>
  </si>
  <si>
    <t>LD</t>
  </si>
  <si>
    <t>Middle deck</t>
  </si>
  <si>
    <t>Lower deck</t>
  </si>
  <si>
    <t xml:space="preserve">Sheer Wales </t>
  </si>
  <si>
    <t>Stuff  between Wales</t>
  </si>
  <si>
    <t>Diminishing Strake</t>
  </si>
  <si>
    <t>Topside planks between the Channel Wales and sheer wales  and above the sheer strakes. Planks are usually thinner than the wales and sheer strakes</t>
  </si>
  <si>
    <t>Channel Wale</t>
  </si>
  <si>
    <t>Stuff between Wales</t>
  </si>
  <si>
    <t>Plank strakes above the Black Strake and below the Channel Wales</t>
  </si>
  <si>
    <t xml:space="preserve">A broad strake of thickstuff , which is parallel to and worked upon the upper edge of the Main Wales </t>
  </si>
  <si>
    <t>Thickstuff under the Main Wales, the strakes diminish in thickness working down from the strake under the Main Wales over eight  strakes, each strake tapering in thickness by approximately 1/4 inch at a time</t>
  </si>
  <si>
    <t>Main Wale</t>
  </si>
  <si>
    <t>Breadth (mm)</t>
  </si>
  <si>
    <t>Thickness (mm)</t>
  </si>
  <si>
    <t>HMS Victory Starboard  Topside Plank Cutting List 13/05/2022</t>
  </si>
  <si>
    <t>Length 
(m)</t>
  </si>
  <si>
    <t>Moisture Content (%)</t>
  </si>
  <si>
    <t>Plank Shape (Hide)</t>
  </si>
  <si>
    <t>Comment (Hide)</t>
  </si>
  <si>
    <t>Delivery By</t>
  </si>
  <si>
    <t xml:space="preserve">Lot </t>
  </si>
  <si>
    <t xml:space="preserve">Lot 1 </t>
  </si>
  <si>
    <t>Lot 2</t>
  </si>
  <si>
    <t>Lot 3</t>
  </si>
  <si>
    <t>Length 
(mm)</t>
  </si>
  <si>
    <t>Outer Laminate (1/4 sawn) Grade</t>
  </si>
  <si>
    <t>Inner Laminate Grade</t>
  </si>
  <si>
    <t>Total No. of Laminate Planks</t>
  </si>
  <si>
    <t>Total No. Whole Laminate Planks</t>
  </si>
  <si>
    <t>Final Fitted Whole Plank (Hide)</t>
  </si>
  <si>
    <t>16% (+/-2%)</t>
  </si>
  <si>
    <t>No. Inner Laminates per Plank</t>
  </si>
  <si>
    <t>Total No. Whole Inner Planks for Supply</t>
  </si>
  <si>
    <t>Total No. 1/4 Sawn Planks for Supply</t>
  </si>
  <si>
    <t>Stage 1 - Midships</t>
  </si>
  <si>
    <t>Stage 2 - Bow</t>
  </si>
  <si>
    <t>Stage 3 - Stern</t>
  </si>
  <si>
    <t>Grand Totals</t>
  </si>
  <si>
    <t>Subtotals</t>
  </si>
  <si>
    <t>Total No. 1/4 Sawn 
Planks for Supply</t>
  </si>
  <si>
    <t>Total No. Inner Laminate Planks for Supply</t>
  </si>
  <si>
    <t>No. Inner Laminates per Plank (HIDE)</t>
  </si>
  <si>
    <t>Breadth 
(mm)</t>
  </si>
  <si>
    <t>Thickness 
(mm)</t>
  </si>
  <si>
    <t>No. of Laminate Planks</t>
  </si>
  <si>
    <t>No. Whole Laminate Planks</t>
  </si>
  <si>
    <t>No. Whole Laminate Planks (HIDE)</t>
  </si>
  <si>
    <t>No. of Laminate Planks (HIDE)</t>
  </si>
  <si>
    <t>To be Completed By Supplier</t>
  </si>
  <si>
    <t>Total Inner Laminate Costs</t>
  </si>
  <si>
    <t xml:space="preserve">Total Quarter Sawn Costs </t>
  </si>
  <si>
    <t xml:space="preserve">  Stage 1 - Midships</t>
  </si>
  <si>
    <t>Plank Dimensions</t>
  </si>
  <si>
    <t>Lot 
(1/2/3)</t>
  </si>
  <si>
    <t>Inner Plank Grade</t>
  </si>
  <si>
    <t>Outer Plank (1/4 sawn) Grade</t>
  </si>
  <si>
    <t>Plank ID</t>
  </si>
  <si>
    <t>Outer Planks (1/4 sawn) Grade</t>
  </si>
  <si>
    <t xml:space="preserve">
Price for Single Inner Plank 
</t>
  </si>
  <si>
    <t xml:space="preserve">Price for Single 1/4 Sawn Plank </t>
  </si>
  <si>
    <t xml:space="preserve">Total Price for Inner Planks </t>
  </si>
  <si>
    <t>Total Price for 1/4 Sawn Planks</t>
  </si>
  <si>
    <t>Moisture Content 
(%)</t>
  </si>
  <si>
    <t>OHP (%)</t>
  </si>
  <si>
    <t>OHP (£)</t>
  </si>
  <si>
    <t>M1</t>
  </si>
  <si>
    <t>M2</t>
  </si>
  <si>
    <t>M3</t>
  </si>
  <si>
    <t>M4</t>
  </si>
  <si>
    <t>M5</t>
  </si>
  <si>
    <t>M6</t>
  </si>
  <si>
    <t>M7</t>
  </si>
  <si>
    <t>M8</t>
  </si>
  <si>
    <t>M9</t>
  </si>
  <si>
    <t>M10</t>
  </si>
  <si>
    <t>Total Price Inner Laminate</t>
  </si>
  <si>
    <t xml:space="preserve">Total Price Quarter Sawn </t>
  </si>
  <si>
    <t>S1</t>
  </si>
  <si>
    <t>S2</t>
  </si>
  <si>
    <t>S3</t>
  </si>
  <si>
    <t>S4</t>
  </si>
  <si>
    <t>S5</t>
  </si>
  <si>
    <t>S6</t>
  </si>
  <si>
    <t>S7</t>
  </si>
  <si>
    <t>S8</t>
  </si>
  <si>
    <t>S9</t>
  </si>
  <si>
    <t>S10</t>
  </si>
  <si>
    <t>B1</t>
  </si>
  <si>
    <t>B2</t>
  </si>
  <si>
    <t>B3</t>
  </si>
  <si>
    <t>B4</t>
  </si>
  <si>
    <t>B5</t>
  </si>
  <si>
    <t>B6</t>
  </si>
  <si>
    <t>B7</t>
  </si>
  <si>
    <t>B8</t>
  </si>
  <si>
    <t>B9</t>
  </si>
  <si>
    <t>Batch</t>
  </si>
  <si>
    <t>Notes:</t>
  </si>
  <si>
    <t>1. Tenders are invited to populate the spare rows should they consider it is necessary</t>
  </si>
  <si>
    <t>Lot 1 - Off The Shelf Timber - Supply Only</t>
  </si>
  <si>
    <t>Rate £/Mile</t>
  </si>
  <si>
    <t>Miles</t>
  </si>
  <si>
    <t>Total</t>
  </si>
  <si>
    <t>Bulk Delivery</t>
  </si>
  <si>
    <t>Part Load Delivery</t>
  </si>
  <si>
    <t>Spare</t>
  </si>
  <si>
    <t>Rate</t>
  </si>
  <si>
    <t>Qty</t>
  </si>
  <si>
    <t>Overheads and Profits</t>
  </si>
  <si>
    <t>Percentage</t>
  </si>
  <si>
    <t>Please confirm your Overheads and Profits Percentage applied to the Cutting List Value of Material Supplied</t>
  </si>
  <si>
    <t>£0 - £1,000</t>
  </si>
  <si>
    <t>£1,000 -£5,000</t>
  </si>
  <si>
    <t>£5,000 - £10,000</t>
  </si>
  <si>
    <t>£10,000 - £50,000</t>
  </si>
  <si>
    <t>£50,000 - £100,000</t>
  </si>
  <si>
    <t>Over £100,000</t>
  </si>
  <si>
    <t>Lots 2 and 3 - Day and Subsistance Rates</t>
  </si>
  <si>
    <t>Resource</t>
  </si>
  <si>
    <t>Hourly Rate</t>
  </si>
  <si>
    <t>Discount for Day Rate (%)</t>
  </si>
  <si>
    <t>Day Rate</t>
  </si>
  <si>
    <t>Buyer</t>
  </si>
  <si>
    <t>Senior Manager</t>
  </si>
  <si>
    <t>Manager</t>
  </si>
  <si>
    <t>Foreman</t>
  </si>
  <si>
    <t>Allowance</t>
  </si>
  <si>
    <t>Units</t>
  </si>
  <si>
    <t>Rate £/Unit</t>
  </si>
  <si>
    <t>Cost</t>
  </si>
  <si>
    <t>Below will vary through the duration of the Framework based on market inflation CPI</t>
  </si>
  <si>
    <t>Milage</t>
  </si>
  <si>
    <t>Subsistance</t>
  </si>
  <si>
    <t>Day</t>
  </si>
  <si>
    <t>Hotel</t>
  </si>
  <si>
    <t>Night</t>
  </si>
  <si>
    <t>Cross Channel Travel</t>
  </si>
  <si>
    <t>Out &amp; Return</t>
  </si>
  <si>
    <t>Breadths made up of narrow planks
(Y/N)</t>
  </si>
  <si>
    <t>Lengths made up 
of shorter planks
(Y/N)</t>
  </si>
  <si>
    <t>Y</t>
  </si>
  <si>
    <t>N</t>
  </si>
  <si>
    <t xml:space="preserve">
Price for Total Length
(Inner Plank) 
</t>
  </si>
  <si>
    <t>Price for Total Length
(1/4 Sawn Plank)</t>
  </si>
  <si>
    <t>Number of Shorter Planks per Laminate</t>
  </si>
  <si>
    <t>Number of Narrower Planks per Laminate</t>
  </si>
  <si>
    <r>
      <t xml:space="preserve">2. Apart from the OHP percentage the below will vary on an annual basis, through the duration of the Framework  based on </t>
    </r>
    <r>
      <rPr>
        <b/>
        <i/>
        <sz val="11"/>
        <color rgb="FFFF0000"/>
        <rFont val="Calibri"/>
        <family val="2"/>
        <scheme val="minor"/>
      </rPr>
      <t>inflation CPI</t>
    </r>
    <r>
      <rPr>
        <b/>
        <i/>
        <sz val="11"/>
        <color theme="1"/>
        <rFont val="Calibri"/>
        <family val="2"/>
        <scheme val="minor"/>
      </rPr>
      <t>.   The inflation will be applied at the commencement of the Financial Year April.</t>
    </r>
  </si>
  <si>
    <t>FOR INFORMATION ONLY</t>
  </si>
  <si>
    <t>QFA</t>
  </si>
  <si>
    <t>QBA</t>
  </si>
  <si>
    <t>QF1A / QF1B</t>
  </si>
  <si>
    <t>QB1</t>
  </si>
  <si>
    <t>User Notes</t>
  </si>
  <si>
    <t>Batch M1</t>
  </si>
  <si>
    <t>Batch M2</t>
  </si>
  <si>
    <t>Batch M3</t>
  </si>
  <si>
    <t>Batch M4</t>
  </si>
  <si>
    <t>Batch M5</t>
  </si>
  <si>
    <t>Batch M6</t>
  </si>
  <si>
    <t>Batch M7</t>
  </si>
  <si>
    <t>Batch M8</t>
  </si>
  <si>
    <t>Batch M9</t>
  </si>
  <si>
    <t>Batch M10</t>
  </si>
  <si>
    <t>Batch B1</t>
  </si>
  <si>
    <t>Batch B2</t>
  </si>
  <si>
    <t>Batch B3</t>
  </si>
  <si>
    <t>Batch B4</t>
  </si>
  <si>
    <t>Batch B5</t>
  </si>
  <si>
    <t>Batch B6</t>
  </si>
  <si>
    <t>Batch B7</t>
  </si>
  <si>
    <t>Batch B8</t>
  </si>
  <si>
    <t>Batch B9</t>
  </si>
  <si>
    <t>Batch S1</t>
  </si>
  <si>
    <t>Batch S2</t>
  </si>
  <si>
    <t>Batch S3</t>
  </si>
  <si>
    <t>Batch S4</t>
  </si>
  <si>
    <t>Batch S5</t>
  </si>
  <si>
    <t>Batch S6</t>
  </si>
  <si>
    <t>Batch S7</t>
  </si>
  <si>
    <t>Batch S8</t>
  </si>
  <si>
    <t>Batch S9</t>
  </si>
  <si>
    <t>Batch S10</t>
  </si>
  <si>
    <r>
      <rPr>
        <b/>
        <sz val="11"/>
        <color theme="1"/>
        <rFont val="Calibri"/>
        <family val="2"/>
        <scheme val="minor"/>
      </rPr>
      <t>Tab 5. Bow</t>
    </r>
    <r>
      <rPr>
        <sz val="11"/>
        <color theme="1"/>
        <rFont val="Calibri"/>
        <family val="2"/>
        <scheme val="minor"/>
      </rPr>
      <t xml:space="preserve"> &amp; </t>
    </r>
    <r>
      <rPr>
        <b/>
        <sz val="11"/>
        <color theme="1"/>
        <rFont val="Calibri"/>
        <family val="2"/>
        <scheme val="minor"/>
      </rPr>
      <t>Tab 6. Stern</t>
    </r>
    <r>
      <rPr>
        <sz val="11"/>
        <color theme="1"/>
        <rFont val="Calibri"/>
        <family val="2"/>
        <scheme val="minor"/>
      </rPr>
      <t xml:space="preserve"> are provided </t>
    </r>
    <r>
      <rPr>
        <b/>
        <i/>
        <sz val="11"/>
        <color rgb="FFFF0000"/>
        <rFont val="Calibri"/>
        <family val="2"/>
        <scheme val="minor"/>
      </rPr>
      <t>for information only</t>
    </r>
    <r>
      <rPr>
        <sz val="11"/>
        <color theme="1"/>
        <rFont val="Calibri"/>
        <family val="2"/>
        <scheme val="minor"/>
      </rPr>
      <t xml:space="preserve"> to help suppliers understand future requirements. 
</t>
    </r>
  </si>
  <si>
    <t>Please read these notes carefully, if you do have any queries, please raise these as clarifications questions as directed within the ITT documentation.</t>
  </si>
  <si>
    <t>Internal Elements</t>
  </si>
  <si>
    <t>Chamfered clamp</t>
  </si>
  <si>
    <t>Beam shelf</t>
  </si>
  <si>
    <t>Quick work</t>
  </si>
  <si>
    <t>Hanging knee</t>
  </si>
  <si>
    <t>Beam packer</t>
  </si>
  <si>
    <t>Spirketting upper plank</t>
  </si>
  <si>
    <t>Spirketting lower plank</t>
  </si>
  <si>
    <t xml:space="preserve">Quick work </t>
  </si>
  <si>
    <t>Hatch carling</t>
  </si>
  <si>
    <t>Lodging knee</t>
  </si>
  <si>
    <t>Dagger knee</t>
  </si>
  <si>
    <t>Spirketting bottom plank</t>
  </si>
  <si>
    <t>Beam arm end</t>
  </si>
  <si>
    <t>Spirketting top plank</t>
  </si>
  <si>
    <t>Cast knee</t>
  </si>
  <si>
    <t>Fwd Ledger</t>
  </si>
  <si>
    <t xml:space="preserve"> Fwd Ledger</t>
  </si>
  <si>
    <t>Beam end repair</t>
  </si>
  <si>
    <t>Rider top repair</t>
  </si>
  <si>
    <t>Aft Ledger repair</t>
  </si>
  <si>
    <t>Fwd Ledger repair</t>
  </si>
  <si>
    <t>Stagger Scarphs</t>
  </si>
  <si>
    <t>overlaps bow phase</t>
  </si>
  <si>
    <t>allow for  Bm 32-35</t>
  </si>
  <si>
    <t>scarphed</t>
  </si>
  <si>
    <t>replace as 1 Pc</t>
  </si>
  <si>
    <t>Measure Bm arm</t>
  </si>
  <si>
    <t>Grave ? Allow to replace</t>
  </si>
  <si>
    <t>Measure Bm end</t>
  </si>
  <si>
    <t>Scarphed</t>
  </si>
  <si>
    <t>UGD S 1/3</t>
  </si>
  <si>
    <t>UGD S 2/4</t>
  </si>
  <si>
    <t>UGD S 5/7</t>
  </si>
  <si>
    <t>UGD S 6/6a</t>
  </si>
  <si>
    <t>UGD S 8</t>
  </si>
  <si>
    <t>UGD P 1</t>
  </si>
  <si>
    <t>UGD P 2</t>
  </si>
  <si>
    <t>MGD S 1/2/3</t>
  </si>
  <si>
    <t>MGD S 4</t>
  </si>
  <si>
    <t>MGD S 5</t>
  </si>
  <si>
    <t>MGD S 7</t>
  </si>
  <si>
    <t>LGD S 1/2/5/6       (7 fwd end)</t>
  </si>
  <si>
    <t>LGD S 9/9a</t>
  </si>
  <si>
    <t>LGD S 10/10a/ 11/12/12a/13</t>
  </si>
  <si>
    <t>LGD P 1</t>
  </si>
  <si>
    <t>LGD P 2</t>
  </si>
  <si>
    <t>LGD P 3/4</t>
  </si>
  <si>
    <t>LGD P 5/6</t>
  </si>
  <si>
    <t>LGD P 7/8/9/10</t>
  </si>
  <si>
    <t>LGD P 12/13/14</t>
  </si>
  <si>
    <t>ORL S 1/2</t>
  </si>
  <si>
    <t>ORL S 3</t>
  </si>
  <si>
    <t>ORL S 4/5</t>
  </si>
  <si>
    <t>ORL S 6</t>
  </si>
  <si>
    <t>ORL S 7</t>
  </si>
  <si>
    <t>ORL P 1/2</t>
  </si>
  <si>
    <t>Total No. Laminate Planks for Supply</t>
  </si>
  <si>
    <t>Total No. Laminate Planks for Supply (HIDE)</t>
  </si>
  <si>
    <t>No. Laminates per Plank (HIDE)</t>
  </si>
  <si>
    <t>Laminate Thickness 
(mm)</t>
  </si>
  <si>
    <t>Final Fitted Whole (Hide)</t>
  </si>
  <si>
    <t>Produced from Laminates</t>
  </si>
  <si>
    <t>Able to Supply Solid Compass Timber
(Y/N)</t>
  </si>
  <si>
    <t>Able to supply as laminates
(Y/N)</t>
  </si>
  <si>
    <t>Number of Laminates</t>
  </si>
  <si>
    <t>COMPASS TIMBER</t>
  </si>
  <si>
    <t>Comment</t>
  </si>
  <si>
    <t>UGD S BM15</t>
  </si>
  <si>
    <t>MGD S BM16a</t>
  </si>
  <si>
    <t>LGD S BM11</t>
  </si>
  <si>
    <t>LGD S BM12</t>
  </si>
  <si>
    <t>LGD S BM15a</t>
  </si>
  <si>
    <t>LGD S BM22.1</t>
  </si>
  <si>
    <t>LGD S BM22.2</t>
  </si>
  <si>
    <t>LGD S BM23</t>
  </si>
  <si>
    <t>LGD S BM24</t>
  </si>
  <si>
    <t>LGD P BM15a</t>
  </si>
  <si>
    <t>LGD P BM15</t>
  </si>
  <si>
    <t>LGD P BM16a</t>
  </si>
  <si>
    <t>LGD P BM20</t>
  </si>
  <si>
    <t>Stage</t>
  </si>
  <si>
    <t>Batch No</t>
  </si>
  <si>
    <t xml:space="preserve">
Price for Total Length
</t>
  </si>
  <si>
    <r>
      <rPr>
        <b/>
        <sz val="11"/>
        <color theme="1"/>
        <rFont val="Calibri"/>
        <family val="2"/>
        <scheme val="minor"/>
      </rPr>
      <t>Tab 3. Internal Elements</t>
    </r>
    <r>
      <rPr>
        <sz val="11"/>
        <color theme="1"/>
        <rFont val="Calibri"/>
        <family val="2"/>
        <scheme val="minor"/>
      </rPr>
      <t xml:space="preserve"> is the pricing schedule for the tender process and covers all internal repair elements. 
Completing fields in this tab follows the same principles as Point 2 above. 1/4 Sawn boards not required.
</t>
    </r>
  </si>
  <si>
    <r>
      <rPr>
        <b/>
        <sz val="11"/>
        <color theme="1"/>
        <rFont val="Calibri"/>
        <family val="2"/>
        <scheme val="minor"/>
      </rPr>
      <t>Tab 4. Compass Timbers</t>
    </r>
    <r>
      <rPr>
        <sz val="11"/>
        <color theme="1"/>
        <rFont val="Calibri"/>
        <family val="2"/>
        <scheme val="minor"/>
      </rPr>
      <t xml:space="preserve"> is the pricing schedule for knees.
Dimensions have been provided for both solid compass timbers and for planks to build required elements from laminate pieces.
Please note the NMRN will be willing to discuss delivery dates dependent on the approach preferred by the supplier.
</t>
    </r>
  </si>
  <si>
    <t>Supplier Name</t>
  </si>
  <si>
    <t>Batch IE 1</t>
  </si>
  <si>
    <t>Batch CT 1</t>
  </si>
  <si>
    <t>Stage 1 - Internal Elements</t>
  </si>
  <si>
    <t>IE1</t>
  </si>
  <si>
    <t xml:space="preserve">  Stage 1 - Internal Elements</t>
  </si>
  <si>
    <t xml:space="preserve">  Stage 1 - Compass Timbers</t>
  </si>
  <si>
    <t>CT1</t>
  </si>
  <si>
    <t>N/A</t>
  </si>
  <si>
    <t>Row Labels</t>
  </si>
  <si>
    <t>Grand Total</t>
  </si>
  <si>
    <t xml:space="preserve">Sum of Total Price for Inner Planks </t>
  </si>
  <si>
    <t>Sum of Total Price for 1/4 Sawn Planks</t>
  </si>
  <si>
    <t xml:space="preserve">Midships </t>
  </si>
  <si>
    <t>Lot 1 - Inner Laminates</t>
  </si>
  <si>
    <t>Lot 1 - 1/4 Sawn</t>
  </si>
  <si>
    <t>Lot 2 - Inner Laminates</t>
  </si>
  <si>
    <t>Lot 2 - 1/4 Sawn</t>
  </si>
  <si>
    <t>Batch Totals (Without OHP)</t>
  </si>
  <si>
    <t>Midships
  (Hull Planking)</t>
  </si>
  <si>
    <t xml:space="preserve">Price for Whole Compass Timber
</t>
  </si>
  <si>
    <t>Compass Timbers (imperial Measure) as JG Sketches</t>
  </si>
  <si>
    <t>Breadth if Square
(mm)</t>
  </si>
  <si>
    <t>Height/Length
(mm)</t>
  </si>
  <si>
    <t>Breadth if Square 
(mm) (HIDE)</t>
  </si>
  <si>
    <t>Breadth if Curved (ft) (Hide)</t>
  </si>
  <si>
    <t>Breadth if Square
(ft)  (Hide)</t>
  </si>
  <si>
    <t>Height/Length
(ft) (Hide)</t>
  </si>
  <si>
    <t>Thickness
(inches) (Hide)</t>
  </si>
  <si>
    <t>Lot 3 - Solid Compass Knees</t>
  </si>
  <si>
    <t>Lot 3 - Laminated Compass Knees</t>
  </si>
  <si>
    <t>Lengths made up of shorter planks
(Y/N)</t>
  </si>
  <si>
    <t>Plank Dimensions As Supplied</t>
  </si>
  <si>
    <t>Price for Single Solid Compass Timber</t>
  </si>
  <si>
    <t>Solid Knees</t>
  </si>
  <si>
    <t>Laminated Knees</t>
  </si>
  <si>
    <t>Lots 1 and 2 Totals:</t>
  </si>
  <si>
    <t>Lot 1 "Off the Shelf" - Sub Total:</t>
  </si>
  <si>
    <t>Lot 2 "Specials" - Subtotal:</t>
  </si>
  <si>
    <t>Lot 1 and 2 Totals:</t>
  </si>
  <si>
    <t>Lot 3 "Compass" - Subtotal:</t>
  </si>
  <si>
    <t>Tender Pricing Summary - Forms Tender Pricing Summary</t>
  </si>
  <si>
    <t>Lot 3 - Compass Timbers</t>
  </si>
  <si>
    <t>Lots 1 "Off the Shelf" Lot 2 "Specials"</t>
  </si>
  <si>
    <r>
      <rPr>
        <b/>
        <sz val="11"/>
        <rFont val="Calibri"/>
        <family val="2"/>
        <scheme val="minor"/>
      </rPr>
      <t>Tab 2. Midships</t>
    </r>
    <r>
      <rPr>
        <sz val="11"/>
        <rFont val="Calibri"/>
        <family val="2"/>
        <scheme val="minor"/>
      </rPr>
      <t xml:space="preserve"> is the pricing schedule for the tender process and is for Port and Starboard planks.
The spreadsheet first series of columns provide detailed requirements for each plank to be supplied.  
</t>
    </r>
    <r>
      <rPr>
        <b/>
        <sz val="11"/>
        <rFont val="Calibri"/>
        <family val="2"/>
        <scheme val="minor"/>
      </rPr>
      <t>- Batch No</t>
    </r>
    <r>
      <rPr>
        <sz val="11"/>
        <rFont val="Calibri"/>
        <family val="2"/>
        <scheme val="minor"/>
      </rPr>
      <t xml:space="preserve"> - Used for tracking and quality management.
</t>
    </r>
    <r>
      <rPr>
        <b/>
        <sz val="11"/>
        <rFont val="Calibri"/>
        <family val="2"/>
        <scheme val="minor"/>
      </rPr>
      <t>- Plank ID</t>
    </r>
    <r>
      <rPr>
        <sz val="11"/>
        <rFont val="Calibri"/>
        <family val="2"/>
        <scheme val="minor"/>
      </rPr>
      <t xml:space="preserve"> - Used for tracking and quality management. </t>
    </r>
    <r>
      <rPr>
        <b/>
        <i/>
        <sz val="11"/>
        <color rgb="FFFF0000"/>
        <rFont val="Calibri"/>
        <family val="2"/>
        <scheme val="minor"/>
      </rPr>
      <t>Refers to complete, laminated plank as fitted to ship.</t>
    </r>
    <r>
      <rPr>
        <sz val="11"/>
        <rFont val="Calibri"/>
        <family val="2"/>
        <scheme val="minor"/>
      </rPr>
      <t xml:space="preserve">
</t>
    </r>
    <r>
      <rPr>
        <b/>
        <sz val="11"/>
        <rFont val="Calibri"/>
        <family val="2"/>
        <scheme val="minor"/>
      </rPr>
      <t>- Lot Number</t>
    </r>
    <r>
      <rPr>
        <sz val="11"/>
        <rFont val="Calibri"/>
        <family val="2"/>
        <scheme val="minor"/>
      </rPr>
      <t xml:space="preserve"> - Plank lot designation as per specification.
</t>
    </r>
    <r>
      <rPr>
        <b/>
        <sz val="11"/>
        <rFont val="Calibri"/>
        <family val="2"/>
        <scheme val="minor"/>
      </rPr>
      <t>- Plank Dimensions (mm)</t>
    </r>
    <r>
      <rPr>
        <sz val="11"/>
        <rFont val="Calibri"/>
        <family val="2"/>
        <scheme val="minor"/>
      </rPr>
      <t xml:space="preserve"> - Dimensions of planks required. 
</t>
    </r>
    <r>
      <rPr>
        <b/>
        <sz val="11"/>
        <rFont val="Calibri"/>
        <family val="2"/>
        <scheme val="minor"/>
      </rPr>
      <t>- Total No. Inner Laminate Planks for Supply</t>
    </r>
    <r>
      <rPr>
        <sz val="11"/>
        <rFont val="Calibri"/>
        <family val="2"/>
        <scheme val="minor"/>
      </rPr>
      <t xml:space="preserve"> - Total number of inner planks required to make up complete plank. 
</t>
    </r>
    <r>
      <rPr>
        <b/>
        <sz val="11"/>
        <rFont val="Calibri"/>
        <family val="2"/>
        <scheme val="minor"/>
      </rPr>
      <t>- Inner Laminate Grade</t>
    </r>
    <r>
      <rPr>
        <sz val="11"/>
        <rFont val="Calibri"/>
        <family val="2"/>
        <scheme val="minor"/>
      </rPr>
      <t xml:space="preserve"> - Expected Grade of inner laminate planks supplied.
</t>
    </r>
    <r>
      <rPr>
        <b/>
        <sz val="11"/>
        <rFont val="Calibri"/>
        <family val="2"/>
        <scheme val="minor"/>
      </rPr>
      <t>- Total No. 1/4 Sawn Planks for Supply</t>
    </r>
    <r>
      <rPr>
        <sz val="11"/>
        <rFont val="Calibri"/>
        <family val="2"/>
        <scheme val="minor"/>
      </rPr>
      <t xml:space="preserve"> - Total number of 1/4 sawn planks required to face the external face of the inner planks to make up complete plank. 
</t>
    </r>
    <r>
      <rPr>
        <b/>
        <sz val="11"/>
        <rFont val="Calibri"/>
        <family val="2"/>
        <scheme val="minor"/>
      </rPr>
      <t>- Outer Laminate (1/4 Sawn Grade)</t>
    </r>
    <r>
      <rPr>
        <sz val="11"/>
        <rFont val="Calibri"/>
        <family val="2"/>
        <scheme val="minor"/>
      </rPr>
      <t xml:space="preserve"> - Expected Grade of outer laminate (1/4 sawn) planks to face the inner planks.
</t>
    </r>
    <r>
      <rPr>
        <b/>
        <sz val="11"/>
        <rFont val="Calibri"/>
        <family val="2"/>
        <scheme val="minor"/>
      </rPr>
      <t>- Moisture Content (%)</t>
    </r>
    <r>
      <rPr>
        <sz val="11"/>
        <rFont val="Calibri"/>
        <family val="2"/>
        <scheme val="minor"/>
      </rPr>
      <t xml:space="preserve"> - Specified moisture content of planks to be supplied.
</t>
    </r>
    <r>
      <rPr>
        <b/>
        <sz val="11"/>
        <rFont val="Calibri"/>
        <family val="2"/>
        <scheme val="minor"/>
      </rPr>
      <t>- Delivery Date</t>
    </r>
    <r>
      <rPr>
        <sz val="11"/>
        <rFont val="Calibri"/>
        <family val="2"/>
        <scheme val="minor"/>
      </rPr>
      <t xml:space="preserve"> - The month by which the National Musuem of the Royal Navy wishes to receive the planks at their workshops in Portsmouth.</t>
    </r>
  </si>
  <si>
    <t>Day Rates, OHP &amp; Subsistence - Forms Part of Tender</t>
  </si>
  <si>
    <r>
      <rPr>
        <b/>
        <sz val="11"/>
        <color theme="1"/>
        <rFont val="Calibri"/>
        <family val="2"/>
        <scheme val="minor"/>
      </rPr>
      <t>Tab 6 - By Lots</t>
    </r>
    <r>
      <rPr>
        <sz val="11"/>
        <color theme="1"/>
        <rFont val="Calibri"/>
        <family val="2"/>
        <scheme val="minor"/>
      </rPr>
      <t>.  This is pivot table and instructions are in the Tab.  The Pivot Table is used to update Tab 7 the Summary</t>
    </r>
  </si>
  <si>
    <r>
      <rPr>
        <b/>
        <sz val="11"/>
        <rFont val="Calibri"/>
        <family val="2"/>
        <scheme val="minor"/>
      </rPr>
      <t>Tab 7. Summary</t>
    </r>
    <r>
      <rPr>
        <sz val="11"/>
        <rFont val="Calibri"/>
        <family val="2"/>
        <scheme val="minor"/>
      </rPr>
      <t xml:space="preserve"> requires the supplier to Enter Their Company Name and Enter the OHP percentage applied to that value of timber.
</t>
    </r>
  </si>
  <si>
    <r>
      <rPr>
        <b/>
        <sz val="11"/>
        <rFont val="Calibri"/>
        <family val="2"/>
        <scheme val="minor"/>
      </rPr>
      <t xml:space="preserve">Tab 5. Day Rates, OHP &amp; Subsistence </t>
    </r>
    <r>
      <rPr>
        <sz val="11"/>
        <rFont val="Calibri"/>
        <family val="2"/>
        <scheme val="minor"/>
      </rPr>
      <t xml:space="preserve">requires the supplier to submit Day Rates and </t>
    </r>
    <r>
      <rPr>
        <b/>
        <sz val="11"/>
        <rFont val="Calibri"/>
        <family val="2"/>
        <scheme val="minor"/>
      </rPr>
      <t>OHP for Lot 1 and Lots 2 &amp; 3</t>
    </r>
    <r>
      <rPr>
        <sz val="11"/>
        <rFont val="Calibri"/>
        <family val="2"/>
        <scheme val="minor"/>
      </rPr>
      <t>.   Please add to rows if required.  The rates for hours/days/mileage/Subsistance etc will be used to cost variations in the future and allow for inflation changes during the life of the Framework.  Inflation adjustments will be based on CPI.</t>
    </r>
  </si>
  <si>
    <r>
      <t xml:space="preserve">The Supplier are to submit Tender prices for the Lots they are bidding for.  At this stage National Museum of the Royal Navy are seeking </t>
    </r>
    <r>
      <rPr>
        <b/>
        <sz val="11"/>
        <color theme="1"/>
        <rFont val="Calibri"/>
        <family val="2"/>
        <scheme val="minor"/>
      </rPr>
      <t>firm TENDER prices for any or all of the following:
Midships Batch M1, M2 and M3.
Internal Elements 
Compass Timbers</t>
    </r>
    <r>
      <rPr>
        <sz val="11"/>
        <color theme="1"/>
        <rFont val="Calibri"/>
        <family val="2"/>
        <scheme val="minor"/>
      </rPr>
      <t xml:space="preserve">
</t>
    </r>
  </si>
  <si>
    <t>Stage 1 - Compass Timbers</t>
  </si>
  <si>
    <t>Suppliers Name</t>
  </si>
  <si>
    <t>Pricing By Lots</t>
  </si>
  <si>
    <t>Breadth as Supplied 
(mm)</t>
  </si>
  <si>
    <t>Height/
Length
(mm)</t>
  </si>
  <si>
    <t>Supplied Compass Timbers (metric) incl. allowance for shaping in workshop</t>
  </si>
  <si>
    <r>
      <t>Laminate Breadth</t>
    </r>
    <r>
      <rPr>
        <i/>
        <sz val="11"/>
        <color theme="0"/>
        <rFont val="Calibri"/>
        <family val="2"/>
        <scheme val="minor"/>
      </rPr>
      <t xml:space="preserve"> 
(see above)</t>
    </r>
    <r>
      <rPr>
        <sz val="11"/>
        <color theme="0"/>
        <rFont val="Calibri"/>
        <family val="2"/>
        <scheme val="minor"/>
      </rPr>
      <t xml:space="preserve">
(mm)</t>
    </r>
  </si>
  <si>
    <r>
      <t xml:space="preserve">Suppliers will find fields to complete within:
</t>
    </r>
    <r>
      <rPr>
        <b/>
        <sz val="11"/>
        <color theme="1"/>
        <rFont val="Calibri"/>
        <family val="2"/>
        <scheme val="minor"/>
      </rPr>
      <t>Tab 2. Midships</t>
    </r>
    <r>
      <rPr>
        <sz val="11"/>
        <color theme="1"/>
        <rFont val="Calibri"/>
        <family val="2"/>
        <scheme val="minor"/>
      </rPr>
      <t xml:space="preserve"> 
</t>
    </r>
    <r>
      <rPr>
        <b/>
        <sz val="11"/>
        <color theme="1"/>
        <rFont val="Calibri"/>
        <family val="2"/>
        <scheme val="minor"/>
      </rPr>
      <t>Tab 3. Internal Elements
Tab 4. Compass Timbers
Tab 5. OHP &amp; Subsistence 
Tab 7. Summary.</t>
    </r>
    <r>
      <rPr>
        <sz val="11"/>
        <color theme="1"/>
        <rFont val="Calibri"/>
        <family val="2"/>
        <scheme val="minor"/>
      </rPr>
      <t xml:space="preserve"> 
Where supplier information is required, this is indicated by green arrows and the cells are a cream colour.
</t>
    </r>
  </si>
  <si>
    <r>
      <rPr>
        <b/>
        <sz val="11"/>
        <color theme="1"/>
        <rFont val="Calibri"/>
        <family val="2"/>
        <scheme val="minor"/>
      </rPr>
      <t>Tab 2. Midships Cont</t>
    </r>
    <r>
      <rPr>
        <sz val="11"/>
        <color theme="1"/>
        <rFont val="Calibri"/>
        <family val="2"/>
        <scheme val="minor"/>
      </rPr>
      <t xml:space="preserve">.  The second series of columns within the spreadsheet require supplier input.
- </t>
    </r>
    <r>
      <rPr>
        <b/>
        <sz val="11"/>
        <color theme="1"/>
        <rFont val="Calibri"/>
        <family val="2"/>
        <scheme val="minor"/>
      </rPr>
      <t>Lengths Made up of Shorter Planks (Y/N)</t>
    </r>
    <r>
      <rPr>
        <sz val="11"/>
        <color theme="1"/>
        <rFont val="Calibri"/>
        <family val="2"/>
        <scheme val="minor"/>
      </rPr>
      <t xml:space="preserve"> - Please indicate if, to meet the finished length of plank, you intend to supply shorter boards.
- </t>
    </r>
    <r>
      <rPr>
        <b/>
        <sz val="11"/>
        <color theme="1"/>
        <rFont val="Calibri"/>
        <family val="2"/>
        <scheme val="minor"/>
      </rPr>
      <t>Number of Shorter Planks Per laminate</t>
    </r>
    <r>
      <rPr>
        <sz val="11"/>
        <color theme="1"/>
        <rFont val="Calibri"/>
        <family val="2"/>
        <scheme val="minor"/>
      </rPr>
      <t xml:space="preserve"> - If the answer to the above is Y, please indicate how many shorter planks will be supplied to make up each finished length of plank.
- </t>
    </r>
    <r>
      <rPr>
        <b/>
        <sz val="11"/>
        <color theme="1"/>
        <rFont val="Calibri"/>
        <family val="2"/>
        <scheme val="minor"/>
      </rPr>
      <t>Breadths made up of narrow planks (Y/N)</t>
    </r>
    <r>
      <rPr>
        <sz val="11"/>
        <color theme="1"/>
        <rFont val="Calibri"/>
        <family val="2"/>
        <scheme val="minor"/>
      </rPr>
      <t xml:space="preserve"> - Please indicate if, to meet the finished breadth of plank, you intend to supply narrower boards.
- </t>
    </r>
    <r>
      <rPr>
        <b/>
        <sz val="11"/>
        <color theme="1"/>
        <rFont val="Calibri"/>
        <family val="2"/>
        <scheme val="minor"/>
      </rPr>
      <t>Number of narrower planks per laminate</t>
    </r>
    <r>
      <rPr>
        <sz val="11"/>
        <color theme="1"/>
        <rFont val="Calibri"/>
        <family val="2"/>
        <scheme val="minor"/>
      </rPr>
      <t xml:space="preserve">  - If the answer to the above is Y, please indicate how many narrower planks will be supplied to make up each finished breadth of plank.
-</t>
    </r>
    <r>
      <rPr>
        <b/>
        <sz val="11"/>
        <color theme="1"/>
        <rFont val="Calibri"/>
        <family val="2"/>
        <scheme val="minor"/>
      </rPr>
      <t xml:space="preserve"> Price for Total Length (Inner Plank) </t>
    </r>
    <r>
      <rPr>
        <sz val="11"/>
        <color theme="1"/>
        <rFont val="Calibri"/>
        <family val="2"/>
        <scheme val="minor"/>
      </rPr>
      <t xml:space="preserve">- Please provide total price, per plank, for supplying length as specified whether made from single or multiple planks.  No of Lengths X Price per laminate?
- </t>
    </r>
    <r>
      <rPr>
        <b/>
        <sz val="11"/>
        <color theme="1"/>
        <rFont val="Calibri"/>
        <family val="2"/>
        <scheme val="minor"/>
      </rPr>
      <t>Total Price for Inner Plank</t>
    </r>
    <r>
      <rPr>
        <sz val="11"/>
        <color theme="1"/>
        <rFont val="Calibri"/>
        <family val="2"/>
        <scheme val="minor"/>
      </rPr>
      <t xml:space="preserve"> - NO INPUT FROM SUPPLIER REQUIRED. WILL AUTOMATICALLY CALCULATE TOTAL COST FOR FINISHED BOARD AS FITTED TO SHIP.
- </t>
    </r>
    <r>
      <rPr>
        <b/>
        <sz val="11"/>
        <color theme="1"/>
        <rFont val="Calibri"/>
        <family val="2"/>
        <scheme val="minor"/>
      </rPr>
      <t>Price for Total Length (1/4 Sawn Plank)</t>
    </r>
    <r>
      <rPr>
        <sz val="11"/>
        <color theme="1"/>
        <rFont val="Calibri"/>
        <family val="2"/>
        <scheme val="minor"/>
      </rPr>
      <t xml:space="preserve"> - Please provide total price, per plank, for supplying length as specified whether made from single or multiple planks. No of Breadths X Price per laminate?
- </t>
    </r>
    <r>
      <rPr>
        <b/>
        <sz val="11"/>
        <color theme="1"/>
        <rFont val="Calibri"/>
        <family val="2"/>
        <scheme val="minor"/>
      </rPr>
      <t>Total Price for 1/4 Sawn Planks</t>
    </r>
    <r>
      <rPr>
        <sz val="11"/>
        <color theme="1"/>
        <rFont val="Calibri"/>
        <family val="2"/>
        <scheme val="minor"/>
      </rPr>
      <t xml:space="preserve"> - NO INPUT FROM SUPPLIER REQUIRED. WILL AUTOMATICALLY CALCULATE TOTAL COST FOR FINISHED BOARD AS FITTED TO SHIP.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</si>
</sst>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0.00000000"/>
    <numFmt numFmtId="166" formatCode="_-[$£-809]* #,##0.00_-;\-[$£-809]* #,##0.00_-;_-[$£-809]* &quot;-&quot;??_-;_-@_-"/>
  </numFmts>
  <fonts count="28" x14ac:knownFonts="1">
    <font>
      <sz val="11"/>
      <color theme="1"/>
      <name val="Calibri"/>
      <family val="2"/>
      <scheme val="minor"/>
    </font>
    <font>
      <b/>
      <sz val="20"/>
      <color theme="1"/>
      <name val="Times New Roman"/>
      <family val="1"/>
    </font>
    <font>
      <sz val="20"/>
      <color theme="1"/>
      <name val="Times New Roman"/>
      <family val="1"/>
    </font>
    <font>
      <sz val="11"/>
      <color theme="1"/>
      <name val="Times New Roman"/>
      <family val="1"/>
    </font>
    <font>
      <sz val="12"/>
      <color rgb="FF202124"/>
      <name val="Times New Roman"/>
      <family val="1"/>
    </font>
    <font>
      <b/>
      <sz val="14"/>
      <color theme="1"/>
      <name val="Times New Roman"/>
      <family val="1"/>
    </font>
    <font>
      <sz val="14"/>
      <color theme="1"/>
      <name val="Times New Roman"/>
      <family val="1"/>
    </font>
    <font>
      <b/>
      <sz val="11"/>
      <color theme="1"/>
      <name val="Times New Roman"/>
      <family val="1"/>
    </font>
    <font>
      <b/>
      <sz val="11"/>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sz val="20"/>
      <color theme="1"/>
      <name val="Calibri"/>
      <family val="2"/>
      <scheme val="minor"/>
    </font>
    <font>
      <sz val="9"/>
      <color indexed="81"/>
      <name val="Tahoma"/>
      <family val="2"/>
    </font>
    <font>
      <b/>
      <sz val="9"/>
      <color indexed="81"/>
      <name val="Tahoma"/>
      <family val="2"/>
    </font>
    <font>
      <b/>
      <sz val="11"/>
      <color rgb="FF000000"/>
      <name val="Calibri"/>
      <family val="2"/>
      <scheme val="minor"/>
    </font>
    <font>
      <sz val="11"/>
      <color theme="1"/>
      <name val="Calibri"/>
      <family val="2"/>
      <scheme val="minor"/>
    </font>
    <font>
      <b/>
      <sz val="11"/>
      <name val="Calibri"/>
      <family val="2"/>
      <scheme val="minor"/>
    </font>
    <font>
      <sz val="11"/>
      <name val="Calibri"/>
      <family val="2"/>
      <scheme val="minor"/>
    </font>
    <font>
      <i/>
      <sz val="11"/>
      <color theme="1"/>
      <name val="Calibri"/>
      <family val="2"/>
      <scheme val="minor"/>
    </font>
    <font>
      <b/>
      <i/>
      <sz val="11"/>
      <color theme="1"/>
      <name val="Calibri"/>
      <family val="2"/>
      <scheme val="minor"/>
    </font>
    <font>
      <b/>
      <i/>
      <sz val="11"/>
      <color rgb="FFFF0000"/>
      <name val="Calibri"/>
      <family val="2"/>
      <scheme val="minor"/>
    </font>
    <font>
      <b/>
      <sz val="30"/>
      <color rgb="FFFF0000"/>
      <name val="Calibri"/>
      <family val="2"/>
      <scheme val="minor"/>
    </font>
    <font>
      <b/>
      <sz val="12"/>
      <color theme="1"/>
      <name val="Calibri"/>
      <family val="2"/>
      <scheme val="minor"/>
    </font>
    <font>
      <b/>
      <sz val="20"/>
      <color theme="1"/>
      <name val="Calibri"/>
      <family val="2"/>
      <scheme val="minor"/>
    </font>
    <font>
      <sz val="12"/>
      <color theme="1"/>
      <name val="Calibri"/>
      <family val="2"/>
      <scheme val="minor"/>
    </font>
    <font>
      <i/>
      <sz val="11"/>
      <color theme="0"/>
      <name val="Calibri"/>
      <family val="2"/>
      <scheme val="minor"/>
    </font>
  </fonts>
  <fills count="11">
    <fill>
      <patternFill patternType="none"/>
    </fill>
    <fill>
      <patternFill patternType="gray125"/>
    </fill>
    <fill>
      <patternFill patternType="solid">
        <fgColor theme="4" tint="-0.249977111117893"/>
        <bgColor indexed="64"/>
      </patternFill>
    </fill>
    <fill>
      <patternFill patternType="solid">
        <fgColor theme="5"/>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9" tint="0.79998168889431442"/>
        <bgColor indexed="64"/>
      </patternFill>
    </fill>
  </fills>
  <borders count="5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double">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7" fillId="0" borderId="0" applyFont="0" applyFill="0" applyBorder="0" applyAlignment="0" applyProtection="0"/>
  </cellStyleXfs>
  <cellXfs count="396">
    <xf numFmtId="0" fontId="0" fillId="0" borderId="0" xfId="0"/>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164" fontId="5" fillId="0" borderId="0" xfId="0" applyNumberFormat="1" applyFont="1" applyAlignment="1">
      <alignment horizontal="center" vertical="center" wrapText="1"/>
    </xf>
    <xf numFmtId="0" fontId="6" fillId="0" borderId="0" xfId="0" applyFont="1" applyAlignment="1">
      <alignment horizontal="center" vertical="center" wrapText="1"/>
    </xf>
    <xf numFmtId="16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left" vertical="center" wrapText="1"/>
    </xf>
    <xf numFmtId="164" fontId="3" fillId="0" borderId="8" xfId="0" applyNumberFormat="1" applyFont="1" applyBorder="1" applyAlignment="1">
      <alignment horizontal="center"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left" vertical="center" wrapText="1"/>
    </xf>
    <xf numFmtId="164" fontId="3" fillId="0" borderId="14" xfId="0" applyNumberFormat="1" applyFont="1" applyBorder="1" applyAlignment="1">
      <alignment horizontal="center" vertical="center" wrapText="1"/>
    </xf>
    <xf numFmtId="0" fontId="3" fillId="0" borderId="18"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left" vertical="center" wrapText="1"/>
    </xf>
    <xf numFmtId="164" fontId="3" fillId="0" borderId="0" xfId="0" applyNumberFormat="1" applyFont="1" applyAlignment="1">
      <alignment horizontal="center" vertical="center" wrapText="1"/>
    </xf>
    <xf numFmtId="2" fontId="3" fillId="0" borderId="14"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2" fontId="3" fillId="0" borderId="0" xfId="0" applyNumberFormat="1" applyFont="1" applyAlignment="1">
      <alignment horizontal="center" vertical="center" wrapText="1"/>
    </xf>
    <xf numFmtId="0" fontId="7" fillId="0" borderId="20" xfId="0" applyFont="1" applyBorder="1" applyAlignment="1">
      <alignment horizontal="left" vertical="center" wrapText="1"/>
    </xf>
    <xf numFmtId="0" fontId="3" fillId="0" borderId="0" xfId="0" applyFont="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center" wrapText="1"/>
    </xf>
    <xf numFmtId="0" fontId="7" fillId="0" borderId="29" xfId="0" applyFont="1" applyBorder="1" applyAlignment="1">
      <alignment horizontal="center" vertical="center" wrapText="1"/>
    </xf>
    <xf numFmtId="0" fontId="0" fillId="0" borderId="0" xfId="0" applyFont="1"/>
    <xf numFmtId="0" fontId="8" fillId="0" borderId="0" xfId="0" applyFont="1" applyAlignment="1">
      <alignment horizontal="center" vertical="center"/>
    </xf>
    <xf numFmtId="0" fontId="12" fillId="0" borderId="20" xfId="0" applyFont="1" applyBorder="1" applyAlignment="1">
      <alignment horizontal="center" vertical="center" wrapText="1"/>
    </xf>
    <xf numFmtId="164" fontId="0" fillId="0" borderId="20" xfId="0" applyNumberFormat="1" applyFont="1" applyBorder="1" applyAlignment="1">
      <alignment horizontal="center" vertical="center" wrapText="1"/>
    </xf>
    <xf numFmtId="0" fontId="0" fillId="0" borderId="20" xfId="0" applyFont="1" applyBorder="1" applyAlignment="1">
      <alignment horizontal="center" vertical="center" wrapText="1"/>
    </xf>
    <xf numFmtId="2" fontId="12" fillId="0" borderId="20" xfId="0" applyNumberFormat="1" applyFont="1" applyBorder="1" applyAlignment="1">
      <alignment horizontal="center" vertical="center" wrapText="1"/>
    </xf>
    <xf numFmtId="0" fontId="0" fillId="0" borderId="20" xfId="0" applyBorder="1" applyAlignment="1">
      <alignment horizontal="center" vertical="center"/>
    </xf>
    <xf numFmtId="0" fontId="0" fillId="0" borderId="20" xfId="0" applyBorder="1"/>
    <xf numFmtId="0" fontId="0" fillId="0" borderId="20" xfId="0" applyFont="1" applyBorder="1" applyAlignment="1">
      <alignment horizontal="center" vertical="center"/>
    </xf>
    <xf numFmtId="0" fontId="0" fillId="0" borderId="0" xfId="0" applyAlignment="1">
      <alignment horizontal="center" vertical="center"/>
    </xf>
    <xf numFmtId="2" fontId="0" fillId="0" borderId="20" xfId="0" applyNumberFormat="1" applyFont="1" applyBorder="1" applyAlignment="1">
      <alignment horizontal="center" vertical="center"/>
    </xf>
    <xf numFmtId="0" fontId="0" fillId="0" borderId="30" xfId="0" applyFont="1" applyBorder="1" applyAlignment="1">
      <alignment horizontal="center" vertical="center"/>
    </xf>
    <xf numFmtId="1" fontId="0" fillId="0" borderId="20" xfId="0" applyNumberFormat="1" applyFont="1" applyBorder="1" applyAlignment="1">
      <alignment horizontal="center" vertical="center"/>
    </xf>
    <xf numFmtId="1" fontId="12" fillId="0" borderId="20" xfId="0" applyNumberFormat="1" applyFont="1" applyBorder="1" applyAlignment="1">
      <alignment horizontal="center" vertical="center" wrapText="1"/>
    </xf>
    <xf numFmtId="164" fontId="0" fillId="0" borderId="32" xfId="0" applyNumberFormat="1" applyFont="1" applyBorder="1" applyAlignment="1">
      <alignment horizontal="center" vertical="center" wrapText="1"/>
    </xf>
    <xf numFmtId="44" fontId="0" fillId="0" borderId="20" xfId="0" applyNumberFormat="1" applyBorder="1"/>
    <xf numFmtId="0" fontId="0" fillId="0" borderId="39" xfId="0" applyBorder="1" applyAlignment="1">
      <alignment horizontal="center" vertical="center"/>
    </xf>
    <xf numFmtId="0" fontId="12" fillId="0" borderId="39" xfId="0" applyFont="1" applyBorder="1" applyAlignment="1">
      <alignment horizontal="center" vertical="center" wrapText="1"/>
    </xf>
    <xf numFmtId="2" fontId="0" fillId="0" borderId="39" xfId="0" applyNumberFormat="1" applyFont="1" applyBorder="1" applyAlignment="1">
      <alignment horizontal="center" vertical="center"/>
    </xf>
    <xf numFmtId="0" fontId="0" fillId="0" borderId="39" xfId="0" applyFont="1" applyBorder="1" applyAlignment="1">
      <alignment horizontal="center" vertical="center"/>
    </xf>
    <xf numFmtId="0" fontId="0" fillId="0" borderId="35" xfId="0" applyFont="1" applyBorder="1" applyAlignment="1">
      <alignment horizontal="center" vertical="center"/>
    </xf>
    <xf numFmtId="164" fontId="0" fillId="0" borderId="39" xfId="0" applyNumberFormat="1" applyFont="1" applyBorder="1" applyAlignment="1">
      <alignment horizontal="center" vertical="center" wrapText="1"/>
    </xf>
    <xf numFmtId="0" fontId="0" fillId="0" borderId="39" xfId="0" applyFont="1" applyBorder="1" applyAlignment="1">
      <alignment horizontal="center" vertical="center" wrapText="1"/>
    </xf>
    <xf numFmtId="1" fontId="0" fillId="0" borderId="39" xfId="0" applyNumberFormat="1" applyFont="1" applyBorder="1" applyAlignment="1">
      <alignment horizontal="center" vertical="center"/>
    </xf>
    <xf numFmtId="0" fontId="8" fillId="0" borderId="0" xfId="0" applyFont="1"/>
    <xf numFmtId="0" fontId="13" fillId="0" borderId="0" xfId="0" applyFont="1" applyAlignment="1">
      <alignment vertical="center"/>
    </xf>
    <xf numFmtId="0" fontId="11" fillId="2" borderId="37" xfId="0" applyFont="1" applyFill="1" applyBorder="1" applyAlignment="1">
      <alignment horizontal="center" vertical="center" wrapText="1"/>
    </xf>
    <xf numFmtId="0" fontId="0" fillId="0" borderId="0" xfId="0" applyBorder="1" applyAlignment="1"/>
    <xf numFmtId="0" fontId="11" fillId="2" borderId="37" xfId="0" applyFont="1" applyFill="1" applyBorder="1" applyAlignment="1">
      <alignment horizontal="center" vertical="center"/>
    </xf>
    <xf numFmtId="0" fontId="13" fillId="0" borderId="0" xfId="0" applyFont="1" applyAlignment="1">
      <alignment horizontal="left" vertical="center"/>
    </xf>
    <xf numFmtId="44" fontId="0" fillId="0" borderId="20" xfId="0" applyNumberFormat="1" applyBorder="1" applyAlignment="1">
      <alignment vertical="center"/>
    </xf>
    <xf numFmtId="44" fontId="0" fillId="0" borderId="20" xfId="0" applyNumberFormat="1" applyBorder="1" applyAlignment="1">
      <alignment horizontal="center" vertical="center"/>
    </xf>
    <xf numFmtId="44" fontId="8" fillId="3" borderId="37" xfId="0" applyNumberFormat="1" applyFont="1" applyFill="1" applyBorder="1"/>
    <xf numFmtId="44" fontId="8" fillId="3" borderId="37" xfId="0" applyNumberFormat="1" applyFont="1" applyFill="1" applyBorder="1" applyAlignment="1">
      <alignment horizontal="center" vertical="center"/>
    </xf>
    <xf numFmtId="44" fontId="0" fillId="3" borderId="37" xfId="0" applyNumberFormat="1" applyFont="1" applyFill="1" applyBorder="1" applyAlignment="1">
      <alignment horizontal="center" vertical="center"/>
    </xf>
    <xf numFmtId="165" fontId="12" fillId="0" borderId="39" xfId="0" applyNumberFormat="1" applyFont="1" applyBorder="1" applyAlignment="1">
      <alignment horizontal="center" vertical="center" wrapText="1"/>
    </xf>
    <xf numFmtId="0" fontId="11" fillId="5" borderId="33" xfId="0" applyFont="1" applyFill="1" applyBorder="1" applyAlignment="1">
      <alignment horizontal="center" vertical="center" wrapText="1"/>
    </xf>
    <xf numFmtId="0" fontId="11" fillId="5" borderId="33" xfId="0" applyFont="1" applyFill="1" applyBorder="1" applyAlignment="1">
      <alignment horizontal="center" wrapText="1"/>
    </xf>
    <xf numFmtId="0" fontId="8" fillId="0" borderId="20" xfId="0" applyFont="1" applyBorder="1" applyAlignment="1">
      <alignment horizontal="left" vertical="center"/>
    </xf>
    <xf numFmtId="0" fontId="11" fillId="0" borderId="0" xfId="0" applyFont="1"/>
    <xf numFmtId="0" fontId="8" fillId="3" borderId="34" xfId="0" applyFont="1" applyFill="1" applyBorder="1" applyAlignment="1">
      <alignment horizontal="center" vertical="center"/>
    </xf>
    <xf numFmtId="17" fontId="0" fillId="0" borderId="35" xfId="0" applyNumberFormat="1" applyFont="1" applyBorder="1" applyAlignment="1">
      <alignment horizontal="center" vertical="center"/>
    </xf>
    <xf numFmtId="17" fontId="0" fillId="0" borderId="30" xfId="0" applyNumberFormat="1" applyFont="1" applyBorder="1" applyAlignment="1">
      <alignment horizontal="center" vertical="center"/>
    </xf>
    <xf numFmtId="0" fontId="0" fillId="3" borderId="34" xfId="0" applyFont="1" applyFill="1" applyBorder="1" applyAlignment="1">
      <alignment horizontal="center" vertical="center"/>
    </xf>
    <xf numFmtId="44" fontId="0" fillId="4" borderId="39" xfId="0" applyNumberFormat="1" applyFill="1" applyBorder="1"/>
    <xf numFmtId="44" fontId="0" fillId="4" borderId="48" xfId="0" applyNumberFormat="1" applyFill="1" applyBorder="1"/>
    <xf numFmtId="44" fontId="0" fillId="4" borderId="20" xfId="0" applyNumberFormat="1" applyFill="1" applyBorder="1"/>
    <xf numFmtId="44" fontId="0" fillId="4" borderId="46" xfId="0" applyNumberFormat="1" applyFill="1" applyBorder="1"/>
    <xf numFmtId="44" fontId="0" fillId="4" borderId="36" xfId="0" applyNumberFormat="1" applyFill="1" applyBorder="1"/>
    <xf numFmtId="44" fontId="0" fillId="4" borderId="47" xfId="0" applyNumberFormat="1" applyFill="1" applyBorder="1"/>
    <xf numFmtId="0" fontId="10" fillId="0" borderId="0" xfId="0" applyFont="1" applyFill="1"/>
    <xf numFmtId="0" fontId="0" fillId="0" borderId="39" xfId="0" applyBorder="1"/>
    <xf numFmtId="0" fontId="0" fillId="0" borderId="0" xfId="0"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xf>
    <xf numFmtId="0" fontId="0" fillId="0" borderId="0" xfId="0" applyAlignment="1">
      <alignment vertical="center"/>
    </xf>
    <xf numFmtId="0" fontId="11" fillId="2" borderId="0" xfId="0" applyFont="1" applyFill="1" applyBorder="1" applyAlignment="1">
      <alignment horizontal="center" vertical="center" wrapText="1"/>
    </xf>
    <xf numFmtId="0" fontId="11" fillId="2" borderId="0" xfId="0" applyFont="1" applyFill="1" applyAlignment="1">
      <alignment horizontal="center" vertical="center"/>
    </xf>
    <xf numFmtId="0" fontId="11" fillId="2" borderId="33"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20" xfId="0" applyFont="1" applyFill="1" applyBorder="1" applyAlignment="1">
      <alignment horizontal="center"/>
    </xf>
    <xf numFmtId="0" fontId="11" fillId="5" borderId="20" xfId="0" applyFont="1" applyFill="1" applyBorder="1" applyAlignment="1">
      <alignment horizontal="center" vertical="center"/>
    </xf>
    <xf numFmtId="0" fontId="11" fillId="5" borderId="20" xfId="0" applyFont="1" applyFill="1" applyBorder="1" applyAlignment="1">
      <alignment horizontal="center"/>
    </xf>
    <xf numFmtId="44" fontId="0" fillId="0" borderId="39" xfId="0" applyNumberFormat="1" applyFill="1" applyBorder="1"/>
    <xf numFmtId="44" fontId="0" fillId="0" borderId="20" xfId="0" applyNumberFormat="1" applyFill="1" applyBorder="1"/>
    <xf numFmtId="44" fontId="0" fillId="0" borderId="36" xfId="0" applyNumberFormat="1" applyFill="1" applyBorder="1"/>
    <xf numFmtId="164" fontId="0" fillId="0" borderId="50" xfId="0" applyNumberFormat="1" applyFont="1" applyBorder="1" applyAlignment="1">
      <alignment horizontal="center" vertical="center" wrapText="1"/>
    </xf>
    <xf numFmtId="0" fontId="11" fillId="2" borderId="40" xfId="0" applyFont="1" applyFill="1" applyBorder="1" applyAlignment="1">
      <alignment horizontal="center" vertical="center" wrapText="1"/>
    </xf>
    <xf numFmtId="44" fontId="0" fillId="6" borderId="39" xfId="0" applyNumberFormat="1" applyFill="1" applyBorder="1"/>
    <xf numFmtId="44" fontId="0" fillId="6" borderId="20" xfId="0" applyNumberFormat="1" applyFill="1" applyBorder="1"/>
    <xf numFmtId="44" fontId="0" fillId="6" borderId="36" xfId="0" applyNumberFormat="1" applyFill="1" applyBorder="1"/>
    <xf numFmtId="0" fontId="11" fillId="2" borderId="20" xfId="0" applyFont="1" applyFill="1" applyBorder="1" applyAlignment="1">
      <alignment horizontal="center" vertical="center" wrapText="1"/>
    </xf>
    <xf numFmtId="0" fontId="0" fillId="0" borderId="20" xfId="0" applyBorder="1" applyAlignment="1">
      <alignment vertical="center"/>
    </xf>
    <xf numFmtId="0" fontId="0" fillId="0" borderId="0" xfId="0" applyAlignment="1">
      <alignment vertical="top"/>
    </xf>
    <xf numFmtId="166" fontId="0" fillId="0" borderId="0" xfId="0" applyNumberFormat="1" applyAlignment="1">
      <alignment vertical="center"/>
    </xf>
    <xf numFmtId="9" fontId="0" fillId="0" borderId="0" xfId="1" applyFont="1" applyAlignment="1">
      <alignment vertical="center"/>
    </xf>
    <xf numFmtId="9" fontId="0" fillId="0" borderId="0" xfId="1" applyFont="1" applyAlignment="1">
      <alignment vertical="top"/>
    </xf>
    <xf numFmtId="166" fontId="0" fillId="0" borderId="20" xfId="0" applyNumberFormat="1" applyBorder="1" applyAlignment="1">
      <alignment vertical="center"/>
    </xf>
    <xf numFmtId="0" fontId="0" fillId="0" borderId="0" xfId="0" applyBorder="1" applyAlignment="1">
      <alignment horizontal="left" vertical="center"/>
    </xf>
    <xf numFmtId="166" fontId="0" fillId="0" borderId="0" xfId="0" applyNumberFormat="1" applyBorder="1" applyAlignment="1">
      <alignment vertical="center"/>
    </xf>
    <xf numFmtId="9" fontId="0" fillId="0" borderId="0" xfId="1"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9" fontId="0" fillId="0" borderId="0" xfId="1" applyFont="1" applyBorder="1" applyAlignment="1">
      <alignment vertical="center"/>
    </xf>
    <xf numFmtId="44" fontId="0" fillId="0" borderId="50" xfId="0" applyNumberFormat="1" applyFill="1" applyBorder="1"/>
    <xf numFmtId="44" fontId="0" fillId="0" borderId="32" xfId="0" applyNumberFormat="1" applyFill="1" applyBorder="1"/>
    <xf numFmtId="44" fontId="0" fillId="0" borderId="51" xfId="0" applyNumberFormat="1" applyFill="1" applyBorder="1"/>
    <xf numFmtId="44" fontId="8" fillId="3" borderId="23" xfId="0" applyNumberFormat="1" applyFont="1" applyFill="1" applyBorder="1" applyAlignment="1">
      <alignment horizontal="center" vertical="center"/>
    </xf>
    <xf numFmtId="17" fontId="0" fillId="0" borderId="20" xfId="0" applyNumberFormat="1" applyFont="1" applyBorder="1" applyAlignment="1">
      <alignment horizontal="center" vertical="center"/>
    </xf>
    <xf numFmtId="44" fontId="0" fillId="0" borderId="20" xfId="0" applyNumberFormat="1" applyFill="1" applyBorder="1" applyProtection="1"/>
    <xf numFmtId="0" fontId="8" fillId="7" borderId="20" xfId="0" applyFont="1" applyFill="1" applyBorder="1" applyAlignment="1">
      <alignment horizontal="center" vertical="center"/>
    </xf>
    <xf numFmtId="0" fontId="21" fillId="0" borderId="40" xfId="0" applyFont="1" applyBorder="1" applyAlignment="1">
      <alignment vertical="top"/>
    </xf>
    <xf numFmtId="0" fontId="20" fillId="0" borderId="42" xfId="0" applyFont="1" applyBorder="1" applyAlignment="1">
      <alignment vertical="top"/>
    </xf>
    <xf numFmtId="0" fontId="20" fillId="0" borderId="43" xfId="0" applyFont="1" applyBorder="1" applyAlignment="1">
      <alignment vertical="top"/>
    </xf>
    <xf numFmtId="44" fontId="0" fillId="6" borderId="50" xfId="0" applyNumberFormat="1" applyFill="1" applyBorder="1"/>
    <xf numFmtId="44" fontId="0" fillId="6" borderId="32" xfId="0" applyNumberFormat="1" applyFill="1" applyBorder="1"/>
    <xf numFmtId="44" fontId="0" fillId="6" borderId="51" xfId="0" applyNumberFormat="1" applyFill="1" applyBorder="1"/>
    <xf numFmtId="17" fontId="0" fillId="0" borderId="20" xfId="0" applyNumberFormat="1" applyBorder="1" applyAlignment="1">
      <alignment horizontal="center" vertical="center"/>
    </xf>
    <xf numFmtId="0" fontId="11" fillId="2" borderId="32" xfId="0" applyFont="1" applyFill="1" applyBorder="1" applyAlignment="1">
      <alignment horizontal="center"/>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2" borderId="31" xfId="0" applyFont="1" applyFill="1" applyBorder="1" applyAlignment="1">
      <alignment horizontal="center"/>
    </xf>
    <xf numFmtId="0" fontId="11" fillId="5" borderId="32" xfId="0" applyFont="1" applyFill="1" applyBorder="1" applyAlignment="1">
      <alignment horizontal="center" vertical="center"/>
    </xf>
    <xf numFmtId="44" fontId="19" fillId="0" borderId="50" xfId="0" applyNumberFormat="1" applyFont="1" applyFill="1" applyBorder="1"/>
    <xf numFmtId="44" fontId="19" fillId="0" borderId="32" xfId="0" applyNumberFormat="1" applyFont="1" applyFill="1" applyBorder="1"/>
    <xf numFmtId="44" fontId="19" fillId="0" borderId="51" xfId="0" applyNumberFormat="1" applyFont="1" applyFill="1" applyBorder="1"/>
    <xf numFmtId="17" fontId="0" fillId="0" borderId="39" xfId="0" applyNumberFormat="1" applyFont="1" applyBorder="1" applyAlignment="1">
      <alignment horizontal="center" vertical="center"/>
    </xf>
    <xf numFmtId="17" fontId="0" fillId="0" borderId="39" xfId="0" applyNumberFormat="1" applyBorder="1" applyAlignment="1">
      <alignment horizontal="center" vertical="center"/>
    </xf>
    <xf numFmtId="0" fontId="11" fillId="2" borderId="31" xfId="0" applyFont="1" applyFill="1" applyBorder="1" applyAlignment="1">
      <alignment horizontal="center" vertical="center"/>
    </xf>
    <xf numFmtId="0" fontId="12" fillId="0" borderId="20" xfId="0" applyFont="1" applyBorder="1" applyAlignment="1">
      <alignment horizontal="center" vertical="center" wrapText="1"/>
    </xf>
    <xf numFmtId="164" fontId="0" fillId="0" borderId="20" xfId="0" applyNumberFormat="1" applyFont="1" applyBorder="1" applyAlignment="1">
      <alignment horizontal="center" vertical="center" wrapText="1"/>
    </xf>
    <xf numFmtId="2" fontId="12" fillId="0" borderId="20" xfId="0" applyNumberFormat="1" applyFont="1" applyBorder="1" applyAlignment="1">
      <alignment horizontal="center" vertical="center" wrapText="1"/>
    </xf>
    <xf numFmtId="164" fontId="0" fillId="0" borderId="20" xfId="0" applyNumberFormat="1" applyFont="1" applyBorder="1" applyAlignment="1">
      <alignment horizontal="center" vertical="center" wrapText="1"/>
    </xf>
    <xf numFmtId="164" fontId="0" fillId="0" borderId="39"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0" fillId="0" borderId="20" xfId="0" applyBorder="1" applyAlignment="1">
      <alignment horizontal="center" vertical="center"/>
    </xf>
    <xf numFmtId="0" fontId="0" fillId="0" borderId="20" xfId="0" applyFont="1" applyBorder="1" applyAlignment="1">
      <alignment horizontal="center" vertical="center"/>
    </xf>
    <xf numFmtId="2" fontId="0" fillId="0" borderId="20" xfId="0" applyNumberFormat="1" applyFont="1" applyBorder="1" applyAlignment="1">
      <alignment horizontal="center" vertical="center"/>
    </xf>
    <xf numFmtId="0" fontId="0" fillId="0" borderId="39" xfId="0" applyBorder="1" applyAlignment="1">
      <alignment horizontal="center" vertical="center"/>
    </xf>
    <xf numFmtId="0" fontId="12" fillId="0" borderId="39" xfId="0" applyFont="1" applyBorder="1" applyAlignment="1">
      <alignment horizontal="center" vertical="center" wrapText="1"/>
    </xf>
    <xf numFmtId="2" fontId="0" fillId="0" borderId="39" xfId="0" applyNumberFormat="1" applyFont="1" applyBorder="1" applyAlignment="1">
      <alignment horizontal="center" vertical="center"/>
    </xf>
    <xf numFmtId="0" fontId="0" fillId="0" borderId="39" xfId="0" applyFont="1" applyBorder="1" applyAlignment="1">
      <alignment horizontal="center" vertical="center"/>
    </xf>
    <xf numFmtId="0" fontId="11" fillId="2" borderId="37" xfId="0" applyFont="1" applyFill="1" applyBorder="1" applyAlignment="1">
      <alignment horizontal="center" vertical="center"/>
    </xf>
    <xf numFmtId="0" fontId="11" fillId="5" borderId="37" xfId="0" applyFont="1" applyFill="1" applyBorder="1" applyAlignment="1">
      <alignment horizontal="center" vertical="center"/>
    </xf>
    <xf numFmtId="0" fontId="11" fillId="5" borderId="37" xfId="0" applyFont="1" applyFill="1" applyBorder="1" applyAlignment="1">
      <alignment horizontal="center"/>
    </xf>
    <xf numFmtId="0" fontId="12" fillId="0" borderId="50" xfId="0" applyFont="1" applyBorder="1" applyAlignment="1">
      <alignment horizontal="center" vertical="center" wrapText="1"/>
    </xf>
    <xf numFmtId="0" fontId="12" fillId="0" borderId="32" xfId="0" applyFont="1" applyBorder="1" applyAlignment="1">
      <alignment horizontal="center" vertical="center" wrapText="1"/>
    </xf>
    <xf numFmtId="0" fontId="0" fillId="0" borderId="54" xfId="0" applyBorder="1" applyAlignment="1">
      <alignment vertical="center"/>
    </xf>
    <xf numFmtId="2" fontId="12" fillId="0" borderId="32" xfId="0" applyNumberFormat="1" applyFont="1" applyBorder="1" applyAlignment="1">
      <alignment horizontal="center" vertical="center" wrapText="1"/>
    </xf>
    <xf numFmtId="0" fontId="0" fillId="0" borderId="0" xfId="0" applyBorder="1"/>
    <xf numFmtId="0" fontId="0" fillId="0" borderId="32" xfId="0" applyBorder="1" applyAlignment="1">
      <alignment horizontal="center" vertical="center"/>
    </xf>
    <xf numFmtId="0" fontId="0" fillId="0" borderId="50" xfId="0" applyBorder="1" applyAlignment="1">
      <alignment horizontal="center" vertical="center"/>
    </xf>
    <xf numFmtId="164" fontId="8" fillId="8" borderId="32" xfId="0" applyNumberFormat="1" applyFont="1" applyFill="1" applyBorder="1" applyAlignment="1">
      <alignment horizontal="center" vertical="center" wrapText="1"/>
    </xf>
    <xf numFmtId="164" fontId="8" fillId="8" borderId="20" xfId="0" applyNumberFormat="1" applyFont="1" applyFill="1" applyBorder="1" applyAlignment="1">
      <alignment horizontal="center" vertical="center" wrapText="1"/>
    </xf>
    <xf numFmtId="0" fontId="16" fillId="8" borderId="20" xfId="0" applyFont="1" applyFill="1" applyBorder="1" applyAlignment="1">
      <alignment horizontal="center" vertical="center" wrapText="1"/>
    </xf>
    <xf numFmtId="0" fontId="8" fillId="8" borderId="20" xfId="0" applyFont="1" applyFill="1" applyBorder="1" applyAlignment="1">
      <alignment horizontal="center" vertical="center"/>
    </xf>
    <xf numFmtId="0" fontId="8" fillId="8" borderId="30" xfId="0" applyFont="1" applyFill="1" applyBorder="1" applyAlignment="1">
      <alignment horizontal="center" vertical="center"/>
    </xf>
    <xf numFmtId="0" fontId="8" fillId="8" borderId="30" xfId="0" applyNumberFormat="1" applyFont="1" applyFill="1" applyBorder="1" applyAlignment="1">
      <alignment horizontal="center" vertical="center"/>
    </xf>
    <xf numFmtId="44" fontId="8" fillId="8" borderId="30" xfId="0" applyNumberFormat="1" applyFont="1" applyFill="1" applyBorder="1" applyAlignment="1">
      <alignment horizontal="center" vertical="center"/>
    </xf>
    <xf numFmtId="44" fontId="8" fillId="8" borderId="20" xfId="0" applyNumberFormat="1" applyFont="1" applyFill="1" applyBorder="1" applyAlignment="1">
      <alignment horizontal="center" vertical="center"/>
    </xf>
    <xf numFmtId="0" fontId="16" fillId="8" borderId="32" xfId="0" applyFont="1" applyFill="1" applyBorder="1" applyAlignment="1">
      <alignment horizontal="center" vertical="center" wrapText="1"/>
    </xf>
    <xf numFmtId="2" fontId="8" fillId="8" borderId="20" xfId="0" applyNumberFormat="1" applyFont="1" applyFill="1" applyBorder="1" applyAlignment="1">
      <alignment horizontal="center" vertical="center"/>
    </xf>
    <xf numFmtId="44" fontId="0" fillId="8" borderId="20" xfId="0" applyNumberFormat="1" applyFont="1" applyFill="1" applyBorder="1" applyAlignment="1">
      <alignment horizontal="center" vertical="center"/>
    </xf>
    <xf numFmtId="0" fontId="8" fillId="8" borderId="36" xfId="0" applyFont="1" applyFill="1" applyBorder="1" applyAlignment="1">
      <alignment horizontal="center" vertical="center"/>
    </xf>
    <xf numFmtId="0" fontId="8" fillId="8" borderId="32" xfId="0" applyFont="1" applyFill="1" applyBorder="1" applyAlignment="1">
      <alignment horizontal="center" vertical="center"/>
    </xf>
    <xf numFmtId="1" fontId="8" fillId="8" borderId="20" xfId="0" applyNumberFormat="1" applyFont="1" applyFill="1" applyBorder="1" applyAlignment="1">
      <alignment horizontal="center" vertical="center"/>
    </xf>
    <xf numFmtId="0" fontId="0" fillId="8" borderId="32" xfId="0" applyFont="1" applyFill="1" applyBorder="1" applyAlignment="1">
      <alignment horizontal="center" vertical="center"/>
    </xf>
    <xf numFmtId="0" fontId="0" fillId="8" borderId="20" xfId="0" applyFont="1" applyFill="1" applyBorder="1" applyAlignment="1">
      <alignment horizontal="center" vertical="center"/>
    </xf>
    <xf numFmtId="1" fontId="0" fillId="8" borderId="20" xfId="0" applyNumberFormat="1" applyFont="1" applyFill="1" applyBorder="1" applyAlignment="1">
      <alignment horizontal="center" vertical="center"/>
    </xf>
    <xf numFmtId="0" fontId="0" fillId="8" borderId="36" xfId="0" applyFont="1" applyFill="1" applyBorder="1" applyAlignment="1">
      <alignment horizontal="center" vertical="center"/>
    </xf>
    <xf numFmtId="1" fontId="0" fillId="8" borderId="36" xfId="0" applyNumberFormat="1" applyFont="1" applyFill="1" applyBorder="1" applyAlignment="1">
      <alignment horizontal="center" vertical="center"/>
    </xf>
    <xf numFmtId="0" fontId="18" fillId="8" borderId="32" xfId="0" applyFont="1" applyFill="1" applyBorder="1" applyAlignment="1">
      <alignment horizontal="center" vertical="center"/>
    </xf>
    <xf numFmtId="0" fontId="10" fillId="8" borderId="20" xfId="0"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0" fontId="20" fillId="0" borderId="20" xfId="0" applyFont="1" applyBorder="1" applyAlignment="1">
      <alignment vertical="center"/>
    </xf>
    <xf numFmtId="0" fontId="8" fillId="7" borderId="20" xfId="0" applyFont="1" applyFill="1" applyBorder="1" applyAlignment="1">
      <alignment horizontal="center" vertical="center" wrapText="1"/>
    </xf>
    <xf numFmtId="0" fontId="8" fillId="0" borderId="0" xfId="0" applyFont="1" applyAlignment="1">
      <alignment horizontal="center" vertical="top"/>
    </xf>
    <xf numFmtId="0" fontId="11" fillId="2" borderId="33" xfId="0" applyFont="1" applyFill="1" applyBorder="1" applyAlignment="1">
      <alignment horizontal="center" vertical="center"/>
    </xf>
    <xf numFmtId="0" fontId="8" fillId="7" borderId="20" xfId="0" applyFont="1" applyFill="1" applyBorder="1" applyAlignment="1">
      <alignment horizontal="center" vertical="center"/>
    </xf>
    <xf numFmtId="0" fontId="19" fillId="0" borderId="0" xfId="0" applyFont="1" applyAlignment="1">
      <alignment vertical="top" wrapText="1"/>
    </xf>
    <xf numFmtId="0" fontId="8" fillId="0" borderId="20" xfId="0" applyFont="1" applyBorder="1" applyAlignment="1">
      <alignment horizontal="center" vertical="center"/>
    </xf>
    <xf numFmtId="0" fontId="8" fillId="7" borderId="37" xfId="0" applyFont="1" applyFill="1" applyBorder="1" applyAlignment="1">
      <alignment horizontal="center" vertical="center"/>
    </xf>
    <xf numFmtId="44" fontId="8" fillId="7" borderId="34" xfId="0" applyNumberFormat="1" applyFont="1" applyFill="1" applyBorder="1" applyAlignment="1">
      <alignment horizontal="center" vertical="center"/>
    </xf>
    <xf numFmtId="164" fontId="0" fillId="0" borderId="36" xfId="0" applyNumberFormat="1" applyFont="1" applyBorder="1" applyAlignment="1">
      <alignment horizontal="center" vertical="center" wrapText="1"/>
    </xf>
    <xf numFmtId="0" fontId="12" fillId="0" borderId="55" xfId="0" applyFont="1" applyBorder="1" applyAlignment="1">
      <alignment horizontal="center" vertical="center" wrapText="1"/>
    </xf>
    <xf numFmtId="0" fontId="12" fillId="0" borderId="36" xfId="0" applyFont="1" applyBorder="1" applyAlignment="1">
      <alignment horizontal="center" vertical="center" wrapText="1"/>
    </xf>
    <xf numFmtId="0" fontId="0" fillId="0" borderId="36" xfId="0" applyFont="1" applyBorder="1" applyAlignment="1">
      <alignment horizontal="center" vertical="center"/>
    </xf>
    <xf numFmtId="2" fontId="0" fillId="0" borderId="55" xfId="0" applyNumberFormat="1" applyFont="1" applyBorder="1" applyAlignment="1">
      <alignment horizontal="center" vertical="center"/>
    </xf>
    <xf numFmtId="0" fontId="0" fillId="0" borderId="41" xfId="0" applyFont="1" applyBorder="1" applyAlignment="1">
      <alignment horizontal="center" vertical="center"/>
    </xf>
    <xf numFmtId="17" fontId="0" fillId="0" borderId="56" xfId="0" applyNumberFormat="1" applyFont="1" applyBorder="1" applyAlignment="1">
      <alignment horizontal="center" vertical="center"/>
    </xf>
    <xf numFmtId="0" fontId="0" fillId="7" borderId="20" xfId="0" applyFill="1" applyBorder="1"/>
    <xf numFmtId="0" fontId="0" fillId="7" borderId="20" xfId="0" applyFill="1" applyBorder="1" applyAlignment="1">
      <alignment vertical="center"/>
    </xf>
    <xf numFmtId="0" fontId="0" fillId="7" borderId="20" xfId="0" applyFont="1" applyFill="1" applyBorder="1" applyAlignment="1">
      <alignment horizontal="center" vertical="center"/>
    </xf>
    <xf numFmtId="44" fontId="8" fillId="7" borderId="20" xfId="0" applyNumberFormat="1" applyFont="1" applyFill="1" applyBorder="1" applyAlignment="1">
      <alignment horizontal="center" vertical="center"/>
    </xf>
    <xf numFmtId="0" fontId="12" fillId="0" borderId="32" xfId="0" applyFont="1" applyBorder="1" applyAlignment="1">
      <alignment horizontal="left" vertical="center" wrapText="1"/>
    </xf>
    <xf numFmtId="0" fontId="12" fillId="0" borderId="32" xfId="0" applyFont="1" applyBorder="1" applyAlignment="1">
      <alignment horizontal="left" vertical="center"/>
    </xf>
    <xf numFmtId="164" fontId="0" fillId="0" borderId="32" xfId="0" applyNumberFormat="1" applyFont="1" applyBorder="1" applyAlignment="1">
      <alignment horizontal="left" vertical="center"/>
    </xf>
    <xf numFmtId="164" fontId="0" fillId="0" borderId="51" xfId="0" applyNumberFormat="1" applyFont="1" applyBorder="1" applyAlignment="1">
      <alignment horizontal="left" vertical="center"/>
    </xf>
    <xf numFmtId="0" fontId="8" fillId="0" borderId="32" xfId="0" applyFont="1" applyBorder="1" applyAlignment="1">
      <alignment horizontal="center" vertical="center"/>
    </xf>
    <xf numFmtId="1" fontId="8" fillId="7" borderId="37" xfId="0" applyNumberFormat="1" applyFont="1" applyFill="1" applyBorder="1" applyAlignment="1">
      <alignment horizontal="center" vertical="center"/>
    </xf>
    <xf numFmtId="0" fontId="8" fillId="7" borderId="32" xfId="0" applyFont="1" applyFill="1" applyBorder="1"/>
    <xf numFmtId="0" fontId="11" fillId="5" borderId="31" xfId="0" applyFont="1" applyFill="1" applyBorder="1" applyAlignment="1">
      <alignment horizontal="center"/>
    </xf>
    <xf numFmtId="0" fontId="8" fillId="7" borderId="32" xfId="0" applyFont="1" applyFill="1" applyBorder="1" applyAlignment="1">
      <alignment horizontal="center" vertical="center"/>
    </xf>
    <xf numFmtId="0" fontId="8" fillId="7" borderId="20" xfId="0" applyFont="1" applyFill="1" applyBorder="1" applyAlignment="1">
      <alignment horizontal="center" vertical="center"/>
    </xf>
    <xf numFmtId="44" fontId="8" fillId="7" borderId="20" xfId="0" applyNumberFormat="1" applyFont="1" applyFill="1" applyBorder="1" applyAlignment="1">
      <alignment vertical="center"/>
    </xf>
    <xf numFmtId="0" fontId="10" fillId="2" borderId="37" xfId="0" applyFont="1" applyFill="1" applyBorder="1" applyAlignment="1">
      <alignment horizontal="center" vertical="center" wrapText="1"/>
    </xf>
    <xf numFmtId="44" fontId="8" fillId="0" borderId="39" xfId="0" applyNumberFormat="1" applyFont="1" applyBorder="1" applyAlignment="1">
      <alignment horizontal="center" vertical="center"/>
    </xf>
    <xf numFmtId="10" fontId="0" fillId="9" borderId="35" xfId="0" applyNumberFormat="1" applyFill="1" applyBorder="1" applyAlignment="1">
      <alignment horizontal="center" vertical="center"/>
    </xf>
    <xf numFmtId="10" fontId="0" fillId="9" borderId="20" xfId="0" applyNumberFormat="1" applyFill="1" applyBorder="1" applyAlignment="1">
      <alignment horizontal="center" vertical="center"/>
    </xf>
    <xf numFmtId="0" fontId="10" fillId="2" borderId="20"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8" fillId="0" borderId="0" xfId="0" applyFont="1" applyAlignment="1">
      <alignment wrapText="1"/>
    </xf>
    <xf numFmtId="17" fontId="0" fillId="9" borderId="20" xfId="0" applyNumberFormat="1" applyFont="1" applyFill="1" applyBorder="1" applyAlignment="1">
      <alignment horizontal="center" vertical="center"/>
    </xf>
    <xf numFmtId="0" fontId="0" fillId="9" borderId="20" xfId="0" applyNumberFormat="1" applyFont="1" applyFill="1" applyBorder="1" applyAlignment="1">
      <alignment horizontal="center" vertical="center"/>
    </xf>
    <xf numFmtId="44" fontId="0" fillId="9" borderId="20" xfId="0" applyNumberFormat="1" applyFill="1" applyBorder="1"/>
    <xf numFmtId="0" fontId="8" fillId="7" borderId="30" xfId="0" applyFont="1" applyFill="1" applyBorder="1" applyAlignment="1">
      <alignment horizontal="left" vertical="center"/>
    </xf>
    <xf numFmtId="0" fontId="8" fillId="7" borderId="32" xfId="0" applyFont="1" applyFill="1" applyBorder="1" applyAlignment="1">
      <alignment horizontal="left" vertical="center"/>
    </xf>
    <xf numFmtId="0" fontId="8" fillId="7" borderId="30" xfId="0" applyFont="1" applyFill="1" applyBorder="1" applyAlignment="1">
      <alignment vertical="center"/>
    </xf>
    <xf numFmtId="0" fontId="0" fillId="0" borderId="30" xfId="0" applyBorder="1" applyAlignment="1">
      <alignment horizontal="left" vertical="center"/>
    </xf>
    <xf numFmtId="0" fontId="0" fillId="0" borderId="32" xfId="0" applyBorder="1" applyAlignment="1">
      <alignment horizontal="left" vertical="center"/>
    </xf>
    <xf numFmtId="44" fontId="0" fillId="9" borderId="20" xfId="0" applyNumberFormat="1" applyFill="1" applyBorder="1" applyAlignment="1">
      <alignment vertical="center"/>
    </xf>
    <xf numFmtId="0" fontId="8" fillId="7" borderId="20" xfId="0" applyFont="1" applyFill="1" applyBorder="1" applyAlignment="1">
      <alignment vertical="center"/>
    </xf>
    <xf numFmtId="0" fontId="8" fillId="0" borderId="0" xfId="0" applyFont="1" applyAlignment="1">
      <alignment vertical="center"/>
    </xf>
    <xf numFmtId="164" fontId="12" fillId="0" borderId="20" xfId="0" applyNumberFormat="1" applyFont="1" applyBorder="1" applyAlignment="1">
      <alignment horizontal="center" vertical="center" wrapText="1"/>
    </xf>
    <xf numFmtId="1" fontId="0" fillId="0" borderId="20" xfId="0" applyNumberFormat="1" applyBorder="1" applyAlignment="1">
      <alignment horizontal="center" vertical="center"/>
    </xf>
    <xf numFmtId="0" fontId="12" fillId="10" borderId="20" xfId="0" applyFont="1" applyFill="1" applyBorder="1" applyAlignment="1">
      <alignment horizontal="center" vertical="center" wrapText="1"/>
    </xf>
    <xf numFmtId="1" fontId="12" fillId="0" borderId="39" xfId="0" applyNumberFormat="1" applyFont="1" applyBorder="1" applyAlignment="1">
      <alignment horizontal="center" vertical="center" wrapText="1"/>
    </xf>
    <xf numFmtId="10" fontId="0" fillId="9" borderId="30" xfId="0" applyNumberFormat="1" applyFill="1" applyBorder="1" applyAlignment="1">
      <alignment horizontal="center" vertical="center"/>
    </xf>
    <xf numFmtId="44" fontId="0" fillId="0" borderId="0" xfId="0" applyNumberFormat="1" applyAlignment="1">
      <alignment vertical="center"/>
    </xf>
    <xf numFmtId="17" fontId="0" fillId="9" borderId="39" xfId="0" applyNumberFormat="1" applyFont="1" applyFill="1" applyBorder="1" applyAlignment="1">
      <alignment horizontal="center" vertical="center"/>
    </xf>
    <xf numFmtId="0" fontId="0" fillId="9" borderId="39" xfId="0" applyNumberFormat="1" applyFont="1" applyFill="1" applyBorder="1" applyAlignment="1">
      <alignment horizontal="center" vertical="center"/>
    </xf>
    <xf numFmtId="44" fontId="0" fillId="9" borderId="39" xfId="0" applyNumberFormat="1" applyFill="1" applyBorder="1"/>
    <xf numFmtId="44" fontId="0" fillId="9" borderId="20" xfId="0" applyNumberFormat="1" applyFill="1" applyBorder="1" applyProtection="1"/>
    <xf numFmtId="0" fontId="25" fillId="0" borderId="0" xfId="0" applyFont="1" applyAlignment="1">
      <alignment vertical="center"/>
    </xf>
    <xf numFmtId="0" fontId="26" fillId="0" borderId="0" xfId="0" applyFont="1" applyAlignment="1">
      <alignment vertical="center"/>
    </xf>
    <xf numFmtId="17" fontId="0" fillId="9" borderId="36" xfId="0" applyNumberFormat="1" applyFont="1" applyFill="1" applyBorder="1" applyAlignment="1">
      <alignment horizontal="center" vertical="center"/>
    </xf>
    <xf numFmtId="0" fontId="0" fillId="9" borderId="36" xfId="0" applyNumberFormat="1" applyFont="1" applyFill="1" applyBorder="1" applyAlignment="1">
      <alignment horizontal="center" vertical="center"/>
    </xf>
    <xf numFmtId="166" fontId="0" fillId="9" borderId="20" xfId="0" applyNumberFormat="1" applyFill="1" applyBorder="1" applyAlignment="1">
      <alignment horizontal="center" vertical="center"/>
    </xf>
    <xf numFmtId="0" fontId="0" fillId="9" borderId="20" xfId="0" applyFill="1" applyBorder="1" applyAlignment="1">
      <alignment horizontal="center" vertical="center"/>
    </xf>
    <xf numFmtId="166" fontId="0" fillId="9" borderId="20" xfId="0" applyNumberFormat="1" applyFill="1" applyBorder="1" applyAlignment="1">
      <alignment horizontal="center" vertical="center" wrapText="1"/>
    </xf>
    <xf numFmtId="0" fontId="0" fillId="9" borderId="20" xfId="0" applyFill="1" applyBorder="1" applyAlignment="1">
      <alignment horizontal="center" vertical="center" wrapText="1"/>
    </xf>
    <xf numFmtId="166" fontId="0" fillId="9" borderId="20" xfId="0" applyNumberFormat="1" applyFill="1" applyBorder="1" applyAlignment="1">
      <alignment vertical="center"/>
    </xf>
    <xf numFmtId="9" fontId="0" fillId="9" borderId="20" xfId="1" applyFont="1" applyFill="1" applyBorder="1" applyAlignment="1">
      <alignment horizontal="center" vertical="center"/>
    </xf>
    <xf numFmtId="0" fontId="0" fillId="9" borderId="20" xfId="0" applyFill="1" applyBorder="1" applyAlignment="1">
      <alignment vertical="center"/>
    </xf>
    <xf numFmtId="9" fontId="0" fillId="9" borderId="20" xfId="1" applyFont="1" applyFill="1" applyBorder="1" applyAlignment="1">
      <alignment vertical="center"/>
    </xf>
    <xf numFmtId="0" fontId="0" fillId="0" borderId="0" xfId="0" applyBorder="1" applyAlignment="1">
      <alignment horizontal="right" vertical="center"/>
    </xf>
    <xf numFmtId="0" fontId="0" fillId="0" borderId="0" xfId="0" applyBorder="1" applyAlignment="1">
      <alignment horizontal="center" vertical="top"/>
    </xf>
    <xf numFmtId="0" fontId="8" fillId="0" borderId="22" xfId="0" applyFont="1" applyBorder="1" applyAlignment="1">
      <alignment vertical="center"/>
    </xf>
    <xf numFmtId="0" fontId="0" fillId="0" borderId="22" xfId="0" applyBorder="1"/>
    <xf numFmtId="0" fontId="0" fillId="0" borderId="22" xfId="0" applyFont="1" applyBorder="1" applyAlignment="1">
      <alignment horizontal="center"/>
    </xf>
    <xf numFmtId="0" fontId="0" fillId="0" borderId="22"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Alignment="1">
      <alignment horizontal="left"/>
    </xf>
    <xf numFmtId="0" fontId="22" fillId="0" borderId="0" xfId="0" applyFont="1" applyAlignment="1">
      <alignment horizontal="left" vertical="center" wrapText="1"/>
    </xf>
    <xf numFmtId="0" fontId="8" fillId="0" borderId="0" xfId="0" applyFont="1" applyBorder="1" applyAlignment="1">
      <alignment vertical="center"/>
    </xf>
    <xf numFmtId="0" fontId="0" fillId="0" borderId="0" xfId="0" applyAlignment="1">
      <alignment horizontal="right"/>
    </xf>
    <xf numFmtId="0" fontId="8" fillId="9" borderId="21" xfId="0" applyFont="1" applyFill="1" applyBorder="1" applyAlignment="1">
      <alignment vertical="center"/>
    </xf>
    <xf numFmtId="0" fontId="0" fillId="0" borderId="20" xfId="0" applyBorder="1" applyAlignment="1">
      <alignment horizontal="left"/>
    </xf>
    <xf numFmtId="0" fontId="0" fillId="0" borderId="0" xfId="0" applyFont="1" applyAlignment="1">
      <alignment wrapText="1"/>
    </xf>
    <xf numFmtId="44" fontId="0" fillId="0" borderId="39" xfId="0" applyNumberFormat="1" applyFont="1" applyBorder="1" applyAlignment="1">
      <alignment horizontal="center" vertical="center"/>
    </xf>
    <xf numFmtId="0" fontId="0" fillId="0" borderId="0" xfId="0" applyFont="1" applyBorder="1" applyAlignment="1">
      <alignment vertical="center"/>
    </xf>
    <xf numFmtId="0" fontId="19" fillId="0" borderId="0" xfId="0" applyFont="1" applyBorder="1" applyAlignment="1">
      <alignment vertical="center"/>
    </xf>
    <xf numFmtId="1" fontId="0" fillId="0" borderId="20" xfId="0" applyNumberFormat="1" applyFill="1" applyBorder="1" applyAlignment="1">
      <alignment horizontal="center" vertical="center"/>
    </xf>
    <xf numFmtId="164" fontId="0" fillId="0" borderId="32" xfId="0" applyNumberFormat="1" applyFont="1" applyFill="1" applyBorder="1" applyAlignment="1">
      <alignment horizontal="center" vertical="center" wrapText="1"/>
    </xf>
    <xf numFmtId="164" fontId="0" fillId="0" borderId="20" xfId="0" applyNumberFormat="1"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20" xfId="0" applyFont="1" applyFill="1" applyBorder="1" applyAlignment="1">
      <alignment horizontal="center" vertical="center" wrapText="1"/>
    </xf>
    <xf numFmtId="164" fontId="12" fillId="0" borderId="20" xfId="0" applyNumberFormat="1" applyFont="1" applyFill="1" applyBorder="1" applyAlignment="1">
      <alignment horizontal="center" vertical="center" wrapText="1"/>
    </xf>
    <xf numFmtId="0" fontId="11" fillId="2" borderId="57" xfId="0" applyFont="1" applyFill="1" applyBorder="1" applyAlignment="1">
      <alignment horizontal="center" vertical="center" wrapText="1"/>
    </xf>
    <xf numFmtId="0" fontId="22" fillId="0" borderId="0" xfId="0" applyFont="1" applyAlignment="1">
      <alignment horizontal="left"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10" fillId="2" borderId="40"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8" fillId="9" borderId="21" xfId="0" applyFont="1" applyFill="1" applyBorder="1" applyAlignment="1">
      <alignment horizontal="center" vertical="center"/>
    </xf>
    <xf numFmtId="0" fontId="8" fillId="9" borderId="22" xfId="0" applyFont="1" applyFill="1" applyBorder="1" applyAlignment="1">
      <alignment horizontal="center" vertical="center"/>
    </xf>
    <xf numFmtId="0" fontId="8" fillId="9" borderId="23" xfId="0" applyFont="1" applyFill="1" applyBorder="1" applyAlignment="1">
      <alignment horizontal="center" vertical="center"/>
    </xf>
    <xf numFmtId="0" fontId="24" fillId="0" borderId="33" xfId="0" applyFont="1" applyBorder="1" applyAlignment="1">
      <alignment horizontal="center" vertical="center" textRotation="90"/>
    </xf>
    <xf numFmtId="0" fontId="24" fillId="0" borderId="49" xfId="0" applyFont="1" applyBorder="1" applyAlignment="1">
      <alignment horizontal="center" vertical="center" textRotation="90"/>
    </xf>
    <xf numFmtId="0" fontId="24" fillId="0" borderId="44" xfId="0" applyFont="1" applyBorder="1" applyAlignment="1">
      <alignment horizontal="center" vertical="center" textRotation="90"/>
    </xf>
    <xf numFmtId="0" fontId="24" fillId="0" borderId="34" xfId="0" applyFont="1" applyBorder="1" applyAlignment="1">
      <alignment horizontal="center" vertical="center" textRotation="90"/>
    </xf>
    <xf numFmtId="0" fontId="10" fillId="2" borderId="0"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0" fillId="0" borderId="0" xfId="0" applyAlignment="1">
      <alignment horizontal="center"/>
    </xf>
    <xf numFmtId="0" fontId="8" fillId="7" borderId="30" xfId="0" applyFont="1" applyFill="1" applyBorder="1" applyAlignment="1">
      <alignment horizontal="center" vertical="center"/>
    </xf>
    <xf numFmtId="0" fontId="8" fillId="7" borderId="32" xfId="0" applyFont="1" applyFill="1" applyBorder="1" applyAlignment="1">
      <alignment horizontal="center" vertical="center"/>
    </xf>
    <xf numFmtId="0" fontId="20" fillId="0" borderId="20" xfId="0" applyFont="1" applyBorder="1" applyAlignment="1">
      <alignment horizontal="left" vertical="center"/>
    </xf>
    <xf numFmtId="0" fontId="21" fillId="0" borderId="52" xfId="0" applyFont="1" applyBorder="1" applyAlignment="1">
      <alignment horizontal="left" vertical="top"/>
    </xf>
    <xf numFmtId="0" fontId="21" fillId="0" borderId="0" xfId="0" applyFont="1" applyBorder="1" applyAlignment="1">
      <alignment horizontal="left" vertical="top"/>
    </xf>
    <xf numFmtId="0" fontId="21" fillId="0" borderId="53" xfId="0" applyFont="1" applyBorder="1" applyAlignment="1">
      <alignment horizontal="left" vertical="top"/>
    </xf>
    <xf numFmtId="0" fontId="21" fillId="0" borderId="44" xfId="0" applyFont="1" applyBorder="1" applyAlignment="1">
      <alignment horizontal="left" vertical="center" wrapText="1"/>
    </xf>
    <xf numFmtId="0" fontId="21" fillId="0" borderId="38" xfId="0" applyFont="1" applyBorder="1" applyAlignment="1">
      <alignment horizontal="left" vertical="center" wrapText="1"/>
    </xf>
    <xf numFmtId="0" fontId="21" fillId="0" borderId="45" xfId="0" applyFont="1" applyBorder="1" applyAlignment="1">
      <alignment horizontal="left" vertical="center" wrapText="1"/>
    </xf>
    <xf numFmtId="0" fontId="11" fillId="2" borderId="0" xfId="0" applyFont="1" applyFill="1" applyAlignment="1">
      <alignment horizontal="center" vertical="center"/>
    </xf>
    <xf numFmtId="0" fontId="0" fillId="0" borderId="20" xfId="0" applyBorder="1" applyAlignment="1">
      <alignment horizontal="left" vertical="center"/>
    </xf>
    <xf numFmtId="0" fontId="0" fillId="0" borderId="20" xfId="0" applyBorder="1" applyAlignment="1">
      <alignment horizontal="left" vertical="center" wrapText="1"/>
    </xf>
    <xf numFmtId="9" fontId="0" fillId="9" borderId="20" xfId="1" applyFont="1" applyFill="1" applyBorder="1" applyAlignment="1">
      <alignment horizontal="center" vertical="center"/>
    </xf>
    <xf numFmtId="0" fontId="0" fillId="0" borderId="20" xfId="0" applyBorder="1" applyAlignment="1">
      <alignment horizontal="center" vertical="center" wrapText="1"/>
    </xf>
    <xf numFmtId="0" fontId="8" fillId="7" borderId="20" xfId="0" applyFont="1" applyFill="1" applyBorder="1" applyAlignment="1">
      <alignment horizontal="center" vertical="center"/>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38" xfId="0" applyBorder="1" applyAlignment="1">
      <alignment horizontal="center" vertical="center" wrapText="1"/>
    </xf>
    <xf numFmtId="0" fontId="0" fillId="0" borderId="45" xfId="0" applyBorder="1" applyAlignment="1">
      <alignment horizontal="center" vertical="center" wrapTex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52" xfId="0" applyBorder="1" applyAlignment="1">
      <alignment horizontal="center" vertical="center"/>
    </xf>
    <xf numFmtId="0" fontId="0" fillId="0" borderId="0" xfId="0" applyBorder="1" applyAlignment="1">
      <alignment horizontal="center" vertical="center"/>
    </xf>
    <xf numFmtId="0" fontId="0" fillId="0" borderId="53" xfId="0" applyBorder="1" applyAlignment="1">
      <alignment horizontal="center" vertical="center"/>
    </xf>
    <xf numFmtId="0" fontId="0" fillId="0" borderId="44" xfId="0" applyBorder="1" applyAlignment="1">
      <alignment horizontal="center" vertical="center"/>
    </xf>
    <xf numFmtId="0" fontId="0" fillId="0" borderId="38" xfId="0" applyBorder="1" applyAlignment="1">
      <alignment horizontal="center" vertical="center"/>
    </xf>
    <xf numFmtId="0" fontId="0" fillId="0" borderId="45" xfId="0" applyBorder="1" applyAlignment="1">
      <alignment horizontal="center" vertical="center"/>
    </xf>
    <xf numFmtId="0" fontId="0" fillId="0" borderId="0" xfId="0" applyAlignment="1">
      <alignment horizontal="center" vertical="top"/>
    </xf>
    <xf numFmtId="0" fontId="0" fillId="0" borderId="21" xfId="0" applyFont="1" applyBorder="1" applyAlignment="1">
      <alignment horizontal="center" vertical="center"/>
    </xf>
    <xf numFmtId="0" fontId="0" fillId="0" borderId="23" xfId="0" applyFont="1" applyBorder="1" applyAlignment="1">
      <alignment horizontal="center" vertical="center"/>
    </xf>
    <xf numFmtId="0" fontId="20" fillId="0" borderId="20" xfId="0" applyFont="1" applyBorder="1" applyAlignment="1">
      <alignment horizontal="left" vertical="center" wrapText="1"/>
    </xf>
    <xf numFmtId="0" fontId="8" fillId="7" borderId="30" xfId="0" applyFont="1" applyFill="1" applyBorder="1" applyAlignment="1">
      <alignment horizontal="right" vertical="center"/>
    </xf>
    <xf numFmtId="0" fontId="8" fillId="7" borderId="32" xfId="0" applyFont="1" applyFill="1" applyBorder="1" applyAlignment="1">
      <alignment horizontal="right" vertical="center"/>
    </xf>
    <xf numFmtId="0" fontId="0" fillId="0" borderId="30" xfId="0" applyBorder="1" applyAlignment="1">
      <alignment horizontal="left" vertical="center"/>
    </xf>
    <xf numFmtId="0" fontId="0" fillId="0" borderId="32" xfId="0" applyBorder="1" applyAlignment="1">
      <alignment horizontal="left" vertical="center"/>
    </xf>
    <xf numFmtId="0" fontId="19" fillId="9" borderId="21" xfId="0" applyFont="1" applyFill="1" applyBorder="1" applyAlignment="1">
      <alignment horizontal="center" vertical="center"/>
    </xf>
    <xf numFmtId="0" fontId="19" fillId="9" borderId="22" xfId="0" applyFont="1" applyFill="1" applyBorder="1" applyAlignment="1">
      <alignment horizontal="center" vertical="center"/>
    </xf>
    <xf numFmtId="0" fontId="19" fillId="9" borderId="23" xfId="0" applyFont="1" applyFill="1" applyBorder="1" applyAlignment="1">
      <alignment horizontal="center" vertical="center"/>
    </xf>
    <xf numFmtId="0" fontId="10" fillId="2" borderId="30"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23" fillId="0" borderId="0" xfId="0" applyFont="1" applyAlignment="1">
      <alignment horizontal="center" vertical="center"/>
    </xf>
    <xf numFmtId="0" fontId="3"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3" fillId="0" borderId="15" xfId="0" applyFont="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164" fontId="5"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9" xfId="0" applyFont="1" applyBorder="1" applyAlignment="1">
      <alignment horizontal="lef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164" fontId="3" fillId="0" borderId="24"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164" fontId="3" fillId="0" borderId="27"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cellXfs>
  <cellStyles count="2">
    <cellStyle name="Normal" xfId="0" builtinId="0"/>
    <cellStyle name="Percent" xfId="1" builtinId="5"/>
  </cellStyles>
  <dxfs count="44">
    <dxf>
      <border>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0"/>
      </font>
    </dxf>
    <dxf>
      <font>
        <color theme="0"/>
      </font>
    </dxf>
    <dxf>
      <fill>
        <patternFill patternType="solid">
          <bgColor theme="4" tint="-0.249977111117893"/>
        </patternFill>
      </fill>
    </dxf>
    <dxf>
      <fill>
        <patternFill patternType="solid">
          <bgColor theme="4" tint="-0.249977111117893"/>
        </patternFill>
      </fill>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wrapText="1"/>
    </dxf>
    <dxf>
      <numFmt numFmtId="34" formatCode="_-&quot;£&quot;* #,##0.00_-;\-&quot;£&quot;* #,##0.00_-;_-&quot;£&quot;* &quot;-&quot;??_-;_-@_-"/>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0"/>
      </font>
    </dxf>
    <dxf>
      <font>
        <color theme="0"/>
      </font>
    </dxf>
    <dxf>
      <fill>
        <patternFill patternType="solid">
          <bgColor theme="4" tint="-0.249977111117893"/>
        </patternFill>
      </fill>
    </dxf>
    <dxf>
      <fill>
        <patternFill patternType="solid">
          <bgColor theme="4"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vertical="center"/>
    </dxf>
    <dxf>
      <alignment vertical="center"/>
    </dxf>
    <dxf>
      <alignment wrapText="1"/>
    </dxf>
    <dxf>
      <alignment wrapText="1"/>
    </dxf>
    <dxf>
      <numFmt numFmtId="34" formatCode="_-&quot;£&quot;* #,##0.00_-;\-&quot;£&quot;* #,##0.00_-;_-&quot;£&quot;* &quot;-&quot;??_-;_-@_-"/>
    </dxf>
    <dxf>
      <fill>
        <patternFill>
          <bgColor theme="5"/>
        </patternFill>
      </fill>
    </dxf>
    <dxf>
      <fill>
        <patternFill>
          <bgColor rgb="FF00B050"/>
        </patternFill>
      </fill>
    </dxf>
    <dxf>
      <fill>
        <patternFill>
          <bgColor theme="5"/>
        </patternFill>
      </fill>
    </dxf>
    <dxf>
      <fill>
        <patternFill>
          <bgColor rgb="FF00B050"/>
        </patternFill>
      </fill>
    </dxf>
    <dxf>
      <fill>
        <patternFill>
          <bgColor theme="5"/>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drawings/_rels/drawing9.xml.rels><?xml version="1.0" encoding="UTF-8" standalone="yes"?>
<Relationships xmlns="http://schemas.openxmlformats.org/package/2006/relationships"><Relationship Id="rId1" Type="http://schemas.openxmlformats.org/officeDocument/2006/relationships/image" Target="../media/image2.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26</xdr:col>
      <xdr:colOff>254001</xdr:colOff>
      <xdr:row>1</xdr:row>
      <xdr:rowOff>281512</xdr:rowOff>
    </xdr:from>
    <xdr:to>
      <xdr:col>26</xdr:col>
      <xdr:colOff>709084</xdr:colOff>
      <xdr:row>2</xdr:row>
      <xdr:rowOff>122762</xdr:rowOff>
    </xdr:to>
    <xdr:sp macro="" textlink="">
      <xdr:nvSpPr>
        <xdr:cNvPr id="2" name="Arrow: Down 1">
          <a:extLst>
            <a:ext uri="{FF2B5EF4-FFF2-40B4-BE49-F238E27FC236}">
              <a16:creationId xmlns:a16="http://schemas.microsoft.com/office/drawing/2014/main" id="{6CABB0F6-AF6B-4A79-9E04-128BBAF3329E}"/>
            </a:ext>
          </a:extLst>
        </xdr:cNvPr>
        <xdr:cNvSpPr/>
      </xdr:nvSpPr>
      <xdr:spPr>
        <a:xfrm>
          <a:off x="14410268" y="467779"/>
          <a:ext cx="455083" cy="315383"/>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28</xdr:col>
      <xdr:colOff>264580</xdr:colOff>
      <xdr:row>1</xdr:row>
      <xdr:rowOff>306913</xdr:rowOff>
    </xdr:from>
    <xdr:to>
      <xdr:col>28</xdr:col>
      <xdr:colOff>719663</xdr:colOff>
      <xdr:row>2</xdr:row>
      <xdr:rowOff>148163</xdr:rowOff>
    </xdr:to>
    <xdr:sp macro="" textlink="">
      <xdr:nvSpPr>
        <xdr:cNvPr id="3" name="Arrow: Down 2">
          <a:extLst>
            <a:ext uri="{FF2B5EF4-FFF2-40B4-BE49-F238E27FC236}">
              <a16:creationId xmlns:a16="http://schemas.microsoft.com/office/drawing/2014/main" id="{5AB107C9-7968-49FE-8E7B-533D0D4894AD}"/>
            </a:ext>
          </a:extLst>
        </xdr:cNvPr>
        <xdr:cNvSpPr/>
      </xdr:nvSpPr>
      <xdr:spPr>
        <a:xfrm>
          <a:off x="16452847" y="493180"/>
          <a:ext cx="455083" cy="315383"/>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243417</xdr:colOff>
      <xdr:row>1</xdr:row>
      <xdr:rowOff>270931</xdr:rowOff>
    </xdr:from>
    <xdr:to>
      <xdr:col>25</xdr:col>
      <xdr:colOff>698500</xdr:colOff>
      <xdr:row>2</xdr:row>
      <xdr:rowOff>112181</xdr:rowOff>
    </xdr:to>
    <xdr:sp macro="" textlink="">
      <xdr:nvSpPr>
        <xdr:cNvPr id="4" name="Arrow: Down 3">
          <a:extLst>
            <a:ext uri="{FF2B5EF4-FFF2-40B4-BE49-F238E27FC236}">
              <a16:creationId xmlns:a16="http://schemas.microsoft.com/office/drawing/2014/main" id="{CFDA5A52-36A4-4DD2-AADA-BBB655494707}"/>
            </a:ext>
          </a:extLst>
        </xdr:cNvPr>
        <xdr:cNvSpPr/>
      </xdr:nvSpPr>
      <xdr:spPr>
        <a:xfrm>
          <a:off x="13383684" y="457198"/>
          <a:ext cx="455083" cy="315383"/>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24</xdr:col>
      <xdr:colOff>245534</xdr:colOff>
      <xdr:row>1</xdr:row>
      <xdr:rowOff>277283</xdr:rowOff>
    </xdr:from>
    <xdr:to>
      <xdr:col>24</xdr:col>
      <xdr:colOff>700617</xdr:colOff>
      <xdr:row>2</xdr:row>
      <xdr:rowOff>113877</xdr:rowOff>
    </xdr:to>
    <xdr:sp macro="" textlink="">
      <xdr:nvSpPr>
        <xdr:cNvPr id="5" name="Arrow: Down 4">
          <a:extLst>
            <a:ext uri="{FF2B5EF4-FFF2-40B4-BE49-F238E27FC236}">
              <a16:creationId xmlns:a16="http://schemas.microsoft.com/office/drawing/2014/main" id="{28468F4B-894F-450A-859E-859455E73A80}"/>
            </a:ext>
          </a:extLst>
        </xdr:cNvPr>
        <xdr:cNvSpPr/>
      </xdr:nvSpPr>
      <xdr:spPr>
        <a:xfrm>
          <a:off x="12369801" y="463550"/>
          <a:ext cx="455083" cy="31072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270934</xdr:colOff>
      <xdr:row>1</xdr:row>
      <xdr:rowOff>258229</xdr:rowOff>
    </xdr:from>
    <xdr:to>
      <xdr:col>23</xdr:col>
      <xdr:colOff>726017</xdr:colOff>
      <xdr:row>2</xdr:row>
      <xdr:rowOff>110063</xdr:rowOff>
    </xdr:to>
    <xdr:sp macro="" textlink="">
      <xdr:nvSpPr>
        <xdr:cNvPr id="6" name="Arrow: Down 5">
          <a:extLst>
            <a:ext uri="{FF2B5EF4-FFF2-40B4-BE49-F238E27FC236}">
              <a16:creationId xmlns:a16="http://schemas.microsoft.com/office/drawing/2014/main" id="{BE3963AF-237E-49DB-8C40-E50CAC4DD3B2}"/>
            </a:ext>
          </a:extLst>
        </xdr:cNvPr>
        <xdr:cNvSpPr/>
      </xdr:nvSpPr>
      <xdr:spPr>
        <a:xfrm>
          <a:off x="11379201" y="444496"/>
          <a:ext cx="455083" cy="3259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302683</xdr:colOff>
      <xdr:row>1</xdr:row>
      <xdr:rowOff>285745</xdr:rowOff>
    </xdr:from>
    <xdr:to>
      <xdr:col>22</xdr:col>
      <xdr:colOff>757766</xdr:colOff>
      <xdr:row>2</xdr:row>
      <xdr:rowOff>122339</xdr:rowOff>
    </xdr:to>
    <xdr:sp macro="" textlink="">
      <xdr:nvSpPr>
        <xdr:cNvPr id="7" name="Arrow: Down 6">
          <a:extLst>
            <a:ext uri="{FF2B5EF4-FFF2-40B4-BE49-F238E27FC236}">
              <a16:creationId xmlns:a16="http://schemas.microsoft.com/office/drawing/2014/main" id="{61E4D271-4F7D-4846-B75A-48535571C0AF}"/>
            </a:ext>
          </a:extLst>
        </xdr:cNvPr>
        <xdr:cNvSpPr/>
      </xdr:nvSpPr>
      <xdr:spPr>
        <a:xfrm>
          <a:off x="10394950" y="472012"/>
          <a:ext cx="455083" cy="31072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719666</xdr:colOff>
      <xdr:row>75</xdr:row>
      <xdr:rowOff>8467</xdr:rowOff>
    </xdr:from>
    <xdr:to>
      <xdr:col>25</xdr:col>
      <xdr:colOff>880533</xdr:colOff>
      <xdr:row>83</xdr:row>
      <xdr:rowOff>59266</xdr:rowOff>
    </xdr:to>
    <xdr:sp macro="" textlink="">
      <xdr:nvSpPr>
        <xdr:cNvPr id="8" name="TextBox 7">
          <a:extLst>
            <a:ext uri="{FF2B5EF4-FFF2-40B4-BE49-F238E27FC236}">
              <a16:creationId xmlns:a16="http://schemas.microsoft.com/office/drawing/2014/main" id="{D75A53A6-145C-FBF9-8FB7-D7C3B1D0D1F0}"/>
            </a:ext>
          </a:extLst>
        </xdr:cNvPr>
        <xdr:cNvSpPr txBox="1"/>
      </xdr:nvSpPr>
      <xdr:spPr>
        <a:xfrm>
          <a:off x="10811933" y="15494000"/>
          <a:ext cx="3208867" cy="1540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a:solidFill>
                <a:srgbClr val="FF0000"/>
              </a:solidFill>
            </a:rPr>
            <a:t>PRICING</a:t>
          </a:r>
          <a:r>
            <a:rPr lang="en-GB" sz="1800" baseline="0">
              <a:solidFill>
                <a:srgbClr val="FF0000"/>
              </a:solidFill>
            </a:rPr>
            <a:t> NOT REQUIRED BEYOND THIS POINT, AT THIS STAGE OF THE TENDER PROCESS JUST MIDSHIPS BATCHES M1, M2 and M3</a:t>
          </a:r>
          <a:endParaRPr lang="en-GB" sz="1800">
            <a:solidFill>
              <a:srgbClr val="FF0000"/>
            </a:solidFill>
          </a:endParaRPr>
        </a:p>
      </xdr:txBody>
    </xdr:sp>
    <xdr:clientData/>
  </xdr:twoCellAnchor>
  <xdr:oneCellAnchor>
    <xdr:from>
      <xdr:col>14</xdr:col>
      <xdr:colOff>651932</xdr:colOff>
      <xdr:row>4</xdr:row>
      <xdr:rowOff>50800</xdr:rowOff>
    </xdr:from>
    <xdr:ext cx="4715934" cy="436786"/>
    <xdr:sp macro="" textlink="">
      <xdr:nvSpPr>
        <xdr:cNvPr id="9" name="TextBox 8">
          <a:extLst>
            <a:ext uri="{FF2B5EF4-FFF2-40B4-BE49-F238E27FC236}">
              <a16:creationId xmlns:a16="http://schemas.microsoft.com/office/drawing/2014/main" id="{D0D03C66-41BF-EF0B-4A0F-443B9076556E}"/>
            </a:ext>
          </a:extLst>
        </xdr:cNvPr>
        <xdr:cNvSpPr txBox="1"/>
      </xdr:nvSpPr>
      <xdr:spPr>
        <a:xfrm>
          <a:off x="4648199" y="905933"/>
          <a:ext cx="47159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Note: Plank Dimension shown here are circa</a:t>
          </a:r>
          <a:r>
            <a:rPr lang="en-GB" sz="1100" baseline="0"/>
            <a:t> 300mm longer and 100mm wider than the finished plank size to allow for Shipwrights to fit the plank</a:t>
          </a:r>
          <a:endParaRPr lang="en-GB" sz="1100"/>
        </a:p>
      </xdr:txBody>
    </xdr:sp>
    <xdr:clientData/>
  </xdr:oneCellAnchor>
  <xdr:twoCellAnchor>
    <xdr:from>
      <xdr:col>16</xdr:col>
      <xdr:colOff>116417</xdr:colOff>
      <xdr:row>2</xdr:row>
      <xdr:rowOff>1</xdr:rowOff>
    </xdr:from>
    <xdr:to>
      <xdr:col>16</xdr:col>
      <xdr:colOff>505923</xdr:colOff>
      <xdr:row>3</xdr:row>
      <xdr:rowOff>39120</xdr:rowOff>
    </xdr:to>
    <xdr:sp macro="" textlink="">
      <xdr:nvSpPr>
        <xdr:cNvPr id="10" name="Arrow: Down 9">
          <a:extLst>
            <a:ext uri="{FF2B5EF4-FFF2-40B4-BE49-F238E27FC236}">
              <a16:creationId xmlns:a16="http://schemas.microsoft.com/office/drawing/2014/main" id="{81FA4316-31BF-4CF3-95E6-D5DE32F5D504}"/>
            </a:ext>
          </a:extLst>
        </xdr:cNvPr>
        <xdr:cNvSpPr/>
      </xdr:nvSpPr>
      <xdr:spPr>
        <a:xfrm rot="5400000">
          <a:off x="4276235" y="613266"/>
          <a:ext cx="324869" cy="38950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465668</xdr:colOff>
      <xdr:row>1</xdr:row>
      <xdr:rowOff>179912</xdr:rowOff>
    </xdr:from>
    <xdr:to>
      <xdr:col>24</xdr:col>
      <xdr:colOff>920751</xdr:colOff>
      <xdr:row>2</xdr:row>
      <xdr:rowOff>21162</xdr:rowOff>
    </xdr:to>
    <xdr:sp macro="" textlink="">
      <xdr:nvSpPr>
        <xdr:cNvPr id="2" name="Arrow: Down 1">
          <a:extLst>
            <a:ext uri="{FF2B5EF4-FFF2-40B4-BE49-F238E27FC236}">
              <a16:creationId xmlns:a16="http://schemas.microsoft.com/office/drawing/2014/main" id="{A5F45221-D558-4F94-89AC-212376D6930A}"/>
            </a:ext>
          </a:extLst>
        </xdr:cNvPr>
        <xdr:cNvSpPr/>
      </xdr:nvSpPr>
      <xdr:spPr>
        <a:xfrm>
          <a:off x="20620568" y="370412"/>
          <a:ext cx="455083" cy="59372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497417</xdr:colOff>
      <xdr:row>1</xdr:row>
      <xdr:rowOff>169331</xdr:rowOff>
    </xdr:from>
    <xdr:to>
      <xdr:col>23</xdr:col>
      <xdr:colOff>952500</xdr:colOff>
      <xdr:row>2</xdr:row>
      <xdr:rowOff>10581</xdr:rowOff>
    </xdr:to>
    <xdr:sp macro="" textlink="">
      <xdr:nvSpPr>
        <xdr:cNvPr id="4" name="Arrow: Down 3">
          <a:extLst>
            <a:ext uri="{FF2B5EF4-FFF2-40B4-BE49-F238E27FC236}">
              <a16:creationId xmlns:a16="http://schemas.microsoft.com/office/drawing/2014/main" id="{5945E3ED-F569-4DD0-AACA-AB62CBB2F43E}"/>
            </a:ext>
          </a:extLst>
        </xdr:cNvPr>
        <xdr:cNvSpPr/>
      </xdr:nvSpPr>
      <xdr:spPr>
        <a:xfrm>
          <a:off x="19223567" y="359831"/>
          <a:ext cx="455083" cy="59372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508000</xdr:colOff>
      <xdr:row>1</xdr:row>
      <xdr:rowOff>158749</xdr:rowOff>
    </xdr:from>
    <xdr:to>
      <xdr:col>22</xdr:col>
      <xdr:colOff>963083</xdr:colOff>
      <xdr:row>1</xdr:row>
      <xdr:rowOff>751416</xdr:rowOff>
    </xdr:to>
    <xdr:sp macro="" textlink="">
      <xdr:nvSpPr>
        <xdr:cNvPr id="5" name="Arrow: Down 4">
          <a:extLst>
            <a:ext uri="{FF2B5EF4-FFF2-40B4-BE49-F238E27FC236}">
              <a16:creationId xmlns:a16="http://schemas.microsoft.com/office/drawing/2014/main" id="{F35CD434-25D4-4678-B6E5-3E34B355923B}"/>
            </a:ext>
          </a:extLst>
        </xdr:cNvPr>
        <xdr:cNvSpPr/>
      </xdr:nvSpPr>
      <xdr:spPr>
        <a:xfrm>
          <a:off x="17805400" y="349249"/>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21</xdr:col>
      <xdr:colOff>508000</xdr:colOff>
      <xdr:row>1</xdr:row>
      <xdr:rowOff>148162</xdr:rowOff>
    </xdr:from>
    <xdr:to>
      <xdr:col>21</xdr:col>
      <xdr:colOff>963083</xdr:colOff>
      <xdr:row>1</xdr:row>
      <xdr:rowOff>740829</xdr:rowOff>
    </xdr:to>
    <xdr:sp macro="" textlink="">
      <xdr:nvSpPr>
        <xdr:cNvPr id="6" name="Arrow: Down 5">
          <a:extLst>
            <a:ext uri="{FF2B5EF4-FFF2-40B4-BE49-F238E27FC236}">
              <a16:creationId xmlns:a16="http://schemas.microsoft.com/office/drawing/2014/main" id="{2A48C47A-8541-4F36-8EEE-772D190E19E3}"/>
            </a:ext>
          </a:extLst>
        </xdr:cNvPr>
        <xdr:cNvSpPr/>
      </xdr:nvSpPr>
      <xdr:spPr>
        <a:xfrm>
          <a:off x="16376650" y="338662"/>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20</xdr:col>
      <xdr:colOff>497416</xdr:colOff>
      <xdr:row>1</xdr:row>
      <xdr:rowOff>158745</xdr:rowOff>
    </xdr:from>
    <xdr:to>
      <xdr:col>20</xdr:col>
      <xdr:colOff>952499</xdr:colOff>
      <xdr:row>1</xdr:row>
      <xdr:rowOff>751412</xdr:rowOff>
    </xdr:to>
    <xdr:sp macro="" textlink="">
      <xdr:nvSpPr>
        <xdr:cNvPr id="7" name="Arrow: Down 6">
          <a:extLst>
            <a:ext uri="{FF2B5EF4-FFF2-40B4-BE49-F238E27FC236}">
              <a16:creationId xmlns:a16="http://schemas.microsoft.com/office/drawing/2014/main" id="{A535067A-6154-48C8-B5F7-8307BBDA9DA7}"/>
            </a:ext>
          </a:extLst>
        </xdr:cNvPr>
        <xdr:cNvSpPr/>
      </xdr:nvSpPr>
      <xdr:spPr>
        <a:xfrm>
          <a:off x="14937316" y="349245"/>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16</xdr:col>
      <xdr:colOff>101600</xdr:colOff>
      <xdr:row>4</xdr:row>
      <xdr:rowOff>76200</xdr:rowOff>
    </xdr:from>
    <xdr:ext cx="2971800" cy="264560"/>
    <xdr:sp macro="" textlink="">
      <xdr:nvSpPr>
        <xdr:cNvPr id="8" name="TextBox 7">
          <a:extLst>
            <a:ext uri="{FF2B5EF4-FFF2-40B4-BE49-F238E27FC236}">
              <a16:creationId xmlns:a16="http://schemas.microsoft.com/office/drawing/2014/main" id="{5A8EEBF2-F0A1-4E59-8C31-B8AAEBF2EE57}"/>
            </a:ext>
          </a:extLst>
        </xdr:cNvPr>
        <xdr:cNvSpPr txBox="1"/>
      </xdr:nvSpPr>
      <xdr:spPr>
        <a:xfrm>
          <a:off x="6671733" y="1202267"/>
          <a:ext cx="2971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Note: Plank Dimensions are</a:t>
          </a:r>
          <a:r>
            <a:rPr lang="en-GB" sz="1100" baseline="0"/>
            <a:t> finished plank size</a:t>
          </a:r>
          <a:endParaRPr lang="en-GB" sz="1100"/>
        </a:p>
      </xdr:txBody>
    </xdr:sp>
    <xdr:clientData/>
  </xdr:oneCellAnchor>
  <xdr:twoCellAnchor>
    <xdr:from>
      <xdr:col>16</xdr:col>
      <xdr:colOff>148167</xdr:colOff>
      <xdr:row>1</xdr:row>
      <xdr:rowOff>423334</xdr:rowOff>
    </xdr:from>
    <xdr:to>
      <xdr:col>16</xdr:col>
      <xdr:colOff>537673</xdr:colOff>
      <xdr:row>3</xdr:row>
      <xdr:rowOff>28536</xdr:rowOff>
    </xdr:to>
    <xdr:sp macro="" textlink="">
      <xdr:nvSpPr>
        <xdr:cNvPr id="9" name="Arrow: Down 8">
          <a:extLst>
            <a:ext uri="{FF2B5EF4-FFF2-40B4-BE49-F238E27FC236}">
              <a16:creationId xmlns:a16="http://schemas.microsoft.com/office/drawing/2014/main" id="{22D90569-98A9-45D2-844E-9C8E59165CED}"/>
            </a:ext>
          </a:extLst>
        </xdr:cNvPr>
        <xdr:cNvSpPr/>
      </xdr:nvSpPr>
      <xdr:spPr>
        <a:xfrm rot="5400000">
          <a:off x="4911235" y="581516"/>
          <a:ext cx="324869" cy="38950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178594</xdr:colOff>
      <xdr:row>4</xdr:row>
      <xdr:rowOff>68262</xdr:rowOff>
    </xdr:from>
    <xdr:to>
      <xdr:col>23</xdr:col>
      <xdr:colOff>137583</xdr:colOff>
      <xdr:row>5</xdr:row>
      <xdr:rowOff>309563</xdr:rowOff>
    </xdr:to>
    <xdr:sp macro="" textlink="">
      <xdr:nvSpPr>
        <xdr:cNvPr id="28" name="TextBox 27">
          <a:extLst>
            <a:ext uri="{FF2B5EF4-FFF2-40B4-BE49-F238E27FC236}">
              <a16:creationId xmlns:a16="http://schemas.microsoft.com/office/drawing/2014/main" id="{D50E7CF7-B013-7D0B-4B9A-362ABA586B3A}"/>
            </a:ext>
          </a:extLst>
        </xdr:cNvPr>
        <xdr:cNvSpPr txBox="1"/>
      </xdr:nvSpPr>
      <xdr:spPr>
        <a:xfrm>
          <a:off x="9572625" y="1163637"/>
          <a:ext cx="935302" cy="4556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Actual</a:t>
          </a:r>
          <a:r>
            <a:rPr lang="en-GB" sz="1100" baseline="0"/>
            <a:t> Line </a:t>
          </a:r>
        </a:p>
        <a:p>
          <a:r>
            <a:rPr lang="en-GB" sz="1100" baseline="0"/>
            <a:t>of Hull</a:t>
          </a:r>
          <a:endParaRPr lang="en-GB" sz="1100"/>
        </a:p>
      </xdr:txBody>
    </xdr:sp>
    <xdr:clientData/>
  </xdr:twoCellAnchor>
  <xdr:twoCellAnchor>
    <xdr:from>
      <xdr:col>30</xdr:col>
      <xdr:colOff>287868</xdr:colOff>
      <xdr:row>1</xdr:row>
      <xdr:rowOff>169332</xdr:rowOff>
    </xdr:from>
    <xdr:to>
      <xdr:col>30</xdr:col>
      <xdr:colOff>742951</xdr:colOff>
      <xdr:row>3</xdr:row>
      <xdr:rowOff>8658</xdr:rowOff>
    </xdr:to>
    <xdr:sp macro="" textlink="">
      <xdr:nvSpPr>
        <xdr:cNvPr id="2" name="Arrow: Down 1">
          <a:extLst>
            <a:ext uri="{FF2B5EF4-FFF2-40B4-BE49-F238E27FC236}">
              <a16:creationId xmlns:a16="http://schemas.microsoft.com/office/drawing/2014/main" id="{13A917F8-FA66-4E61-9246-EDBA75E67A0A}"/>
            </a:ext>
          </a:extLst>
        </xdr:cNvPr>
        <xdr:cNvSpPr/>
      </xdr:nvSpPr>
      <xdr:spPr>
        <a:xfrm>
          <a:off x="17147118" y="359832"/>
          <a:ext cx="455083" cy="558993"/>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29</xdr:col>
      <xdr:colOff>328084</xdr:colOff>
      <xdr:row>1</xdr:row>
      <xdr:rowOff>160864</xdr:rowOff>
    </xdr:from>
    <xdr:to>
      <xdr:col>29</xdr:col>
      <xdr:colOff>783167</xdr:colOff>
      <xdr:row>3</xdr:row>
      <xdr:rowOff>2114</xdr:rowOff>
    </xdr:to>
    <xdr:sp macro="" textlink="">
      <xdr:nvSpPr>
        <xdr:cNvPr id="3" name="Arrow: Down 2">
          <a:extLst>
            <a:ext uri="{FF2B5EF4-FFF2-40B4-BE49-F238E27FC236}">
              <a16:creationId xmlns:a16="http://schemas.microsoft.com/office/drawing/2014/main" id="{43BE9B8C-715A-472D-9131-2B2F71A9BBA6}"/>
            </a:ext>
          </a:extLst>
        </xdr:cNvPr>
        <xdr:cNvSpPr/>
      </xdr:nvSpPr>
      <xdr:spPr>
        <a:xfrm>
          <a:off x="28098751" y="347131"/>
          <a:ext cx="455083" cy="58631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28</xdr:col>
      <xdr:colOff>296333</xdr:colOff>
      <xdr:row>1</xdr:row>
      <xdr:rowOff>167216</xdr:rowOff>
    </xdr:from>
    <xdr:to>
      <xdr:col>28</xdr:col>
      <xdr:colOff>751416</xdr:colOff>
      <xdr:row>3</xdr:row>
      <xdr:rowOff>7197</xdr:rowOff>
    </xdr:to>
    <xdr:sp macro="" textlink="">
      <xdr:nvSpPr>
        <xdr:cNvPr id="4" name="Arrow: Down 3">
          <a:extLst>
            <a:ext uri="{FF2B5EF4-FFF2-40B4-BE49-F238E27FC236}">
              <a16:creationId xmlns:a16="http://schemas.microsoft.com/office/drawing/2014/main" id="{567D42F0-837A-419F-8A7D-4A7DC5C5A5DE}"/>
            </a:ext>
          </a:extLst>
        </xdr:cNvPr>
        <xdr:cNvSpPr/>
      </xdr:nvSpPr>
      <xdr:spPr>
        <a:xfrm>
          <a:off x="27051000" y="353483"/>
          <a:ext cx="455083" cy="58504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302682</xdr:colOff>
      <xdr:row>1</xdr:row>
      <xdr:rowOff>167212</xdr:rowOff>
    </xdr:from>
    <xdr:to>
      <xdr:col>26</xdr:col>
      <xdr:colOff>757765</xdr:colOff>
      <xdr:row>3</xdr:row>
      <xdr:rowOff>7193</xdr:rowOff>
    </xdr:to>
    <xdr:sp macro="" textlink="">
      <xdr:nvSpPr>
        <xdr:cNvPr id="6" name="Arrow: Down 5">
          <a:extLst>
            <a:ext uri="{FF2B5EF4-FFF2-40B4-BE49-F238E27FC236}">
              <a16:creationId xmlns:a16="http://schemas.microsoft.com/office/drawing/2014/main" id="{E5EA9918-76D5-4D06-8E36-592EE89E1CE7}"/>
            </a:ext>
          </a:extLst>
        </xdr:cNvPr>
        <xdr:cNvSpPr/>
      </xdr:nvSpPr>
      <xdr:spPr>
        <a:xfrm>
          <a:off x="26041349" y="353479"/>
          <a:ext cx="455083" cy="58504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554302</xdr:colOff>
      <xdr:row>0</xdr:row>
      <xdr:rowOff>0</xdr:rowOff>
    </xdr:from>
    <xdr:to>
      <xdr:col>25</xdr:col>
      <xdr:colOff>715697</xdr:colOff>
      <xdr:row>5</xdr:row>
      <xdr:rowOff>234951</xdr:rowOff>
    </xdr:to>
    <xdr:grpSp>
      <xdr:nvGrpSpPr>
        <xdr:cNvPr id="34" name="Group 33">
          <a:extLst>
            <a:ext uri="{FF2B5EF4-FFF2-40B4-BE49-F238E27FC236}">
              <a16:creationId xmlns:a16="http://schemas.microsoft.com/office/drawing/2014/main" id="{73C11066-3602-3CB9-0A21-1405E3C1F20A}"/>
            </a:ext>
          </a:extLst>
        </xdr:cNvPr>
        <xdr:cNvGrpSpPr/>
      </xdr:nvGrpSpPr>
      <xdr:grpSpPr>
        <a:xfrm>
          <a:off x="9734021" y="0"/>
          <a:ext cx="3090332" cy="1544639"/>
          <a:chOff x="3128434" y="-32058"/>
          <a:chExt cx="2772831" cy="1572992"/>
        </a:xfrm>
      </xdr:grpSpPr>
      <xdr:sp macro="" textlink="">
        <xdr:nvSpPr>
          <xdr:cNvPr id="7" name="Rectangle 6">
            <a:extLst>
              <a:ext uri="{FF2B5EF4-FFF2-40B4-BE49-F238E27FC236}">
                <a16:creationId xmlns:a16="http://schemas.microsoft.com/office/drawing/2014/main" id="{0F8730A0-3502-2BC2-5AA1-601A4913401E}"/>
              </a:ext>
            </a:extLst>
          </xdr:cNvPr>
          <xdr:cNvSpPr/>
        </xdr:nvSpPr>
        <xdr:spPr>
          <a:xfrm>
            <a:off x="3428999" y="457201"/>
            <a:ext cx="829734" cy="7196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8" name="Oval 7">
            <a:extLst>
              <a:ext uri="{FF2B5EF4-FFF2-40B4-BE49-F238E27FC236}">
                <a16:creationId xmlns:a16="http://schemas.microsoft.com/office/drawing/2014/main" id="{D7F3D990-AF19-4E72-339F-E0AB8490CD27}"/>
              </a:ext>
            </a:extLst>
          </xdr:cNvPr>
          <xdr:cNvSpPr/>
        </xdr:nvSpPr>
        <xdr:spPr>
          <a:xfrm>
            <a:off x="3742265" y="626534"/>
            <a:ext cx="922867" cy="9144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0" name="TextBox 9">
            <a:extLst>
              <a:ext uri="{FF2B5EF4-FFF2-40B4-BE49-F238E27FC236}">
                <a16:creationId xmlns:a16="http://schemas.microsoft.com/office/drawing/2014/main" id="{265D0501-F494-4F0F-BACE-15C740E30FC7}"/>
              </a:ext>
            </a:extLst>
          </xdr:cNvPr>
          <xdr:cNvSpPr txBox="1"/>
        </xdr:nvSpPr>
        <xdr:spPr>
          <a:xfrm rot="16200000">
            <a:off x="2717801" y="524935"/>
            <a:ext cx="1092200" cy="270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Height/Length</a:t>
            </a:r>
          </a:p>
        </xdr:txBody>
      </xdr:sp>
      <xdr:sp macro="" textlink="">
        <xdr:nvSpPr>
          <xdr:cNvPr id="19" name="Rectangle 18">
            <a:extLst>
              <a:ext uri="{FF2B5EF4-FFF2-40B4-BE49-F238E27FC236}">
                <a16:creationId xmlns:a16="http://schemas.microsoft.com/office/drawing/2014/main" id="{9104CA5C-0628-0BD1-2952-62754DC8161F}"/>
              </a:ext>
            </a:extLst>
          </xdr:cNvPr>
          <xdr:cNvSpPr/>
        </xdr:nvSpPr>
        <xdr:spPr>
          <a:xfrm>
            <a:off x="4651557" y="435655"/>
            <a:ext cx="829734" cy="787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0" name="Oval 19">
            <a:extLst>
              <a:ext uri="{FF2B5EF4-FFF2-40B4-BE49-F238E27FC236}">
                <a16:creationId xmlns:a16="http://schemas.microsoft.com/office/drawing/2014/main" id="{5818B5F7-54E1-CE25-A1CC-757930BC04FA}"/>
              </a:ext>
            </a:extLst>
          </xdr:cNvPr>
          <xdr:cNvSpPr/>
        </xdr:nvSpPr>
        <xdr:spPr>
          <a:xfrm>
            <a:off x="4978398" y="609600"/>
            <a:ext cx="922867" cy="9144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1" name="TextBox 20">
            <a:extLst>
              <a:ext uri="{FF2B5EF4-FFF2-40B4-BE49-F238E27FC236}">
                <a16:creationId xmlns:a16="http://schemas.microsoft.com/office/drawing/2014/main" id="{84E48660-4667-1495-04CC-77404F98A5D5}"/>
              </a:ext>
            </a:extLst>
          </xdr:cNvPr>
          <xdr:cNvSpPr txBox="1"/>
        </xdr:nvSpPr>
        <xdr:spPr>
          <a:xfrm>
            <a:off x="3654215" y="-32058"/>
            <a:ext cx="879951" cy="5254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Breadth as supplied</a:t>
            </a:r>
          </a:p>
        </xdr:txBody>
      </xdr:sp>
      <xdr:sp macro="" textlink="">
        <xdr:nvSpPr>
          <xdr:cNvPr id="22" name="TextBox 21">
            <a:extLst>
              <a:ext uri="{FF2B5EF4-FFF2-40B4-BE49-F238E27FC236}">
                <a16:creationId xmlns:a16="http://schemas.microsoft.com/office/drawing/2014/main" id="{50F60F09-BEFB-A756-44B7-83615755419A}"/>
              </a:ext>
            </a:extLst>
          </xdr:cNvPr>
          <xdr:cNvSpPr txBox="1"/>
        </xdr:nvSpPr>
        <xdr:spPr>
          <a:xfrm rot="16200000">
            <a:off x="3945467" y="584201"/>
            <a:ext cx="1092200" cy="270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Height/Length</a:t>
            </a:r>
          </a:p>
        </xdr:txBody>
      </xdr:sp>
      <xdr:sp macro="" textlink="">
        <xdr:nvSpPr>
          <xdr:cNvPr id="23" name="TextBox 22">
            <a:extLst>
              <a:ext uri="{FF2B5EF4-FFF2-40B4-BE49-F238E27FC236}">
                <a16:creationId xmlns:a16="http://schemas.microsoft.com/office/drawing/2014/main" id="{ABD14ED0-344C-49A1-A118-77A84C865E97}"/>
              </a:ext>
            </a:extLst>
          </xdr:cNvPr>
          <xdr:cNvSpPr txBox="1"/>
        </xdr:nvSpPr>
        <xdr:spPr>
          <a:xfrm>
            <a:off x="4546601" y="42333"/>
            <a:ext cx="1309871" cy="242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Breadth if Square</a:t>
            </a:r>
          </a:p>
        </xdr:txBody>
      </xdr:sp>
      <xdr:cxnSp macro="">
        <xdr:nvCxnSpPr>
          <xdr:cNvPr id="25" name="Straight Connector 24">
            <a:extLst>
              <a:ext uri="{FF2B5EF4-FFF2-40B4-BE49-F238E27FC236}">
                <a16:creationId xmlns:a16="http://schemas.microsoft.com/office/drawing/2014/main" id="{910FD92D-8F30-13AC-0D25-BACB9C14E9B6}"/>
              </a:ext>
            </a:extLst>
          </xdr:cNvPr>
          <xdr:cNvCxnSpPr/>
        </xdr:nvCxnSpPr>
        <xdr:spPr>
          <a:xfrm flipV="1">
            <a:off x="3410939" y="188568"/>
            <a:ext cx="327294" cy="1028229"/>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Arrow Connector 29">
            <a:extLst>
              <a:ext uri="{FF2B5EF4-FFF2-40B4-BE49-F238E27FC236}">
                <a16:creationId xmlns:a16="http://schemas.microsoft.com/office/drawing/2014/main" id="{7471E720-C3CB-504A-3C27-71CD552E5533}"/>
              </a:ext>
            </a:extLst>
          </xdr:cNvPr>
          <xdr:cNvCxnSpPr/>
        </xdr:nvCxnSpPr>
        <xdr:spPr>
          <a:xfrm flipV="1">
            <a:off x="3683000" y="406400"/>
            <a:ext cx="584200" cy="8467"/>
          </a:xfrm>
          <a:prstGeom prst="straightConnector1">
            <a:avLst/>
          </a:prstGeom>
          <a:ln w="127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Straight Arrow Connector 30">
            <a:extLst>
              <a:ext uri="{FF2B5EF4-FFF2-40B4-BE49-F238E27FC236}">
                <a16:creationId xmlns:a16="http://schemas.microsoft.com/office/drawing/2014/main" id="{EB498560-94F9-49E4-AF70-42C969D6A352}"/>
              </a:ext>
            </a:extLst>
          </xdr:cNvPr>
          <xdr:cNvCxnSpPr/>
        </xdr:nvCxnSpPr>
        <xdr:spPr>
          <a:xfrm>
            <a:off x="4665133" y="304800"/>
            <a:ext cx="855134" cy="0"/>
          </a:xfrm>
          <a:prstGeom prst="straightConnector1">
            <a:avLst/>
          </a:prstGeom>
          <a:ln w="127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801953</xdr:colOff>
      <xdr:row>2</xdr:row>
      <xdr:rowOff>176478</xdr:rowOff>
    </xdr:from>
    <xdr:to>
      <xdr:col>25</xdr:col>
      <xdr:colOff>702468</xdr:colOff>
      <xdr:row>5</xdr:row>
      <xdr:rowOff>151078</xdr:rowOff>
    </xdr:to>
    <xdr:sp macro="" textlink="">
      <xdr:nvSpPr>
        <xdr:cNvPr id="11" name="TextBox 10">
          <a:extLst>
            <a:ext uri="{FF2B5EF4-FFF2-40B4-BE49-F238E27FC236}">
              <a16:creationId xmlns:a16="http://schemas.microsoft.com/office/drawing/2014/main" id="{B84F72E1-2E3A-4DAE-8447-82B313DDA6C9}"/>
            </a:ext>
          </a:extLst>
        </xdr:cNvPr>
        <xdr:cNvSpPr txBox="1"/>
      </xdr:nvSpPr>
      <xdr:spPr>
        <a:xfrm>
          <a:off x="12148609" y="819416"/>
          <a:ext cx="876828" cy="64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Side View</a:t>
          </a:r>
          <a:r>
            <a:rPr lang="en-GB" sz="1100" baseline="0"/>
            <a:t> of Knee</a:t>
          </a:r>
          <a:endParaRPr lang="en-GB" sz="1100"/>
        </a:p>
      </xdr:txBody>
    </xdr:sp>
    <xdr:clientData/>
  </xdr:twoCellAnchor>
  <xdr:twoCellAnchor>
    <xdr:from>
      <xdr:col>17</xdr:col>
      <xdr:colOff>326114</xdr:colOff>
      <xdr:row>0</xdr:row>
      <xdr:rowOff>105834</xdr:rowOff>
    </xdr:from>
    <xdr:to>
      <xdr:col>22</xdr:col>
      <xdr:colOff>38098</xdr:colOff>
      <xdr:row>3</xdr:row>
      <xdr:rowOff>158727</xdr:rowOff>
    </xdr:to>
    <xdr:grpSp>
      <xdr:nvGrpSpPr>
        <xdr:cNvPr id="41" name="Group 40">
          <a:extLst>
            <a:ext uri="{FF2B5EF4-FFF2-40B4-BE49-F238E27FC236}">
              <a16:creationId xmlns:a16="http://schemas.microsoft.com/office/drawing/2014/main" id="{A01BD52D-D8DD-8564-4EFC-AC33933BBB0B}"/>
            </a:ext>
          </a:extLst>
        </xdr:cNvPr>
        <xdr:cNvGrpSpPr/>
      </xdr:nvGrpSpPr>
      <xdr:grpSpPr>
        <a:xfrm>
          <a:off x="6600708" y="105834"/>
          <a:ext cx="2617109" cy="957768"/>
          <a:chOff x="16598574" y="76200"/>
          <a:chExt cx="3894667" cy="984227"/>
        </a:xfrm>
      </xdr:grpSpPr>
      <xdr:sp macro="" textlink="">
        <xdr:nvSpPr>
          <xdr:cNvPr id="35" name="Rectangle 34">
            <a:extLst>
              <a:ext uri="{FF2B5EF4-FFF2-40B4-BE49-F238E27FC236}">
                <a16:creationId xmlns:a16="http://schemas.microsoft.com/office/drawing/2014/main" id="{2EFE0AB7-BCD5-1032-91CD-7FE1F0A413F8}"/>
              </a:ext>
            </a:extLst>
          </xdr:cNvPr>
          <xdr:cNvSpPr/>
        </xdr:nvSpPr>
        <xdr:spPr>
          <a:xfrm>
            <a:off x="16704733" y="338667"/>
            <a:ext cx="2226734" cy="406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6" name="TextBox 35">
            <a:extLst>
              <a:ext uri="{FF2B5EF4-FFF2-40B4-BE49-F238E27FC236}">
                <a16:creationId xmlns:a16="http://schemas.microsoft.com/office/drawing/2014/main" id="{BCF87150-C782-EBC8-A869-3FFB0731A49C}"/>
              </a:ext>
            </a:extLst>
          </xdr:cNvPr>
          <xdr:cNvSpPr txBox="1"/>
        </xdr:nvSpPr>
        <xdr:spPr>
          <a:xfrm>
            <a:off x="17161934" y="795867"/>
            <a:ext cx="12159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Plan View of Knee</a:t>
            </a:r>
          </a:p>
        </xdr:txBody>
      </xdr:sp>
      <xdr:cxnSp macro="">
        <xdr:nvCxnSpPr>
          <xdr:cNvPr id="38" name="Straight Arrow Connector 37">
            <a:extLst>
              <a:ext uri="{FF2B5EF4-FFF2-40B4-BE49-F238E27FC236}">
                <a16:creationId xmlns:a16="http://schemas.microsoft.com/office/drawing/2014/main" id="{430557A6-FC0E-1C55-59C1-DD2795512F15}"/>
              </a:ext>
            </a:extLst>
          </xdr:cNvPr>
          <xdr:cNvCxnSpPr/>
        </xdr:nvCxnSpPr>
        <xdr:spPr>
          <a:xfrm>
            <a:off x="19066933" y="347133"/>
            <a:ext cx="8467" cy="372534"/>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9" name="TextBox 38">
            <a:extLst>
              <a:ext uri="{FF2B5EF4-FFF2-40B4-BE49-F238E27FC236}">
                <a16:creationId xmlns:a16="http://schemas.microsoft.com/office/drawing/2014/main" id="{DC3ABA3A-BA91-4FF3-8785-6F3E1F646615}"/>
              </a:ext>
            </a:extLst>
          </xdr:cNvPr>
          <xdr:cNvSpPr txBox="1"/>
        </xdr:nvSpPr>
        <xdr:spPr>
          <a:xfrm>
            <a:off x="19197841" y="307197"/>
            <a:ext cx="1295400" cy="590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FF0000"/>
                </a:solidFill>
              </a:rPr>
              <a:t>Laminate Breadth</a:t>
            </a:r>
          </a:p>
        </xdr:txBody>
      </xdr:sp>
      <xdr:sp macro="" textlink="">
        <xdr:nvSpPr>
          <xdr:cNvPr id="40" name="TextBox 39">
            <a:extLst>
              <a:ext uri="{FF2B5EF4-FFF2-40B4-BE49-F238E27FC236}">
                <a16:creationId xmlns:a16="http://schemas.microsoft.com/office/drawing/2014/main" id="{C93A1689-9C74-64D4-48DD-DA2186A99519}"/>
              </a:ext>
            </a:extLst>
          </xdr:cNvPr>
          <xdr:cNvSpPr txBox="1"/>
        </xdr:nvSpPr>
        <xdr:spPr>
          <a:xfrm>
            <a:off x="16598574" y="76200"/>
            <a:ext cx="2376529" cy="2436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Breadth of Knee</a:t>
            </a:r>
            <a:r>
              <a:rPr lang="en-GB" sz="1100" baseline="0"/>
              <a:t> if Square</a:t>
            </a:r>
            <a:endParaRPr lang="en-GB" sz="1100"/>
          </a:p>
        </xdr:txBody>
      </xdr:sp>
    </xdr:grpSp>
    <xdr:clientData/>
  </xdr:twoCellAnchor>
  <xdr:twoCellAnchor>
    <xdr:from>
      <xdr:col>27</xdr:col>
      <xdr:colOff>294409</xdr:colOff>
      <xdr:row>1</xdr:row>
      <xdr:rowOff>147205</xdr:rowOff>
    </xdr:from>
    <xdr:to>
      <xdr:col>27</xdr:col>
      <xdr:colOff>749492</xdr:colOff>
      <xdr:row>2</xdr:row>
      <xdr:rowOff>255618</xdr:rowOff>
    </xdr:to>
    <xdr:sp macro="" textlink="">
      <xdr:nvSpPr>
        <xdr:cNvPr id="26" name="Arrow: Down 25">
          <a:extLst>
            <a:ext uri="{FF2B5EF4-FFF2-40B4-BE49-F238E27FC236}">
              <a16:creationId xmlns:a16="http://schemas.microsoft.com/office/drawing/2014/main" id="{53949E8D-2CD2-4C38-98E0-7020CDCC2C81}"/>
            </a:ext>
          </a:extLst>
        </xdr:cNvPr>
        <xdr:cNvSpPr/>
      </xdr:nvSpPr>
      <xdr:spPr>
        <a:xfrm>
          <a:off x="23587364" y="337705"/>
          <a:ext cx="455083" cy="56734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190500</xdr:colOff>
      <xdr:row>1</xdr:row>
      <xdr:rowOff>404814</xdr:rowOff>
    </xdr:from>
    <xdr:to>
      <xdr:col>10</xdr:col>
      <xdr:colOff>580006</xdr:colOff>
      <xdr:row>3</xdr:row>
      <xdr:rowOff>15308</xdr:rowOff>
    </xdr:to>
    <xdr:sp macro="" textlink="">
      <xdr:nvSpPr>
        <xdr:cNvPr id="27" name="Arrow: Down 26">
          <a:extLst>
            <a:ext uri="{FF2B5EF4-FFF2-40B4-BE49-F238E27FC236}">
              <a16:creationId xmlns:a16="http://schemas.microsoft.com/office/drawing/2014/main" id="{E3C4C824-9823-4068-B172-954E05853A9A}"/>
            </a:ext>
          </a:extLst>
        </xdr:cNvPr>
        <xdr:cNvSpPr/>
      </xdr:nvSpPr>
      <xdr:spPr>
        <a:xfrm rot="5400000">
          <a:off x="3711349" y="562996"/>
          <a:ext cx="324869" cy="38950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64558</xdr:colOff>
      <xdr:row>11</xdr:row>
      <xdr:rowOff>30692</xdr:rowOff>
    </xdr:from>
    <xdr:to>
      <xdr:col>8</xdr:col>
      <xdr:colOff>66675</xdr:colOff>
      <xdr:row>12</xdr:row>
      <xdr:rowOff>228600</xdr:rowOff>
    </xdr:to>
    <xdr:sp macro="" textlink="">
      <xdr:nvSpPr>
        <xdr:cNvPr id="3" name="Arrow: Down 2">
          <a:extLst>
            <a:ext uri="{FF2B5EF4-FFF2-40B4-BE49-F238E27FC236}">
              <a16:creationId xmlns:a16="http://schemas.microsoft.com/office/drawing/2014/main" id="{FA9A90BC-89F4-446A-99D6-2A05B43FBEE2}"/>
            </a:ext>
          </a:extLst>
        </xdr:cNvPr>
        <xdr:cNvSpPr/>
      </xdr:nvSpPr>
      <xdr:spPr>
        <a:xfrm rot="5400000">
          <a:off x="7343775" y="3409950"/>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74083</xdr:colOff>
      <xdr:row>16</xdr:row>
      <xdr:rowOff>164042</xdr:rowOff>
    </xdr:from>
    <xdr:to>
      <xdr:col>8</xdr:col>
      <xdr:colOff>76200</xdr:colOff>
      <xdr:row>18</xdr:row>
      <xdr:rowOff>104775</xdr:rowOff>
    </xdr:to>
    <xdr:sp macro="" textlink="">
      <xdr:nvSpPr>
        <xdr:cNvPr id="4" name="Arrow: Down 3">
          <a:extLst>
            <a:ext uri="{FF2B5EF4-FFF2-40B4-BE49-F238E27FC236}">
              <a16:creationId xmlns:a16="http://schemas.microsoft.com/office/drawing/2014/main" id="{35E2D5F8-116C-4142-AE5A-81D34450BECE}"/>
            </a:ext>
          </a:extLst>
        </xdr:cNvPr>
        <xdr:cNvSpPr/>
      </xdr:nvSpPr>
      <xdr:spPr>
        <a:xfrm rot="5400000">
          <a:off x="7353300" y="5143500"/>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55033</xdr:colOff>
      <xdr:row>26</xdr:row>
      <xdr:rowOff>30692</xdr:rowOff>
    </xdr:from>
    <xdr:to>
      <xdr:col>8</xdr:col>
      <xdr:colOff>57150</xdr:colOff>
      <xdr:row>27</xdr:row>
      <xdr:rowOff>228600</xdr:rowOff>
    </xdr:to>
    <xdr:sp macro="" textlink="">
      <xdr:nvSpPr>
        <xdr:cNvPr id="5" name="Arrow: Down 4">
          <a:extLst>
            <a:ext uri="{FF2B5EF4-FFF2-40B4-BE49-F238E27FC236}">
              <a16:creationId xmlns:a16="http://schemas.microsoft.com/office/drawing/2014/main" id="{7F579ABF-B12A-41B3-B7CC-BC0634416702}"/>
            </a:ext>
          </a:extLst>
        </xdr:cNvPr>
        <xdr:cNvSpPr/>
      </xdr:nvSpPr>
      <xdr:spPr>
        <a:xfrm rot="5400000">
          <a:off x="7334250" y="8105775"/>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55033</xdr:colOff>
      <xdr:row>36</xdr:row>
      <xdr:rowOff>30692</xdr:rowOff>
    </xdr:from>
    <xdr:to>
      <xdr:col>8</xdr:col>
      <xdr:colOff>57150</xdr:colOff>
      <xdr:row>37</xdr:row>
      <xdr:rowOff>228600</xdr:rowOff>
    </xdr:to>
    <xdr:sp macro="" textlink="">
      <xdr:nvSpPr>
        <xdr:cNvPr id="6" name="Arrow: Down 5">
          <a:extLst>
            <a:ext uri="{FF2B5EF4-FFF2-40B4-BE49-F238E27FC236}">
              <a16:creationId xmlns:a16="http://schemas.microsoft.com/office/drawing/2014/main" id="{13C9115C-8B92-4997-918F-AFAA743EAEA5}"/>
            </a:ext>
          </a:extLst>
        </xdr:cNvPr>
        <xdr:cNvSpPr/>
      </xdr:nvSpPr>
      <xdr:spPr>
        <a:xfrm rot="5400000">
          <a:off x="7334250" y="11001375"/>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64558</xdr:colOff>
      <xdr:row>46</xdr:row>
      <xdr:rowOff>30692</xdr:rowOff>
    </xdr:from>
    <xdr:to>
      <xdr:col>8</xdr:col>
      <xdr:colOff>66675</xdr:colOff>
      <xdr:row>47</xdr:row>
      <xdr:rowOff>228600</xdr:rowOff>
    </xdr:to>
    <xdr:sp macro="" textlink="">
      <xdr:nvSpPr>
        <xdr:cNvPr id="7" name="Arrow: Down 6">
          <a:extLst>
            <a:ext uri="{FF2B5EF4-FFF2-40B4-BE49-F238E27FC236}">
              <a16:creationId xmlns:a16="http://schemas.microsoft.com/office/drawing/2014/main" id="{3CA65DA5-3F73-4F57-83D1-3BD36DBCA265}"/>
            </a:ext>
          </a:extLst>
        </xdr:cNvPr>
        <xdr:cNvSpPr/>
      </xdr:nvSpPr>
      <xdr:spPr>
        <a:xfrm rot="5400000">
          <a:off x="7343775" y="13877925"/>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74083</xdr:colOff>
      <xdr:row>57</xdr:row>
      <xdr:rowOff>30692</xdr:rowOff>
    </xdr:from>
    <xdr:to>
      <xdr:col>8</xdr:col>
      <xdr:colOff>76200</xdr:colOff>
      <xdr:row>58</xdr:row>
      <xdr:rowOff>228600</xdr:rowOff>
    </xdr:to>
    <xdr:sp macro="" textlink="">
      <xdr:nvSpPr>
        <xdr:cNvPr id="8" name="Arrow: Down 7">
          <a:extLst>
            <a:ext uri="{FF2B5EF4-FFF2-40B4-BE49-F238E27FC236}">
              <a16:creationId xmlns:a16="http://schemas.microsoft.com/office/drawing/2014/main" id="{92EB24EF-D13F-4C56-A524-4BAEF64FB9D6}"/>
            </a:ext>
          </a:extLst>
        </xdr:cNvPr>
        <xdr:cNvSpPr/>
      </xdr:nvSpPr>
      <xdr:spPr>
        <a:xfrm rot="5400000">
          <a:off x="7353300" y="17202150"/>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76200</xdr:colOff>
      <xdr:row>1</xdr:row>
      <xdr:rowOff>428626</xdr:rowOff>
    </xdr:from>
    <xdr:to>
      <xdr:col>6</xdr:col>
      <xdr:colOff>465706</xdr:colOff>
      <xdr:row>3</xdr:row>
      <xdr:rowOff>39120</xdr:rowOff>
    </xdr:to>
    <xdr:sp macro="" textlink="">
      <xdr:nvSpPr>
        <xdr:cNvPr id="9" name="Arrow: Down 8">
          <a:extLst>
            <a:ext uri="{FF2B5EF4-FFF2-40B4-BE49-F238E27FC236}">
              <a16:creationId xmlns:a16="http://schemas.microsoft.com/office/drawing/2014/main" id="{BCA75955-FB77-487C-B182-92225905416C}"/>
            </a:ext>
          </a:extLst>
        </xdr:cNvPr>
        <xdr:cNvSpPr/>
      </xdr:nvSpPr>
      <xdr:spPr>
        <a:xfrm rot="5400000">
          <a:off x="5985443" y="586808"/>
          <a:ext cx="324869" cy="38950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211455</xdr:colOff>
      <xdr:row>20</xdr:row>
      <xdr:rowOff>100965</xdr:rowOff>
    </xdr:from>
    <xdr:ext cx="4099560" cy="1986826"/>
    <xdr:sp macro="" textlink="">
      <xdr:nvSpPr>
        <xdr:cNvPr id="2" name="TextBox 1">
          <a:extLst>
            <a:ext uri="{FF2B5EF4-FFF2-40B4-BE49-F238E27FC236}">
              <a16:creationId xmlns:a16="http://schemas.microsoft.com/office/drawing/2014/main" id="{74C646B1-439B-0A61-053B-86A60FA39733}"/>
            </a:ext>
          </a:extLst>
        </xdr:cNvPr>
        <xdr:cNvSpPr txBox="1"/>
      </xdr:nvSpPr>
      <xdr:spPr>
        <a:xfrm>
          <a:off x="211455" y="4387215"/>
          <a:ext cx="4099560" cy="1986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rgbClr val="FF0000"/>
              </a:solidFill>
            </a:rPr>
            <a:t>Instruction for use</a:t>
          </a:r>
          <a:r>
            <a:rPr lang="en-GB" sz="1100">
              <a:solidFill>
                <a:srgbClr val="FF0000"/>
              </a:solidFill>
            </a:rPr>
            <a:t>.  Above </a:t>
          </a:r>
          <a:r>
            <a:rPr lang="en-GB" sz="1100" baseline="0">
              <a:solidFill>
                <a:srgbClr val="FF0000"/>
              </a:solidFill>
            </a:rPr>
            <a:t>are Pivot Tables.</a:t>
          </a:r>
        </a:p>
        <a:p>
          <a:r>
            <a:rPr lang="en-GB" sz="1100" baseline="0">
              <a:solidFill>
                <a:srgbClr val="FF0000"/>
              </a:solidFill>
            </a:rPr>
            <a:t>To update these tables:</a:t>
          </a:r>
        </a:p>
        <a:p>
          <a:r>
            <a:rPr lang="en-GB" sz="1100" baseline="0">
              <a:solidFill>
                <a:srgbClr val="FF0000"/>
              </a:solidFill>
            </a:rPr>
            <a:t>1. Click you cursor into either of the tables.  You will then see a pick list chart appear on the right of the screen.  Ignore that</a:t>
          </a:r>
        </a:p>
        <a:p>
          <a:r>
            <a:rPr lang="en-GB" sz="1100" baseline="0">
              <a:solidFill>
                <a:srgbClr val="FF0000"/>
              </a:solidFill>
            </a:rPr>
            <a:t>2. Also a "PivotTable Analyze" Tab will appear at the top of the tool bar normally above the Number Section.</a:t>
          </a:r>
        </a:p>
        <a:p>
          <a:r>
            <a:rPr lang="en-GB" sz="1100" baseline="0">
              <a:solidFill>
                <a:srgbClr val="FF0000"/>
              </a:solidFill>
            </a:rPr>
            <a:t>3. Click that tab "</a:t>
          </a:r>
          <a:r>
            <a:rPr lang="en-GB" sz="1100" b="1" baseline="0">
              <a:solidFill>
                <a:srgbClr val="FF0000"/>
              </a:solidFill>
            </a:rPr>
            <a:t>PivotTable Analyze</a:t>
          </a:r>
          <a:r>
            <a:rPr lang="en-GB" sz="1100" baseline="0">
              <a:solidFill>
                <a:srgbClr val="FF0000"/>
              </a:solidFill>
            </a:rPr>
            <a:t>"</a:t>
          </a:r>
        </a:p>
        <a:p>
          <a:r>
            <a:rPr lang="en-GB" sz="1100" baseline="0">
              <a:solidFill>
                <a:srgbClr val="FF0000"/>
              </a:solidFill>
            </a:rPr>
            <a:t>4. Then select the down arrow under the </a:t>
          </a:r>
          <a:r>
            <a:rPr lang="en-GB" sz="1100" b="1" baseline="0">
              <a:solidFill>
                <a:srgbClr val="FF0000"/>
              </a:solidFill>
            </a:rPr>
            <a:t>Refresh</a:t>
          </a:r>
          <a:r>
            <a:rPr lang="en-GB" sz="1100" baseline="0">
              <a:solidFill>
                <a:srgbClr val="FF0000"/>
              </a:solidFill>
            </a:rPr>
            <a:t>Tab</a:t>
          </a:r>
        </a:p>
        <a:p>
          <a:r>
            <a:rPr lang="en-GB" sz="1100" baseline="0">
              <a:solidFill>
                <a:srgbClr val="FF0000"/>
              </a:solidFill>
            </a:rPr>
            <a:t>5. Select </a:t>
          </a:r>
          <a:r>
            <a:rPr lang="en-GB" sz="1100" b="1" baseline="0">
              <a:solidFill>
                <a:srgbClr val="FF0000"/>
              </a:solidFill>
            </a:rPr>
            <a:t>Refresh All </a:t>
          </a:r>
          <a:r>
            <a:rPr lang="en-GB" sz="1100" b="0" baseline="0">
              <a:solidFill>
                <a:srgbClr val="FF0000"/>
              </a:solidFill>
            </a:rPr>
            <a:t>and the tables will update.  That information will automatically go to the summary tab Tab 7. Summary.</a:t>
          </a:r>
        </a:p>
        <a:p>
          <a:r>
            <a:rPr lang="en-GB" sz="1100" b="0" baseline="0">
              <a:solidFill>
                <a:srgbClr val="FF0000"/>
              </a:solidFill>
            </a:rPr>
            <a:t>Thats it!</a:t>
          </a:r>
          <a:endParaRPr lang="en-GB" sz="1100" b="1">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12</xdr:row>
      <xdr:rowOff>76200</xdr:rowOff>
    </xdr:from>
    <xdr:to>
      <xdr:col>5</xdr:col>
      <xdr:colOff>472440</xdr:colOff>
      <xdr:row>13</xdr:row>
      <xdr:rowOff>289560</xdr:rowOff>
    </xdr:to>
    <xdr:sp macro="" textlink="">
      <xdr:nvSpPr>
        <xdr:cNvPr id="2" name="TextBox 1">
          <a:extLst>
            <a:ext uri="{FF2B5EF4-FFF2-40B4-BE49-F238E27FC236}">
              <a16:creationId xmlns:a16="http://schemas.microsoft.com/office/drawing/2014/main" id="{4FE5EB98-9475-AD14-D95B-E34304F94783}"/>
            </a:ext>
          </a:extLst>
        </xdr:cNvPr>
        <xdr:cNvSpPr txBox="1"/>
      </xdr:nvSpPr>
      <xdr:spPr>
        <a:xfrm>
          <a:off x="723900" y="3771900"/>
          <a:ext cx="4907280" cy="464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FF0000"/>
              </a:solidFill>
            </a:rPr>
            <a:t>Please note</a:t>
          </a:r>
          <a:r>
            <a:rPr lang="en-GB" sz="1100">
              <a:solidFill>
                <a:srgbClr val="FF0000"/>
              </a:solidFill>
            </a:rPr>
            <a:t>: To generate</a:t>
          </a:r>
          <a:r>
            <a:rPr lang="en-GB" sz="1100" baseline="0">
              <a:solidFill>
                <a:srgbClr val="FF0000"/>
              </a:solidFill>
            </a:rPr>
            <a:t> the results in the table below, go to the Worksheet Titled "</a:t>
          </a:r>
          <a:r>
            <a:rPr lang="en-GB" sz="1100" b="1" baseline="0">
              <a:solidFill>
                <a:srgbClr val="FF0000"/>
              </a:solidFill>
            </a:rPr>
            <a:t>By Lots</a:t>
          </a:r>
          <a:r>
            <a:rPr lang="en-GB" sz="1100" baseline="0">
              <a:solidFill>
                <a:srgbClr val="FF0000"/>
              </a:solidFill>
            </a:rPr>
            <a:t>" and follow the instructions to update the Pivot Tables in that Worksheet.</a:t>
          </a:r>
          <a:endParaRPr lang="en-GB" sz="1100">
            <a:solidFill>
              <a:srgbClr val="FF0000"/>
            </a:solidFill>
          </a:endParaRPr>
        </a:p>
      </xdr:txBody>
    </xdr:sp>
    <xdr:clientData/>
  </xdr:twoCellAnchor>
  <xdr:twoCellAnchor>
    <xdr:from>
      <xdr:col>6</xdr:col>
      <xdr:colOff>257175</xdr:colOff>
      <xdr:row>9</xdr:row>
      <xdr:rowOff>190500</xdr:rowOff>
    </xdr:from>
    <xdr:to>
      <xdr:col>6</xdr:col>
      <xdr:colOff>712258</xdr:colOff>
      <xdr:row>11</xdr:row>
      <xdr:rowOff>119670</xdr:rowOff>
    </xdr:to>
    <xdr:sp macro="" textlink="">
      <xdr:nvSpPr>
        <xdr:cNvPr id="5" name="Arrow: Down 4">
          <a:extLst>
            <a:ext uri="{FF2B5EF4-FFF2-40B4-BE49-F238E27FC236}">
              <a16:creationId xmlns:a16="http://schemas.microsoft.com/office/drawing/2014/main" id="{E432F4C4-9B2A-4244-9B0E-CDF38C23A5E5}"/>
            </a:ext>
          </a:extLst>
        </xdr:cNvPr>
        <xdr:cNvSpPr/>
      </xdr:nvSpPr>
      <xdr:spPr>
        <a:xfrm>
          <a:off x="6257925" y="2724150"/>
          <a:ext cx="455083" cy="56734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115319</xdr:colOff>
      <xdr:row>1</xdr:row>
      <xdr:rowOff>427607</xdr:rowOff>
    </xdr:from>
    <xdr:to>
      <xdr:col>5</xdr:col>
      <xdr:colOff>504825</xdr:colOff>
      <xdr:row>3</xdr:row>
      <xdr:rowOff>28576</xdr:rowOff>
    </xdr:to>
    <xdr:sp macro="" textlink="">
      <xdr:nvSpPr>
        <xdr:cNvPr id="4" name="Arrow: Down 3">
          <a:extLst>
            <a:ext uri="{FF2B5EF4-FFF2-40B4-BE49-F238E27FC236}">
              <a16:creationId xmlns:a16="http://schemas.microsoft.com/office/drawing/2014/main" id="{258F262B-CC67-4A5F-929C-41B2BA86C416}"/>
            </a:ext>
          </a:extLst>
        </xdr:cNvPr>
        <xdr:cNvSpPr/>
      </xdr:nvSpPr>
      <xdr:spPr>
        <a:xfrm rot="5400000">
          <a:off x="5167312" y="585789"/>
          <a:ext cx="324869" cy="38950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571500</xdr:colOff>
      <xdr:row>1</xdr:row>
      <xdr:rowOff>42333</xdr:rowOff>
    </xdr:from>
    <xdr:to>
      <xdr:col>22</xdr:col>
      <xdr:colOff>1026583</xdr:colOff>
      <xdr:row>1</xdr:row>
      <xdr:rowOff>635000</xdr:rowOff>
    </xdr:to>
    <xdr:sp macro="" textlink="">
      <xdr:nvSpPr>
        <xdr:cNvPr id="4" name="Arrow: Down 3">
          <a:extLst>
            <a:ext uri="{FF2B5EF4-FFF2-40B4-BE49-F238E27FC236}">
              <a16:creationId xmlns:a16="http://schemas.microsoft.com/office/drawing/2014/main" id="{CA694489-0D48-4BDE-9822-4C9875417A2C}"/>
            </a:ext>
          </a:extLst>
        </xdr:cNvPr>
        <xdr:cNvSpPr/>
      </xdr:nvSpPr>
      <xdr:spPr>
        <a:xfrm>
          <a:off x="30537150" y="232833"/>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24</xdr:col>
      <xdr:colOff>571500</xdr:colOff>
      <xdr:row>1</xdr:row>
      <xdr:rowOff>63500</xdr:rowOff>
    </xdr:from>
    <xdr:to>
      <xdr:col>24</xdr:col>
      <xdr:colOff>1026583</xdr:colOff>
      <xdr:row>1</xdr:row>
      <xdr:rowOff>656167</xdr:rowOff>
    </xdr:to>
    <xdr:sp macro="" textlink="">
      <xdr:nvSpPr>
        <xdr:cNvPr id="5" name="Arrow: Down 4">
          <a:extLst>
            <a:ext uri="{FF2B5EF4-FFF2-40B4-BE49-F238E27FC236}">
              <a16:creationId xmlns:a16="http://schemas.microsoft.com/office/drawing/2014/main" id="{9C691043-8853-4641-AAB8-6E98BEEC56E2}"/>
            </a:ext>
          </a:extLst>
        </xdr:cNvPr>
        <xdr:cNvSpPr/>
      </xdr:nvSpPr>
      <xdr:spPr>
        <a:xfrm>
          <a:off x="33699450" y="254000"/>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571500</xdr:colOff>
      <xdr:row>1</xdr:row>
      <xdr:rowOff>42333</xdr:rowOff>
    </xdr:from>
    <xdr:to>
      <xdr:col>22</xdr:col>
      <xdr:colOff>1026583</xdr:colOff>
      <xdr:row>1</xdr:row>
      <xdr:rowOff>635000</xdr:rowOff>
    </xdr:to>
    <xdr:sp macro="" textlink="">
      <xdr:nvSpPr>
        <xdr:cNvPr id="4" name="Arrow: Down 3">
          <a:extLst>
            <a:ext uri="{FF2B5EF4-FFF2-40B4-BE49-F238E27FC236}">
              <a16:creationId xmlns:a16="http://schemas.microsoft.com/office/drawing/2014/main" id="{405343C6-A0AA-4FD9-84E8-4131A8543CCD}"/>
            </a:ext>
          </a:extLst>
        </xdr:cNvPr>
        <xdr:cNvSpPr/>
      </xdr:nvSpPr>
      <xdr:spPr>
        <a:xfrm>
          <a:off x="30537150" y="232833"/>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24</xdr:col>
      <xdr:colOff>571500</xdr:colOff>
      <xdr:row>1</xdr:row>
      <xdr:rowOff>63500</xdr:rowOff>
    </xdr:from>
    <xdr:to>
      <xdr:col>24</xdr:col>
      <xdr:colOff>1026583</xdr:colOff>
      <xdr:row>1</xdr:row>
      <xdr:rowOff>656167</xdr:rowOff>
    </xdr:to>
    <xdr:sp macro="" textlink="">
      <xdr:nvSpPr>
        <xdr:cNvPr id="5" name="Arrow: Down 4">
          <a:extLst>
            <a:ext uri="{FF2B5EF4-FFF2-40B4-BE49-F238E27FC236}">
              <a16:creationId xmlns:a16="http://schemas.microsoft.com/office/drawing/2014/main" id="{F391374D-78B6-45F5-869B-47538C26BB27}"/>
            </a:ext>
          </a:extLst>
        </xdr:cNvPr>
        <xdr:cNvSpPr/>
      </xdr:nvSpPr>
      <xdr:spPr>
        <a:xfrm>
          <a:off x="33699450" y="254000"/>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2</xdr:row>
      <xdr:rowOff>0</xdr:rowOff>
    </xdr:from>
    <xdr:to>
      <xdr:col>9</xdr:col>
      <xdr:colOff>0</xdr:colOff>
      <xdr:row>11</xdr:row>
      <xdr:rowOff>23287</xdr:rowOff>
    </xdr:to>
    <xdr:pic>
      <xdr:nvPicPr>
        <xdr:cNvPr id="5" name="Picture 4">
          <a:extLst>
            <a:ext uri="{FF2B5EF4-FFF2-40B4-BE49-F238E27FC236}">
              <a16:creationId xmlns:a16="http://schemas.microsoft.com/office/drawing/2014/main" id="{5DC81A49-83C3-2FC5-1BDD-00C2928194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914400"/>
          <a:ext cx="8734424" cy="320463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mon Williams" refreshedDate="44760.613647569444" createdVersion="6" refreshedVersion="6" minRefreshableVersion="3" recordCount="51" xr:uid="{A54433EE-B083-4995-BEBE-220633CF8719}">
  <cacheSource type="worksheet">
    <worksheetSource ref="C7:Z58" sheet="3. Internal Elements"/>
  </cacheSource>
  <cacheFields count="24">
    <cacheField name="Plank ID" numFmtId="0">
      <sharedItems containsMixedTypes="1" containsNumber="1" containsInteger="1" minValue="1" maxValue="1"/>
    </cacheField>
    <cacheField name="Plank Shape (Hide)" numFmtId="0">
      <sharedItems containsBlank="1" containsMixedTypes="1" containsNumber="1" containsInteger="1" minValue="2" maxValue="2"/>
    </cacheField>
    <cacheField name="Comment (Hide)" numFmtId="0">
      <sharedItems containsBlank="1" containsMixedTypes="1" containsNumber="1" containsInteger="1" minValue="3" maxValue="3"/>
    </cacheField>
    <cacheField name="Lot _x000a_(1/2/3)" numFmtId="0">
      <sharedItems containsBlank="1" containsMixedTypes="1" containsNumber="1" containsInteger="1" minValue="4" maxValue="4" count="4">
        <n v="4"/>
        <s v="Lot 2"/>
        <s v="Lot 1 "/>
        <m/>
      </sharedItems>
    </cacheField>
    <cacheField name="Length _x000a_(m)" numFmtId="0">
      <sharedItems containsString="0" containsBlank="1" containsNumber="1" containsInteger="1" minValue="5" maxValue="5"/>
    </cacheField>
    <cacheField name="Length _x000a_(mm)" numFmtId="0">
      <sharedItems containsString="0" containsBlank="1" containsNumber="1" minValue="1.22" maxValue="10100"/>
    </cacheField>
    <cacheField name="Breadth _x000a_(mm)" numFmtId="0">
      <sharedItems containsString="0" containsBlank="1" containsNumber="1" containsInteger="1" minValue="7" maxValue="450"/>
    </cacheField>
    <cacheField name="Thickness _x000a_(mm)" numFmtId="0">
      <sharedItems containsString="0" containsBlank="1" containsNumber="1" containsInteger="1" minValue="8" maxValue="533"/>
    </cacheField>
    <cacheField name="No. of Laminate Planks (HIDE)" numFmtId="0">
      <sharedItems containsString="0" containsBlank="1" containsNumber="1" minValue="1.1014492753623188" maxValue="9"/>
    </cacheField>
    <cacheField name="No. Whole Laminate Planks (HIDE)" numFmtId="0">
      <sharedItems containsString="0" containsBlank="1" containsNumber="1" containsInteger="1" minValue="2" maxValue="10"/>
    </cacheField>
    <cacheField name="Length _x000a_(mm)2" numFmtId="0">
      <sharedItems containsString="0" containsBlank="1" containsNumber="1" containsInteger="1" minValue="11" maxValue="10100"/>
    </cacheField>
    <cacheField name="Breadth _x000a_(mm)2" numFmtId="0">
      <sharedItems containsString="0" containsBlank="1" containsNumber="1" containsInteger="1" minValue="12" maxValue="450"/>
    </cacheField>
    <cacheField name="Laminate Thickness _x000a_(mm)" numFmtId="0">
      <sharedItems containsString="0" containsBlank="1" containsNumber="1" containsInteger="1" minValue="13" maxValue="69"/>
    </cacheField>
    <cacheField name="No. Laminates per Plank (HIDE)" numFmtId="0">
      <sharedItems containsString="0" containsBlank="1" containsNumber="1" minValue="0.10144927536231885" maxValue="14"/>
    </cacheField>
    <cacheField name="Total No. Laminate Planks for Supply" numFmtId="0">
      <sharedItems containsSemiMixedTypes="0" containsString="0" containsNumber="1" containsInteger="1" minValue="2" maxValue="172"/>
    </cacheField>
    <cacheField name="Inner Laminate Grade" numFmtId="0">
      <sharedItems containsBlank="1" containsMixedTypes="1" containsNumber="1" containsInteger="1" minValue="16" maxValue="16"/>
    </cacheField>
    <cacheField name="Moisture Content _x000a_(%)" numFmtId="0">
      <sharedItems containsBlank="1" containsMixedTypes="1" containsNumber="1" containsInteger="1" minValue="17" maxValue="17"/>
    </cacheField>
    <cacheField name="Delivery By" numFmtId="0">
      <sharedItems containsDate="1" containsString="0" containsBlank="1" containsMixedTypes="1" minDate="1899-12-31T00:51:04" maxDate="2022-12-02T00:00:00"/>
    </cacheField>
    <cacheField name="Lengths made up _x000a_of shorter planks_x000a_(Y/N)" numFmtId="0">
      <sharedItems containsString="0" containsBlank="1" containsNumber="1" containsInteger="1" minValue="19" maxValue="19"/>
    </cacheField>
    <cacheField name="Number of Shorter Planks per Laminate" numFmtId="0">
      <sharedItems containsString="0" containsBlank="1" containsNumber="1" containsInteger="1" minValue="20" maxValue="20"/>
    </cacheField>
    <cacheField name="Breadths made up of narrow planks_x000a_(Y/N)" numFmtId="0">
      <sharedItems containsString="0" containsBlank="1" containsNumber="1" containsInteger="1" minValue="21" maxValue="21"/>
    </cacheField>
    <cacheField name="Number of Narrower Planks per Laminate" numFmtId="0">
      <sharedItems containsString="0" containsBlank="1" containsNumber="1" containsInteger="1" minValue="22" maxValue="22"/>
    </cacheField>
    <cacheField name="_x000a_Price for Total Length_x000a_" numFmtId="0">
      <sharedItems containsString="0" containsBlank="1" containsNumber="1" containsInteger="1" minValue="0" maxValue="23"/>
    </cacheField>
    <cacheField name="Total Price for Inner Planks " numFmtId="0">
      <sharedItems containsSemiMixedTypes="0" containsString="0" containsNumber="1" containsInteger="1" minValue="0" maxValue="24"/>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mon Williams" refreshedDate="44760.613648148152" createdVersion="6" refreshedVersion="6" minRefreshableVersion="3" recordCount="230" xr:uid="{3BD1684A-7438-4052-B3FA-A208CD20E051}">
  <cacheSource type="worksheet">
    <worksheetSource ref="C7:AD237" sheet="2. Midships"/>
  </cacheSource>
  <cacheFields count="28">
    <cacheField name="Plank ID" numFmtId="0">
      <sharedItems containsBlank="1" containsMixedTypes="1" containsNumber="1" minValue="1" maxValue="72.3"/>
    </cacheField>
    <cacheField name="Plank Shape (Hide)" numFmtId="0">
      <sharedItems containsBlank="1" containsMixedTypes="1" containsNumber="1" containsInteger="1" minValue="2" maxValue="2"/>
    </cacheField>
    <cacheField name="Comment (Hide)" numFmtId="0">
      <sharedItems containsBlank="1" containsMixedTypes="1" containsNumber="1" containsInteger="1" minValue="3" maxValue="3"/>
    </cacheField>
    <cacheField name="Lot _x000a_(1/2/3)" numFmtId="0">
      <sharedItems containsBlank="1" containsMixedTypes="1" containsNumber="1" containsInteger="1" minValue="4" maxValue="4" count="4">
        <n v="4"/>
        <s v="Lot 2"/>
        <m/>
        <s v="Lot 1 "/>
      </sharedItems>
    </cacheField>
    <cacheField name="Length _x000a_(m)" numFmtId="0">
      <sharedItems containsString="0" containsBlank="1" containsNumber="1" minValue="2" maxValue="11.1"/>
    </cacheField>
    <cacheField name="Length _x000a_(mm)" numFmtId="0">
      <sharedItems containsString="0" containsBlank="1" containsNumber="1" containsInteger="1" minValue="6" maxValue="11100"/>
    </cacheField>
    <cacheField name="Breadth _x000a_(mm)" numFmtId="0">
      <sharedItems containsString="0" containsBlank="1" containsNumber="1" minValue="7" maxValue="536"/>
    </cacheField>
    <cacheField name="Thickness _x000a_(mm)" numFmtId="0">
      <sharedItems containsString="0" containsBlank="1" containsNumber="1" minValue="8" maxValue="254"/>
    </cacheField>
    <cacheField name="No. of Laminate Planks (HIDE)" numFmtId="0">
      <sharedItems containsString="0" containsBlank="1" containsNumber="1" minValue="1.1043478260869566" maxValue="9"/>
    </cacheField>
    <cacheField name="No. Whole Laminate Planks (HIDE)" numFmtId="0">
      <sharedItems containsString="0" containsBlank="1" containsNumber="1" containsInteger="1" minValue="2" maxValue="10"/>
    </cacheField>
    <cacheField name="Length _x000a_(mm)2" numFmtId="0">
      <sharedItems containsString="0" containsBlank="1" containsNumber="1" containsInteger="1" minValue="11" maxValue="11400"/>
    </cacheField>
    <cacheField name="Breadth _x000a_(mm)2" numFmtId="0">
      <sharedItems containsString="0" containsBlank="1" containsNumber="1" minValue="12" maxValue="636"/>
    </cacheField>
    <cacheField name="Thickness _x000a_(mm)2" numFmtId="0">
      <sharedItems containsString="0" containsBlank="1" containsNumber="1" containsInteger="1" minValue="13" maxValue="69"/>
    </cacheField>
    <cacheField name="No. Inner Laminates per Plank (HIDE)" numFmtId="0">
      <sharedItems containsString="0" containsBlank="1" containsNumber="1" minValue="0.10434782608695659" maxValue="37.656126482213438"/>
    </cacheField>
    <cacheField name="Total No. Inner Laminate Planks for Supply" numFmtId="0">
      <sharedItems containsSemiMixedTypes="0" containsString="0" containsNumber="1" containsInteger="1" minValue="2" maxValue="656"/>
    </cacheField>
    <cacheField name="Inner Laminate Grade" numFmtId="0">
      <sharedItems containsBlank="1" containsMixedTypes="1" containsNumber="1" containsInteger="1" minValue="16" maxValue="16"/>
    </cacheField>
    <cacheField name="Total No. 1/4 Sawn _x000a_Planks for Supply" numFmtId="0">
      <sharedItems containsSemiMixedTypes="0" containsString="0" containsNumber="1" containsInteger="1" minValue="2" maxValue="436"/>
    </cacheField>
    <cacheField name="Outer Laminate (1/4 sawn) Grade" numFmtId="0">
      <sharedItems containsBlank="1" containsMixedTypes="1" containsNumber="1" containsInteger="1" minValue="18" maxValue="18"/>
    </cacheField>
    <cacheField name="Moisture Content (%)" numFmtId="0">
      <sharedItems containsBlank="1" containsMixedTypes="1" containsNumber="1" containsInteger="1" minValue="19" maxValue="19"/>
    </cacheField>
    <cacheField name="Delivery By" numFmtId="0">
      <sharedItems containsDate="1" containsString="0" containsBlank="1" containsMixedTypes="1" minDate="1899-12-31T00:53:04" maxDate="2026-02-02T00:00:00"/>
    </cacheField>
    <cacheField name="Lengths made up of shorter planks_x000a_(Y/N)" numFmtId="0">
      <sharedItems containsString="0" containsBlank="1" containsNumber="1" containsInteger="1" minValue="21" maxValue="21"/>
    </cacheField>
    <cacheField name="Number of Shorter Planks per Laminate" numFmtId="0">
      <sharedItems containsString="0" containsBlank="1" containsNumber="1" containsInteger="1" minValue="22" maxValue="22"/>
    </cacheField>
    <cacheField name="Breadths made up of narrow planks_x000a_(Y/N)" numFmtId="0">
      <sharedItems containsString="0" containsBlank="1" containsNumber="1" containsInteger="1" minValue="23" maxValue="23"/>
    </cacheField>
    <cacheField name="Number of Narrower Planks per Laminate" numFmtId="0">
      <sharedItems containsString="0" containsBlank="1" containsNumber="1" containsInteger="1" minValue="24" maxValue="24"/>
    </cacheField>
    <cacheField name="_x000a_Price for Total Length_x000a_(Inner Plank) _x000a_" numFmtId="0">
      <sharedItems containsString="0" containsBlank="1" containsNumber="1" containsInteger="1" minValue="0" maxValue="25"/>
    </cacheField>
    <cacheField name="Total Price for Inner Planks " numFmtId="0">
      <sharedItems containsSemiMixedTypes="0" containsString="0" containsNumber="1" containsInteger="1" minValue="0" maxValue="26"/>
    </cacheField>
    <cacheField name="Price for Total Length_x000a_(1/4 Sawn Plank)" numFmtId="0">
      <sharedItems containsString="0" containsBlank="1" containsNumber="1" containsInteger="1" minValue="0" maxValue="27"/>
    </cacheField>
    <cacheField name="Total Price for 1/4 Sawn Planks" numFmtId="0">
      <sharedItems containsSemiMixedTypes="0" containsString="0" containsNumber="1" containsInteger="1" minValue="0" maxValue="2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
  <r>
    <n v="1"/>
    <n v="2"/>
    <n v="3"/>
    <x v="0"/>
    <n v="5"/>
    <n v="6"/>
    <n v="7"/>
    <n v="8"/>
    <n v="9"/>
    <n v="10"/>
    <n v="11"/>
    <n v="12"/>
    <n v="13"/>
    <n v="14"/>
    <n v="15"/>
    <n v="16"/>
    <n v="17"/>
    <n v="18"/>
    <n v="19"/>
    <n v="20"/>
    <n v="21"/>
    <n v="22"/>
    <n v="23"/>
    <n v="24"/>
  </r>
  <r>
    <s v="UGD S 1/3"/>
    <s v="Chamfered clamp"/>
    <s v="Stagger Scarphs"/>
    <x v="1"/>
    <m/>
    <n v="8850"/>
    <n v="255"/>
    <n v="105"/>
    <n v="1.5217391304347827"/>
    <n v="2"/>
    <n v="8850"/>
    <n v="255"/>
    <n v="69"/>
    <n v="0.52173913043478271"/>
    <n v="2"/>
    <s v="QB1"/>
    <s v="16% (+/-2%)"/>
    <d v="2022-12-01T00:00:00"/>
    <m/>
    <m/>
    <m/>
    <m/>
    <n v="0"/>
    <n v="0"/>
  </r>
  <r>
    <s v="UGD S 1/3"/>
    <s v="Beam shelf"/>
    <m/>
    <x v="1"/>
    <m/>
    <n v="8250"/>
    <n v="280"/>
    <n v="105"/>
    <n v="1.5217391304347827"/>
    <n v="2"/>
    <n v="8250"/>
    <n v="280"/>
    <n v="69"/>
    <n v="0.52173913043478271"/>
    <n v="2"/>
    <s v="QB1"/>
    <s v="16% (+/-2%)"/>
    <d v="2022-12-01T00:00:00"/>
    <m/>
    <m/>
    <m/>
    <m/>
    <n v="0"/>
    <n v="0"/>
  </r>
  <r>
    <s v="UGD S 1/3"/>
    <s v="Quick work"/>
    <s v="overlaps bow phase"/>
    <x v="2"/>
    <m/>
    <n v="2500"/>
    <n v="300"/>
    <n v="76"/>
    <n v="1.1014492753623188"/>
    <n v="2"/>
    <n v="2500"/>
    <n v="300"/>
    <n v="69"/>
    <n v="0.10144927536231885"/>
    <n v="2"/>
    <s v="QB1"/>
    <s v="16% (+/-2%)"/>
    <d v="2022-12-01T00:00:00"/>
    <m/>
    <m/>
    <m/>
    <m/>
    <n v="0"/>
    <n v="0"/>
  </r>
  <r>
    <s v="UGD S 2/4"/>
    <s v="Chamfered clamp"/>
    <s v="Stagger Scarphs"/>
    <x v="2"/>
    <m/>
    <n v="5800"/>
    <n v="255"/>
    <n v="105"/>
    <n v="1.5217391304347827"/>
    <n v="2"/>
    <n v="5800"/>
    <n v="255"/>
    <n v="69"/>
    <n v="0.52173913043478271"/>
    <n v="2"/>
    <s v="QB1"/>
    <s v="16% (+/-2%)"/>
    <d v="2022-12-01T00:00:00"/>
    <m/>
    <m/>
    <m/>
    <m/>
    <n v="0"/>
    <n v="0"/>
  </r>
  <r>
    <s v="UGD S 2/4"/>
    <s v="Beam shelf"/>
    <m/>
    <x v="1"/>
    <m/>
    <n v="10100"/>
    <n v="280"/>
    <n v="105"/>
    <n v="1.5217391304347827"/>
    <n v="2"/>
    <n v="10100"/>
    <n v="280"/>
    <n v="69"/>
    <n v="0.52173913043478271"/>
    <n v="2"/>
    <s v="QB1"/>
    <s v="16% (+/-2%)"/>
    <d v="2022-12-01T00:00:00"/>
    <m/>
    <m/>
    <m/>
    <m/>
    <n v="0"/>
    <n v="0"/>
  </r>
  <r>
    <s v="UGD S 2/4"/>
    <s v="Beam packer"/>
    <m/>
    <x v="2"/>
    <m/>
    <n v="1730"/>
    <n v="260"/>
    <n v="210"/>
    <n v="3.0434782608695654"/>
    <n v="4"/>
    <n v="1730"/>
    <n v="260"/>
    <n v="69"/>
    <n v="2.0434782608695654"/>
    <n v="6"/>
    <s v="QB1"/>
    <s v="16% (+/-2%)"/>
    <d v="2022-12-01T00:00:00"/>
    <m/>
    <m/>
    <m/>
    <m/>
    <n v="0"/>
    <n v="0"/>
  </r>
  <r>
    <s v="UGD S 5/7"/>
    <s v="Spirketting upper plank"/>
    <m/>
    <x v="2"/>
    <m/>
    <n v="5200"/>
    <n v="330"/>
    <n v="102"/>
    <n v="1.4782608695652173"/>
    <n v="2"/>
    <n v="5200"/>
    <n v="330"/>
    <n v="69"/>
    <n v="0.47826086956521729"/>
    <n v="2"/>
    <s v="QB1"/>
    <s v="16% (+/-2%)"/>
    <d v="2022-12-01T00:00:00"/>
    <m/>
    <m/>
    <m/>
    <m/>
    <n v="0"/>
    <n v="0"/>
  </r>
  <r>
    <s v="UGD S 5/7"/>
    <s v="Spirketting lower plank"/>
    <m/>
    <x v="2"/>
    <m/>
    <n v="5720"/>
    <n v="255"/>
    <n v="102"/>
    <n v="1.4782608695652173"/>
    <n v="2"/>
    <n v="5720"/>
    <n v="255"/>
    <n v="69"/>
    <n v="0.47826086956521729"/>
    <n v="2"/>
    <s v="QB1"/>
    <s v="16% (+/-2%)"/>
    <d v="2022-12-01T00:00:00"/>
    <m/>
    <m/>
    <m/>
    <m/>
    <n v="0"/>
    <n v="0"/>
  </r>
  <r>
    <s v="UGD S 5/7"/>
    <s v="Quick work"/>
    <m/>
    <x v="2"/>
    <m/>
    <n v="2700"/>
    <n v="300"/>
    <n v="76"/>
    <n v="1.1014492753623188"/>
    <n v="2"/>
    <n v="2700"/>
    <n v="300"/>
    <n v="69"/>
    <n v="0.10144927536231885"/>
    <n v="2"/>
    <s v="QB1"/>
    <s v="16% (+/-2%)"/>
    <d v="2022-12-01T00:00:00"/>
    <m/>
    <m/>
    <m/>
    <m/>
    <n v="0"/>
    <n v="0"/>
  </r>
  <r>
    <s v="UGD S 6/6a"/>
    <s v="Spirketting upper plank"/>
    <m/>
    <x v="1"/>
    <m/>
    <n v="6100"/>
    <n v="300"/>
    <n v="102"/>
    <n v="1.4782608695652173"/>
    <n v="2"/>
    <n v="6100"/>
    <n v="300"/>
    <n v="69"/>
    <n v="0.47826086956521729"/>
    <n v="2"/>
    <s v="QB1"/>
    <s v="16% (+/-2%)"/>
    <d v="2022-12-01T00:00:00"/>
    <m/>
    <m/>
    <m/>
    <m/>
    <n v="0"/>
    <n v="0"/>
  </r>
  <r>
    <s v="UGD S 6/6a"/>
    <s v="Quick work"/>
    <m/>
    <x v="2"/>
    <m/>
    <n v="2550"/>
    <n v="300"/>
    <n v="76"/>
    <n v="1.1014492753623188"/>
    <n v="2"/>
    <n v="2550"/>
    <n v="300"/>
    <n v="69"/>
    <n v="0.10144927536231885"/>
    <n v="2"/>
    <s v="QB1"/>
    <s v="16% (+/-2%)"/>
    <d v="2022-12-01T00:00:00"/>
    <m/>
    <m/>
    <m/>
    <m/>
    <n v="0"/>
    <n v="0"/>
  </r>
  <r>
    <s v="UGD S 6/6a"/>
    <s v="Quick work"/>
    <m/>
    <x v="2"/>
    <m/>
    <n v="2600"/>
    <n v="300"/>
    <n v="76"/>
    <n v="1.1014492753623188"/>
    <n v="2"/>
    <n v="2600"/>
    <n v="300"/>
    <n v="69"/>
    <n v="0.10144927536231885"/>
    <n v="2"/>
    <s v="QB1"/>
    <s v="16% (+/-2%)"/>
    <d v="2022-12-01T00:00:00"/>
    <m/>
    <m/>
    <m/>
    <m/>
    <n v="0"/>
    <n v="0"/>
  </r>
  <r>
    <s v="UGD S 8"/>
    <s v="Quick work"/>
    <s v="allow for  Bm 32-35"/>
    <x v="2"/>
    <m/>
    <n v="2800"/>
    <n v="310"/>
    <n v="76"/>
    <n v="1.1014492753623188"/>
    <n v="2"/>
    <n v="2800"/>
    <n v="310"/>
    <n v="69"/>
    <n v="0.10144927536231885"/>
    <n v="2"/>
    <s v="QB1"/>
    <s v="16% (+/-2%)"/>
    <d v="2022-12-01T00:00:00"/>
    <m/>
    <m/>
    <m/>
    <m/>
    <n v="0"/>
    <n v="0"/>
  </r>
  <r>
    <s v="UGD P 1"/>
    <s v="Quick work "/>
    <s v="overlaps bow phase"/>
    <x v="2"/>
    <m/>
    <n v="2530"/>
    <n v="290"/>
    <n v="76"/>
    <n v="1.1014492753623188"/>
    <n v="2"/>
    <n v="2530"/>
    <n v="290"/>
    <n v="69"/>
    <n v="0.10144927536231885"/>
    <n v="2"/>
    <s v="QB1"/>
    <s v="16% (+/-2%)"/>
    <d v="2022-12-01T00:00:00"/>
    <m/>
    <m/>
    <m/>
    <m/>
    <n v="0"/>
    <n v="0"/>
  </r>
  <r>
    <s v="UGD P 2"/>
    <s v="Hatch carling"/>
    <s v="scarphed"/>
    <x v="2"/>
    <m/>
    <n v="1450"/>
    <n v="203"/>
    <n v="178"/>
    <n v="2.5797101449275361"/>
    <n v="3"/>
    <n v="1450"/>
    <n v="203"/>
    <n v="69"/>
    <n v="1.5797101449275361"/>
    <n v="4"/>
    <s v="QB1"/>
    <s v="16% (+/-2%)"/>
    <d v="2022-12-01T00:00:00"/>
    <m/>
    <m/>
    <m/>
    <m/>
    <n v="0"/>
    <n v="0"/>
  </r>
  <r>
    <s v="MGD S 1/2/3"/>
    <s v="Quick work"/>
    <m/>
    <x v="2"/>
    <m/>
    <n v="2460"/>
    <n v="300"/>
    <n v="76"/>
    <n v="1.1014492753623188"/>
    <n v="2"/>
    <n v="2460"/>
    <n v="300"/>
    <n v="69"/>
    <n v="0.10144927536231885"/>
    <n v="2"/>
    <s v="QB1"/>
    <s v="16% (+/-2%)"/>
    <d v="2022-12-01T00:00:00"/>
    <m/>
    <m/>
    <m/>
    <m/>
    <n v="0"/>
    <n v="0"/>
  </r>
  <r>
    <s v="MGD S 4"/>
    <s v="Quick work"/>
    <m/>
    <x v="2"/>
    <m/>
    <n v="2530"/>
    <n v="300"/>
    <n v="76"/>
    <n v="1.1014492753623188"/>
    <n v="2"/>
    <n v="2530"/>
    <n v="300"/>
    <n v="69"/>
    <n v="0.10144927536231885"/>
    <n v="2"/>
    <s v="QB1"/>
    <s v="16% (+/-2%)"/>
    <d v="2022-12-01T00:00:00"/>
    <m/>
    <m/>
    <m/>
    <m/>
    <n v="0"/>
    <n v="0"/>
  </r>
  <r>
    <s v="MGD S 5"/>
    <s v="Quick work"/>
    <m/>
    <x v="2"/>
    <m/>
    <n v="2800"/>
    <n v="300"/>
    <n v="76"/>
    <n v="1.1014492753623188"/>
    <n v="2"/>
    <n v="2800"/>
    <n v="300"/>
    <n v="69"/>
    <n v="0.10144927536231885"/>
    <n v="2"/>
    <s v="QB1"/>
    <s v="16% (+/-2%)"/>
    <d v="2022-12-01T00:00:00"/>
    <m/>
    <m/>
    <m/>
    <m/>
    <n v="0"/>
    <n v="0"/>
  </r>
  <r>
    <s v="MGD S 7"/>
    <s v="Spirketting bottom plank"/>
    <m/>
    <x v="2"/>
    <m/>
    <n v="4630"/>
    <n v="240"/>
    <n v="158"/>
    <n v="2.2898550724637681"/>
    <n v="3"/>
    <n v="4630"/>
    <n v="240"/>
    <n v="69"/>
    <n v="1.2898550724637681"/>
    <n v="4"/>
    <s v="QB1"/>
    <s v="16% (+/-2%)"/>
    <d v="2022-12-01T00:00:00"/>
    <m/>
    <m/>
    <m/>
    <m/>
    <n v="0"/>
    <n v="0"/>
  </r>
  <r>
    <s v="LGD S 1/2/5/6       (7 fwd end)"/>
    <s v="Beam shelf"/>
    <s v="replace as 1 Pc"/>
    <x v="1"/>
    <m/>
    <n v="6600"/>
    <n v="360"/>
    <n v="203"/>
    <n v="2.9420289855072466"/>
    <n v="3"/>
    <n v="6600"/>
    <n v="360"/>
    <n v="69"/>
    <n v="1.9420289855072466"/>
    <n v="4"/>
    <s v="QB1"/>
    <s v="16% (+/-2%)"/>
    <d v="2022-12-01T00:00:00"/>
    <m/>
    <m/>
    <m/>
    <m/>
    <n v="0"/>
    <n v="0"/>
  </r>
  <r>
    <s v="LGD S 1/2/5/6       (7 fwd end)"/>
    <s v="Quick work"/>
    <m/>
    <x v="2"/>
    <m/>
    <n v="2500"/>
    <n v="280"/>
    <n v="102"/>
    <n v="1.4782608695652173"/>
    <n v="2"/>
    <n v="2500"/>
    <n v="280"/>
    <n v="69"/>
    <n v="0.47826086956521729"/>
    <n v="2"/>
    <s v="QB1"/>
    <s v="16% (+/-2%)"/>
    <d v="2022-12-01T00:00:00"/>
    <m/>
    <m/>
    <m/>
    <m/>
    <n v="0"/>
    <n v="0"/>
  </r>
  <r>
    <s v="LGD S 1/2/5/6       (7 fwd end)"/>
    <s v="Quick work"/>
    <m/>
    <x v="2"/>
    <m/>
    <n v="2390"/>
    <n v="280"/>
    <n v="102"/>
    <n v="1.4782608695652173"/>
    <n v="2"/>
    <n v="2390"/>
    <n v="280"/>
    <n v="69"/>
    <n v="0.47826086956521729"/>
    <n v="2"/>
    <s v="QB1"/>
    <s v="16% (+/-2%)"/>
    <d v="2022-12-01T00:00:00"/>
    <m/>
    <m/>
    <m/>
    <m/>
    <n v="0"/>
    <n v="0"/>
  </r>
  <r>
    <s v="LGD S 1/2/5/6       (7 fwd end)"/>
    <s v="Beam packer"/>
    <m/>
    <x v="2"/>
    <m/>
    <n v="1650"/>
    <n v="250"/>
    <n v="203"/>
    <n v="2.9420289855072466"/>
    <n v="3"/>
    <n v="1650"/>
    <n v="250"/>
    <n v="69"/>
    <n v="1.9420289855072466"/>
    <n v="4"/>
    <s v="QB1"/>
    <s v="16% (+/-2%)"/>
    <d v="2022-12-01T00:00:00"/>
    <m/>
    <m/>
    <m/>
    <m/>
    <n v="0"/>
    <n v="0"/>
  </r>
  <r>
    <s v="LGD S 9/9a"/>
    <s v="Beam shelf"/>
    <s v="replace as 1 Pc"/>
    <x v="1"/>
    <m/>
    <n v="7600"/>
    <n v="422"/>
    <n v="203"/>
    <n v="2.9420289855072466"/>
    <n v="3"/>
    <n v="7600"/>
    <n v="422"/>
    <n v="69"/>
    <n v="1.9420289855072466"/>
    <n v="4"/>
    <s v="QB1"/>
    <s v="16% (+/-2%)"/>
    <d v="2022-12-01T00:00:00"/>
    <m/>
    <m/>
    <m/>
    <m/>
    <n v="0"/>
    <n v="0"/>
  </r>
  <r>
    <s v="LGD S 9/9a"/>
    <s v="Quick work"/>
    <m/>
    <x v="2"/>
    <m/>
    <n v="2400"/>
    <n v="280"/>
    <n v="102"/>
    <n v="1.4782608695652173"/>
    <n v="2"/>
    <n v="2400"/>
    <n v="280"/>
    <n v="69"/>
    <n v="0.47826086956521729"/>
    <n v="2"/>
    <s v="QB1"/>
    <s v="16% (+/-2%)"/>
    <d v="2022-12-01T00:00:00"/>
    <m/>
    <m/>
    <m/>
    <m/>
    <n v="0"/>
    <n v="0"/>
  </r>
  <r>
    <s v="LGD S 9/9a"/>
    <s v="Beam arm end"/>
    <s v="Measure Bm arm"/>
    <x v="2"/>
    <m/>
    <n v="2000"/>
    <n v="450"/>
    <n v="280"/>
    <n v="4.0579710144927539"/>
    <n v="5"/>
    <n v="2000"/>
    <n v="450"/>
    <n v="69"/>
    <n v="3.0579710144927539"/>
    <n v="8"/>
    <s v="QB1"/>
    <s v="16% (+/-2%)"/>
    <d v="2022-12-01T00:00:00"/>
    <m/>
    <m/>
    <m/>
    <m/>
    <n v="0"/>
    <n v="0"/>
  </r>
  <r>
    <s v="LGD S 10/10a/ 11/12/12a/13"/>
    <s v="Spirketting top plank"/>
    <m/>
    <x v="1"/>
    <m/>
    <n v="6720"/>
    <n v="305"/>
    <n v="153"/>
    <n v="2.2173913043478262"/>
    <n v="3"/>
    <n v="6720"/>
    <n v="305"/>
    <n v="69"/>
    <n v="1.2173913043478262"/>
    <n v="4"/>
    <s v="QB1"/>
    <s v="16% (+/-2%)"/>
    <d v="2022-12-01T00:00:00"/>
    <m/>
    <m/>
    <m/>
    <m/>
    <n v="0"/>
    <n v="0"/>
  </r>
  <r>
    <s v="LGD S 10/10a/ 11/12/12a/13"/>
    <s v="Spirketting bottom plank"/>
    <s v="Grave ? Allow to replace"/>
    <x v="2"/>
    <m/>
    <n v="5500"/>
    <n v="305"/>
    <n v="153"/>
    <n v="2.2173913043478262"/>
    <n v="3"/>
    <n v="5500"/>
    <n v="305"/>
    <n v="69"/>
    <n v="1.2173913043478262"/>
    <n v="4"/>
    <s v="QB1"/>
    <s v="16% (+/-2%)"/>
    <d v="2022-12-01T00:00:00"/>
    <m/>
    <m/>
    <m/>
    <m/>
    <n v="0"/>
    <n v="0"/>
  </r>
  <r>
    <s v="LGD S 10/10a/ 11/12/12a/13"/>
    <s v="Quick work"/>
    <m/>
    <x v="2"/>
    <m/>
    <n v="2500"/>
    <n v="270"/>
    <n v="102"/>
    <n v="1.4782608695652173"/>
    <n v="2"/>
    <n v="2500"/>
    <n v="270"/>
    <n v="69"/>
    <n v="0.47826086956521729"/>
    <n v="2"/>
    <s v="QB1"/>
    <s v="16% (+/-2%)"/>
    <d v="2022-12-01T00:00:00"/>
    <m/>
    <m/>
    <m/>
    <m/>
    <n v="0"/>
    <n v="0"/>
  </r>
  <r>
    <s v="LGD S 10/10a/ 11/12/12a/13"/>
    <s v="Quick work"/>
    <m/>
    <x v="2"/>
    <m/>
    <n v="2410"/>
    <n v="270"/>
    <n v="102"/>
    <n v="1.4782608695652173"/>
    <n v="2"/>
    <n v="2410"/>
    <n v="270"/>
    <n v="69"/>
    <n v="0.47826086956521729"/>
    <n v="2"/>
    <s v="QB1"/>
    <s v="16% (+/-2%)"/>
    <d v="2022-12-01T00:00:00"/>
    <m/>
    <m/>
    <m/>
    <m/>
    <n v="0"/>
    <n v="0"/>
  </r>
  <r>
    <s v="LGD S 10/10a/ 11/12/12a/13"/>
    <s v="Beam shelf"/>
    <m/>
    <x v="1"/>
    <m/>
    <n v="6400"/>
    <n v="432"/>
    <n v="178"/>
    <n v="2.5797101449275361"/>
    <n v="3"/>
    <n v="6400"/>
    <n v="432"/>
    <n v="69"/>
    <n v="1.5797101449275361"/>
    <n v="4"/>
    <s v="QB1"/>
    <s v="16% (+/-2%)"/>
    <d v="2022-12-01T00:00:00"/>
    <m/>
    <m/>
    <m/>
    <m/>
    <n v="0"/>
    <n v="0"/>
  </r>
  <r>
    <s v="LGD S 10/10a/ 11/12/12a/13"/>
    <s v="Quick work"/>
    <m/>
    <x v="2"/>
    <m/>
    <n v="2480"/>
    <n v="290"/>
    <n v="102"/>
    <n v="1.4782608695652173"/>
    <n v="2"/>
    <n v="2480"/>
    <n v="290"/>
    <n v="69"/>
    <n v="0.47826086956521729"/>
    <n v="2"/>
    <s v="QB1"/>
    <s v="16% (+/-2%)"/>
    <d v="2022-12-01T00:00:00"/>
    <m/>
    <m/>
    <m/>
    <m/>
    <n v="0"/>
    <n v="0"/>
  </r>
  <r>
    <s v="LGD P 1"/>
    <s v="Quick work"/>
    <m/>
    <x v="2"/>
    <m/>
    <n v="2420"/>
    <n v="280"/>
    <n v="108"/>
    <n v="1.5652173913043479"/>
    <n v="2"/>
    <n v="2420"/>
    <n v="280"/>
    <n v="69"/>
    <n v="0.56521739130434789"/>
    <n v="2"/>
    <s v="QB1"/>
    <s v="16% (+/-2%)"/>
    <d v="2022-12-01T00:00:00"/>
    <m/>
    <m/>
    <m/>
    <m/>
    <n v="0"/>
    <n v="0"/>
  </r>
  <r>
    <s v="LGD P 2"/>
    <s v="Quick work"/>
    <m/>
    <x v="2"/>
    <m/>
    <n v="2390"/>
    <n v="300"/>
    <n v="108"/>
    <n v="1.5652173913043479"/>
    <n v="2"/>
    <n v="2390"/>
    <n v="300"/>
    <n v="69"/>
    <n v="0.56521739130434789"/>
    <n v="2"/>
    <s v="QB1"/>
    <s v="16% (+/-2%)"/>
    <d v="2022-12-01T00:00:00"/>
    <m/>
    <m/>
    <m/>
    <m/>
    <n v="0"/>
    <n v="0"/>
  </r>
  <r>
    <s v="LGD P 3/4"/>
    <s v="Quick work"/>
    <m/>
    <x v="2"/>
    <m/>
    <n v="2400"/>
    <n v="280"/>
    <n v="102"/>
    <n v="1.4782608695652173"/>
    <n v="2"/>
    <n v="2400"/>
    <n v="280"/>
    <n v="69"/>
    <n v="0.47826086956521729"/>
    <n v="2"/>
    <s v="QB1"/>
    <s v="16% (+/-2%)"/>
    <d v="2022-12-01T00:00:00"/>
    <m/>
    <m/>
    <m/>
    <m/>
    <n v="0"/>
    <n v="0"/>
  </r>
  <r>
    <s v="LGD P 5/6"/>
    <s v="Quick work"/>
    <m/>
    <x v="2"/>
    <m/>
    <n v="2430"/>
    <n v="280"/>
    <n v="102"/>
    <n v="1.4782608695652173"/>
    <n v="2"/>
    <n v="2430"/>
    <n v="280"/>
    <n v="69"/>
    <n v="0.47826086956521729"/>
    <n v="2"/>
    <s v="QB1"/>
    <s v="16% (+/-2%)"/>
    <d v="2022-12-01T00:00:00"/>
    <m/>
    <m/>
    <m/>
    <m/>
    <n v="0"/>
    <n v="0"/>
  </r>
  <r>
    <s v="LGD P 7/8/9/10"/>
    <s v="Quick work"/>
    <m/>
    <x v="2"/>
    <m/>
    <n v="3000"/>
    <n v="280"/>
    <n v="102"/>
    <n v="1.4782608695652173"/>
    <n v="2"/>
    <n v="3000"/>
    <n v="280"/>
    <n v="69"/>
    <n v="0.47826086956521729"/>
    <n v="2"/>
    <s v="QB1"/>
    <s v="16% (+/-2%)"/>
    <d v="2022-12-01T00:00:00"/>
    <m/>
    <m/>
    <m/>
    <m/>
    <n v="0"/>
    <n v="0"/>
  </r>
  <r>
    <s v="LGD P 7/8/9/10"/>
    <s v="Fwd Ledger"/>
    <s v="scarphed"/>
    <x v="2"/>
    <m/>
    <n v="1100"/>
    <n v="140"/>
    <n v="121"/>
    <n v="1.7536231884057971"/>
    <n v="2"/>
    <n v="1100"/>
    <n v="140"/>
    <n v="69"/>
    <n v="0.75362318840579712"/>
    <n v="2"/>
    <s v="QB1"/>
    <s v="16% (+/-2%)"/>
    <d v="2022-12-01T00:00:00"/>
    <m/>
    <m/>
    <m/>
    <m/>
    <n v="0"/>
    <n v="0"/>
  </r>
  <r>
    <s v="LGD P 7/8/9/10"/>
    <s v=" Fwd Ledger"/>
    <m/>
    <x v="2"/>
    <m/>
    <n v="1400"/>
    <n v="120"/>
    <n v="102"/>
    <n v="1.4782608695652173"/>
    <n v="2"/>
    <n v="1400"/>
    <n v="120"/>
    <n v="69"/>
    <n v="0.47826086956521729"/>
    <n v="2"/>
    <s v="QB1"/>
    <s v="16% (+/-2%)"/>
    <d v="2022-12-01T00:00:00"/>
    <m/>
    <m/>
    <m/>
    <m/>
    <n v="0"/>
    <n v="0"/>
  </r>
  <r>
    <s v="LGD P 12/13/14"/>
    <s v="Quick work"/>
    <m/>
    <x v="2"/>
    <m/>
    <n v="2370"/>
    <n v="280"/>
    <n v="102"/>
    <n v="1.4782608695652173"/>
    <n v="2"/>
    <n v="2370"/>
    <n v="280"/>
    <n v="69"/>
    <n v="0.47826086956521729"/>
    <n v="2"/>
    <s v="QB1"/>
    <s v="16% (+/-2%)"/>
    <d v="2022-12-01T00:00:00"/>
    <m/>
    <m/>
    <m/>
    <m/>
    <n v="0"/>
    <n v="0"/>
  </r>
  <r>
    <s v="LGD P 12/13/14"/>
    <s v="Beam end repair"/>
    <s v="Measure Bm end"/>
    <x v="2"/>
    <m/>
    <n v="1900"/>
    <n v="368"/>
    <n v="318"/>
    <n v="4.6086956521739131"/>
    <n v="5"/>
    <n v="1900"/>
    <n v="368"/>
    <n v="69"/>
    <n v="3.6086956521739131"/>
    <n v="8"/>
    <s v="QB1"/>
    <s v="16% (+/-2%)"/>
    <d v="2022-12-01T00:00:00"/>
    <m/>
    <m/>
    <m/>
    <m/>
    <n v="0"/>
    <n v="0"/>
  </r>
  <r>
    <s v="ORL S 1/2"/>
    <s v="Beam end repair"/>
    <m/>
    <x v="2"/>
    <m/>
    <n v="1900"/>
    <n v="417"/>
    <n v="423"/>
    <n v="6.1304347826086953"/>
    <n v="7"/>
    <n v="1900"/>
    <n v="417"/>
    <n v="69"/>
    <n v="5.1304347826086953"/>
    <n v="12"/>
    <s v="QB1"/>
    <s v="16% (+/-2%)"/>
    <d v="2022-12-01T00:00:00"/>
    <m/>
    <m/>
    <m/>
    <m/>
    <n v="0"/>
    <n v="0"/>
  </r>
  <r>
    <s v="ORL S 3"/>
    <s v="Aft Ledger repair"/>
    <s v="scarphed"/>
    <x v="2"/>
    <m/>
    <n v="1220"/>
    <n v="146"/>
    <n v="127"/>
    <n v="1.8405797101449275"/>
    <n v="2"/>
    <n v="1220"/>
    <n v="146"/>
    <n v="69"/>
    <n v="0.84057971014492749"/>
    <n v="2"/>
    <s v="QB1"/>
    <s v="16% (+/-2%)"/>
    <d v="2022-12-01T00:00:00"/>
    <m/>
    <m/>
    <m/>
    <m/>
    <n v="0"/>
    <n v="0"/>
  </r>
  <r>
    <s v="ORL S 4/5"/>
    <s v="Beam end repair"/>
    <m/>
    <x v="2"/>
    <m/>
    <n v="1900"/>
    <n v="394"/>
    <n v="419"/>
    <n v="6.0724637681159424"/>
    <n v="7"/>
    <n v="1900"/>
    <n v="394"/>
    <n v="69"/>
    <n v="5.0724637681159424"/>
    <n v="12"/>
    <s v="QB1"/>
    <s v="16% (+/-2%)"/>
    <d v="2022-12-01T00:00:00"/>
    <m/>
    <m/>
    <m/>
    <m/>
    <n v="0"/>
    <n v="0"/>
  </r>
  <r>
    <s v="ORL S 4/5"/>
    <s v="Rider top repair"/>
    <m/>
    <x v="2"/>
    <m/>
    <n v="1600"/>
    <n v="362"/>
    <n v="533"/>
    <n v="7.72463768115942"/>
    <n v="8"/>
    <n v="1600"/>
    <n v="362"/>
    <n v="69"/>
    <n v="6.72463768115942"/>
    <n v="14"/>
    <s v="QB1"/>
    <s v="16% (+/-2%)"/>
    <d v="2022-12-01T00:00:00"/>
    <m/>
    <m/>
    <m/>
    <m/>
    <n v="0"/>
    <n v="0"/>
  </r>
  <r>
    <s v="ORL S 6"/>
    <s v="Aft Ledger repair"/>
    <m/>
    <x v="2"/>
    <m/>
    <n v="1220"/>
    <n v="146"/>
    <n v="127"/>
    <n v="1.8405797101449275"/>
    <n v="2"/>
    <n v="1220"/>
    <n v="146"/>
    <n v="69"/>
    <n v="0.84057971014492749"/>
    <n v="2"/>
    <s v="QB1"/>
    <s v="16% (+/-2%)"/>
    <d v="2022-12-01T00:00:00"/>
    <m/>
    <m/>
    <m/>
    <m/>
    <n v="0"/>
    <n v="0"/>
  </r>
  <r>
    <s v="ORL S 6"/>
    <s v="Fwd Ledger repair"/>
    <m/>
    <x v="2"/>
    <m/>
    <n v="1220"/>
    <n v="159"/>
    <n v="127"/>
    <n v="1.8405797101449275"/>
    <n v="2"/>
    <n v="1220"/>
    <n v="159"/>
    <n v="69"/>
    <n v="0.84057971014492749"/>
    <n v="2"/>
    <s v="QB1"/>
    <s v="16% (+/-2%)"/>
    <d v="2022-12-01T00:00:00"/>
    <m/>
    <m/>
    <m/>
    <m/>
    <n v="0"/>
    <n v="0"/>
  </r>
  <r>
    <s v="ORL S 7"/>
    <s v="Beam end repair"/>
    <m/>
    <x v="2"/>
    <m/>
    <n v="1900"/>
    <n v="394"/>
    <n v="419"/>
    <n v="6.0724637681159424"/>
    <n v="7"/>
    <n v="1900"/>
    <n v="394"/>
    <n v="69"/>
    <n v="5.0724637681159424"/>
    <n v="12"/>
    <s v="QB1"/>
    <s v="16% (+/-2%)"/>
    <d v="2022-12-01T00:00:00"/>
    <m/>
    <m/>
    <m/>
    <m/>
    <n v="0"/>
    <n v="0"/>
  </r>
  <r>
    <s v="ORL P 1/2"/>
    <s v="Fwd Ledger repair"/>
    <m/>
    <x v="2"/>
    <m/>
    <n v="1.22"/>
    <n v="146"/>
    <n v="127"/>
    <n v="1.8405797101449275"/>
    <n v="2"/>
    <n v="1220"/>
    <n v="146"/>
    <n v="69"/>
    <n v="0.84057971014492749"/>
    <n v="2"/>
    <s v="QB1"/>
    <s v="16% (+/-2%)"/>
    <d v="2022-12-01T00:00:00"/>
    <m/>
    <m/>
    <m/>
    <m/>
    <n v="0"/>
    <n v="0"/>
  </r>
  <r>
    <s v="IE1"/>
    <m/>
    <m/>
    <x v="3"/>
    <m/>
    <m/>
    <m/>
    <m/>
    <m/>
    <m/>
    <m/>
    <m/>
    <m/>
    <m/>
    <n v="172"/>
    <m/>
    <m/>
    <m/>
    <m/>
    <m/>
    <m/>
    <m/>
    <m/>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0">
  <r>
    <n v="1"/>
    <n v="2"/>
    <n v="3"/>
    <x v="0"/>
    <n v="5"/>
    <n v="6"/>
    <n v="7"/>
    <n v="8"/>
    <n v="9"/>
    <n v="10"/>
    <n v="11"/>
    <n v="12"/>
    <n v="13"/>
    <n v="14"/>
    <n v="15"/>
    <n v="16"/>
    <n v="17"/>
    <n v="18"/>
    <n v="19"/>
    <n v="20"/>
    <n v="21"/>
    <n v="22"/>
    <n v="23"/>
    <n v="24"/>
    <n v="25"/>
    <n v="26"/>
    <n v="27"/>
    <n v="28"/>
  </r>
  <r>
    <n v="37.299999999999997"/>
    <s v="Top and butt"/>
    <s v="Slight curve"/>
    <x v="1"/>
    <m/>
    <n v="7400"/>
    <n v="370"/>
    <n v="184"/>
    <n v="2.6666666666666665"/>
    <n v="3"/>
    <n v="7700"/>
    <n v="470"/>
    <n v="69"/>
    <n v="1.6666666666666665"/>
    <n v="4"/>
    <s v="QB1"/>
    <n v="2"/>
    <s v="QBA"/>
    <s v="16% (+/-2%)"/>
    <d v="2023-04-01T00:00:00"/>
    <m/>
    <m/>
    <m/>
    <m/>
    <n v="0"/>
    <n v="0"/>
    <n v="0"/>
    <n v="0"/>
  </r>
  <r>
    <n v="37.4"/>
    <s v="Top and butt"/>
    <s v="Straight"/>
    <x v="1"/>
    <m/>
    <n v="7400"/>
    <n v="370"/>
    <n v="184"/>
    <n v="2.6666666666666665"/>
    <n v="3"/>
    <n v="7700"/>
    <n v="470"/>
    <n v="69"/>
    <n v="1.6666666666666665"/>
    <n v="4"/>
    <s v="QB1"/>
    <n v="2"/>
    <s v="QBA"/>
    <s v="16% (+/-2%)"/>
    <d v="2023-04-01T00:00:00"/>
    <m/>
    <m/>
    <m/>
    <m/>
    <n v="0"/>
    <n v="0"/>
    <n v="0"/>
    <n v="0"/>
  </r>
  <r>
    <n v="37.5"/>
    <s v="Top and butt"/>
    <s v="Straight"/>
    <x v="1"/>
    <m/>
    <n v="7400"/>
    <n v="370"/>
    <n v="184"/>
    <n v="2.6666666666666665"/>
    <n v="3"/>
    <n v="7700"/>
    <n v="470"/>
    <n v="69"/>
    <n v="1.6666666666666665"/>
    <n v="4"/>
    <s v="QB1"/>
    <n v="2"/>
    <s v="QBA"/>
    <s v="16% (+/-2%)"/>
    <d v="2023-04-01T00:00:00"/>
    <m/>
    <m/>
    <m/>
    <m/>
    <n v="0"/>
    <n v="0"/>
    <n v="0"/>
    <n v="0"/>
  </r>
  <r>
    <n v="37.6"/>
    <s v="Top and butt"/>
    <s v="Straight"/>
    <x v="1"/>
    <m/>
    <n v="9200"/>
    <n v="370"/>
    <n v="184"/>
    <n v="2.6666666666666665"/>
    <n v="3"/>
    <n v="9500"/>
    <n v="470"/>
    <n v="69"/>
    <n v="1.6666666666666665"/>
    <n v="4"/>
    <s v="QB1"/>
    <n v="2"/>
    <s v="QBA"/>
    <s v="16% (+/-2%)"/>
    <d v="2023-04-01T00:00:00"/>
    <m/>
    <m/>
    <m/>
    <m/>
    <n v="0"/>
    <n v="0"/>
    <n v="0"/>
    <n v="0"/>
  </r>
  <r>
    <n v="37.700000000000003"/>
    <s v="Top and butt"/>
    <s v="Slight curve"/>
    <x v="1"/>
    <m/>
    <n v="7400"/>
    <n v="370"/>
    <n v="184"/>
    <n v="2.6666666666666665"/>
    <n v="3"/>
    <n v="7700"/>
    <n v="470"/>
    <n v="69"/>
    <n v="1.6666666666666665"/>
    <n v="4"/>
    <s v="QB1"/>
    <n v="2"/>
    <s v="QBA"/>
    <s v="16% (+/-2%)"/>
    <d v="2023-04-01T00:00:00"/>
    <m/>
    <m/>
    <m/>
    <m/>
    <n v="0"/>
    <n v="0"/>
    <n v="0"/>
    <n v="0"/>
  </r>
  <r>
    <n v="38.4"/>
    <s v="Top and butt"/>
    <s v="Straight"/>
    <x v="1"/>
    <m/>
    <n v="7400"/>
    <n v="370"/>
    <n v="190.5"/>
    <n v="2.7608695652173911"/>
    <n v="3"/>
    <n v="7700"/>
    <n v="470"/>
    <n v="69"/>
    <n v="1.7608695652173911"/>
    <n v="4"/>
    <s v="QB1"/>
    <n v="2"/>
    <s v="QBA"/>
    <s v="16% (+/-2%)"/>
    <d v="2023-04-01T00:00:00"/>
    <m/>
    <m/>
    <m/>
    <m/>
    <n v="0"/>
    <n v="0"/>
    <n v="0"/>
    <n v="0"/>
  </r>
  <r>
    <n v="38.5"/>
    <s v="Top and butt"/>
    <s v="Straight"/>
    <x v="1"/>
    <m/>
    <n v="7400"/>
    <n v="370"/>
    <n v="190.5"/>
    <n v="2.7608695652173911"/>
    <n v="3"/>
    <n v="7700"/>
    <n v="470"/>
    <n v="69"/>
    <n v="1.7608695652173911"/>
    <n v="4"/>
    <s v="QB1"/>
    <n v="2"/>
    <s v="QBA"/>
    <s v="16% (+/-2%)"/>
    <d v="2023-04-01T00:00:00"/>
    <m/>
    <m/>
    <m/>
    <m/>
    <n v="0"/>
    <n v="0"/>
    <n v="0"/>
    <n v="0"/>
  </r>
  <r>
    <n v="38.6"/>
    <s v="Top and butt"/>
    <s v="Straight"/>
    <x v="1"/>
    <m/>
    <n v="9200"/>
    <n v="370"/>
    <n v="190.5"/>
    <n v="2.7608695652173911"/>
    <n v="3"/>
    <n v="9500"/>
    <n v="470"/>
    <n v="69"/>
    <n v="1.7608695652173911"/>
    <n v="4"/>
    <s v="QB1"/>
    <n v="2"/>
    <s v="QBA"/>
    <s v="16% (+/-2%)"/>
    <d v="2023-04-01T00:00:00"/>
    <m/>
    <m/>
    <m/>
    <m/>
    <n v="0"/>
    <n v="0"/>
    <n v="0"/>
    <n v="0"/>
  </r>
  <r>
    <n v="38.700000000000003"/>
    <s v="Top and butt"/>
    <s v="Slight curve"/>
    <x v="1"/>
    <m/>
    <n v="7400"/>
    <n v="370"/>
    <n v="190.5"/>
    <n v="2.7608695652173911"/>
    <n v="3"/>
    <n v="7700"/>
    <n v="470"/>
    <n v="69"/>
    <n v="1.7608695652173911"/>
    <n v="4"/>
    <s v="QB1"/>
    <n v="2"/>
    <s v="QBA"/>
    <s v="16% (+/-2%)"/>
    <d v="2023-04-01T00:00:00"/>
    <m/>
    <m/>
    <m/>
    <m/>
    <n v="0"/>
    <n v="0"/>
    <n v="0"/>
    <n v="0"/>
  </r>
  <r>
    <n v="39.4"/>
    <s v="Top and butt"/>
    <s v="Slight curve"/>
    <x v="1"/>
    <m/>
    <n v="7400"/>
    <n v="370"/>
    <n v="197"/>
    <n v="2.8550724637681157"/>
    <n v="3"/>
    <n v="7700"/>
    <n v="470"/>
    <n v="69"/>
    <n v="1.8550724637681157"/>
    <n v="4"/>
    <s v="QB1"/>
    <n v="2"/>
    <s v="QBA"/>
    <s v="16% (+/-2%)"/>
    <d v="2023-04-01T00:00:00"/>
    <m/>
    <m/>
    <m/>
    <m/>
    <n v="0"/>
    <n v="0"/>
    <n v="0"/>
    <n v="0"/>
  </r>
  <r>
    <n v="39.5"/>
    <s v="Top and butt"/>
    <s v="Straight"/>
    <x v="1"/>
    <m/>
    <n v="7400"/>
    <n v="370"/>
    <n v="197"/>
    <n v="2.8550724637681157"/>
    <n v="3"/>
    <n v="7700"/>
    <n v="470"/>
    <n v="69"/>
    <n v="1.8550724637681157"/>
    <n v="4"/>
    <s v="QB1"/>
    <n v="2"/>
    <s v="QBA"/>
    <s v="16% (+/-2%)"/>
    <d v="2023-04-01T00:00:00"/>
    <m/>
    <m/>
    <m/>
    <m/>
    <n v="0"/>
    <n v="0"/>
    <n v="0"/>
    <n v="0"/>
  </r>
  <r>
    <n v="39.6"/>
    <s v="Top and butt"/>
    <s v="Straight"/>
    <x v="1"/>
    <m/>
    <n v="9200"/>
    <n v="370"/>
    <n v="197"/>
    <n v="2.8550724637681157"/>
    <n v="3"/>
    <n v="9500"/>
    <n v="470"/>
    <n v="69"/>
    <n v="1.8550724637681157"/>
    <n v="4"/>
    <s v="QB1"/>
    <n v="2"/>
    <s v="QBA"/>
    <s v="16% (+/-2%)"/>
    <d v="2023-04-01T00:00:00"/>
    <m/>
    <m/>
    <m/>
    <m/>
    <n v="0"/>
    <n v="0"/>
    <n v="0"/>
    <n v="0"/>
  </r>
  <r>
    <n v="39.700000000000003"/>
    <s v="Top and butt"/>
    <s v="Slight curve"/>
    <x v="1"/>
    <m/>
    <n v="7400"/>
    <n v="370"/>
    <n v="197"/>
    <n v="2.8550724637681157"/>
    <n v="3"/>
    <n v="7700"/>
    <n v="470"/>
    <n v="69"/>
    <n v="1.8550724637681157"/>
    <n v="4"/>
    <s v="QB1"/>
    <n v="2"/>
    <s v="QBA"/>
    <s v="16% (+/-2%)"/>
    <d v="2023-04-01T00:00:00"/>
    <m/>
    <m/>
    <m/>
    <m/>
    <n v="0"/>
    <n v="0"/>
    <n v="0"/>
    <n v="0"/>
  </r>
  <r>
    <n v="39.799999999999997"/>
    <s v="Top and butt"/>
    <s v="Curve and twist and may have sny"/>
    <x v="1"/>
    <m/>
    <n v="7400"/>
    <n v="370"/>
    <n v="197"/>
    <n v="4.4772727272727275"/>
    <n v="5"/>
    <n v="7750"/>
    <n v="470"/>
    <n v="44"/>
    <n v="3.4772727272727275"/>
    <n v="8"/>
    <s v="QB1"/>
    <n v="2"/>
    <s v="QBA"/>
    <s v="16% (+/-2%)"/>
    <d v="2023-04-01T00:00:00"/>
    <m/>
    <m/>
    <m/>
    <m/>
    <n v="0"/>
    <n v="0"/>
    <n v="0"/>
    <n v="0"/>
  </r>
  <r>
    <n v="40.400000000000006"/>
    <s v="Top and butt"/>
    <s v="Straight"/>
    <x v="1"/>
    <m/>
    <n v="7400"/>
    <n v="370"/>
    <n v="203"/>
    <n v="2.9420289855072466"/>
    <n v="3"/>
    <n v="7700"/>
    <n v="470"/>
    <n v="69"/>
    <n v="1.9420289855072466"/>
    <n v="4"/>
    <s v="QB1"/>
    <n v="2"/>
    <s v="QBA"/>
    <s v="16% (+/-2%)"/>
    <d v="2023-04-01T00:00:00"/>
    <m/>
    <m/>
    <m/>
    <m/>
    <n v="0"/>
    <n v="0"/>
    <n v="0"/>
    <n v="0"/>
  </r>
  <r>
    <n v="40.500000000000007"/>
    <s v="Top and butt"/>
    <s v="Straight"/>
    <x v="1"/>
    <m/>
    <n v="7400"/>
    <n v="370"/>
    <n v="203"/>
    <n v="2.9420289855072466"/>
    <n v="3"/>
    <n v="7700"/>
    <n v="470"/>
    <n v="69"/>
    <n v="1.9420289855072466"/>
    <n v="4"/>
    <s v="QB1"/>
    <n v="2"/>
    <s v="QBA"/>
    <s v="16% (+/-2%)"/>
    <d v="2023-04-01T00:00:00"/>
    <m/>
    <m/>
    <m/>
    <m/>
    <n v="0"/>
    <n v="0"/>
    <n v="0"/>
    <n v="0"/>
  </r>
  <r>
    <n v="40.600000000000009"/>
    <s v="Top and butt"/>
    <s v="Straight"/>
    <x v="1"/>
    <m/>
    <n v="9200"/>
    <n v="370"/>
    <n v="203"/>
    <n v="2.9420289855072466"/>
    <n v="3"/>
    <n v="9500"/>
    <n v="470"/>
    <n v="69"/>
    <n v="1.9420289855072466"/>
    <n v="4"/>
    <s v="QB1"/>
    <n v="2"/>
    <s v="QBA"/>
    <s v="16% (+/-2%)"/>
    <d v="2023-04-01T00:00:00"/>
    <m/>
    <m/>
    <m/>
    <m/>
    <n v="0"/>
    <n v="0"/>
    <n v="0"/>
    <n v="0"/>
  </r>
  <r>
    <n v="40.70000000000001"/>
    <s v="Top and butt"/>
    <s v="Slight curve"/>
    <x v="1"/>
    <m/>
    <n v="7400"/>
    <n v="370"/>
    <n v="203"/>
    <n v="2.9420289855072466"/>
    <n v="3"/>
    <n v="7700"/>
    <n v="470"/>
    <n v="69"/>
    <n v="1.9420289855072466"/>
    <n v="4"/>
    <s v="QB1"/>
    <n v="2"/>
    <s v="QBA"/>
    <s v="16% (+/-2%)"/>
    <d v="2023-04-01T00:00:00"/>
    <m/>
    <m/>
    <m/>
    <m/>
    <n v="0"/>
    <n v="0"/>
    <n v="0"/>
    <n v="0"/>
  </r>
  <r>
    <n v="40.800000000000011"/>
    <s v="Top and butt"/>
    <s v="Curve and twist and may have sny"/>
    <x v="1"/>
    <m/>
    <n v="7400"/>
    <n v="370"/>
    <n v="203"/>
    <n v="4.6136363636363633"/>
    <n v="5"/>
    <n v="7750"/>
    <n v="470"/>
    <n v="44"/>
    <n v="3.6136363636363633"/>
    <n v="8"/>
    <s v="QB1"/>
    <n v="2"/>
    <s v="QBA"/>
    <s v="16% (+/-2%)"/>
    <d v="2023-04-01T00:00:00"/>
    <m/>
    <m/>
    <m/>
    <m/>
    <n v="0"/>
    <n v="0"/>
    <n v="0"/>
    <n v="0"/>
  </r>
  <r>
    <s v="M1"/>
    <m/>
    <m/>
    <x v="2"/>
    <m/>
    <m/>
    <m/>
    <m/>
    <m/>
    <m/>
    <m/>
    <m/>
    <m/>
    <n v="37.656126482213438"/>
    <n v="84"/>
    <m/>
    <n v="38"/>
    <m/>
    <m/>
    <m/>
    <m/>
    <m/>
    <m/>
    <m/>
    <m/>
    <n v="0"/>
    <m/>
    <n v="0"/>
  </r>
  <r>
    <n v="41.3"/>
    <s v="Top and butt"/>
    <s v="Slight curve"/>
    <x v="1"/>
    <n v="7.4"/>
    <n v="7400"/>
    <n v="474"/>
    <n v="254"/>
    <n v="3.681159420289855"/>
    <n v="4"/>
    <n v="7700"/>
    <n v="574"/>
    <n v="69"/>
    <n v="2.681159420289855"/>
    <n v="6"/>
    <s v="QB1"/>
    <n v="2"/>
    <s v="QBA"/>
    <s v="16% (+/-2%)"/>
    <d v="2023-08-01T00:00:00"/>
    <m/>
    <m/>
    <m/>
    <m/>
    <n v="0"/>
    <n v="0"/>
    <n v="0"/>
    <n v="0"/>
  </r>
  <r>
    <n v="41.4"/>
    <s v="Top and butt"/>
    <s v="Straight"/>
    <x v="1"/>
    <n v="7.4"/>
    <n v="7400"/>
    <n v="474"/>
    <n v="254"/>
    <n v="3.681159420289855"/>
    <n v="4"/>
    <n v="7700"/>
    <n v="574"/>
    <n v="69"/>
    <n v="2.681159420289855"/>
    <n v="6"/>
    <s v="QB1"/>
    <n v="2"/>
    <s v="QBA"/>
    <s v="16% (+/-2%)"/>
    <d v="2023-08-01T00:00:00"/>
    <m/>
    <m/>
    <m/>
    <m/>
    <n v="0"/>
    <n v="0"/>
    <n v="0"/>
    <n v="0"/>
  </r>
  <r>
    <n v="41.5"/>
    <s v="Top and butt"/>
    <s v="Straight"/>
    <x v="1"/>
    <n v="9.1999999999999993"/>
    <n v="9200"/>
    <n v="474"/>
    <n v="254"/>
    <n v="3.681159420289855"/>
    <n v="4"/>
    <n v="9500"/>
    <n v="574"/>
    <n v="69"/>
    <n v="2.681159420289855"/>
    <n v="6"/>
    <s v="QB1"/>
    <n v="2"/>
    <s v="QBA"/>
    <s v="16% (+/-2%)"/>
    <d v="2023-08-01T00:00:00"/>
    <m/>
    <m/>
    <m/>
    <m/>
    <n v="0"/>
    <n v="0"/>
    <n v="0"/>
    <n v="0"/>
  </r>
  <r>
    <n v="41.6"/>
    <s v="Top and butt"/>
    <s v="Straight"/>
    <x v="1"/>
    <n v="7.4"/>
    <n v="7400"/>
    <n v="474"/>
    <n v="254"/>
    <n v="3.681159420289855"/>
    <n v="4"/>
    <n v="7700"/>
    <n v="574"/>
    <n v="69"/>
    <n v="2.681159420289855"/>
    <n v="6"/>
    <s v="QB1"/>
    <n v="2"/>
    <s v="QBA"/>
    <s v="16% (+/-2%)"/>
    <d v="2023-08-01T00:00:00"/>
    <m/>
    <m/>
    <m/>
    <m/>
    <n v="0"/>
    <n v="0"/>
    <n v="0"/>
    <n v="0"/>
  </r>
  <r>
    <n v="41.7"/>
    <s v="Top and butt"/>
    <s v="Slight curve"/>
    <x v="1"/>
    <n v="7.4"/>
    <n v="7400"/>
    <n v="474"/>
    <n v="254"/>
    <n v="3.681159420289855"/>
    <n v="4"/>
    <n v="7700"/>
    <n v="574"/>
    <n v="69"/>
    <n v="2.681159420289855"/>
    <n v="6"/>
    <s v="QB1"/>
    <n v="2"/>
    <s v="QBA"/>
    <s v="16% (+/-2%)"/>
    <d v="2023-08-01T00:00:00"/>
    <m/>
    <m/>
    <m/>
    <m/>
    <n v="0"/>
    <n v="0"/>
    <n v="0"/>
    <n v="0"/>
  </r>
  <r>
    <n v="42.4"/>
    <s v="Top and butt"/>
    <s v="Straight"/>
    <x v="1"/>
    <n v="7.4"/>
    <n v="7400"/>
    <n v="474"/>
    <n v="254"/>
    <n v="3.681159420289855"/>
    <n v="4"/>
    <n v="7700"/>
    <n v="574"/>
    <n v="69"/>
    <n v="2.681159420289855"/>
    <n v="6"/>
    <s v="QB1"/>
    <n v="2"/>
    <s v="QBA"/>
    <s v="16% (+/-2%)"/>
    <d v="2023-08-01T00:00:00"/>
    <m/>
    <m/>
    <m/>
    <m/>
    <n v="0"/>
    <n v="0"/>
    <n v="0"/>
    <n v="0"/>
  </r>
  <r>
    <n v="42.5"/>
    <s v="Top and butt"/>
    <s v="Straight"/>
    <x v="1"/>
    <n v="9.1999999999999993"/>
    <n v="9200"/>
    <n v="474"/>
    <n v="254"/>
    <n v="3.681159420289855"/>
    <n v="4"/>
    <n v="9500"/>
    <n v="574"/>
    <n v="69"/>
    <n v="2.681159420289855"/>
    <n v="6"/>
    <s v="QB1"/>
    <n v="2"/>
    <s v="QBA"/>
    <s v="16% (+/-2%)"/>
    <d v="2023-08-01T00:00:00"/>
    <m/>
    <m/>
    <m/>
    <m/>
    <n v="0"/>
    <n v="0"/>
    <n v="0"/>
    <n v="0"/>
  </r>
  <r>
    <n v="42.6"/>
    <s v="Top and butt"/>
    <s v="Straight"/>
    <x v="1"/>
    <n v="7.4"/>
    <n v="7400"/>
    <n v="474"/>
    <n v="254"/>
    <n v="3.681159420289855"/>
    <n v="4"/>
    <n v="7700"/>
    <n v="574"/>
    <n v="69"/>
    <n v="2.681159420289855"/>
    <n v="6"/>
    <s v="QB1"/>
    <n v="2"/>
    <s v="QBA"/>
    <s v="16% (+/-2%)"/>
    <d v="2023-08-01T00:00:00"/>
    <m/>
    <m/>
    <m/>
    <m/>
    <n v="0"/>
    <n v="0"/>
    <n v="0"/>
    <n v="0"/>
  </r>
  <r>
    <n v="42.7"/>
    <s v="Top and butt"/>
    <s v="Slight curve"/>
    <x v="1"/>
    <n v="7.4"/>
    <n v="7400"/>
    <n v="474"/>
    <n v="254"/>
    <n v="3.681159420289855"/>
    <n v="4"/>
    <n v="7700"/>
    <n v="574"/>
    <n v="69"/>
    <n v="2.681159420289855"/>
    <n v="6"/>
    <s v="QB1"/>
    <n v="2"/>
    <s v="QBA"/>
    <s v="16% (+/-2%)"/>
    <d v="2023-08-01T00:00:00"/>
    <m/>
    <m/>
    <m/>
    <m/>
    <n v="0"/>
    <n v="0"/>
    <n v="0"/>
    <n v="0"/>
  </r>
  <r>
    <n v="43.4"/>
    <s v="Top and butt"/>
    <s v="Slight curve"/>
    <x v="1"/>
    <n v="7.4"/>
    <n v="7400"/>
    <n v="474"/>
    <n v="254"/>
    <n v="3.681159420289855"/>
    <n v="4"/>
    <n v="7700"/>
    <n v="574"/>
    <n v="69"/>
    <n v="2.681159420289855"/>
    <n v="6"/>
    <s v="QB1"/>
    <n v="2"/>
    <s v="QBA"/>
    <s v="16% (+/-2%)"/>
    <d v="2023-08-01T00:00:00"/>
    <m/>
    <m/>
    <m/>
    <m/>
    <n v="0"/>
    <n v="0"/>
    <n v="0"/>
    <n v="0"/>
  </r>
  <r>
    <n v="43.5"/>
    <s v="Top and butt"/>
    <s v="Straight"/>
    <x v="1"/>
    <n v="7.4"/>
    <n v="7400"/>
    <n v="474"/>
    <n v="254"/>
    <n v="3.681159420289855"/>
    <n v="4"/>
    <n v="7700"/>
    <n v="574"/>
    <n v="69"/>
    <n v="2.681159420289855"/>
    <n v="6"/>
    <s v="QB1"/>
    <n v="2"/>
    <s v="QBA"/>
    <s v="16% (+/-2%)"/>
    <d v="2023-08-01T00:00:00"/>
    <m/>
    <m/>
    <m/>
    <m/>
    <n v="0"/>
    <n v="0"/>
    <n v="0"/>
    <n v="0"/>
  </r>
  <r>
    <n v="43.6"/>
    <s v="Top and butt"/>
    <s v="Straight"/>
    <x v="1"/>
    <n v="9.1999999999999993"/>
    <n v="9200"/>
    <n v="474"/>
    <n v="254"/>
    <n v="3.681159420289855"/>
    <n v="4"/>
    <n v="9500"/>
    <n v="574"/>
    <n v="69"/>
    <n v="2.681159420289855"/>
    <n v="6"/>
    <s v="QB1"/>
    <n v="2"/>
    <s v="QBA"/>
    <s v="16% (+/-2%)"/>
    <d v="2023-08-01T00:00:00"/>
    <m/>
    <m/>
    <m/>
    <m/>
    <n v="0"/>
    <n v="0"/>
    <n v="0"/>
    <n v="0"/>
  </r>
  <r>
    <n v="43.7"/>
    <s v="Top and butt"/>
    <s v="Slight curve"/>
    <x v="1"/>
    <n v="7.4"/>
    <n v="7400"/>
    <n v="474"/>
    <n v="254"/>
    <n v="3.681159420289855"/>
    <n v="4"/>
    <n v="7700"/>
    <n v="574"/>
    <n v="69"/>
    <n v="2.681159420289855"/>
    <n v="6"/>
    <s v="QB1"/>
    <n v="2"/>
    <s v="QBA"/>
    <s v="16% (+/-2%)"/>
    <d v="2023-08-01T00:00:00"/>
    <m/>
    <m/>
    <m/>
    <m/>
    <n v="0"/>
    <n v="0"/>
    <n v="0"/>
    <n v="0"/>
  </r>
  <r>
    <n v="43.8"/>
    <s v="Top and butt"/>
    <s v="Curve and twist, approximate length "/>
    <x v="1"/>
    <n v="7.4"/>
    <n v="7400"/>
    <n v="474"/>
    <n v="254"/>
    <n v="3.681159420289855"/>
    <n v="4"/>
    <n v="7750"/>
    <n v="574"/>
    <n v="69"/>
    <n v="2.681159420289855"/>
    <n v="6"/>
    <s v="QB1"/>
    <n v="2"/>
    <s v="QBA"/>
    <s v="16% (+/-2%)"/>
    <d v="2023-08-01T00:00:00"/>
    <m/>
    <m/>
    <m/>
    <m/>
    <n v="0"/>
    <n v="0"/>
    <n v="0"/>
    <n v="0"/>
  </r>
  <r>
    <n v="44.4"/>
    <s v="Top and butt"/>
    <s v="Straight"/>
    <x v="1"/>
    <n v="7.4"/>
    <n v="7400"/>
    <n v="474"/>
    <n v="254"/>
    <n v="3.681159420289855"/>
    <n v="4"/>
    <n v="7700"/>
    <n v="574"/>
    <n v="69"/>
    <n v="2.681159420289855"/>
    <n v="6"/>
    <s v="QB1"/>
    <n v="2"/>
    <s v="QBA"/>
    <s v="16% (+/-2%)"/>
    <d v="2023-08-01T00:00:00"/>
    <m/>
    <m/>
    <m/>
    <m/>
    <n v="0"/>
    <n v="0"/>
    <n v="0"/>
    <n v="0"/>
  </r>
  <r>
    <n v="44.5"/>
    <s v="Top and butt"/>
    <s v="Straight"/>
    <x v="1"/>
    <n v="9.1999999999999993"/>
    <n v="9200"/>
    <n v="474"/>
    <n v="254"/>
    <n v="3.681159420289855"/>
    <n v="4"/>
    <n v="9500"/>
    <n v="574"/>
    <n v="69"/>
    <n v="2.681159420289855"/>
    <n v="6"/>
    <s v="QB1"/>
    <n v="2"/>
    <s v="QBA"/>
    <s v="16% (+/-2%)"/>
    <d v="2023-08-01T00:00:00"/>
    <m/>
    <m/>
    <m/>
    <m/>
    <n v="0"/>
    <n v="0"/>
    <n v="0"/>
    <n v="0"/>
  </r>
  <r>
    <n v="44.6"/>
    <s v="Top and butt"/>
    <s v="Straight"/>
    <x v="1"/>
    <n v="7.4"/>
    <n v="7400"/>
    <n v="474"/>
    <n v="254"/>
    <n v="3.681159420289855"/>
    <n v="4"/>
    <n v="7700"/>
    <n v="574"/>
    <n v="69"/>
    <n v="2.681159420289855"/>
    <n v="6"/>
    <s v="QB1"/>
    <n v="2"/>
    <s v="QBA"/>
    <s v="16% (+/-2%)"/>
    <d v="2023-08-01T00:00:00"/>
    <m/>
    <m/>
    <m/>
    <m/>
    <n v="0"/>
    <n v="0"/>
    <n v="0"/>
    <n v="0"/>
  </r>
  <r>
    <n v="44.7"/>
    <s v="Top and butt"/>
    <s v="Slight curve"/>
    <x v="1"/>
    <n v="7.4"/>
    <n v="7400"/>
    <n v="474"/>
    <n v="254"/>
    <n v="3.681159420289855"/>
    <n v="4"/>
    <n v="7700"/>
    <n v="574"/>
    <n v="69"/>
    <n v="2.681159420289855"/>
    <n v="6"/>
    <s v="QB1"/>
    <n v="2"/>
    <s v="QBA"/>
    <s v="16% (+/-2%)"/>
    <d v="2023-08-01T00:00:00"/>
    <m/>
    <m/>
    <m/>
    <m/>
    <n v="0"/>
    <n v="0"/>
    <n v="0"/>
    <n v="0"/>
  </r>
  <r>
    <n v="44.8"/>
    <s v="Top and butt"/>
    <s v="Curve and twist, approximate length "/>
    <x v="1"/>
    <n v="8.3000000000000007"/>
    <n v="8300"/>
    <n v="474"/>
    <n v="254"/>
    <n v="3.681159420289855"/>
    <n v="4"/>
    <n v="8650"/>
    <n v="574"/>
    <n v="69"/>
    <n v="2.681159420289855"/>
    <n v="6"/>
    <s v="QB1"/>
    <n v="2"/>
    <s v="QBA"/>
    <s v="16% (+/-2%)"/>
    <d v="2023-08-01T00:00:00"/>
    <m/>
    <m/>
    <m/>
    <m/>
    <n v="0"/>
    <n v="0"/>
    <n v="0"/>
    <n v="0"/>
  </r>
  <r>
    <s v="M2"/>
    <m/>
    <m/>
    <x v="2"/>
    <m/>
    <m/>
    <m/>
    <m/>
    <m/>
    <m/>
    <m/>
    <m/>
    <m/>
    <m/>
    <n v="114"/>
    <m/>
    <n v="38"/>
    <m/>
    <m/>
    <m/>
    <m/>
    <m/>
    <m/>
    <m/>
    <m/>
    <n v="0"/>
    <m/>
    <n v="0"/>
  </r>
  <r>
    <n v="45.4"/>
    <s v="Parallel"/>
    <s v="Slight curve, top edge works up to LD GP no. 4"/>
    <x v="1"/>
    <n v="7.4"/>
    <n v="7400"/>
    <n v="361"/>
    <n v="203"/>
    <n v="2.9420289855072466"/>
    <n v="3"/>
    <n v="7700"/>
    <n v="461"/>
    <n v="69"/>
    <n v="1.9420289855072466"/>
    <n v="4"/>
    <s v="QB1"/>
    <n v="2"/>
    <s v="QBA"/>
    <s v="16% (+/-2%)"/>
    <d v="2023-12-01T00:00:00"/>
    <m/>
    <m/>
    <m/>
    <m/>
    <n v="0"/>
    <n v="0"/>
    <n v="0"/>
    <n v="0"/>
  </r>
  <r>
    <n v="45.5"/>
    <s v="Parallel"/>
    <s v="Straight, top edge works up to LD GP no. 6"/>
    <x v="1"/>
    <n v="7.1"/>
    <n v="7100"/>
    <n v="374"/>
    <n v="203"/>
    <n v="2.9420289855072466"/>
    <n v="3"/>
    <n v="7400"/>
    <n v="474"/>
    <n v="69"/>
    <n v="1.9420289855072466"/>
    <n v="4"/>
    <s v="QB1"/>
    <n v="2"/>
    <s v="QBA"/>
    <s v="16% (+/-2%)"/>
    <d v="2023-12-01T00:00:00"/>
    <m/>
    <m/>
    <m/>
    <m/>
    <n v="0"/>
    <n v="0"/>
    <n v="0"/>
    <n v="0"/>
  </r>
  <r>
    <n v="45.6"/>
    <s v="Parallel"/>
    <s v="Straight"/>
    <x v="1"/>
    <n v="9.6999999999999993"/>
    <n v="9700"/>
    <n v="330"/>
    <n v="203"/>
    <n v="2.9420289855072466"/>
    <n v="3"/>
    <n v="10000"/>
    <n v="430"/>
    <n v="69"/>
    <n v="1.9420289855072466"/>
    <n v="4"/>
    <s v="QB1"/>
    <n v="2"/>
    <s v="QBA"/>
    <s v="16% (+/-2%)"/>
    <d v="2023-12-01T00:00:00"/>
    <m/>
    <m/>
    <m/>
    <m/>
    <n v="0"/>
    <n v="0"/>
    <n v="0"/>
    <n v="0"/>
  </r>
  <r>
    <n v="45.7"/>
    <s v="Parallel"/>
    <s v="Straight"/>
    <x v="1"/>
    <n v="7.4"/>
    <n v="7400"/>
    <n v="330"/>
    <n v="203"/>
    <n v="2.9420289855072466"/>
    <n v="3"/>
    <n v="7700"/>
    <n v="430"/>
    <n v="69"/>
    <n v="1.9420289855072466"/>
    <n v="4"/>
    <s v="QB1"/>
    <n v="2"/>
    <s v="QBA"/>
    <s v="16% (+/-2%)"/>
    <d v="2023-12-01T00:00:00"/>
    <m/>
    <m/>
    <m/>
    <m/>
    <n v="0"/>
    <n v="0"/>
    <n v="0"/>
    <n v="0"/>
  </r>
  <r>
    <n v="45.8"/>
    <s v="Parallel"/>
    <s v="Slight curve  "/>
    <x v="3"/>
    <n v="5"/>
    <n v="5000"/>
    <n v="330"/>
    <n v="203"/>
    <n v="2.9420289855072466"/>
    <n v="3"/>
    <n v="5300"/>
    <n v="430"/>
    <n v="69"/>
    <n v="1.9420289855072466"/>
    <n v="4"/>
    <s v="QF1A / QF1B"/>
    <n v="2"/>
    <s v="QFA"/>
    <s v="16% (+/-2%)"/>
    <d v="2023-12-01T00:00:00"/>
    <m/>
    <m/>
    <m/>
    <m/>
    <n v="0"/>
    <n v="0"/>
    <n v="0"/>
    <n v="0"/>
  </r>
  <r>
    <n v="46.5"/>
    <s v="Parallel"/>
    <s v="Slight curve"/>
    <x v="3"/>
    <n v="2.4"/>
    <n v="2400"/>
    <n v="260"/>
    <n v="178"/>
    <n v="2.5797101449275361"/>
    <n v="3"/>
    <n v="2700"/>
    <n v="360"/>
    <n v="69"/>
    <n v="1.5797101449275361"/>
    <n v="4"/>
    <s v="QF1A / QF1B"/>
    <n v="2"/>
    <s v="QFA"/>
    <s v="16% (+/-2%)"/>
    <d v="2023-12-01T00:00:00"/>
    <m/>
    <m/>
    <m/>
    <m/>
    <n v="0"/>
    <n v="0"/>
    <n v="0"/>
    <n v="0"/>
  </r>
  <r>
    <n v="46.6"/>
    <s v="Parallel"/>
    <s v="Straight"/>
    <x v="3"/>
    <n v="2.2999999999999998"/>
    <n v="2300"/>
    <n v="260"/>
    <n v="178"/>
    <n v="2.5797101449275361"/>
    <n v="3"/>
    <n v="2600"/>
    <n v="360"/>
    <n v="69"/>
    <n v="1.5797101449275361"/>
    <n v="4"/>
    <s v="QF1A / QF1B"/>
    <n v="2"/>
    <s v="QFA"/>
    <s v="16% (+/-2%)"/>
    <d v="2023-12-01T00:00:00"/>
    <m/>
    <m/>
    <m/>
    <m/>
    <n v="0"/>
    <n v="0"/>
    <n v="0"/>
    <n v="0"/>
  </r>
  <r>
    <n v="46.7"/>
    <s v="Parallel"/>
    <s v="Straight"/>
    <x v="3"/>
    <n v="2.4"/>
    <n v="2400"/>
    <n v="260"/>
    <n v="178"/>
    <n v="2.5797101449275361"/>
    <n v="3"/>
    <n v="2700"/>
    <n v="360"/>
    <n v="69"/>
    <n v="1.5797101449275361"/>
    <n v="4"/>
    <s v="QF1A / QF1B"/>
    <n v="2"/>
    <s v="QFA"/>
    <s v="16% (+/-2%)"/>
    <d v="2023-12-01T00:00:00"/>
    <m/>
    <m/>
    <m/>
    <m/>
    <n v="0"/>
    <n v="0"/>
    <n v="0"/>
    <n v="0"/>
  </r>
  <r>
    <n v="46.8"/>
    <s v="Parallel"/>
    <s v="Straight"/>
    <x v="3"/>
    <n v="2.4"/>
    <n v="2400"/>
    <n v="260"/>
    <n v="178"/>
    <n v="2.5797101449275361"/>
    <n v="3"/>
    <n v="2700"/>
    <n v="360"/>
    <n v="69"/>
    <n v="1.5797101449275361"/>
    <n v="4"/>
    <s v="QF1A / QF1B"/>
    <n v="2"/>
    <s v="QFA"/>
    <s v="16% (+/-2%)"/>
    <d v="2023-12-01T00:00:00"/>
    <m/>
    <m/>
    <m/>
    <m/>
    <n v="0"/>
    <n v="0"/>
    <n v="0"/>
    <n v="0"/>
  </r>
  <r>
    <n v="46.9"/>
    <s v="Parallel"/>
    <s v="Straight"/>
    <x v="3"/>
    <n v="2.4"/>
    <n v="2400"/>
    <n v="260"/>
    <n v="178"/>
    <n v="2.5797101449275361"/>
    <n v="3"/>
    <n v="2700"/>
    <n v="360"/>
    <n v="69"/>
    <n v="1.5797101449275361"/>
    <n v="4"/>
    <s v="QF1A / QF1B"/>
    <n v="2"/>
    <s v="QFA"/>
    <s v="16% (+/-2%)"/>
    <d v="2023-12-01T00:00:00"/>
    <m/>
    <m/>
    <m/>
    <m/>
    <n v="0"/>
    <n v="0"/>
    <n v="0"/>
    <n v="0"/>
  </r>
  <r>
    <n v="46.1"/>
    <s v="Parallel"/>
    <s v="Straight"/>
    <x v="3"/>
    <n v="3.1"/>
    <n v="3100"/>
    <n v="260"/>
    <n v="178"/>
    <n v="2.5797101449275361"/>
    <n v="3"/>
    <n v="3400"/>
    <n v="360"/>
    <n v="69"/>
    <n v="1.5797101449275361"/>
    <n v="4"/>
    <s v="QF1A / QF1B"/>
    <n v="2"/>
    <s v="QFA"/>
    <s v="16% (+/-2%)"/>
    <d v="2023-12-01T00:00:00"/>
    <m/>
    <m/>
    <m/>
    <m/>
    <n v="0"/>
    <n v="0"/>
    <n v="0"/>
    <n v="0"/>
  </r>
  <r>
    <n v="46.11"/>
    <s v="Parallel"/>
    <s v="Straight"/>
    <x v="3"/>
    <n v="2.4"/>
    <n v="2400"/>
    <n v="260"/>
    <n v="178"/>
    <n v="2.5797101449275361"/>
    <n v="3"/>
    <n v="2700"/>
    <n v="360"/>
    <n v="69"/>
    <n v="1.5797101449275361"/>
    <n v="4"/>
    <s v="QF1A / QF1B"/>
    <n v="2"/>
    <s v="QFA"/>
    <s v="16% (+/-2%)"/>
    <d v="2023-12-01T00:00:00"/>
    <m/>
    <m/>
    <m/>
    <m/>
    <n v="0"/>
    <n v="0"/>
    <n v="0"/>
    <n v="0"/>
  </r>
  <r>
    <n v="46.12"/>
    <s v="Parallel"/>
    <s v="Straight"/>
    <x v="3"/>
    <n v="2.5"/>
    <n v="2500"/>
    <n v="260"/>
    <n v="178"/>
    <n v="2.5797101449275361"/>
    <n v="3"/>
    <n v="2800"/>
    <n v="360"/>
    <n v="69"/>
    <n v="1.5797101449275361"/>
    <n v="4"/>
    <s v="QF1A / QF1B"/>
    <n v="2"/>
    <s v="QFA"/>
    <s v="16% (+/-2%)"/>
    <d v="2023-12-01T00:00:00"/>
    <m/>
    <m/>
    <m/>
    <m/>
    <n v="0"/>
    <n v="0"/>
    <n v="0"/>
    <n v="0"/>
  </r>
  <r>
    <n v="46.13"/>
    <s v="Parallel"/>
    <s v="Slight curve  "/>
    <x v="3"/>
    <n v="2.4"/>
    <n v="2400"/>
    <n v="260"/>
    <n v="178"/>
    <n v="2.5797101449275361"/>
    <n v="3"/>
    <n v="2700"/>
    <n v="360"/>
    <n v="69"/>
    <n v="1.5797101449275361"/>
    <n v="4"/>
    <s v="QF1A / QF1B"/>
    <n v="2"/>
    <s v="QFA"/>
    <s v="16% (+/-2%)"/>
    <d v="2023-12-01T00:00:00"/>
    <m/>
    <m/>
    <m/>
    <m/>
    <n v="0"/>
    <n v="0"/>
    <n v="0"/>
    <n v="0"/>
  </r>
  <r>
    <n v="46.14"/>
    <s v="Parallel"/>
    <s v="Slight curve  "/>
    <x v="3"/>
    <n v="2.5"/>
    <n v="2500"/>
    <n v="260"/>
    <n v="178"/>
    <n v="2.5797101449275361"/>
    <n v="3"/>
    <n v="2800"/>
    <n v="360"/>
    <n v="69"/>
    <n v="1.5797101449275361"/>
    <n v="4"/>
    <s v="QF1A / QF1B"/>
    <n v="2"/>
    <s v="QFA"/>
    <s v="16% (+/-2%)"/>
    <d v="2023-12-01T00:00:00"/>
    <m/>
    <m/>
    <m/>
    <m/>
    <n v="0"/>
    <n v="0"/>
    <n v="0"/>
    <n v="0"/>
  </r>
  <r>
    <n v="47.5"/>
    <s v="Parallel"/>
    <s v="Slight curve"/>
    <x v="3"/>
    <n v="2.4"/>
    <n v="2400"/>
    <n v="260"/>
    <n v="159"/>
    <n v="2.3043478260869565"/>
    <n v="3"/>
    <n v="2700"/>
    <n v="360"/>
    <n v="69"/>
    <n v="1.3043478260869565"/>
    <n v="4"/>
    <s v="QF1A / QF1B"/>
    <n v="2"/>
    <s v="QFA"/>
    <s v="16% (+/-2%)"/>
    <d v="2023-12-01T00:00:00"/>
    <m/>
    <m/>
    <m/>
    <m/>
    <n v="0"/>
    <n v="0"/>
    <n v="0"/>
    <n v="0"/>
  </r>
  <r>
    <n v="47.6"/>
    <s v="Parallel"/>
    <s v="Straight"/>
    <x v="3"/>
    <n v="2.2999999999999998"/>
    <n v="2300"/>
    <n v="260"/>
    <n v="159"/>
    <n v="2.3043478260869565"/>
    <n v="3"/>
    <n v="2600"/>
    <n v="360"/>
    <n v="69"/>
    <n v="1.3043478260869565"/>
    <n v="4"/>
    <s v="QF1A / QF1B"/>
    <n v="2"/>
    <s v="QFA"/>
    <s v="16% (+/-2%)"/>
    <d v="2023-12-01T00:00:00"/>
    <m/>
    <m/>
    <m/>
    <m/>
    <n v="0"/>
    <n v="0"/>
    <n v="0"/>
    <n v="0"/>
  </r>
  <r>
    <n v="47.7"/>
    <s v="Parallel"/>
    <s v="Straight"/>
    <x v="3"/>
    <n v="2.4"/>
    <n v="2400"/>
    <n v="260"/>
    <n v="159"/>
    <n v="2.3043478260869565"/>
    <n v="3"/>
    <n v="2700"/>
    <n v="360"/>
    <n v="69"/>
    <n v="1.3043478260869565"/>
    <n v="4"/>
    <s v="QF1A / QF1B"/>
    <n v="2"/>
    <s v="QFA"/>
    <s v="16% (+/-2%)"/>
    <d v="2023-12-01T00:00:00"/>
    <m/>
    <m/>
    <m/>
    <m/>
    <n v="0"/>
    <n v="0"/>
    <n v="0"/>
    <n v="0"/>
  </r>
  <r>
    <n v="47.8"/>
    <s v="Parallel"/>
    <s v="Straight"/>
    <x v="3"/>
    <n v="2.4"/>
    <n v="2400"/>
    <n v="260"/>
    <n v="159"/>
    <n v="2.3043478260869565"/>
    <n v="3"/>
    <n v="2700"/>
    <n v="360"/>
    <n v="69"/>
    <n v="1.3043478260869565"/>
    <n v="4"/>
    <s v="QF1A / QF1B"/>
    <n v="2"/>
    <s v="QFA"/>
    <s v="16% (+/-2%)"/>
    <d v="2023-12-01T00:00:00"/>
    <m/>
    <m/>
    <m/>
    <m/>
    <n v="0"/>
    <n v="0"/>
    <n v="0"/>
    <n v="0"/>
  </r>
  <r>
    <n v="47.9"/>
    <s v="Parallel"/>
    <s v="Straight"/>
    <x v="3"/>
    <n v="2.4"/>
    <n v="2400"/>
    <n v="260"/>
    <n v="159"/>
    <n v="2.3043478260869565"/>
    <n v="3"/>
    <n v="2700"/>
    <n v="360"/>
    <n v="69"/>
    <n v="1.3043478260869565"/>
    <n v="4"/>
    <s v="QF1A / QF1B"/>
    <n v="2"/>
    <s v="QFA"/>
    <s v="16% (+/-2%)"/>
    <d v="2023-12-01T00:00:00"/>
    <m/>
    <m/>
    <m/>
    <m/>
    <n v="0"/>
    <n v="0"/>
    <n v="0"/>
    <n v="0"/>
  </r>
  <r>
    <n v="47.1"/>
    <s v="Parallel"/>
    <s v="Straight"/>
    <x v="3"/>
    <n v="3.1"/>
    <n v="3100"/>
    <n v="260"/>
    <n v="159"/>
    <n v="2.3043478260869565"/>
    <n v="3"/>
    <n v="3400"/>
    <n v="360"/>
    <n v="69"/>
    <n v="1.3043478260869565"/>
    <n v="4"/>
    <s v="QF1A / QF1B"/>
    <n v="2"/>
    <s v="QFA"/>
    <s v="16% (+/-2%)"/>
    <d v="2023-12-01T00:00:00"/>
    <m/>
    <m/>
    <m/>
    <m/>
    <n v="0"/>
    <n v="0"/>
    <n v="0"/>
    <n v="0"/>
  </r>
  <r>
    <n v="47.11"/>
    <s v="Parallel"/>
    <s v="Straight"/>
    <x v="3"/>
    <n v="2.4"/>
    <n v="2400"/>
    <n v="260"/>
    <n v="159"/>
    <n v="2.3043478260869565"/>
    <n v="3"/>
    <n v="2700"/>
    <n v="360"/>
    <n v="69"/>
    <n v="1.3043478260869565"/>
    <n v="4"/>
    <s v="QF1A / QF1B"/>
    <n v="2"/>
    <s v="QFA"/>
    <s v="16% (+/-2%)"/>
    <d v="2023-12-01T00:00:00"/>
    <m/>
    <m/>
    <m/>
    <m/>
    <n v="0"/>
    <n v="0"/>
    <n v="0"/>
    <n v="0"/>
  </r>
  <r>
    <n v="47.12"/>
    <s v="Parallel"/>
    <s v="Straight"/>
    <x v="3"/>
    <n v="2.5"/>
    <n v="2500"/>
    <n v="260"/>
    <n v="159"/>
    <n v="2.3043478260869565"/>
    <n v="3"/>
    <n v="2800"/>
    <n v="360"/>
    <n v="69"/>
    <n v="1.3043478260869565"/>
    <n v="4"/>
    <s v="QF1A / QF1B"/>
    <n v="2"/>
    <s v="QFA"/>
    <s v="16% (+/-2%)"/>
    <d v="2023-12-01T00:00:00"/>
    <m/>
    <m/>
    <m/>
    <m/>
    <n v="0"/>
    <n v="0"/>
    <n v="0"/>
    <n v="0"/>
  </r>
  <r>
    <n v="47.13"/>
    <s v="Parallel"/>
    <s v="Slight curve  "/>
    <x v="3"/>
    <n v="2.4"/>
    <n v="2400"/>
    <n v="260"/>
    <n v="159"/>
    <n v="2.3043478260869565"/>
    <n v="3"/>
    <n v="2700"/>
    <n v="360"/>
    <n v="69"/>
    <n v="1.3043478260869565"/>
    <n v="4"/>
    <s v="QF1A / QF1B"/>
    <n v="2"/>
    <s v="QFA"/>
    <s v="16% (+/-2%)"/>
    <d v="2023-12-01T00:00:00"/>
    <m/>
    <m/>
    <m/>
    <m/>
    <n v="0"/>
    <n v="0"/>
    <n v="0"/>
    <n v="0"/>
  </r>
  <r>
    <n v="47.14"/>
    <s v="Parallel"/>
    <s v="Slight curve  "/>
    <x v="3"/>
    <n v="2.5"/>
    <n v="2500"/>
    <n v="260"/>
    <n v="159"/>
    <n v="2.3043478260869565"/>
    <n v="3"/>
    <n v="2800"/>
    <n v="360"/>
    <n v="69"/>
    <n v="1.3043478260869565"/>
    <n v="4"/>
    <s v="QF1A / QF1B"/>
    <n v="2"/>
    <s v="QFA"/>
    <s v="16% (+/-2%)"/>
    <d v="2023-12-01T00:00:00"/>
    <m/>
    <m/>
    <m/>
    <m/>
    <n v="0"/>
    <n v="0"/>
    <n v="0"/>
    <n v="0"/>
  </r>
  <r>
    <s v="M3"/>
    <m/>
    <m/>
    <x v="2"/>
    <m/>
    <m/>
    <m/>
    <m/>
    <m/>
    <m/>
    <m/>
    <m/>
    <m/>
    <m/>
    <n v="100"/>
    <m/>
    <n v="50"/>
    <m/>
    <m/>
    <m/>
    <m/>
    <m/>
    <m/>
    <m/>
    <m/>
    <n v="0"/>
    <m/>
    <n v="0"/>
  </r>
  <r>
    <n v="48.4"/>
    <s v="Parallel"/>
    <s v="Slight curve"/>
    <x v="3"/>
    <n v="2.4"/>
    <n v="2400"/>
    <n v="260"/>
    <n v="142"/>
    <n v="2.0579710144927534"/>
    <n v="3"/>
    <n v="2700"/>
    <n v="360"/>
    <n v="69"/>
    <n v="1.0579710144927534"/>
    <n v="4"/>
    <s v="QF1A / QF1B"/>
    <n v="2"/>
    <s v="QFA"/>
    <s v="16% (+/-2%)"/>
    <d v="2024-04-01T00:00:00"/>
    <m/>
    <m/>
    <m/>
    <m/>
    <n v="0"/>
    <n v="0"/>
    <n v="0"/>
    <n v="0"/>
  </r>
  <r>
    <n v="48.5"/>
    <s v="Parallel"/>
    <s v="Straight"/>
    <x v="3"/>
    <n v="2.2999999999999998"/>
    <n v="2300"/>
    <n v="260"/>
    <n v="142"/>
    <n v="2.0579710144927534"/>
    <n v="3"/>
    <n v="2600"/>
    <n v="360"/>
    <n v="69"/>
    <n v="1.0579710144927534"/>
    <n v="4"/>
    <s v="QF1A / QF1B"/>
    <n v="2"/>
    <s v="QFA"/>
    <s v="16% (+/-2%)"/>
    <d v="2024-04-01T00:00:00"/>
    <m/>
    <m/>
    <m/>
    <m/>
    <n v="0"/>
    <n v="0"/>
    <n v="0"/>
    <n v="0"/>
  </r>
  <r>
    <n v="48.6"/>
    <s v="Parallel"/>
    <s v="Straight"/>
    <x v="3"/>
    <n v="2.4"/>
    <n v="2400"/>
    <n v="260"/>
    <n v="142"/>
    <n v="2.0579710144927534"/>
    <n v="3"/>
    <n v="2700"/>
    <n v="360"/>
    <n v="69"/>
    <n v="1.0579710144927534"/>
    <n v="4"/>
    <s v="QF1A / QF1B"/>
    <n v="2"/>
    <s v="QFA"/>
    <s v="16% (+/-2%)"/>
    <d v="2024-04-01T00:00:00"/>
    <m/>
    <m/>
    <m/>
    <m/>
    <n v="0"/>
    <n v="0"/>
    <n v="0"/>
    <n v="0"/>
  </r>
  <r>
    <n v="48.7"/>
    <s v="Parallel"/>
    <s v="Straight"/>
    <x v="3"/>
    <n v="2.4"/>
    <n v="2400"/>
    <n v="260"/>
    <n v="142"/>
    <n v="2.0579710144927534"/>
    <n v="3"/>
    <n v="2700"/>
    <n v="360"/>
    <n v="69"/>
    <n v="1.0579710144927534"/>
    <n v="4"/>
    <s v="QF1A / QF1B"/>
    <n v="2"/>
    <s v="QFA"/>
    <s v="16% (+/-2%)"/>
    <d v="2024-04-01T00:00:00"/>
    <m/>
    <m/>
    <m/>
    <m/>
    <n v="0"/>
    <n v="0"/>
    <n v="0"/>
    <n v="0"/>
  </r>
  <r>
    <n v="48.8"/>
    <s v="Parallel"/>
    <s v="Straight"/>
    <x v="3"/>
    <n v="2.4"/>
    <n v="2400"/>
    <n v="260"/>
    <n v="142"/>
    <n v="2.0579710144927534"/>
    <n v="3"/>
    <n v="2700"/>
    <n v="360"/>
    <n v="69"/>
    <n v="1.0579710144927534"/>
    <n v="4"/>
    <s v="QF1A / QF1B"/>
    <n v="2"/>
    <s v="QFA"/>
    <s v="16% (+/-2%)"/>
    <d v="2024-04-01T00:00:00"/>
    <m/>
    <m/>
    <m/>
    <m/>
    <n v="0"/>
    <n v="0"/>
    <n v="0"/>
    <n v="0"/>
  </r>
  <r>
    <n v="48.9"/>
    <s v="Parallel"/>
    <s v="Straight"/>
    <x v="3"/>
    <n v="3.1"/>
    <n v="3100"/>
    <n v="260"/>
    <n v="142"/>
    <n v="2.0579710144927534"/>
    <n v="3"/>
    <n v="3400"/>
    <n v="360"/>
    <n v="69"/>
    <n v="1.0579710144927534"/>
    <n v="4"/>
    <s v="QF1A / QF1B"/>
    <n v="2"/>
    <s v="QFA"/>
    <s v="16% (+/-2%)"/>
    <d v="2024-04-01T00:00:00"/>
    <m/>
    <m/>
    <m/>
    <m/>
    <n v="0"/>
    <n v="0"/>
    <n v="0"/>
    <n v="0"/>
  </r>
  <r>
    <n v="48.1"/>
    <s v="Parallel"/>
    <s v="Straight"/>
    <x v="3"/>
    <n v="2.4"/>
    <n v="2400"/>
    <n v="260"/>
    <n v="142"/>
    <n v="2.0579710144927534"/>
    <n v="3"/>
    <n v="2700"/>
    <n v="360"/>
    <n v="69"/>
    <n v="1.0579710144927534"/>
    <n v="4"/>
    <s v="QF1A / QF1B"/>
    <n v="2"/>
    <s v="QFA"/>
    <s v="16% (+/-2%)"/>
    <d v="2024-04-01T00:00:00"/>
    <m/>
    <m/>
    <m/>
    <m/>
    <n v="0"/>
    <n v="0"/>
    <n v="0"/>
    <n v="0"/>
  </r>
  <r>
    <n v="48.11"/>
    <s v="Parallel"/>
    <s v="Straight"/>
    <x v="3"/>
    <n v="2.5"/>
    <n v="2500"/>
    <n v="260"/>
    <n v="142"/>
    <n v="2.0579710144927534"/>
    <n v="3"/>
    <n v="2800"/>
    <n v="360"/>
    <n v="69"/>
    <n v="1.0579710144927534"/>
    <n v="4"/>
    <s v="QF1A / QF1B"/>
    <n v="2"/>
    <s v="QFA"/>
    <s v="16% (+/-2%)"/>
    <d v="2024-04-01T00:00:00"/>
    <m/>
    <m/>
    <m/>
    <m/>
    <n v="0"/>
    <n v="0"/>
    <n v="0"/>
    <n v="0"/>
  </r>
  <r>
    <n v="48.12"/>
    <s v="Parallel"/>
    <s v="Slight curve  "/>
    <x v="3"/>
    <n v="2.4"/>
    <n v="2400"/>
    <n v="260"/>
    <n v="142"/>
    <n v="2.0579710144927534"/>
    <n v="3"/>
    <n v="2700"/>
    <n v="360"/>
    <n v="69"/>
    <n v="1.0579710144927534"/>
    <n v="4"/>
    <s v="QF1A / QF1B"/>
    <n v="2"/>
    <s v="QFA"/>
    <s v="16% (+/-2%)"/>
    <d v="2024-04-01T00:00:00"/>
    <m/>
    <m/>
    <m/>
    <m/>
    <n v="0"/>
    <n v="0"/>
    <n v="0"/>
    <n v="0"/>
  </r>
  <r>
    <n v="48.13"/>
    <s v="Parallel"/>
    <s v="Slight curve  "/>
    <x v="3"/>
    <n v="4"/>
    <n v="4000"/>
    <n v="260"/>
    <n v="142"/>
    <n v="2.0579710144927534"/>
    <n v="3"/>
    <n v="4300"/>
    <n v="360"/>
    <n v="69"/>
    <n v="1.0579710144927534"/>
    <n v="4"/>
    <s v="QF1A / QF1B"/>
    <n v="2"/>
    <s v="QFA"/>
    <s v="16% (+/-2%)"/>
    <d v="2024-04-01T00:00:00"/>
    <m/>
    <m/>
    <m/>
    <m/>
    <n v="0"/>
    <n v="0"/>
    <n v="0"/>
    <n v="0"/>
  </r>
  <r>
    <n v="49.4"/>
    <s v="Parallel"/>
    <s v="Slight curve"/>
    <x v="3"/>
    <n v="2.4"/>
    <n v="2400"/>
    <n v="260"/>
    <n v="127"/>
    <n v="1.8405797101449275"/>
    <n v="2"/>
    <n v="2700"/>
    <n v="360"/>
    <n v="69"/>
    <n v="0.84057971014492749"/>
    <n v="2"/>
    <s v="QF1A / QF1B"/>
    <n v="2"/>
    <s v="QFA"/>
    <s v="16% (+/-2%)"/>
    <d v="2024-04-01T00:00:00"/>
    <m/>
    <m/>
    <m/>
    <m/>
    <n v="0"/>
    <n v="0"/>
    <n v="0"/>
    <n v="0"/>
  </r>
  <r>
    <n v="49.5"/>
    <s v="Parallel"/>
    <s v="Straight"/>
    <x v="3"/>
    <n v="2.2999999999999998"/>
    <n v="2300"/>
    <n v="260"/>
    <n v="127"/>
    <n v="1.8405797101449275"/>
    <n v="2"/>
    <n v="2600"/>
    <n v="360"/>
    <n v="69"/>
    <n v="0.84057971014492749"/>
    <n v="2"/>
    <s v="QF1A / QF1B"/>
    <n v="2"/>
    <s v="QFA"/>
    <s v="16% (+/-2%)"/>
    <d v="2024-04-01T00:00:00"/>
    <m/>
    <m/>
    <m/>
    <m/>
    <n v="0"/>
    <n v="0"/>
    <n v="0"/>
    <n v="0"/>
  </r>
  <r>
    <n v="49.6"/>
    <s v="Parallel"/>
    <s v="Straight"/>
    <x v="3"/>
    <n v="2.4"/>
    <n v="2400"/>
    <n v="260"/>
    <n v="127"/>
    <n v="1.8405797101449275"/>
    <n v="2"/>
    <n v="2700"/>
    <n v="360"/>
    <n v="69"/>
    <n v="0.84057971014492749"/>
    <n v="2"/>
    <s v="QF1A / QF1B"/>
    <n v="2"/>
    <s v="QFA"/>
    <s v="16% (+/-2%)"/>
    <d v="2024-04-01T00:00:00"/>
    <m/>
    <m/>
    <m/>
    <m/>
    <n v="0"/>
    <n v="0"/>
    <n v="0"/>
    <n v="0"/>
  </r>
  <r>
    <n v="49.7"/>
    <s v="Parallel"/>
    <s v="Straight"/>
    <x v="3"/>
    <n v="2.4"/>
    <n v="2400"/>
    <n v="260"/>
    <n v="127"/>
    <n v="1.8405797101449275"/>
    <n v="2"/>
    <n v="2700"/>
    <n v="360"/>
    <n v="69"/>
    <n v="0.84057971014492749"/>
    <n v="2"/>
    <s v="QF1A / QF1B"/>
    <n v="2"/>
    <s v="QFA"/>
    <s v="16% (+/-2%)"/>
    <d v="2024-04-01T00:00:00"/>
    <m/>
    <m/>
    <m/>
    <m/>
    <n v="0"/>
    <n v="0"/>
    <n v="0"/>
    <n v="0"/>
  </r>
  <r>
    <n v="49.8"/>
    <s v="Parallel"/>
    <s v="Straight"/>
    <x v="3"/>
    <n v="2.4"/>
    <n v="2400"/>
    <n v="260"/>
    <n v="127"/>
    <n v="1.8405797101449275"/>
    <n v="2"/>
    <n v="2700"/>
    <n v="360"/>
    <n v="69"/>
    <n v="0.84057971014492749"/>
    <n v="2"/>
    <s v="QF1A / QF1B"/>
    <n v="2"/>
    <s v="QFA"/>
    <s v="16% (+/-2%)"/>
    <d v="2024-04-01T00:00:00"/>
    <m/>
    <m/>
    <m/>
    <m/>
    <n v="0"/>
    <n v="0"/>
    <n v="0"/>
    <n v="0"/>
  </r>
  <r>
    <n v="49.9"/>
    <s v="Parallel"/>
    <s v="Straight"/>
    <x v="3"/>
    <n v="3.1"/>
    <n v="3100"/>
    <n v="260"/>
    <n v="127"/>
    <n v="1.8405797101449275"/>
    <n v="2"/>
    <n v="3400"/>
    <n v="360"/>
    <n v="69"/>
    <n v="0.84057971014492749"/>
    <n v="2"/>
    <s v="QF1A / QF1B"/>
    <n v="2"/>
    <s v="QFA"/>
    <s v="16% (+/-2%)"/>
    <d v="2024-04-01T00:00:00"/>
    <m/>
    <m/>
    <m/>
    <m/>
    <n v="0"/>
    <n v="0"/>
    <n v="0"/>
    <n v="0"/>
  </r>
  <r>
    <n v="49.1"/>
    <s v="Parallel"/>
    <s v="Slight curve lower edge works down to LD GP no. 115 at aft end"/>
    <x v="1"/>
    <n v="10.7"/>
    <n v="10700"/>
    <n v="300"/>
    <n v="127"/>
    <n v="1.8405797101449275"/>
    <n v="2"/>
    <n v="11000"/>
    <n v="400"/>
    <n v="69"/>
    <n v="0.84057971014492749"/>
    <n v="2"/>
    <s v="QB1"/>
    <n v="2"/>
    <s v="QBA"/>
    <s v="16% (+/-2%)"/>
    <d v="2024-04-01T00:00:00"/>
    <m/>
    <m/>
    <m/>
    <m/>
    <n v="0"/>
    <n v="0"/>
    <n v="0"/>
    <n v="0"/>
  </r>
  <r>
    <n v="49.11"/>
    <s v="Parallel"/>
    <s v="Slight curve  "/>
    <x v="1"/>
    <n v="7"/>
    <n v="7000"/>
    <n v="260"/>
    <n v="127"/>
    <n v="1.8405797101449275"/>
    <n v="2"/>
    <n v="7300"/>
    <n v="360"/>
    <n v="69"/>
    <n v="0.84057971014492749"/>
    <n v="2"/>
    <s v="QB1"/>
    <n v="2"/>
    <s v="QBA"/>
    <s v="16% (+/-2%)"/>
    <d v="2024-04-01T00:00:00"/>
    <m/>
    <m/>
    <m/>
    <m/>
    <n v="0"/>
    <n v="0"/>
    <n v="0"/>
    <n v="0"/>
  </r>
  <r>
    <n v="50.3"/>
    <s v="Anchor Stock"/>
    <s v="Slight curve, works down to LD GP no.'s 4 &amp; 5"/>
    <x v="1"/>
    <n v="7.4"/>
    <n v="7400"/>
    <n v="536"/>
    <n v="140"/>
    <n v="2.0289855072463769"/>
    <n v="3"/>
    <n v="7700"/>
    <n v="636"/>
    <n v="69"/>
    <n v="1.0289855072463769"/>
    <n v="4"/>
    <s v="QB1"/>
    <n v="2"/>
    <s v="QBA"/>
    <s v="16% (+/-2%)"/>
    <d v="2024-04-01T00:00:00"/>
    <m/>
    <m/>
    <m/>
    <m/>
    <n v="0"/>
    <n v="0"/>
    <n v="0"/>
    <n v="0"/>
  </r>
  <r>
    <n v="50.4"/>
    <s v="Anchor Stock"/>
    <s v="Straight, works down to LD GP no.'s 6 &amp; 7"/>
    <x v="1"/>
    <n v="7.4"/>
    <n v="7400"/>
    <n v="508"/>
    <n v="140"/>
    <n v="2.0289855072463769"/>
    <n v="3"/>
    <n v="7700"/>
    <n v="608"/>
    <n v="69"/>
    <n v="1.0289855072463769"/>
    <n v="4"/>
    <s v="QB1"/>
    <n v="2"/>
    <s v="QBA"/>
    <s v="16% (+/-2%)"/>
    <d v="2024-04-01T00:00:00"/>
    <m/>
    <m/>
    <m/>
    <m/>
    <n v="0"/>
    <n v="0"/>
    <n v="0"/>
    <n v="0"/>
  </r>
  <r>
    <n v="50.5"/>
    <s v="Anchor Stock"/>
    <s v="Straight, works down to LD GP no.'s 8, 9 &amp; 10"/>
    <x v="1"/>
    <n v="10.199999999999999"/>
    <n v="10200"/>
    <n v="531"/>
    <n v="140"/>
    <n v="2.0289855072463769"/>
    <n v="3"/>
    <n v="10500"/>
    <n v="631"/>
    <n v="69"/>
    <n v="1.0289855072463769"/>
    <n v="4"/>
    <s v="QB1"/>
    <n v="2"/>
    <s v="QBA"/>
    <s v="16% (+/-2%)"/>
    <d v="2024-04-01T00:00:00"/>
    <m/>
    <m/>
    <m/>
    <m/>
    <n v="0"/>
    <n v="0"/>
    <n v="0"/>
    <n v="0"/>
  </r>
  <r>
    <n v="50.6"/>
    <s v="Anchor Stock"/>
    <s v="Straight"/>
    <x v="1"/>
    <n v="7.4"/>
    <n v="7400"/>
    <n v="431"/>
    <n v="140"/>
    <n v="2.0289855072463769"/>
    <n v="3"/>
    <n v="7700"/>
    <n v="531"/>
    <n v="69"/>
    <n v="1.0289855072463769"/>
    <n v="4"/>
    <s v="QB1"/>
    <n v="2"/>
    <s v="QBA"/>
    <s v="16% (+/-2%)"/>
    <d v="2024-04-01T00:00:00"/>
    <m/>
    <m/>
    <m/>
    <m/>
    <n v="0"/>
    <n v="0"/>
    <n v="0"/>
    <n v="0"/>
  </r>
  <r>
    <n v="50.7"/>
    <s v="Anchor Stock"/>
    <s v="Slight curve  "/>
    <x v="1"/>
    <n v="7.4"/>
    <n v="7400"/>
    <n v="431"/>
    <n v="140"/>
    <n v="2.0289855072463769"/>
    <n v="3"/>
    <n v="7700"/>
    <n v="531"/>
    <n v="69"/>
    <n v="1.0289855072463769"/>
    <n v="4"/>
    <s v="QB1"/>
    <n v="2"/>
    <s v="QBA"/>
    <s v="16% (+/-2%)"/>
    <d v="2024-04-01T00:00:00"/>
    <m/>
    <m/>
    <m/>
    <m/>
    <n v="0"/>
    <n v="0"/>
    <n v="0"/>
    <n v="0"/>
  </r>
  <r>
    <n v="51.4"/>
    <s v="Anchor Stock"/>
    <s v="Straight"/>
    <x v="1"/>
    <n v="7.4"/>
    <n v="7400"/>
    <n v="431"/>
    <n v="140"/>
    <n v="2.0289855072463769"/>
    <n v="3"/>
    <n v="7700"/>
    <n v="531"/>
    <n v="69"/>
    <n v="1.0289855072463769"/>
    <n v="4"/>
    <s v="QB1"/>
    <n v="2"/>
    <s v="QBA"/>
    <s v="16% (+/-2%)"/>
    <d v="2024-04-01T00:00:00"/>
    <m/>
    <m/>
    <m/>
    <m/>
    <n v="0"/>
    <n v="0"/>
    <n v="0"/>
    <n v="0"/>
  </r>
  <r>
    <n v="51.5"/>
    <s v="Anchor Stock"/>
    <s v="Straight"/>
    <x v="1"/>
    <n v="7.4"/>
    <n v="7400"/>
    <n v="431"/>
    <n v="140"/>
    <n v="2.0289855072463769"/>
    <n v="3"/>
    <n v="7700"/>
    <n v="531"/>
    <n v="69"/>
    <n v="1.0289855072463769"/>
    <n v="4"/>
    <s v="QB1"/>
    <n v="2"/>
    <s v="QBA"/>
    <s v="16% (+/-2%)"/>
    <d v="2024-04-01T00:00:00"/>
    <m/>
    <m/>
    <m/>
    <m/>
    <n v="0"/>
    <n v="0"/>
    <n v="0"/>
    <n v="0"/>
  </r>
  <r>
    <n v="51.6"/>
    <s v="Anchor Stock"/>
    <s v="Straight"/>
    <x v="1"/>
    <n v="10.3"/>
    <n v="10300"/>
    <n v="431"/>
    <n v="140"/>
    <n v="2.0289855072463769"/>
    <n v="3"/>
    <n v="10600"/>
    <n v="531"/>
    <n v="69"/>
    <n v="1.0289855072463769"/>
    <n v="4"/>
    <s v="QB1"/>
    <n v="2"/>
    <s v="QBA"/>
    <s v="16% (+/-2%)"/>
    <d v="2024-04-01T00:00:00"/>
    <m/>
    <m/>
    <m/>
    <m/>
    <n v="0"/>
    <n v="0"/>
    <n v="0"/>
    <n v="0"/>
  </r>
  <r>
    <n v="51.7"/>
    <s v="Anchor Stock"/>
    <s v="Slight curve  "/>
    <x v="1"/>
    <n v="7.4"/>
    <n v="7400"/>
    <n v="431"/>
    <n v="140"/>
    <n v="2.0289855072463769"/>
    <n v="3"/>
    <n v="7700"/>
    <n v="531"/>
    <n v="69"/>
    <n v="1.0289855072463769"/>
    <n v="4"/>
    <s v="QB1"/>
    <n v="2"/>
    <s v="QBA"/>
    <s v="16% (+/-2%)"/>
    <d v="2024-04-01T00:00:00"/>
    <m/>
    <m/>
    <m/>
    <m/>
    <n v="0"/>
    <n v="0"/>
    <n v="0"/>
    <n v="0"/>
  </r>
  <r>
    <s v="M4"/>
    <m/>
    <m/>
    <x v="2"/>
    <m/>
    <m/>
    <m/>
    <m/>
    <m/>
    <m/>
    <m/>
    <m/>
    <m/>
    <m/>
    <n v="92"/>
    <m/>
    <n v="54"/>
    <m/>
    <m/>
    <m/>
    <m/>
    <m/>
    <m/>
    <m/>
    <m/>
    <n v="0"/>
    <m/>
    <n v="0"/>
  </r>
  <r>
    <n v="52.3"/>
    <s v="Parallel"/>
    <s v="Slight curve  "/>
    <x v="1"/>
    <n v="7.4"/>
    <n v="7400"/>
    <n v="431"/>
    <n v="140"/>
    <n v="2.0289855072463769"/>
    <n v="3"/>
    <n v="7700"/>
    <n v="531"/>
    <n v="69"/>
    <n v="1.0289855072463769"/>
    <n v="4"/>
    <s v="QB1"/>
    <n v="2"/>
    <s v="QBA"/>
    <s v="16% (+/-2%)"/>
    <d v="2024-08-01T00:00:00"/>
    <m/>
    <m/>
    <m/>
    <m/>
    <n v="0"/>
    <n v="0"/>
    <n v="0"/>
    <n v="0"/>
  </r>
  <r>
    <n v="52.4"/>
    <s v="Parallel"/>
    <s v="Straight"/>
    <x v="1"/>
    <n v="7.4"/>
    <n v="7400"/>
    <n v="431"/>
    <n v="140"/>
    <n v="2.0289855072463769"/>
    <n v="3"/>
    <n v="7700"/>
    <n v="531"/>
    <n v="69"/>
    <n v="1.0289855072463769"/>
    <n v="4"/>
    <s v="QB1"/>
    <n v="2"/>
    <s v="QBA"/>
    <s v="16% (+/-2%)"/>
    <d v="2024-08-01T00:00:00"/>
    <m/>
    <m/>
    <m/>
    <m/>
    <n v="0"/>
    <n v="0"/>
    <n v="0"/>
    <n v="0"/>
  </r>
  <r>
    <n v="52.5"/>
    <s v="Parallel"/>
    <s v="Straight"/>
    <x v="1"/>
    <n v="7.4"/>
    <n v="7400"/>
    <n v="431"/>
    <n v="140"/>
    <n v="2.0289855072463769"/>
    <n v="3"/>
    <n v="7700"/>
    <n v="531"/>
    <n v="69"/>
    <n v="1.0289855072463769"/>
    <n v="4"/>
    <s v="QB1"/>
    <n v="2"/>
    <s v="QBA"/>
    <s v="16% (+/-2%)"/>
    <d v="2024-08-01T00:00:00"/>
    <m/>
    <m/>
    <m/>
    <m/>
    <n v="0"/>
    <n v="0"/>
    <n v="0"/>
    <n v="0"/>
  </r>
  <r>
    <n v="52.6"/>
    <s v="Parallel"/>
    <s v="Straight"/>
    <x v="1"/>
    <n v="10.3"/>
    <n v="10300"/>
    <n v="431"/>
    <n v="140"/>
    <n v="2.0289855072463769"/>
    <n v="3"/>
    <n v="10600"/>
    <n v="531"/>
    <n v="69"/>
    <n v="1.0289855072463769"/>
    <n v="4"/>
    <s v="QB1"/>
    <n v="2"/>
    <s v="QBA"/>
    <s v="16% (+/-2%)"/>
    <d v="2024-08-01T00:00:00"/>
    <m/>
    <m/>
    <m/>
    <m/>
    <n v="0"/>
    <n v="0"/>
    <n v="0"/>
    <n v="0"/>
  </r>
  <r>
    <n v="52.7"/>
    <s v="Parallel"/>
    <s v="Slight curve  "/>
    <x v="1"/>
    <n v="7.4"/>
    <n v="7400"/>
    <n v="431"/>
    <n v="140"/>
    <n v="2.0289855072463769"/>
    <n v="3"/>
    <n v="7700"/>
    <n v="531"/>
    <n v="69"/>
    <n v="1.0289855072463769"/>
    <n v="4"/>
    <s v="QB1"/>
    <n v="2"/>
    <s v="QBA"/>
    <s v="16% (+/-2%)"/>
    <d v="2024-08-01T00:00:00"/>
    <m/>
    <m/>
    <m/>
    <m/>
    <n v="0"/>
    <n v="0"/>
    <n v="0"/>
    <n v="0"/>
  </r>
  <r>
    <n v="53.4"/>
    <s v="Parallel"/>
    <s v="Slight curve , works up to MD GP no.'s 5 &amp; 6 "/>
    <x v="1"/>
    <n v="7.4"/>
    <n v="7400"/>
    <n v="420"/>
    <n v="114.3"/>
    <n v="1.6565217391304348"/>
    <n v="2"/>
    <n v="7700"/>
    <n v="520"/>
    <n v="69"/>
    <n v="0.65652173913043477"/>
    <n v="2"/>
    <s v="QB1"/>
    <n v="2"/>
    <s v="QBA"/>
    <s v="16% (+/-2%)"/>
    <d v="2024-08-01T00:00:00"/>
    <m/>
    <m/>
    <m/>
    <m/>
    <n v="0"/>
    <n v="0"/>
    <n v="0"/>
    <n v="0"/>
  </r>
  <r>
    <n v="53.5"/>
    <s v="Parallel"/>
    <s v="Straight, works up to MD GP no's' 7 &amp; 8"/>
    <x v="1"/>
    <n v="7.4"/>
    <n v="7400"/>
    <n v="412"/>
    <n v="114.3"/>
    <n v="1.6565217391304348"/>
    <n v="2"/>
    <n v="7700"/>
    <n v="512"/>
    <n v="69"/>
    <n v="0.65652173913043477"/>
    <n v="2"/>
    <s v="QB1"/>
    <n v="2"/>
    <s v="QBA"/>
    <s v="16% (+/-2%)"/>
    <d v="2024-08-01T00:00:00"/>
    <m/>
    <m/>
    <m/>
    <m/>
    <n v="0"/>
    <n v="0"/>
    <n v="0"/>
    <n v="0"/>
  </r>
  <r>
    <n v="53.6"/>
    <s v="Parallel"/>
    <s v="Straight, works up to MD GP no. 9"/>
    <x v="3"/>
    <n v="4.8"/>
    <n v="4800"/>
    <n v="344"/>
    <n v="114.3"/>
    <n v="1.6565217391304348"/>
    <n v="2"/>
    <n v="5100"/>
    <n v="444"/>
    <n v="69"/>
    <n v="0.65652173913043477"/>
    <n v="2"/>
    <s v="QF1A / QF1B"/>
    <n v="2"/>
    <s v="QFA"/>
    <s v="16% (+/-2%)"/>
    <d v="2024-08-01T00:00:00"/>
    <m/>
    <m/>
    <m/>
    <m/>
    <n v="0"/>
    <n v="0"/>
    <n v="0"/>
    <n v="0"/>
  </r>
  <r>
    <n v="53.7"/>
    <s v="Parallel"/>
    <s v="Straight, works up to MD GP no. 11"/>
    <x v="3"/>
    <n v="4.9000000000000004"/>
    <n v="4900"/>
    <n v="381"/>
    <n v="114.3"/>
    <n v="1.6565217391304348"/>
    <n v="2"/>
    <n v="5200"/>
    <n v="481"/>
    <n v="69"/>
    <n v="0.65652173913043477"/>
    <n v="2"/>
    <s v="QF1A / QF1B"/>
    <n v="2"/>
    <s v="QFA"/>
    <s v="16% (+/-2%)"/>
    <d v="2024-08-01T00:00:00"/>
    <m/>
    <m/>
    <m/>
    <m/>
    <n v="0"/>
    <n v="0"/>
    <n v="0"/>
    <n v="0"/>
  </r>
  <r>
    <n v="53.8"/>
    <s v="Parallel"/>
    <s v="Slight curve , works up to MD GP no. 12"/>
    <x v="1"/>
    <n v="7.4"/>
    <n v="7400"/>
    <n v="347"/>
    <n v="114.3"/>
    <n v="1.6565217391304348"/>
    <n v="2"/>
    <n v="7700"/>
    <n v="447"/>
    <n v="69"/>
    <n v="0.65652173913043477"/>
    <n v="2"/>
    <s v="QB1"/>
    <n v="2"/>
    <s v="QBA"/>
    <s v="16% (+/-2%)"/>
    <d v="2024-08-01T00:00:00"/>
    <m/>
    <m/>
    <m/>
    <m/>
    <n v="0"/>
    <n v="0"/>
    <n v="0"/>
    <n v="0"/>
  </r>
  <r>
    <n v="53.9"/>
    <s v="Parallel"/>
    <s v="Slight curve  "/>
    <x v="3"/>
    <n v="4.5"/>
    <n v="4500"/>
    <n v="288"/>
    <n v="114.3"/>
    <n v="1.6565217391304348"/>
    <n v="2"/>
    <n v="4800"/>
    <n v="388"/>
    <n v="69"/>
    <n v="0.65652173913043477"/>
    <n v="2"/>
    <s v="QF1A / QF1B"/>
    <n v="2"/>
    <s v="QFA"/>
    <s v="16% (+/-2%)"/>
    <d v="2024-08-01T00:00:00"/>
    <m/>
    <m/>
    <m/>
    <m/>
    <n v="0"/>
    <n v="0"/>
    <n v="0"/>
    <n v="0"/>
  </r>
  <r>
    <n v="54.6"/>
    <s v="Parallel"/>
    <s v="Straight"/>
    <x v="3"/>
    <n v="2.5"/>
    <n v="2500"/>
    <n v="288"/>
    <n v="112"/>
    <n v="1.6231884057971016"/>
    <n v="2"/>
    <n v="2800"/>
    <n v="388"/>
    <n v="69"/>
    <n v="0.62318840579710155"/>
    <n v="2"/>
    <s v="QF1A / QF1B"/>
    <n v="2"/>
    <s v="QFA"/>
    <s v="16% (+/-2%)"/>
    <d v="2024-08-01T00:00:00"/>
    <m/>
    <m/>
    <m/>
    <m/>
    <n v="0"/>
    <n v="0"/>
    <n v="0"/>
    <n v="0"/>
  </r>
  <r>
    <n v="54.7"/>
    <s v="Parallel"/>
    <s v="Straight"/>
    <x v="3"/>
    <n v="2.5"/>
    <n v="2500"/>
    <n v="288"/>
    <n v="112"/>
    <n v="1.6231884057971016"/>
    <n v="2"/>
    <n v="2800"/>
    <n v="388"/>
    <n v="69"/>
    <n v="0.62318840579710155"/>
    <n v="2"/>
    <s v="QF1A / QF1B"/>
    <n v="2"/>
    <s v="QFA"/>
    <s v="16% (+/-2%)"/>
    <d v="2024-08-01T00:00:00"/>
    <m/>
    <m/>
    <m/>
    <m/>
    <n v="0"/>
    <n v="0"/>
    <n v="0"/>
    <n v="0"/>
  </r>
  <r>
    <n v="54.8"/>
    <s v="Parallel"/>
    <s v="Straight"/>
    <x v="3"/>
    <n v="2.5"/>
    <n v="2500"/>
    <n v="288"/>
    <n v="112"/>
    <n v="1.6231884057971016"/>
    <n v="2"/>
    <n v="2800"/>
    <n v="388"/>
    <n v="69"/>
    <n v="0.62318840579710155"/>
    <n v="2"/>
    <s v="QF1A / QF1B"/>
    <n v="2"/>
    <s v="QFA"/>
    <s v="16% (+/-2%)"/>
    <d v="2024-08-01T00:00:00"/>
    <m/>
    <m/>
    <m/>
    <m/>
    <n v="0"/>
    <n v="0"/>
    <n v="0"/>
    <n v="0"/>
  </r>
  <r>
    <n v="54.9"/>
    <s v="Parallel"/>
    <s v="Straight"/>
    <x v="3"/>
    <n v="2.5"/>
    <n v="2500"/>
    <n v="288"/>
    <n v="112"/>
    <n v="1.6231884057971016"/>
    <n v="2"/>
    <n v="2800"/>
    <n v="388"/>
    <n v="69"/>
    <n v="0.62318840579710155"/>
    <n v="2"/>
    <s v="QF1A / QF1B"/>
    <n v="2"/>
    <s v="QFA"/>
    <s v="16% (+/-2%)"/>
    <d v="2024-08-01T00:00:00"/>
    <m/>
    <m/>
    <m/>
    <m/>
    <n v="0"/>
    <n v="0"/>
    <n v="0"/>
    <n v="0"/>
  </r>
  <r>
    <n v="54.1"/>
    <s v="Parallel"/>
    <s v="Straight"/>
    <x v="3"/>
    <n v="2.8"/>
    <n v="2800"/>
    <n v="288"/>
    <n v="112"/>
    <n v="1.6231884057971016"/>
    <n v="2"/>
    <n v="3100"/>
    <n v="388"/>
    <n v="69"/>
    <n v="0.62318840579710155"/>
    <n v="2"/>
    <s v="QF1A / QF1B"/>
    <n v="2"/>
    <s v="QFA"/>
    <s v="16% (+/-2%)"/>
    <d v="2024-08-01T00:00:00"/>
    <m/>
    <m/>
    <m/>
    <m/>
    <n v="0"/>
    <n v="0"/>
    <n v="0"/>
    <n v="0"/>
  </r>
  <r>
    <n v="54.11"/>
    <s v="Parallel"/>
    <s v="Straight"/>
    <x v="3"/>
    <n v="3"/>
    <n v="3000"/>
    <n v="288"/>
    <n v="112"/>
    <n v="1.6231884057971016"/>
    <n v="2"/>
    <n v="3300"/>
    <n v="388"/>
    <n v="69"/>
    <n v="0.62318840579710155"/>
    <n v="2"/>
    <s v="QF1A / QF1B"/>
    <n v="2"/>
    <s v="QFA"/>
    <s v="16% (+/-2%)"/>
    <d v="2024-08-01T00:00:00"/>
    <m/>
    <m/>
    <m/>
    <m/>
    <n v="0"/>
    <n v="0"/>
    <n v="0"/>
    <n v="0"/>
  </r>
  <r>
    <n v="54.12"/>
    <s v="Parallel"/>
    <s v="Straight"/>
    <x v="3"/>
    <n v="2.5"/>
    <n v="2500"/>
    <n v="288"/>
    <n v="112"/>
    <n v="1.6231884057971016"/>
    <n v="2"/>
    <n v="2800"/>
    <n v="388"/>
    <n v="69"/>
    <n v="0.62318840579710155"/>
    <n v="2"/>
    <s v="QF1A / QF1B"/>
    <n v="2"/>
    <s v="QFA"/>
    <s v="16% (+/-2%)"/>
    <d v="2024-08-01T00:00:00"/>
    <m/>
    <m/>
    <m/>
    <m/>
    <n v="0"/>
    <n v="0"/>
    <n v="0"/>
    <n v="0"/>
  </r>
  <r>
    <n v="54.13"/>
    <s v="Parallel"/>
    <s v="Straight"/>
    <x v="3"/>
    <n v="2.6"/>
    <n v="2600"/>
    <n v="288"/>
    <n v="112"/>
    <n v="1.6231884057971016"/>
    <n v="2"/>
    <n v="2900"/>
    <n v="388"/>
    <n v="69"/>
    <n v="0.62318840579710155"/>
    <n v="2"/>
    <s v="QF1A / QF1B"/>
    <n v="2"/>
    <s v="QFA"/>
    <s v="16% (+/-2%)"/>
    <d v="2024-08-01T00:00:00"/>
    <m/>
    <m/>
    <m/>
    <m/>
    <n v="0"/>
    <n v="0"/>
    <n v="0"/>
    <n v="0"/>
  </r>
  <r>
    <n v="54.14"/>
    <s v="Parallel"/>
    <s v="Slight curve"/>
    <x v="3"/>
    <n v="2.5"/>
    <n v="2500"/>
    <n v="288"/>
    <n v="112"/>
    <n v="1.6231884057971016"/>
    <n v="2"/>
    <n v="2800"/>
    <n v="388"/>
    <n v="69"/>
    <n v="0.62318840579710155"/>
    <n v="2"/>
    <s v="QF1A / QF1B"/>
    <n v="2"/>
    <s v="QFA"/>
    <s v="16% (+/-2%)"/>
    <d v="2024-08-01T00:00:00"/>
    <m/>
    <m/>
    <m/>
    <m/>
    <n v="0"/>
    <n v="0"/>
    <n v="0"/>
    <n v="0"/>
  </r>
  <r>
    <n v="55.6"/>
    <s v="Parallel"/>
    <s v="Straight"/>
    <x v="3"/>
    <n v="2.5"/>
    <n v="2500"/>
    <n v="288"/>
    <n v="108"/>
    <n v="1.5652173913043479"/>
    <n v="2"/>
    <n v="2800"/>
    <n v="388"/>
    <n v="69"/>
    <n v="0.56521739130434789"/>
    <n v="2"/>
    <s v="QF1A / QF1B"/>
    <n v="2"/>
    <s v="QFA"/>
    <s v="16% (+/-2%)"/>
    <d v="2024-08-01T00:00:00"/>
    <m/>
    <m/>
    <m/>
    <m/>
    <n v="0"/>
    <n v="0"/>
    <n v="0"/>
    <n v="0"/>
  </r>
  <r>
    <n v="55.7"/>
    <s v="Parallel"/>
    <s v="Straight"/>
    <x v="3"/>
    <n v="2.5"/>
    <n v="2500"/>
    <n v="288"/>
    <n v="108"/>
    <n v="1.5652173913043479"/>
    <n v="2"/>
    <n v="2800"/>
    <n v="388"/>
    <n v="69"/>
    <n v="0.56521739130434789"/>
    <n v="2"/>
    <s v="QF1A / QF1B"/>
    <n v="2"/>
    <s v="QFA"/>
    <s v="16% (+/-2%)"/>
    <d v="2024-08-01T00:00:00"/>
    <m/>
    <m/>
    <m/>
    <m/>
    <n v="0"/>
    <n v="0"/>
    <n v="0"/>
    <n v="0"/>
  </r>
  <r>
    <n v="55.8"/>
    <s v="Parallel"/>
    <s v="Straight"/>
    <x v="3"/>
    <n v="2.5"/>
    <n v="2500"/>
    <n v="288"/>
    <n v="108"/>
    <n v="1.5652173913043479"/>
    <n v="2"/>
    <n v="2800"/>
    <n v="388"/>
    <n v="69"/>
    <n v="0.56521739130434789"/>
    <n v="2"/>
    <s v="QF1A / QF1B"/>
    <n v="2"/>
    <s v="QFA"/>
    <s v="16% (+/-2%)"/>
    <d v="2024-08-01T00:00:00"/>
    <m/>
    <m/>
    <m/>
    <m/>
    <n v="0"/>
    <n v="0"/>
    <n v="0"/>
    <n v="0"/>
  </r>
  <r>
    <n v="55.9"/>
    <s v="Parallel"/>
    <s v="Straight"/>
    <x v="3"/>
    <n v="2.5"/>
    <n v="2500"/>
    <n v="288"/>
    <n v="108"/>
    <n v="1.5652173913043479"/>
    <n v="2"/>
    <n v="2800"/>
    <n v="388"/>
    <n v="69"/>
    <n v="0.56521739130434789"/>
    <n v="2"/>
    <s v="QF1A / QF1B"/>
    <n v="2"/>
    <s v="QFA"/>
    <s v="16% (+/-2%)"/>
    <d v="2024-08-01T00:00:00"/>
    <m/>
    <m/>
    <m/>
    <m/>
    <n v="0"/>
    <n v="0"/>
    <n v="0"/>
    <n v="0"/>
  </r>
  <r>
    <n v="55.1"/>
    <s v="Parallel"/>
    <s v="Straight"/>
    <x v="3"/>
    <n v="2.8"/>
    <n v="2800"/>
    <n v="288"/>
    <n v="108"/>
    <n v="1.5652173913043479"/>
    <n v="2"/>
    <n v="3100"/>
    <n v="388"/>
    <n v="69"/>
    <n v="0.56521739130434789"/>
    <n v="2"/>
    <s v="QF1A / QF1B"/>
    <n v="2"/>
    <s v="QFA"/>
    <s v="16% (+/-2%)"/>
    <d v="2024-08-01T00:00:00"/>
    <m/>
    <m/>
    <m/>
    <m/>
    <n v="0"/>
    <n v="0"/>
    <n v="0"/>
    <n v="0"/>
  </r>
  <r>
    <n v="55.11"/>
    <s v="Parallel"/>
    <s v="Straight"/>
    <x v="3"/>
    <n v="3"/>
    <n v="3000"/>
    <n v="288"/>
    <n v="108"/>
    <n v="1.5652173913043479"/>
    <n v="2"/>
    <n v="3300"/>
    <n v="388"/>
    <n v="69"/>
    <n v="0.56521739130434789"/>
    <n v="2"/>
    <s v="QF1A / QF1B"/>
    <n v="2"/>
    <s v="QFA"/>
    <s v="16% (+/-2%)"/>
    <d v="2024-08-01T00:00:00"/>
    <m/>
    <m/>
    <m/>
    <m/>
    <n v="0"/>
    <n v="0"/>
    <n v="0"/>
    <n v="0"/>
  </r>
  <r>
    <n v="55.12"/>
    <s v="Parallel"/>
    <s v="Straight"/>
    <x v="3"/>
    <n v="2.5"/>
    <n v="2500"/>
    <n v="288"/>
    <n v="108"/>
    <n v="1.5652173913043479"/>
    <n v="2"/>
    <n v="2800"/>
    <n v="388"/>
    <n v="69"/>
    <n v="0.56521739130434789"/>
    <n v="2"/>
    <s v="QF1A / QF1B"/>
    <n v="2"/>
    <s v="QFA"/>
    <s v="16% (+/-2%)"/>
    <d v="2024-08-01T00:00:00"/>
    <m/>
    <m/>
    <m/>
    <m/>
    <n v="0"/>
    <n v="0"/>
    <n v="0"/>
    <n v="0"/>
  </r>
  <r>
    <n v="55.13"/>
    <s v="Parallel"/>
    <s v="Straight"/>
    <x v="3"/>
    <n v="2.6"/>
    <n v="2600"/>
    <n v="288"/>
    <n v="108"/>
    <n v="1.5652173913043479"/>
    <n v="2"/>
    <n v="2900"/>
    <n v="388"/>
    <n v="69"/>
    <n v="0.56521739130434789"/>
    <n v="2"/>
    <s v="QF1A / QF1B"/>
    <n v="2"/>
    <s v="QFA"/>
    <s v="16% (+/-2%)"/>
    <d v="2024-08-01T00:00:00"/>
    <m/>
    <m/>
    <m/>
    <m/>
    <n v="0"/>
    <n v="0"/>
    <n v="0"/>
    <n v="0"/>
  </r>
  <r>
    <n v="55.14"/>
    <s v="Parallel"/>
    <s v="Slight curve"/>
    <x v="3"/>
    <n v="2.5"/>
    <n v="2500"/>
    <n v="288"/>
    <n v="108"/>
    <n v="1.5652173913043479"/>
    <n v="2"/>
    <n v="2800"/>
    <n v="388"/>
    <n v="69"/>
    <n v="0.56521739130434789"/>
    <n v="2"/>
    <s v="QF1A / QF1B"/>
    <n v="2"/>
    <s v="QFA"/>
    <s v="16% (+/-2%)"/>
    <d v="2024-08-01T00:00:00"/>
    <m/>
    <m/>
    <m/>
    <m/>
    <n v="0"/>
    <n v="0"/>
    <n v="0"/>
    <n v="0"/>
  </r>
  <r>
    <s v="M5"/>
    <m/>
    <m/>
    <x v="2"/>
    <m/>
    <m/>
    <m/>
    <m/>
    <m/>
    <m/>
    <m/>
    <m/>
    <m/>
    <m/>
    <n v="68"/>
    <m/>
    <n v="58"/>
    <m/>
    <m/>
    <m/>
    <m/>
    <m/>
    <m/>
    <m/>
    <m/>
    <n v="0"/>
    <m/>
    <n v="0"/>
  </r>
  <r>
    <n v="56.5"/>
    <s v="Parallel"/>
    <s v="Straight"/>
    <x v="3"/>
    <n v="2.5"/>
    <n v="2500"/>
    <n v="288"/>
    <n v="101.6"/>
    <n v="1.472463768115942"/>
    <n v="2"/>
    <n v="2800"/>
    <n v="388"/>
    <n v="69"/>
    <n v="0.47246376811594204"/>
    <n v="2"/>
    <s v="QF1A / QF1B"/>
    <n v="2"/>
    <s v="QFA"/>
    <s v="16% (+/-2%)"/>
    <d v="2024-11-01T00:00:00"/>
    <m/>
    <m/>
    <m/>
    <m/>
    <n v="0"/>
    <n v="0"/>
    <n v="0"/>
    <n v="0"/>
  </r>
  <r>
    <n v="56.6"/>
    <s v="Parallel"/>
    <s v="Straight"/>
    <x v="3"/>
    <n v="2.5"/>
    <n v="2500"/>
    <n v="288"/>
    <n v="101.6"/>
    <n v="1.472463768115942"/>
    <n v="2"/>
    <n v="2800"/>
    <n v="388"/>
    <n v="69"/>
    <n v="0.47246376811594204"/>
    <n v="2"/>
    <s v="QF1A / QF1B"/>
    <n v="2"/>
    <s v="QFA"/>
    <s v="16% (+/-2%)"/>
    <d v="2024-11-01T00:00:00"/>
    <m/>
    <m/>
    <m/>
    <m/>
    <n v="0"/>
    <n v="0"/>
    <n v="0"/>
    <n v="0"/>
  </r>
  <r>
    <n v="56.7"/>
    <s v="Parallel"/>
    <s v="Straight"/>
    <x v="3"/>
    <n v="2.5"/>
    <n v="2500"/>
    <n v="288"/>
    <n v="101.6"/>
    <n v="1.472463768115942"/>
    <n v="2"/>
    <n v="2800"/>
    <n v="388"/>
    <n v="69"/>
    <n v="0.47246376811594204"/>
    <n v="2"/>
    <s v="QF1A / QF1B"/>
    <n v="2"/>
    <s v="QFA"/>
    <s v="16% (+/-2%)"/>
    <d v="2024-11-01T00:00:00"/>
    <m/>
    <m/>
    <m/>
    <m/>
    <n v="0"/>
    <n v="0"/>
    <n v="0"/>
    <n v="0"/>
  </r>
  <r>
    <n v="56.8"/>
    <s v="Parallel"/>
    <s v="Straight"/>
    <x v="3"/>
    <n v="2.5"/>
    <n v="2500"/>
    <n v="288"/>
    <n v="101.6"/>
    <n v="1.472463768115942"/>
    <n v="2"/>
    <n v="2800"/>
    <n v="388"/>
    <n v="69"/>
    <n v="0.47246376811594204"/>
    <n v="2"/>
    <s v="QF1A / QF1B"/>
    <n v="2"/>
    <s v="QFA"/>
    <s v="16% (+/-2%)"/>
    <d v="2024-11-01T00:00:00"/>
    <m/>
    <m/>
    <m/>
    <m/>
    <n v="0"/>
    <n v="0"/>
    <n v="0"/>
    <n v="0"/>
  </r>
  <r>
    <n v="56.9"/>
    <s v="Parallel"/>
    <s v="Straight"/>
    <x v="3"/>
    <n v="2.8"/>
    <n v="2800"/>
    <n v="288"/>
    <n v="101.6"/>
    <n v="1.472463768115942"/>
    <n v="2"/>
    <n v="3100"/>
    <n v="388"/>
    <n v="69"/>
    <n v="0.47246376811594204"/>
    <n v="2"/>
    <s v="QF1A / QF1B"/>
    <n v="2"/>
    <s v="QFA"/>
    <s v="16% (+/-2%)"/>
    <d v="2024-11-01T00:00:00"/>
    <m/>
    <m/>
    <m/>
    <m/>
    <n v="0"/>
    <n v="0"/>
    <n v="0"/>
    <n v="0"/>
  </r>
  <r>
    <n v="56.1"/>
    <s v="Parallel"/>
    <s v="Straight"/>
    <x v="3"/>
    <n v="3"/>
    <n v="3000"/>
    <n v="288"/>
    <n v="101.6"/>
    <n v="1.472463768115942"/>
    <n v="2"/>
    <n v="3300"/>
    <n v="388"/>
    <n v="69"/>
    <n v="0.47246376811594204"/>
    <n v="2"/>
    <s v="QF1A / QF1B"/>
    <n v="2"/>
    <s v="QFA"/>
    <s v="16% (+/-2%)"/>
    <d v="2024-11-01T00:00:00"/>
    <m/>
    <m/>
    <m/>
    <m/>
    <n v="0"/>
    <n v="0"/>
    <n v="0"/>
    <n v="0"/>
  </r>
  <r>
    <n v="56.11"/>
    <s v="Parallel"/>
    <s v="Straight"/>
    <x v="3"/>
    <n v="2.5"/>
    <n v="2500"/>
    <n v="288"/>
    <n v="101.6"/>
    <n v="1.472463768115942"/>
    <n v="2"/>
    <n v="2800"/>
    <n v="388"/>
    <n v="69"/>
    <n v="0.47246376811594204"/>
    <n v="2"/>
    <s v="QF1A / QF1B"/>
    <n v="2"/>
    <s v="QFA"/>
    <s v="16% (+/-2%)"/>
    <d v="2024-11-01T00:00:00"/>
    <m/>
    <m/>
    <m/>
    <m/>
    <n v="0"/>
    <n v="0"/>
    <n v="0"/>
    <n v="0"/>
  </r>
  <r>
    <n v="56.12"/>
    <s v="Parallel"/>
    <s v="Straight"/>
    <x v="3"/>
    <n v="2.6"/>
    <n v="2600"/>
    <n v="288"/>
    <n v="101.6"/>
    <n v="1.472463768115942"/>
    <n v="2"/>
    <n v="2900"/>
    <n v="388"/>
    <n v="69"/>
    <n v="0.47246376811594204"/>
    <n v="2"/>
    <s v="QF1A / QF1B"/>
    <n v="2"/>
    <s v="QFA"/>
    <s v="16% (+/-2%)"/>
    <d v="2024-11-01T00:00:00"/>
    <m/>
    <m/>
    <m/>
    <m/>
    <n v="0"/>
    <n v="0"/>
    <n v="0"/>
    <n v="0"/>
  </r>
  <r>
    <n v="56.13"/>
    <s v="Parallel"/>
    <s v="Slight curve"/>
    <x v="3"/>
    <n v="2.5"/>
    <n v="2500"/>
    <n v="288"/>
    <n v="101.6"/>
    <n v="1.472463768115942"/>
    <n v="2"/>
    <n v="2800"/>
    <n v="388"/>
    <n v="69"/>
    <n v="0.47246376811594204"/>
    <n v="2"/>
    <s v="QF1A / QF1B"/>
    <n v="2"/>
    <s v="QFA"/>
    <s v="16% (+/-2%)"/>
    <d v="2024-11-01T00:00:00"/>
    <m/>
    <m/>
    <m/>
    <m/>
    <n v="0"/>
    <n v="0"/>
    <n v="0"/>
    <n v="0"/>
  </r>
  <r>
    <n v="57.4"/>
    <s v="Parallel"/>
    <s v="Straight"/>
    <x v="3"/>
    <n v="2.5"/>
    <n v="2500"/>
    <n v="288"/>
    <n v="89"/>
    <n v="1.2898550724637681"/>
    <n v="2"/>
    <n v="2800"/>
    <n v="388"/>
    <n v="69"/>
    <n v="0.28985507246376807"/>
    <n v="2"/>
    <s v="QF1A / QF1B"/>
    <n v="2"/>
    <s v="QFA"/>
    <s v="16% (+/-2%)"/>
    <d v="2024-11-01T00:00:00"/>
    <m/>
    <m/>
    <m/>
    <m/>
    <n v="0"/>
    <n v="0"/>
    <n v="0"/>
    <n v="0"/>
  </r>
  <r>
    <n v="57.5"/>
    <s v="Parallel"/>
    <s v="Straight"/>
    <x v="3"/>
    <n v="2.5"/>
    <n v="2500"/>
    <n v="288"/>
    <n v="89"/>
    <n v="1.2898550724637681"/>
    <n v="2"/>
    <n v="2800"/>
    <n v="388"/>
    <n v="69"/>
    <n v="0.28985507246376807"/>
    <n v="2"/>
    <s v="QF1A / QF1B"/>
    <n v="2"/>
    <s v="QFA"/>
    <s v="16% (+/-2%)"/>
    <d v="2024-11-01T00:00:00"/>
    <m/>
    <m/>
    <m/>
    <m/>
    <n v="0"/>
    <n v="0"/>
    <n v="0"/>
    <n v="0"/>
  </r>
  <r>
    <n v="57.6"/>
    <s v="Parallel"/>
    <s v="Straight"/>
    <x v="3"/>
    <n v="2.5"/>
    <n v="2500"/>
    <n v="288"/>
    <n v="89"/>
    <n v="1.2898550724637681"/>
    <n v="2"/>
    <n v="2800"/>
    <n v="388"/>
    <n v="69"/>
    <n v="0.28985507246376807"/>
    <n v="2"/>
    <s v="QF1A / QF1B"/>
    <n v="2"/>
    <s v="QFA"/>
    <s v="16% (+/-2%)"/>
    <d v="2024-11-01T00:00:00"/>
    <m/>
    <m/>
    <m/>
    <m/>
    <n v="0"/>
    <n v="0"/>
    <n v="0"/>
    <n v="0"/>
  </r>
  <r>
    <n v="57.7"/>
    <s v="Parallel"/>
    <s v="Straight"/>
    <x v="3"/>
    <n v="2.5"/>
    <n v="2500"/>
    <n v="288"/>
    <n v="89"/>
    <n v="1.2898550724637681"/>
    <n v="2"/>
    <n v="2800"/>
    <n v="388"/>
    <n v="69"/>
    <n v="0.28985507246376807"/>
    <n v="2"/>
    <s v="QF1A / QF1B"/>
    <n v="2"/>
    <s v="QFA"/>
    <s v="16% (+/-2%)"/>
    <d v="2024-11-01T00:00:00"/>
    <m/>
    <m/>
    <m/>
    <m/>
    <n v="0"/>
    <n v="0"/>
    <n v="0"/>
    <n v="0"/>
  </r>
  <r>
    <n v="57.8"/>
    <s v="Parallel"/>
    <s v="Straight"/>
    <x v="3"/>
    <n v="2.8"/>
    <n v="2800"/>
    <n v="288"/>
    <n v="89"/>
    <n v="1.2898550724637681"/>
    <n v="2"/>
    <n v="3100"/>
    <n v="388"/>
    <n v="69"/>
    <n v="0.28985507246376807"/>
    <n v="2"/>
    <s v="QF1A / QF1B"/>
    <n v="2"/>
    <s v="QFA"/>
    <s v="16% (+/-2%)"/>
    <d v="2024-11-01T00:00:00"/>
    <m/>
    <m/>
    <m/>
    <m/>
    <n v="0"/>
    <n v="0"/>
    <n v="0"/>
    <n v="0"/>
  </r>
  <r>
    <n v="57.9"/>
    <s v="Parallel"/>
    <s v="Straight"/>
    <x v="3"/>
    <n v="3"/>
    <n v="3000"/>
    <n v="288"/>
    <n v="89"/>
    <n v="1.2898550724637681"/>
    <n v="2"/>
    <n v="3300"/>
    <n v="388"/>
    <n v="69"/>
    <n v="0.28985507246376807"/>
    <n v="2"/>
    <s v="QF1A / QF1B"/>
    <n v="2"/>
    <s v="QFA"/>
    <s v="16% (+/-2%)"/>
    <d v="2024-11-01T00:00:00"/>
    <m/>
    <m/>
    <m/>
    <m/>
    <n v="0"/>
    <n v="0"/>
    <n v="0"/>
    <n v="0"/>
  </r>
  <r>
    <n v="57.1"/>
    <s v="Parallel"/>
    <s v="Straight"/>
    <x v="1"/>
    <n v="7.3"/>
    <n v="7300"/>
    <n v="288"/>
    <n v="89"/>
    <n v="1.2898550724637681"/>
    <n v="2"/>
    <n v="7600"/>
    <n v="388"/>
    <n v="69"/>
    <n v="0.28985507246376807"/>
    <n v="2"/>
    <s v="QB1"/>
    <n v="2"/>
    <s v="QBA"/>
    <s v="16% (+/-2%)"/>
    <d v="2024-11-01T00:00:00"/>
    <m/>
    <m/>
    <m/>
    <m/>
    <n v="0"/>
    <n v="0"/>
    <n v="0"/>
    <n v="0"/>
  </r>
  <r>
    <n v="57.11"/>
    <s v="Parallel"/>
    <s v="Slight curve, works down to MD GP no.14"/>
    <x v="1"/>
    <n v="7.3"/>
    <n v="7300"/>
    <n v="380"/>
    <n v="89"/>
    <n v="1.2898550724637681"/>
    <n v="2"/>
    <n v="7600"/>
    <n v="480"/>
    <n v="69"/>
    <n v="0.28985507246376807"/>
    <n v="2"/>
    <s v="QB1"/>
    <n v="2"/>
    <s v="QBA"/>
    <s v="16% (+/-2%)"/>
    <d v="2024-11-01T00:00:00"/>
    <m/>
    <m/>
    <m/>
    <m/>
    <n v="0"/>
    <n v="0"/>
    <n v="0"/>
    <n v="0"/>
  </r>
  <r>
    <n v="58.3"/>
    <s v="Parallel"/>
    <s v="Slight curve, works down to MD GP no.'s 4 &amp; 5"/>
    <x v="1"/>
    <n v="7.4"/>
    <n v="7400"/>
    <n v="464"/>
    <n v="101.6"/>
    <n v="1.472463768115942"/>
    <n v="2"/>
    <n v="7700"/>
    <n v="564"/>
    <n v="69"/>
    <n v="0.47246376811594204"/>
    <n v="2"/>
    <s v="QB1"/>
    <n v="2"/>
    <s v="QBA"/>
    <s v="16% (+/-2%)"/>
    <d v="2024-11-01T00:00:00"/>
    <m/>
    <m/>
    <m/>
    <m/>
    <n v="0"/>
    <n v="0"/>
    <n v="0"/>
    <n v="0"/>
  </r>
  <r>
    <n v="58.4"/>
    <s v="Parallel"/>
    <s v="Straight,  works down to MD GP no.'s 6 &amp; 7"/>
    <x v="1"/>
    <n v="7.4"/>
    <n v="7400"/>
    <n v="359"/>
    <n v="101.6"/>
    <n v="1.472463768115942"/>
    <n v="2"/>
    <n v="7700"/>
    <n v="459"/>
    <n v="69"/>
    <n v="0.47246376811594204"/>
    <n v="2"/>
    <s v="QB1"/>
    <n v="2"/>
    <s v="QBA"/>
    <s v="16% (+/-2%)"/>
    <d v="2024-11-01T00:00:00"/>
    <m/>
    <m/>
    <m/>
    <m/>
    <n v="0"/>
    <n v="0"/>
    <n v="0"/>
    <n v="0"/>
  </r>
  <r>
    <n v="58.5"/>
    <s v="Parallel"/>
    <s v="Straight,  works down to MD GP no.'s 8 &amp; 9"/>
    <x v="1"/>
    <n v="10.3"/>
    <n v="10300"/>
    <n v="407"/>
    <n v="101.6"/>
    <n v="1.472463768115942"/>
    <n v="2"/>
    <n v="10600"/>
    <n v="507"/>
    <n v="69"/>
    <n v="0.47246376811594204"/>
    <n v="2"/>
    <s v="QB1"/>
    <n v="2"/>
    <s v="QBA"/>
    <s v="16% (+/-2%)"/>
    <d v="2024-11-01T00:00:00"/>
    <m/>
    <m/>
    <m/>
    <m/>
    <n v="0"/>
    <n v="0"/>
    <n v="0"/>
    <n v="0"/>
  </r>
  <r>
    <n v="58.6"/>
    <s v="Parallel"/>
    <s v="Straight,  works down to MD GP no.. 11"/>
    <x v="1"/>
    <n v="7.4"/>
    <n v="7400"/>
    <n v="427"/>
    <n v="101.6"/>
    <n v="1.472463768115942"/>
    <n v="2"/>
    <n v="7700"/>
    <n v="527"/>
    <n v="69"/>
    <n v="0.47246376811594204"/>
    <n v="2"/>
    <s v="QB1"/>
    <n v="2"/>
    <s v="QBA"/>
    <s v="16% (+/-2%)"/>
    <d v="2024-11-01T00:00:00"/>
    <m/>
    <m/>
    <m/>
    <m/>
    <n v="0"/>
    <n v="0"/>
    <n v="0"/>
    <n v="0"/>
  </r>
  <r>
    <n v="58.7"/>
    <s v="Parallel"/>
    <s v="Slight curve"/>
    <x v="1"/>
    <n v="7.4"/>
    <n v="7400"/>
    <n v="299"/>
    <n v="101.6"/>
    <n v="1.472463768115942"/>
    <n v="2"/>
    <n v="7700"/>
    <n v="399"/>
    <n v="69"/>
    <n v="0.47246376811594204"/>
    <n v="2"/>
    <s v="QB1"/>
    <n v="2"/>
    <s v="QBA"/>
    <s v="16% (+/-2%)"/>
    <d v="2024-11-01T00:00:00"/>
    <m/>
    <m/>
    <m/>
    <m/>
    <n v="0"/>
    <n v="0"/>
    <n v="0"/>
    <n v="0"/>
  </r>
  <r>
    <n v="59.4"/>
    <s v="Parallel"/>
    <s v="Straight"/>
    <x v="1"/>
    <n v="7.4"/>
    <n v="7400"/>
    <n v="299"/>
    <n v="101.6"/>
    <n v="1.472463768115942"/>
    <n v="2"/>
    <n v="7700"/>
    <n v="399"/>
    <n v="69"/>
    <n v="0.47246376811594204"/>
    <n v="2"/>
    <s v="QB1"/>
    <n v="2"/>
    <s v="QBA"/>
    <s v="16% (+/-2%)"/>
    <d v="2024-11-01T00:00:00"/>
    <m/>
    <m/>
    <m/>
    <m/>
    <n v="0"/>
    <n v="0"/>
    <n v="0"/>
    <n v="0"/>
  </r>
  <r>
    <n v="59.5"/>
    <s v="Parallel"/>
    <s v="Straight"/>
    <x v="1"/>
    <n v="7.4"/>
    <n v="7400"/>
    <n v="299"/>
    <n v="101.6"/>
    <n v="1.472463768115942"/>
    <n v="2"/>
    <n v="7700"/>
    <n v="399"/>
    <n v="69"/>
    <n v="0.47246376811594204"/>
    <n v="2"/>
    <s v="QB1"/>
    <n v="2"/>
    <s v="QBA"/>
    <s v="16% (+/-2%)"/>
    <d v="2024-11-01T00:00:00"/>
    <m/>
    <m/>
    <m/>
    <m/>
    <n v="0"/>
    <n v="0"/>
    <n v="0"/>
    <n v="0"/>
  </r>
  <r>
    <n v="59.6"/>
    <s v="Parallel"/>
    <s v="Straight"/>
    <x v="1"/>
    <n v="10.8"/>
    <n v="10800"/>
    <n v="299"/>
    <n v="101.6"/>
    <n v="1.472463768115942"/>
    <n v="2"/>
    <n v="11100"/>
    <n v="399"/>
    <n v="69"/>
    <n v="0.47246376811594204"/>
    <n v="2"/>
    <s v="QB1"/>
    <n v="2"/>
    <s v="QBA"/>
    <s v="16% (+/-2%)"/>
    <d v="2024-11-01T00:00:00"/>
    <m/>
    <m/>
    <m/>
    <m/>
    <n v="0"/>
    <n v="0"/>
    <n v="0"/>
    <n v="0"/>
  </r>
  <r>
    <n v="59.7"/>
    <s v="Parallel"/>
    <s v="Slight curve"/>
    <x v="1"/>
    <n v="7.4"/>
    <n v="7400"/>
    <n v="299"/>
    <n v="101.6"/>
    <n v="1.472463768115942"/>
    <n v="2"/>
    <n v="7700"/>
    <n v="399"/>
    <n v="69"/>
    <n v="0.47246376811594204"/>
    <n v="2"/>
    <s v="QB1"/>
    <n v="2"/>
    <s v="QBA"/>
    <s v="16% (+/-2%)"/>
    <d v="2024-11-01T00:00:00"/>
    <m/>
    <m/>
    <m/>
    <m/>
    <n v="0"/>
    <n v="0"/>
    <n v="0"/>
    <n v="0"/>
  </r>
  <r>
    <n v="59.8"/>
    <s v="Parallel"/>
    <s v="Slight curve"/>
    <x v="1"/>
    <n v="7.4"/>
    <n v="7400"/>
    <n v="299"/>
    <n v="101.6"/>
    <n v="1.472463768115942"/>
    <n v="2"/>
    <n v="7700"/>
    <n v="399"/>
    <n v="69"/>
    <n v="0.47246376811594204"/>
    <n v="2"/>
    <s v="QB1"/>
    <n v="2"/>
    <s v="QBA"/>
    <s v="16% (+/-2%)"/>
    <d v="2024-11-01T00:00:00"/>
    <m/>
    <m/>
    <m/>
    <m/>
    <n v="0"/>
    <n v="0"/>
    <n v="0"/>
    <n v="0"/>
  </r>
  <r>
    <n v="60.4"/>
    <s v="Parallel"/>
    <s v="Straight"/>
    <x v="1"/>
    <n v="7.4"/>
    <n v="7400"/>
    <n v="299"/>
    <n v="101.6"/>
    <n v="1.472463768115942"/>
    <n v="2"/>
    <n v="7700"/>
    <n v="399"/>
    <n v="69"/>
    <n v="0.47246376811594204"/>
    <n v="2"/>
    <s v="QB1"/>
    <n v="2"/>
    <s v="QBA"/>
    <s v="16% (+/-2%)"/>
    <d v="2024-11-01T00:00:00"/>
    <m/>
    <m/>
    <m/>
    <m/>
    <n v="0"/>
    <n v="0"/>
    <n v="0"/>
    <n v="0"/>
  </r>
  <r>
    <n v="60.5"/>
    <s v="Parallel"/>
    <s v="Straight"/>
    <x v="1"/>
    <n v="9"/>
    <n v="9000"/>
    <n v="299"/>
    <n v="101.6"/>
    <n v="1.472463768115942"/>
    <n v="2"/>
    <n v="9300"/>
    <n v="399"/>
    <n v="69"/>
    <n v="0.47246376811594204"/>
    <n v="2"/>
    <s v="QB1"/>
    <n v="2"/>
    <s v="QBA"/>
    <s v="16% (+/-2%)"/>
    <d v="2024-11-01T00:00:00"/>
    <m/>
    <m/>
    <m/>
    <m/>
    <n v="0"/>
    <n v="0"/>
    <n v="0"/>
    <n v="0"/>
  </r>
  <r>
    <n v="60.6"/>
    <s v="Parallel"/>
    <s v="Straight"/>
    <x v="1"/>
    <n v="9"/>
    <n v="9000"/>
    <n v="299"/>
    <n v="101.6"/>
    <n v="1.472463768115942"/>
    <n v="2"/>
    <n v="9300"/>
    <n v="399"/>
    <n v="69"/>
    <n v="0.47246376811594204"/>
    <n v="2"/>
    <s v="QB1"/>
    <n v="2"/>
    <s v="QBA"/>
    <s v="16% (+/-2%)"/>
    <d v="2024-11-01T00:00:00"/>
    <m/>
    <m/>
    <m/>
    <m/>
    <n v="0"/>
    <n v="0"/>
    <n v="0"/>
    <n v="0"/>
  </r>
  <r>
    <n v="60.7"/>
    <s v="Parallel"/>
    <s v="Slight curve"/>
    <x v="1"/>
    <n v="7.4"/>
    <n v="7400"/>
    <n v="299"/>
    <n v="101.6"/>
    <n v="1.472463768115942"/>
    <n v="2"/>
    <n v="7700"/>
    <n v="399"/>
    <n v="69"/>
    <n v="0.47246376811594204"/>
    <n v="2"/>
    <s v="QB1"/>
    <n v="2"/>
    <s v="QBA"/>
    <s v="16% (+/-2%)"/>
    <d v="2024-11-01T00:00:00"/>
    <m/>
    <m/>
    <m/>
    <m/>
    <n v="0"/>
    <n v="0"/>
    <n v="0"/>
    <n v="0"/>
  </r>
  <r>
    <s v="M6"/>
    <m/>
    <m/>
    <x v="2"/>
    <m/>
    <m/>
    <m/>
    <m/>
    <m/>
    <m/>
    <m/>
    <m/>
    <m/>
    <m/>
    <n v="62"/>
    <m/>
    <n v="62"/>
    <m/>
    <m/>
    <m/>
    <m/>
    <m/>
    <m/>
    <m/>
    <m/>
    <n v="0"/>
    <m/>
    <n v="0"/>
  </r>
  <r>
    <n v="61.3"/>
    <s v="Parallel"/>
    <s v="Slight curve. Works up to UD GP no.'s 3 &amp; 4"/>
    <x v="1"/>
    <n v="7.3"/>
    <n v="7300"/>
    <n v="422"/>
    <n v="76.2"/>
    <n v="1.1043478260869566"/>
    <n v="2"/>
    <n v="7600"/>
    <n v="522"/>
    <n v="69"/>
    <n v="0.10434782608695659"/>
    <n v="2"/>
    <s v="QB1"/>
    <n v="2"/>
    <s v="QBA"/>
    <s v="16% (+/-2%)"/>
    <d v="2025-03-01T00:00:00"/>
    <m/>
    <m/>
    <m/>
    <m/>
    <n v="0"/>
    <n v="0"/>
    <n v="0"/>
    <n v="0"/>
  </r>
  <r>
    <n v="61.4"/>
    <s v="Parallel"/>
    <s v="Straight"/>
    <x v="1"/>
    <n v="10.6"/>
    <n v="10600"/>
    <n v="267"/>
    <n v="76.2"/>
    <n v="1.1043478260869566"/>
    <n v="2"/>
    <n v="10900"/>
    <n v="367"/>
    <n v="69"/>
    <n v="0.10434782608695659"/>
    <n v="2"/>
    <s v="QB1"/>
    <n v="2"/>
    <s v="QBA"/>
    <s v="16% (+/-2%)"/>
    <d v="2025-03-01T00:00:00"/>
    <m/>
    <m/>
    <m/>
    <m/>
    <n v="0"/>
    <n v="0"/>
    <n v="0"/>
    <n v="0"/>
  </r>
  <r>
    <n v="61.5"/>
    <s v="Parallel"/>
    <s v="Straight"/>
    <x v="1"/>
    <n v="7.3"/>
    <n v="7300"/>
    <n v="267"/>
    <n v="76.2"/>
    <n v="1.1043478260869566"/>
    <n v="2"/>
    <n v="7600"/>
    <n v="367"/>
    <n v="69"/>
    <n v="0.10434782608695659"/>
    <n v="2"/>
    <s v="QB1"/>
    <n v="2"/>
    <s v="QBA"/>
    <s v="16% (+/-2%)"/>
    <d v="2025-03-01T00:00:00"/>
    <m/>
    <m/>
    <m/>
    <m/>
    <n v="0"/>
    <n v="0"/>
    <n v="0"/>
    <n v="0"/>
  </r>
  <r>
    <n v="61.6"/>
    <s v="Parallel"/>
    <s v="Straight"/>
    <x v="1"/>
    <n v="7.4"/>
    <n v="7400"/>
    <n v="267"/>
    <n v="76.2"/>
    <n v="1.1043478260869566"/>
    <n v="2"/>
    <n v="7700"/>
    <n v="367"/>
    <n v="69"/>
    <n v="0.10434782608695659"/>
    <n v="2"/>
    <s v="QB1"/>
    <n v="2"/>
    <s v="QBA"/>
    <s v="16% (+/-2%)"/>
    <d v="2025-03-01T00:00:00"/>
    <m/>
    <m/>
    <m/>
    <m/>
    <n v="0"/>
    <n v="0"/>
    <n v="0"/>
    <n v="0"/>
  </r>
  <r>
    <n v="61.7"/>
    <s v="Parallel"/>
    <s v="Slight curve. Works up to UD GP no.'s 10 &amp; 11"/>
    <x v="3"/>
    <n v="4.3"/>
    <n v="4300"/>
    <n v="341"/>
    <n v="76.2"/>
    <n v="1.1043478260869566"/>
    <n v="2"/>
    <n v="4600"/>
    <n v="441"/>
    <n v="69"/>
    <n v="0.10434782608695659"/>
    <n v="2"/>
    <s v="QF1A / QF1B"/>
    <n v="2"/>
    <s v="QFA"/>
    <s v="16% (+/-2%)"/>
    <d v="2025-03-01T00:00:00"/>
    <m/>
    <m/>
    <m/>
    <m/>
    <n v="0"/>
    <n v="0"/>
    <n v="0"/>
    <n v="0"/>
  </r>
  <r>
    <n v="62.5"/>
    <s v="Parallel"/>
    <s v="Straight"/>
    <x v="1"/>
    <n v="8.4"/>
    <n v="8400"/>
    <n v="267"/>
    <n v="76.2"/>
    <n v="1.1043478260869566"/>
    <n v="2"/>
    <n v="8700"/>
    <n v="367"/>
    <n v="69"/>
    <n v="0.10434782608695659"/>
    <n v="2"/>
    <s v="QB1"/>
    <n v="2"/>
    <s v="QBA"/>
    <s v="16% (+/-2%)"/>
    <d v="2025-03-01T00:00:00"/>
    <m/>
    <m/>
    <m/>
    <m/>
    <n v="0"/>
    <n v="0"/>
    <n v="0"/>
    <n v="0"/>
  </r>
  <r>
    <n v="62.6"/>
    <s v="Parallel"/>
    <s v="Straight"/>
    <x v="1"/>
    <n v="7"/>
    <n v="7000"/>
    <n v="267"/>
    <n v="76.2"/>
    <n v="1.1043478260869566"/>
    <n v="2"/>
    <n v="7300"/>
    <n v="367"/>
    <n v="69"/>
    <n v="0.10434782608695659"/>
    <n v="2"/>
    <s v="QB1"/>
    <n v="2"/>
    <s v="QBA"/>
    <s v="16% (+/-2%)"/>
    <d v="2025-03-01T00:00:00"/>
    <m/>
    <m/>
    <m/>
    <m/>
    <n v="0"/>
    <n v="0"/>
    <n v="0"/>
    <n v="0"/>
  </r>
  <r>
    <n v="62.7"/>
    <s v="Parallel"/>
    <s v="Straight"/>
    <x v="3"/>
    <n v="4.8"/>
    <n v="4800"/>
    <n v="267"/>
    <n v="76.2"/>
    <n v="1.1043478260869566"/>
    <n v="2"/>
    <n v="5100"/>
    <n v="367"/>
    <n v="69"/>
    <n v="0.10434782608695659"/>
    <n v="2"/>
    <s v="QF1A / QF1B"/>
    <n v="2"/>
    <s v="QFA"/>
    <s v="16% (+/-2%)"/>
    <d v="2025-03-01T00:00:00"/>
    <m/>
    <m/>
    <m/>
    <m/>
    <n v="0"/>
    <n v="0"/>
    <n v="0"/>
    <n v="0"/>
  </r>
  <r>
    <n v="62.8"/>
    <s v="Parallel"/>
    <s v="Straight"/>
    <x v="3"/>
    <n v="2.5"/>
    <n v="2500"/>
    <n v="267"/>
    <n v="76.2"/>
    <n v="1.1043478260869566"/>
    <n v="2"/>
    <n v="2800"/>
    <n v="367"/>
    <n v="69"/>
    <n v="0.10434782608695659"/>
    <n v="2"/>
    <s v="QF1A / QF1B"/>
    <n v="2"/>
    <s v="QFA"/>
    <s v="16% (+/-2%)"/>
    <d v="2025-03-01T00:00:00"/>
    <m/>
    <m/>
    <m/>
    <m/>
    <n v="0"/>
    <n v="0"/>
    <n v="0"/>
    <n v="0"/>
  </r>
  <r>
    <n v="62.9"/>
    <s v="Parallel"/>
    <s v="Straight"/>
    <x v="3"/>
    <n v="2.6"/>
    <n v="2600"/>
    <n v="267"/>
    <n v="76.2"/>
    <n v="1.1043478260869566"/>
    <n v="2"/>
    <n v="2900"/>
    <n v="367"/>
    <n v="69"/>
    <n v="0.10434782608695659"/>
    <n v="2"/>
    <s v="QF1A / QF1B"/>
    <n v="2"/>
    <s v="QFA"/>
    <s v="16% (+/-2%)"/>
    <d v="2025-03-01T00:00:00"/>
    <m/>
    <m/>
    <m/>
    <m/>
    <n v="0"/>
    <n v="0"/>
    <n v="0"/>
    <n v="0"/>
  </r>
  <r>
    <n v="62.1"/>
    <s v="Parallel"/>
    <s v="Slight curve"/>
    <x v="3"/>
    <n v="2.7"/>
    <n v="2700"/>
    <n v="267"/>
    <n v="76.2"/>
    <n v="1.1043478260869566"/>
    <n v="2"/>
    <n v="3000"/>
    <n v="367"/>
    <n v="69"/>
    <n v="0.10434782608695659"/>
    <n v="2"/>
    <s v="QF1A / QF1B"/>
    <n v="2"/>
    <s v="QFA"/>
    <s v="16% (+/-2%)"/>
    <d v="2025-03-01T00:00:00"/>
    <m/>
    <m/>
    <m/>
    <m/>
    <n v="0"/>
    <n v="0"/>
    <n v="0"/>
    <n v="0"/>
  </r>
  <r>
    <n v="63.5"/>
    <s v="Parallel"/>
    <s v="Straight"/>
    <x v="3"/>
    <n v="2.6"/>
    <n v="2600"/>
    <n v="267"/>
    <n v="76.2"/>
    <n v="1.1043478260869566"/>
    <n v="2"/>
    <n v="2900"/>
    <n v="367"/>
    <n v="69"/>
    <n v="0.10434782608695659"/>
    <n v="2"/>
    <s v="QF1A / QF1B"/>
    <n v="2"/>
    <s v="QFA"/>
    <s v="16% (+/-2%)"/>
    <d v="2025-03-01T00:00:00"/>
    <m/>
    <m/>
    <m/>
    <m/>
    <n v="0"/>
    <n v="0"/>
    <n v="0"/>
    <n v="0"/>
  </r>
  <r>
    <n v="63.6"/>
    <s v="Parallel"/>
    <s v="Straight"/>
    <x v="3"/>
    <n v="2.6"/>
    <n v="2600"/>
    <n v="267"/>
    <n v="76.2"/>
    <n v="1.1043478260869566"/>
    <n v="2"/>
    <n v="2900"/>
    <n v="367"/>
    <n v="69"/>
    <n v="0.10434782608695659"/>
    <n v="2"/>
    <s v="QF1A / QF1B"/>
    <n v="2"/>
    <s v="QFA"/>
    <s v="16% (+/-2%)"/>
    <d v="2025-03-01T00:00:00"/>
    <m/>
    <m/>
    <m/>
    <m/>
    <n v="0"/>
    <n v="0"/>
    <n v="0"/>
    <n v="0"/>
  </r>
  <r>
    <n v="63.7"/>
    <s v="Parallel"/>
    <s v="Straight"/>
    <x v="3"/>
    <n v="2.6"/>
    <n v="2600"/>
    <n v="267"/>
    <n v="76.2"/>
    <n v="1.1043478260869566"/>
    <n v="2"/>
    <n v="2900"/>
    <n v="367"/>
    <n v="69"/>
    <n v="0.10434782608695659"/>
    <n v="2"/>
    <s v="QF1A / QF1B"/>
    <n v="2"/>
    <s v="QFA"/>
    <s v="16% (+/-2%)"/>
    <d v="2025-03-01T00:00:00"/>
    <m/>
    <m/>
    <m/>
    <m/>
    <n v="0"/>
    <n v="0"/>
    <n v="0"/>
    <n v="0"/>
  </r>
  <r>
    <n v="63.8"/>
    <s v="Parallel"/>
    <s v="Straight"/>
    <x v="3"/>
    <n v="2.6"/>
    <n v="2600"/>
    <n v="267"/>
    <n v="76.2"/>
    <n v="1.1043478260869566"/>
    <n v="2"/>
    <n v="2900"/>
    <n v="367"/>
    <n v="69"/>
    <n v="0.10434782608695659"/>
    <n v="2"/>
    <s v="QF1A / QF1B"/>
    <n v="2"/>
    <s v="QFA"/>
    <s v="16% (+/-2%)"/>
    <d v="2025-03-01T00:00:00"/>
    <m/>
    <m/>
    <m/>
    <m/>
    <n v="0"/>
    <n v="0"/>
    <n v="0"/>
    <n v="0"/>
  </r>
  <r>
    <n v="63.9"/>
    <s v="Parallel"/>
    <s v="Straight"/>
    <x v="3"/>
    <n v="2.9"/>
    <n v="2900"/>
    <n v="267"/>
    <n v="76.2"/>
    <n v="1.1043478260869566"/>
    <n v="2"/>
    <n v="3200"/>
    <n v="367"/>
    <n v="69"/>
    <n v="0.10434782608695659"/>
    <n v="2"/>
    <s v="QF1A / QF1B"/>
    <n v="2"/>
    <s v="QFA"/>
    <s v="16% (+/-2%)"/>
    <d v="2025-03-01T00:00:00"/>
    <m/>
    <m/>
    <m/>
    <m/>
    <n v="0"/>
    <n v="0"/>
    <n v="0"/>
    <n v="0"/>
  </r>
  <r>
    <n v="63.1"/>
    <s v="Parallel"/>
    <s v="Straight"/>
    <x v="3"/>
    <n v="2.6"/>
    <n v="2600"/>
    <n v="267"/>
    <n v="76.2"/>
    <n v="1.1043478260869566"/>
    <n v="2"/>
    <n v="2900"/>
    <n v="367"/>
    <n v="69"/>
    <n v="0.10434782608695659"/>
    <n v="2"/>
    <s v="QF1A / QF1B"/>
    <n v="2"/>
    <s v="QFA"/>
    <s v="16% (+/-2%)"/>
    <d v="2025-03-01T00:00:00"/>
    <m/>
    <m/>
    <m/>
    <m/>
    <n v="0"/>
    <n v="0"/>
    <n v="0"/>
    <n v="0"/>
  </r>
  <r>
    <n v="63.11"/>
    <s v="Parallel"/>
    <s v="Straight"/>
    <x v="3"/>
    <n v="2.5"/>
    <n v="2500"/>
    <n v="267"/>
    <n v="76.2"/>
    <n v="1.1043478260869566"/>
    <n v="2"/>
    <n v="2800"/>
    <n v="367"/>
    <n v="69"/>
    <n v="0.10434782608695659"/>
    <n v="2"/>
    <s v="QF1A / QF1B"/>
    <n v="2"/>
    <s v="QFA"/>
    <s v="16% (+/-2%)"/>
    <d v="2025-03-01T00:00:00"/>
    <m/>
    <m/>
    <m/>
    <m/>
    <n v="0"/>
    <n v="0"/>
    <n v="0"/>
    <n v="0"/>
  </r>
  <r>
    <n v="63.12"/>
    <s v="Parallel"/>
    <s v="Slight curve"/>
    <x v="3"/>
    <n v="2.6"/>
    <n v="2600"/>
    <n v="267"/>
    <n v="76.2"/>
    <n v="1.1043478260869566"/>
    <n v="2"/>
    <n v="2900"/>
    <n v="367"/>
    <n v="69"/>
    <n v="0.10434782608695659"/>
    <n v="2"/>
    <s v="QF1A / QF1B"/>
    <n v="2"/>
    <s v="QFA"/>
    <s v="16% (+/-2%)"/>
    <d v="2025-03-01T00:00:00"/>
    <m/>
    <m/>
    <m/>
    <m/>
    <n v="0"/>
    <n v="0"/>
    <n v="0"/>
    <n v="0"/>
  </r>
  <r>
    <n v="63.13"/>
    <s v="Parallel"/>
    <s v="Slight curve"/>
    <x v="3"/>
    <n v="2.7"/>
    <n v="2700"/>
    <n v="267"/>
    <n v="76.2"/>
    <n v="1.1043478260869566"/>
    <n v="2"/>
    <n v="3000"/>
    <n v="367"/>
    <n v="69"/>
    <n v="0.10434782608695659"/>
    <n v="2"/>
    <s v="QF1A / QF1B"/>
    <n v="2"/>
    <s v="QFA"/>
    <s v="16% (+/-2%)"/>
    <d v="2025-03-01T00:00:00"/>
    <m/>
    <m/>
    <m/>
    <m/>
    <n v="0"/>
    <n v="0"/>
    <n v="0"/>
    <n v="0"/>
  </r>
  <r>
    <n v="64.3"/>
    <s v="Parallel"/>
    <s v="Straight"/>
    <x v="3"/>
    <n v="2.6"/>
    <n v="2600"/>
    <n v="267"/>
    <n v="76.2"/>
    <n v="1.1043478260869566"/>
    <n v="2"/>
    <n v="2900"/>
    <n v="367"/>
    <n v="69"/>
    <n v="0.10434782608695659"/>
    <n v="2"/>
    <s v="QF1A / QF1B"/>
    <n v="2"/>
    <s v="QFA"/>
    <s v="16% (+/-2%)"/>
    <d v="2025-03-01T00:00:00"/>
    <m/>
    <m/>
    <m/>
    <m/>
    <n v="0"/>
    <n v="0"/>
    <n v="0"/>
    <n v="0"/>
  </r>
  <r>
    <n v="64.400000000000006"/>
    <s v="Parallel"/>
    <s v="Straight"/>
    <x v="3"/>
    <n v="2.6"/>
    <n v="2600"/>
    <n v="267"/>
    <n v="76.2"/>
    <n v="1.1043478260869566"/>
    <n v="2"/>
    <n v="2900"/>
    <n v="367"/>
    <n v="69"/>
    <n v="0.10434782608695659"/>
    <n v="2"/>
    <s v="QF1A / QF1B"/>
    <n v="2"/>
    <s v="QFA"/>
    <s v="16% (+/-2%)"/>
    <d v="2025-03-01T00:00:00"/>
    <m/>
    <m/>
    <m/>
    <m/>
    <n v="0"/>
    <n v="0"/>
    <n v="0"/>
    <n v="0"/>
  </r>
  <r>
    <n v="64.5"/>
    <s v="Parallel"/>
    <s v="Straight"/>
    <x v="3"/>
    <n v="2.6"/>
    <n v="2600"/>
    <n v="267"/>
    <n v="76.2"/>
    <n v="1.1043478260869566"/>
    <n v="2"/>
    <n v="2900"/>
    <n v="367"/>
    <n v="69"/>
    <n v="0.10434782608695659"/>
    <n v="2"/>
    <s v="QF1A / QF1B"/>
    <n v="2"/>
    <s v="QFA"/>
    <s v="16% (+/-2%)"/>
    <d v="2025-03-01T00:00:00"/>
    <m/>
    <m/>
    <m/>
    <m/>
    <n v="0"/>
    <n v="0"/>
    <n v="0"/>
    <n v="0"/>
  </r>
  <r>
    <n v="64.599999999999994"/>
    <s v="Parallel"/>
    <s v="Straight"/>
    <x v="3"/>
    <n v="2.6"/>
    <n v="2600"/>
    <n v="267"/>
    <n v="76.2"/>
    <n v="1.1043478260869566"/>
    <n v="2"/>
    <n v="2900"/>
    <n v="367"/>
    <n v="69"/>
    <n v="0.10434782608695659"/>
    <n v="2"/>
    <s v="QF1A / QF1B"/>
    <n v="2"/>
    <s v="QFA"/>
    <s v="16% (+/-2%)"/>
    <d v="2025-03-01T00:00:00"/>
    <m/>
    <m/>
    <m/>
    <m/>
    <n v="0"/>
    <n v="0"/>
    <n v="0"/>
    <n v="0"/>
  </r>
  <r>
    <n v="64.7"/>
    <s v="Parallel"/>
    <s v="Straight"/>
    <x v="3"/>
    <n v="2.6"/>
    <n v="2600"/>
    <n v="267"/>
    <n v="76.2"/>
    <n v="1.1043478260869566"/>
    <n v="2"/>
    <n v="2900"/>
    <n v="367"/>
    <n v="69"/>
    <n v="0.10434782608695659"/>
    <n v="2"/>
    <s v="QF1A / QF1B"/>
    <n v="2"/>
    <s v="QFA"/>
    <s v="16% (+/-2%)"/>
    <d v="2025-03-01T00:00:00"/>
    <m/>
    <m/>
    <m/>
    <m/>
    <n v="0"/>
    <n v="0"/>
    <n v="0"/>
    <n v="0"/>
  </r>
  <r>
    <n v="64.8"/>
    <s v="Parallel"/>
    <s v="Straight"/>
    <x v="3"/>
    <n v="2.9"/>
    <n v="2900"/>
    <n v="267"/>
    <n v="76.2"/>
    <n v="1.1043478260869566"/>
    <n v="2"/>
    <n v="3200"/>
    <n v="367"/>
    <n v="69"/>
    <n v="0.10434782608695659"/>
    <n v="2"/>
    <s v="QF1A / QF1B"/>
    <n v="2"/>
    <s v="QFA"/>
    <s v="16% (+/-2%)"/>
    <d v="2025-03-01T00:00:00"/>
    <m/>
    <m/>
    <m/>
    <m/>
    <n v="0"/>
    <n v="0"/>
    <n v="0"/>
    <n v="0"/>
  </r>
  <r>
    <n v="64.900000000000006"/>
    <s v="Parallel"/>
    <s v="Straight"/>
    <x v="3"/>
    <n v="2.6"/>
    <n v="2600"/>
    <n v="267"/>
    <n v="76.2"/>
    <n v="1.1043478260869566"/>
    <n v="2"/>
    <n v="2900"/>
    <n v="367"/>
    <n v="69"/>
    <n v="0.10434782608695659"/>
    <n v="2"/>
    <s v="QF1A / QF1B"/>
    <n v="2"/>
    <s v="QFA"/>
    <s v="16% (+/-2%)"/>
    <d v="2025-03-01T00:00:00"/>
    <m/>
    <m/>
    <m/>
    <m/>
    <n v="0"/>
    <n v="0"/>
    <n v="0"/>
    <n v="0"/>
  </r>
  <r>
    <n v="64.099999999999994"/>
    <s v="Parallel"/>
    <s v="Straight"/>
    <x v="3"/>
    <n v="2.5"/>
    <n v="2500"/>
    <n v="267"/>
    <n v="76.2"/>
    <n v="1.1043478260869566"/>
    <n v="2"/>
    <n v="2800"/>
    <n v="367"/>
    <n v="69"/>
    <n v="0.10434782608695659"/>
    <n v="2"/>
    <s v="QF1A / QF1B"/>
    <n v="2"/>
    <s v="QFA"/>
    <s v="16% (+/-2%)"/>
    <d v="2025-03-01T00:00:00"/>
    <m/>
    <m/>
    <m/>
    <m/>
    <n v="0"/>
    <n v="0"/>
    <n v="0"/>
    <n v="0"/>
  </r>
  <r>
    <n v="64.11"/>
    <s v="Parallel"/>
    <s v="Slight curve"/>
    <x v="3"/>
    <n v="2.6"/>
    <n v="2600"/>
    <n v="267"/>
    <n v="76.2"/>
    <n v="1.1043478260869566"/>
    <n v="2"/>
    <n v="2900"/>
    <n v="367"/>
    <n v="69"/>
    <n v="0.10434782608695659"/>
    <n v="2"/>
    <s v="QF1A / QF1B"/>
    <n v="2"/>
    <s v="QFA"/>
    <s v="16% (+/-2%)"/>
    <d v="2025-03-01T00:00:00"/>
    <m/>
    <m/>
    <m/>
    <m/>
    <n v="0"/>
    <n v="0"/>
    <n v="0"/>
    <n v="0"/>
  </r>
  <r>
    <n v="64.12"/>
    <s v="Parallel"/>
    <s v="Slight curve"/>
    <x v="3"/>
    <n v="4.3"/>
    <n v="4300"/>
    <n v="267"/>
    <n v="76.2"/>
    <n v="1.1043478260869566"/>
    <n v="2"/>
    <n v="4600"/>
    <n v="367"/>
    <n v="69"/>
    <n v="0.10434782608695659"/>
    <n v="2"/>
    <s v="QF1A / QF1B"/>
    <n v="2"/>
    <s v="QFA"/>
    <s v="16% (+/-2%)"/>
    <d v="2025-03-01T00:00:00"/>
    <m/>
    <m/>
    <m/>
    <m/>
    <n v="0"/>
    <n v="0"/>
    <n v="0"/>
    <n v="0"/>
  </r>
  <r>
    <s v="M7"/>
    <m/>
    <m/>
    <x v="2"/>
    <m/>
    <m/>
    <m/>
    <m/>
    <m/>
    <m/>
    <m/>
    <m/>
    <m/>
    <m/>
    <n v="60"/>
    <m/>
    <n v="60"/>
    <m/>
    <m/>
    <m/>
    <m/>
    <m/>
    <m/>
    <m/>
    <m/>
    <n v="0"/>
    <m/>
    <n v="0"/>
  </r>
  <r>
    <n v="65.400000000000006"/>
    <s v="Parallel"/>
    <s v="Straight"/>
    <x v="3"/>
    <n v="2.6"/>
    <n v="2600"/>
    <n v="267"/>
    <n v="76.2"/>
    <n v="1.1043478260869566"/>
    <n v="2"/>
    <n v="2900"/>
    <n v="367"/>
    <n v="69"/>
    <n v="0.10434782608695659"/>
    <n v="2"/>
    <s v="QF1A / QF1B"/>
    <n v="2"/>
    <s v="QFA"/>
    <s v="16% (+/-2%)"/>
    <d v="2025-07-01T00:00:00"/>
    <m/>
    <m/>
    <m/>
    <m/>
    <n v="0"/>
    <n v="0"/>
    <n v="0"/>
    <n v="0"/>
  </r>
  <r>
    <n v="65.5"/>
    <s v="Parallel"/>
    <s v="Straight"/>
    <x v="3"/>
    <n v="2.6"/>
    <n v="2600"/>
    <n v="267"/>
    <n v="76.2"/>
    <n v="1.1043478260869566"/>
    <n v="2"/>
    <n v="2900"/>
    <n v="367"/>
    <n v="69"/>
    <n v="0.10434782608695659"/>
    <n v="2"/>
    <s v="QF1A / QF1B"/>
    <n v="2"/>
    <s v="QFA"/>
    <s v="16% (+/-2%)"/>
    <d v="2025-07-01T00:00:00"/>
    <m/>
    <m/>
    <m/>
    <m/>
    <n v="0"/>
    <n v="0"/>
    <n v="0"/>
    <n v="0"/>
  </r>
  <r>
    <n v="65.599999999999994"/>
    <s v="Parallel"/>
    <s v="Straight"/>
    <x v="3"/>
    <n v="2.6"/>
    <n v="2600"/>
    <n v="267"/>
    <n v="76.2"/>
    <n v="1.1043478260869566"/>
    <n v="2"/>
    <n v="2900"/>
    <n v="367"/>
    <n v="69"/>
    <n v="0.10434782608695659"/>
    <n v="2"/>
    <s v="QF1A / QF1B"/>
    <n v="2"/>
    <s v="QFA"/>
    <s v="16% (+/-2%)"/>
    <d v="2025-07-01T00:00:00"/>
    <m/>
    <m/>
    <m/>
    <m/>
    <n v="0"/>
    <n v="0"/>
    <n v="0"/>
    <n v="0"/>
  </r>
  <r>
    <n v="65.7"/>
    <s v="Parallel"/>
    <s v="Straight"/>
    <x v="3"/>
    <n v="2.6"/>
    <n v="2600"/>
    <n v="267"/>
    <n v="76.2"/>
    <n v="1.1043478260869566"/>
    <n v="2"/>
    <n v="2900"/>
    <n v="367"/>
    <n v="69"/>
    <n v="0.10434782608695659"/>
    <n v="2"/>
    <s v="QF1A / QF1B"/>
    <n v="2"/>
    <s v="QFA"/>
    <s v="16% (+/-2%)"/>
    <d v="2025-07-01T00:00:00"/>
    <m/>
    <m/>
    <m/>
    <m/>
    <n v="0"/>
    <n v="0"/>
    <n v="0"/>
    <n v="0"/>
  </r>
  <r>
    <n v="65.8"/>
    <s v="Parallel"/>
    <s v="Straight"/>
    <x v="3"/>
    <n v="2.9"/>
    <n v="2900"/>
    <n v="267"/>
    <n v="76.2"/>
    <n v="1.1043478260869566"/>
    <n v="2"/>
    <n v="3200"/>
    <n v="367"/>
    <n v="69"/>
    <n v="0.10434782608695659"/>
    <n v="2"/>
    <s v="QF1A / QF1B"/>
    <n v="2"/>
    <s v="QFA"/>
    <s v="16% (+/-2%)"/>
    <d v="2025-07-01T00:00:00"/>
    <m/>
    <m/>
    <m/>
    <m/>
    <n v="0"/>
    <n v="0"/>
    <n v="0"/>
    <n v="0"/>
  </r>
  <r>
    <n v="65.900000000000006"/>
    <s v="Parallel"/>
    <s v="Straight"/>
    <x v="3"/>
    <n v="2.6"/>
    <n v="2600"/>
    <n v="267"/>
    <n v="76.2"/>
    <n v="1.1043478260869566"/>
    <n v="2"/>
    <n v="2900"/>
    <n v="367"/>
    <n v="69"/>
    <n v="0.10434782608695659"/>
    <n v="2"/>
    <s v="QF1A / QF1B"/>
    <n v="2"/>
    <s v="QFA"/>
    <s v="16% (+/-2%)"/>
    <d v="2025-07-01T00:00:00"/>
    <m/>
    <m/>
    <m/>
    <m/>
    <n v="0"/>
    <n v="0"/>
    <n v="0"/>
    <n v="0"/>
  </r>
  <r>
    <n v="65.099999999999994"/>
    <s v="Parallel"/>
    <s v="Slight curve"/>
    <x v="1"/>
    <n v="7.1"/>
    <n v="7100"/>
    <n v="267"/>
    <n v="76.2"/>
    <n v="1.1043478260869566"/>
    <n v="2"/>
    <n v="7400"/>
    <n v="367"/>
    <n v="69"/>
    <n v="0.10434782608695659"/>
    <n v="2"/>
    <s v="QB1"/>
    <n v="2"/>
    <s v="QBA"/>
    <s v="16% (+/-2%)"/>
    <d v="2025-07-01T00:00:00"/>
    <m/>
    <m/>
    <m/>
    <m/>
    <n v="0"/>
    <n v="0"/>
    <n v="0"/>
    <n v="0"/>
  </r>
  <r>
    <n v="65.11"/>
    <s v="Parallel"/>
    <s v="Slight curve"/>
    <x v="1"/>
    <n v="7.4"/>
    <n v="7400"/>
    <n v="267"/>
    <n v="76.2"/>
    <n v="1.1043478260869566"/>
    <n v="2"/>
    <n v="7700"/>
    <n v="367"/>
    <n v="69"/>
    <n v="0.10434782608695659"/>
    <n v="2"/>
    <s v="QB1"/>
    <n v="2"/>
    <s v="QBA"/>
    <s v="16% (+/-2%)"/>
    <d v="2025-07-01T00:00:00"/>
    <m/>
    <m/>
    <m/>
    <m/>
    <n v="0"/>
    <n v="0"/>
    <n v="0"/>
    <n v="0"/>
  </r>
  <r>
    <n v="66.3"/>
    <s v="Parallel"/>
    <s v="Straight, scarf joint at aft end, works down to UD GP no. 4"/>
    <x v="1"/>
    <n v="7.4"/>
    <n v="7400"/>
    <n v="400"/>
    <n v="101.6"/>
    <n v="1.472463768115942"/>
    <n v="2"/>
    <n v="7700"/>
    <n v="500"/>
    <n v="69"/>
    <n v="0.47246376811594204"/>
    <n v="2"/>
    <s v="QB1"/>
    <n v="2"/>
    <s v="QBA"/>
    <s v="16% (+/-2%)"/>
    <d v="2025-07-01T00:00:00"/>
    <m/>
    <m/>
    <m/>
    <m/>
    <n v="0"/>
    <n v="0"/>
    <n v="0"/>
    <n v="0"/>
  </r>
  <r>
    <n v="66.400000000000006"/>
    <s v="Parallel"/>
    <s v="Straight, scarf joint at forward &amp; aft ends, works down to UD GP no. 7"/>
    <x v="1"/>
    <n v="8.1999999999999993"/>
    <n v="8200"/>
    <n v="370"/>
    <n v="101.6"/>
    <n v="1.472463768115942"/>
    <n v="2"/>
    <n v="8500"/>
    <n v="470"/>
    <n v="69"/>
    <n v="0.47246376811594204"/>
    <n v="2"/>
    <s v="QB1"/>
    <n v="2"/>
    <s v="QBA"/>
    <s v="16% (+/-2%)"/>
    <d v="2025-07-01T00:00:00"/>
    <m/>
    <m/>
    <m/>
    <m/>
    <n v="0"/>
    <n v="0"/>
    <n v="0"/>
    <n v="0"/>
  </r>
  <r>
    <n v="66.5"/>
    <s v="Parallel"/>
    <s v="Straight, scarf joint at forward  end, works down to UD GP no.'s 8, 9 &amp; 10"/>
    <x v="1"/>
    <n v="11.1"/>
    <n v="11100"/>
    <n v="475"/>
    <n v="101.6"/>
    <n v="1.472463768115942"/>
    <n v="2"/>
    <n v="11400"/>
    <n v="575"/>
    <n v="69"/>
    <n v="0.47246376811594204"/>
    <n v="2"/>
    <s v="QB1"/>
    <n v="2"/>
    <s v="QBA"/>
    <s v="16% (+/-2%)"/>
    <d v="2025-07-01T00:00:00"/>
    <m/>
    <m/>
    <m/>
    <m/>
    <n v="0"/>
    <n v="0"/>
    <n v="0"/>
    <n v="0"/>
  </r>
  <r>
    <n v="66.599999999999994"/>
    <s v="Parallel"/>
    <s v="Slight curve"/>
    <x v="1"/>
    <n v="8"/>
    <n v="8000"/>
    <n v="355"/>
    <n v="101.6"/>
    <n v="1.472463768115942"/>
    <n v="2"/>
    <n v="8300"/>
    <n v="455"/>
    <n v="69"/>
    <n v="0.47246376811594204"/>
    <n v="2"/>
    <s v="QB1"/>
    <n v="2"/>
    <s v="QBA"/>
    <s v="16% (+/-2%)"/>
    <d v="2025-07-01T00:00:00"/>
    <m/>
    <m/>
    <m/>
    <m/>
    <n v="0"/>
    <n v="0"/>
    <n v="0"/>
    <n v="0"/>
  </r>
  <r>
    <n v="67.2"/>
    <s v="Parallel"/>
    <s v="Slight curve"/>
    <x v="1"/>
    <n v="9.1999999999999993"/>
    <n v="9200"/>
    <n v="355"/>
    <n v="101.6"/>
    <n v="1.472463768115942"/>
    <n v="2"/>
    <n v="9500"/>
    <n v="455"/>
    <n v="69"/>
    <n v="0.47246376811594204"/>
    <n v="2"/>
    <s v="QB1"/>
    <n v="2"/>
    <s v="QBA"/>
    <s v="16% (+/-2%)"/>
    <d v="2025-07-01T00:00:00"/>
    <m/>
    <m/>
    <m/>
    <m/>
    <n v="0"/>
    <n v="0"/>
    <n v="0"/>
    <n v="0"/>
  </r>
  <r>
    <n v="67.3"/>
    <s v="Parallel"/>
    <s v="Straight"/>
    <x v="1"/>
    <n v="8.6999999999999993"/>
    <n v="8700"/>
    <n v="355"/>
    <n v="101.6"/>
    <n v="1.472463768115942"/>
    <n v="2"/>
    <n v="9000"/>
    <n v="455"/>
    <n v="69"/>
    <n v="0.47246376811594204"/>
    <n v="2"/>
    <s v="QB1"/>
    <n v="2"/>
    <s v="QBA"/>
    <s v="16% (+/-2%)"/>
    <d v="2025-07-01T00:00:00"/>
    <m/>
    <m/>
    <m/>
    <m/>
    <n v="0"/>
    <n v="0"/>
    <n v="0"/>
    <n v="0"/>
  </r>
  <r>
    <n v="67.400000000000006"/>
    <s v="Parallel"/>
    <s v="Straight"/>
    <x v="1"/>
    <n v="11.1"/>
    <n v="11100"/>
    <n v="355"/>
    <n v="101.6"/>
    <n v="1.472463768115942"/>
    <n v="2"/>
    <n v="11400"/>
    <n v="455"/>
    <n v="69"/>
    <n v="0.47246376811594204"/>
    <n v="2"/>
    <s v="QB1"/>
    <n v="2"/>
    <s v="QBA"/>
    <s v="16% (+/-2%)"/>
    <d v="2025-07-01T00:00:00"/>
    <m/>
    <m/>
    <m/>
    <m/>
    <n v="0"/>
    <n v="0"/>
    <n v="0"/>
    <n v="0"/>
  </r>
  <r>
    <n v="67.5"/>
    <s v="Parallel"/>
    <s v="Slight curve"/>
    <x v="1"/>
    <n v="8.5"/>
    <n v="8500"/>
    <n v="355"/>
    <n v="101.6"/>
    <n v="1.472463768115942"/>
    <n v="2"/>
    <n v="8800"/>
    <n v="455"/>
    <n v="69"/>
    <n v="0.47246376811594204"/>
    <n v="2"/>
    <s v="QB1"/>
    <n v="2"/>
    <s v="QBA"/>
    <s v="16% (+/-2%)"/>
    <d v="2025-07-01T00:00:00"/>
    <m/>
    <m/>
    <m/>
    <m/>
    <n v="0"/>
    <n v="0"/>
    <n v="0"/>
    <n v="0"/>
  </r>
  <r>
    <n v="67.599999999999994"/>
    <s v="Parallel"/>
    <s v="Slight curve"/>
    <x v="1"/>
    <n v="7.4"/>
    <n v="7400"/>
    <n v="355"/>
    <n v="101.6"/>
    <n v="1.472463768115942"/>
    <n v="2"/>
    <n v="7700"/>
    <n v="455"/>
    <n v="69"/>
    <n v="0.47246376811594204"/>
    <n v="2"/>
    <s v="QB1"/>
    <n v="2"/>
    <s v="QBA"/>
    <s v="16% (+/-2%)"/>
    <d v="2025-07-01T00:00:00"/>
    <m/>
    <m/>
    <m/>
    <m/>
    <n v="0"/>
    <n v="0"/>
    <n v="0"/>
    <n v="0"/>
  </r>
  <r>
    <n v="68.3"/>
    <s v="Parallel"/>
    <s v="Straight"/>
    <x v="3"/>
    <n v="3.5"/>
    <n v="3500"/>
    <n v="203.2"/>
    <n v="76.2"/>
    <n v="1.1043478260869566"/>
    <n v="2"/>
    <n v="3800"/>
    <n v="303.2"/>
    <n v="69"/>
    <n v="0.10434782608695659"/>
    <n v="2"/>
    <s v="QF1A / QF1B"/>
    <n v="2"/>
    <s v="QFA"/>
    <s v="16% (+/-2%)"/>
    <d v="2025-07-01T00:00:00"/>
    <m/>
    <m/>
    <m/>
    <m/>
    <n v="0"/>
    <n v="0"/>
    <n v="0"/>
    <n v="0"/>
  </r>
  <r>
    <n v="68.400000000000006"/>
    <s v="Parallel"/>
    <s v="Straight"/>
    <x v="3"/>
    <n v="2.2000000000000002"/>
    <n v="2200"/>
    <n v="285"/>
    <n v="76.2"/>
    <n v="1.1043478260869566"/>
    <n v="2"/>
    <n v="2500"/>
    <n v="385"/>
    <n v="69"/>
    <n v="0.10434782608695659"/>
    <n v="2"/>
    <s v="QF1A / QF1B"/>
    <n v="2"/>
    <s v="QFA"/>
    <s v="16% (+/-2%)"/>
    <d v="2025-07-01T00:00:00"/>
    <m/>
    <m/>
    <m/>
    <m/>
    <n v="0"/>
    <n v="0"/>
    <n v="0"/>
    <n v="0"/>
  </r>
  <r>
    <n v="68.5"/>
    <s v="Parallel"/>
    <s v="Slight curve"/>
    <x v="1"/>
    <n v="7.4"/>
    <n v="7400"/>
    <n v="285"/>
    <n v="76.2"/>
    <n v="1.1043478260869566"/>
    <n v="2"/>
    <n v="7700"/>
    <n v="385"/>
    <n v="69"/>
    <n v="0.10434782608695659"/>
    <n v="2"/>
    <s v="QB1"/>
    <n v="2"/>
    <s v="QBA"/>
    <s v="16% (+/-2%)"/>
    <d v="2025-07-01T00:00:00"/>
    <m/>
    <m/>
    <m/>
    <m/>
    <n v="0"/>
    <n v="0"/>
    <n v="0"/>
    <n v="0"/>
  </r>
  <r>
    <n v="68.599999999999994"/>
    <s v="Parallel"/>
    <s v="Slight curve, works up to QD GP no. 3 "/>
    <x v="1"/>
    <n v="6.8"/>
    <n v="6800"/>
    <n v="310"/>
    <n v="76.2"/>
    <n v="1.1043478260869566"/>
    <n v="2"/>
    <n v="7100"/>
    <n v="410"/>
    <n v="69"/>
    <n v="0.10434782608695659"/>
    <n v="2"/>
    <s v="QB1"/>
    <n v="2"/>
    <s v="QBA"/>
    <s v="16% (+/-2%)"/>
    <d v="2025-07-01T00:00:00"/>
    <m/>
    <m/>
    <m/>
    <m/>
    <n v="0"/>
    <n v="0"/>
    <n v="0"/>
    <n v="0"/>
  </r>
  <r>
    <n v="68.7"/>
    <s v="Parallel"/>
    <s v="Slight curve"/>
    <x v="3"/>
    <n v="4.4000000000000004"/>
    <n v="4400"/>
    <n v="265"/>
    <n v="76.2"/>
    <n v="1.1043478260869566"/>
    <n v="2"/>
    <n v="4700"/>
    <n v="365"/>
    <n v="69"/>
    <n v="0.10434782608695659"/>
    <n v="2"/>
    <s v="QF1A / QF1B"/>
    <n v="2"/>
    <s v="QFA"/>
    <s v="16% (+/-2%)"/>
    <d v="2025-07-01T00:00:00"/>
    <m/>
    <m/>
    <m/>
    <m/>
    <n v="0"/>
    <n v="0"/>
    <n v="0"/>
    <n v="0"/>
  </r>
  <r>
    <s v="M8"/>
    <m/>
    <m/>
    <x v="2"/>
    <m/>
    <m/>
    <m/>
    <m/>
    <m/>
    <m/>
    <m/>
    <m/>
    <m/>
    <m/>
    <n v="44"/>
    <m/>
    <n v="44"/>
    <m/>
    <m/>
    <m/>
    <m/>
    <m/>
    <m/>
    <m/>
    <m/>
    <n v="0"/>
    <m/>
    <n v="0"/>
  </r>
  <r>
    <n v="69.3"/>
    <s v="Parallel"/>
    <s v="Straight"/>
    <x v="1"/>
    <n v="5.8"/>
    <n v="5800"/>
    <n v="203.2"/>
    <n v="76.2"/>
    <n v="1.1043478260869566"/>
    <n v="2"/>
    <n v="6100"/>
    <n v="303.2"/>
    <n v="69"/>
    <n v="0.10434782608695659"/>
    <n v="2"/>
    <s v="QB1"/>
    <n v="2"/>
    <s v="QBA"/>
    <s v="16% (+/-2%)"/>
    <d v="2025-10-01T00:00:00"/>
    <m/>
    <m/>
    <m/>
    <m/>
    <n v="0"/>
    <n v="0"/>
    <n v="0"/>
    <n v="0"/>
  </r>
  <r>
    <n v="69.400000000000006"/>
    <s v="Parallel"/>
    <s v="Straight"/>
    <x v="1"/>
    <n v="5.8"/>
    <n v="5800"/>
    <n v="285"/>
    <n v="76.2"/>
    <n v="1.1043478260869566"/>
    <n v="2"/>
    <n v="6100"/>
    <n v="385"/>
    <n v="69"/>
    <n v="0.10434782608695659"/>
    <n v="2"/>
    <s v="QB1"/>
    <n v="2"/>
    <s v="QBA"/>
    <s v="16% (+/-2%)"/>
    <d v="2025-10-01T00:00:00"/>
    <m/>
    <m/>
    <m/>
    <m/>
    <n v="0"/>
    <n v="0"/>
    <n v="0"/>
    <n v="0"/>
  </r>
  <r>
    <n v="69.5"/>
    <s v="Parallel"/>
    <s v="Slight curve"/>
    <x v="1"/>
    <n v="7.4"/>
    <n v="7400"/>
    <n v="280"/>
    <n v="76.2"/>
    <n v="1.1043478260869566"/>
    <n v="2"/>
    <n v="7700"/>
    <n v="380"/>
    <n v="69"/>
    <n v="0.10434782608695659"/>
    <n v="2"/>
    <s v="QB1"/>
    <n v="2"/>
    <s v="QBA"/>
    <s v="16% (+/-2%)"/>
    <d v="2025-10-01T00:00:00"/>
    <m/>
    <m/>
    <m/>
    <m/>
    <m/>
    <n v="0"/>
    <m/>
    <n v="0"/>
  </r>
  <r>
    <n v="69.599999999999994"/>
    <s v="Parallel"/>
    <s v="Slight curve"/>
    <x v="3"/>
    <n v="2.5"/>
    <n v="2500"/>
    <n v="265"/>
    <n v="76.2"/>
    <n v="1.1043478260869566"/>
    <n v="2"/>
    <n v="2800"/>
    <n v="365"/>
    <n v="69"/>
    <n v="0.10434782608695659"/>
    <n v="2"/>
    <s v="QF1A / QF1B"/>
    <n v="2"/>
    <s v="QFA"/>
    <s v="16% (+/-2%)"/>
    <d v="2025-10-01T00:00:00"/>
    <m/>
    <m/>
    <m/>
    <m/>
    <n v="0"/>
    <n v="0"/>
    <n v="0"/>
    <n v="0"/>
  </r>
  <r>
    <n v="70.099999999999994"/>
    <s v="Parallel"/>
    <s v="Straight"/>
    <x v="1"/>
    <n v="6.6"/>
    <n v="6600"/>
    <n v="285"/>
    <n v="76.2"/>
    <n v="1.1043478260869566"/>
    <n v="2"/>
    <n v="6900"/>
    <n v="385"/>
    <n v="69"/>
    <n v="0.10434782608695659"/>
    <n v="2"/>
    <s v="QB1"/>
    <n v="2"/>
    <s v="QBA"/>
    <s v="16% (+/-2%)"/>
    <d v="2025-10-01T00:00:00"/>
    <m/>
    <m/>
    <m/>
    <m/>
    <n v="0"/>
    <n v="0"/>
    <n v="0"/>
    <n v="0"/>
  </r>
  <r>
    <n v="70.2"/>
    <s v="Parallel"/>
    <s v="Straight"/>
    <x v="3"/>
    <n v="2.7"/>
    <n v="2700"/>
    <n v="280"/>
    <n v="76.2"/>
    <n v="1.1043478260869566"/>
    <n v="2"/>
    <n v="3000"/>
    <n v="380"/>
    <n v="69"/>
    <n v="0.10434782608695659"/>
    <n v="2"/>
    <s v="QF1A / QF1B"/>
    <n v="2"/>
    <s v="QFA"/>
    <s v="16% (+/-2%)"/>
    <d v="2025-10-01T00:00:00"/>
    <m/>
    <m/>
    <m/>
    <m/>
    <n v="0"/>
    <n v="0"/>
    <n v="0"/>
    <n v="0"/>
  </r>
  <r>
    <n v="70.3"/>
    <s v="Parallel"/>
    <s v="Slight curve"/>
    <x v="3"/>
    <n v="2.4"/>
    <n v="2400"/>
    <n v="275"/>
    <n v="76.2"/>
    <n v="1.1043478260869566"/>
    <n v="2"/>
    <n v="2700"/>
    <n v="375"/>
    <n v="69"/>
    <n v="0.10434782608695659"/>
    <n v="2"/>
    <s v="QF1A / QF1B"/>
    <n v="2"/>
    <s v="QFA"/>
    <s v="16% (+/-2%)"/>
    <d v="2025-10-01T00:00:00"/>
    <m/>
    <m/>
    <m/>
    <m/>
    <n v="0"/>
    <n v="0"/>
    <n v="0"/>
    <n v="0"/>
  </r>
  <r>
    <n v="70.400000000000006"/>
    <s v="Parallel"/>
    <s v="Slight curve"/>
    <x v="3"/>
    <n v="2.5"/>
    <n v="2500"/>
    <n v="265"/>
    <n v="76.2"/>
    <n v="1.1043478260869566"/>
    <n v="2"/>
    <n v="2800"/>
    <n v="365"/>
    <n v="69"/>
    <n v="0.10434782608695659"/>
    <n v="2"/>
    <s v="QF1A / QF1B"/>
    <n v="2"/>
    <s v="QFA"/>
    <s v="16% (+/-2%)"/>
    <d v="2025-10-01T00:00:00"/>
    <m/>
    <m/>
    <m/>
    <m/>
    <n v="0"/>
    <n v="0"/>
    <n v="0"/>
    <n v="0"/>
  </r>
  <r>
    <n v="71.099999999999994"/>
    <s v="Parallel"/>
    <s v="Straight"/>
    <x v="3"/>
    <n v="2"/>
    <n v="2000"/>
    <n v="285"/>
    <n v="76.2"/>
    <n v="1.1043478260869566"/>
    <n v="2"/>
    <n v="2300"/>
    <n v="385"/>
    <n v="69"/>
    <n v="0.10434782608695659"/>
    <n v="2"/>
    <s v="QF1A / QF1B"/>
    <n v="2"/>
    <s v="QFA"/>
    <s v="16% (+/-2%)"/>
    <d v="2025-10-01T00:00:00"/>
    <m/>
    <m/>
    <m/>
    <m/>
    <n v="0"/>
    <n v="0"/>
    <n v="0"/>
    <n v="0"/>
  </r>
  <r>
    <n v="71.2"/>
    <s v="Parallel"/>
    <s v="Straight"/>
    <x v="3"/>
    <n v="3"/>
    <n v="3000"/>
    <n v="285"/>
    <n v="76.2"/>
    <n v="1.1043478260869566"/>
    <n v="2"/>
    <n v="3300"/>
    <n v="385"/>
    <n v="69"/>
    <n v="0.10434782608695659"/>
    <n v="2"/>
    <s v="QF1A / QF1B"/>
    <n v="2"/>
    <s v="QFA"/>
    <s v="16% (+/-2%)"/>
    <d v="2025-10-01T00:00:00"/>
    <m/>
    <m/>
    <m/>
    <m/>
    <n v="0"/>
    <n v="0"/>
    <n v="0"/>
    <n v="0"/>
  </r>
  <r>
    <n v="71.3"/>
    <s v="Parallel"/>
    <s v="Straight"/>
    <x v="3"/>
    <n v="2.7"/>
    <n v="2700"/>
    <n v="280"/>
    <n v="76.2"/>
    <n v="1.1043478260869566"/>
    <n v="2"/>
    <n v="3000"/>
    <n v="380"/>
    <n v="69"/>
    <n v="0.10434782608695659"/>
    <n v="2"/>
    <s v="QF1A / QF1B"/>
    <n v="2"/>
    <s v="QFA"/>
    <s v="16% (+/-2%)"/>
    <d v="2025-10-01T00:00:00"/>
    <m/>
    <m/>
    <m/>
    <m/>
    <n v="0"/>
    <n v="0"/>
    <n v="0"/>
    <n v="0"/>
  </r>
  <r>
    <n v="71.400000000000006"/>
    <s v="Parallel"/>
    <s v="Slight curve"/>
    <x v="3"/>
    <n v="2.4"/>
    <n v="2400"/>
    <n v="275"/>
    <n v="76.2"/>
    <n v="1.1043478260869566"/>
    <n v="2"/>
    <n v="2700"/>
    <n v="375"/>
    <n v="69"/>
    <n v="0.10434782608695659"/>
    <n v="2"/>
    <s v="QF1A / QF1B"/>
    <n v="2"/>
    <s v="QFA"/>
    <s v="16% (+/-2%)"/>
    <d v="2025-10-01T00:00:00"/>
    <m/>
    <m/>
    <m/>
    <m/>
    <n v="0"/>
    <n v="0"/>
    <n v="0"/>
    <n v="0"/>
  </r>
  <r>
    <n v="71.5"/>
    <s v="Parallel"/>
    <s v="Slight curve, works down to QD GP no.5"/>
    <x v="1"/>
    <n v="8.4"/>
    <n v="8400"/>
    <n v="355"/>
    <n v="76.2"/>
    <n v="1.1043478260869566"/>
    <n v="2"/>
    <n v="8700"/>
    <n v="455"/>
    <n v="69"/>
    <n v="0.10434782608695659"/>
    <n v="2"/>
    <s v="QB1"/>
    <n v="2"/>
    <s v="QBA"/>
    <s v="16% (+/-2%)"/>
    <d v="2025-10-01T00:00:00"/>
    <m/>
    <m/>
    <m/>
    <m/>
    <n v="0"/>
    <n v="0"/>
    <n v="0"/>
    <n v="0"/>
  </r>
  <r>
    <s v="M9"/>
    <m/>
    <m/>
    <x v="2"/>
    <m/>
    <m/>
    <m/>
    <m/>
    <m/>
    <m/>
    <m/>
    <m/>
    <m/>
    <m/>
    <n v="26"/>
    <m/>
    <n v="26"/>
    <m/>
    <m/>
    <m/>
    <m/>
    <m/>
    <m/>
    <m/>
    <m/>
    <n v="0"/>
    <m/>
    <n v="0"/>
  </r>
  <r>
    <n v="72.099999999999994"/>
    <s v="Parallel"/>
    <s v="Straight"/>
    <x v="3"/>
    <n v="4.3"/>
    <n v="4300"/>
    <n v="285"/>
    <n v="76.2"/>
    <n v="1.1043478260869566"/>
    <n v="2"/>
    <n v="4600"/>
    <n v="385"/>
    <n v="69"/>
    <n v="0.10434782608695659"/>
    <n v="2"/>
    <s v="QF1A / QF1B"/>
    <n v="2"/>
    <s v="QFA"/>
    <s v="16% (+/-2%)"/>
    <d v="2026-02-01T00:00:00"/>
    <m/>
    <m/>
    <m/>
    <m/>
    <n v="0"/>
    <n v="0"/>
    <n v="0"/>
    <n v="0"/>
  </r>
  <r>
    <n v="72.2"/>
    <s v="Parallel"/>
    <s v="Straight"/>
    <x v="1"/>
    <n v="7.3"/>
    <n v="7300"/>
    <n v="285"/>
    <n v="76.2"/>
    <n v="1.1043478260869566"/>
    <n v="2"/>
    <n v="7600"/>
    <n v="385"/>
    <n v="69"/>
    <n v="0.10434782608695659"/>
    <n v="2"/>
    <s v="QB1"/>
    <n v="2"/>
    <s v="QBA"/>
    <s v="16% (+/-2%)"/>
    <d v="2026-02-01T00:00:00"/>
    <m/>
    <m/>
    <m/>
    <m/>
    <n v="0"/>
    <n v="0"/>
    <n v="0"/>
    <n v="0"/>
  </r>
  <r>
    <n v="72.3"/>
    <s v="Parallel"/>
    <s v="Slight curve"/>
    <x v="1"/>
    <n v="7.3"/>
    <n v="7300"/>
    <n v="265"/>
    <n v="76.2"/>
    <n v="1.1043478260869566"/>
    <n v="2"/>
    <n v="7600"/>
    <n v="365"/>
    <n v="69"/>
    <n v="0.10434782608695659"/>
    <n v="2"/>
    <s v="QB1"/>
    <n v="2"/>
    <s v="QBA"/>
    <s v="16% (+/-2%)"/>
    <d v="2026-02-01T00:00:00"/>
    <m/>
    <m/>
    <m/>
    <m/>
    <n v="0"/>
    <n v="0"/>
    <n v="0"/>
    <n v="0"/>
  </r>
  <r>
    <s v="M10"/>
    <m/>
    <m/>
    <x v="2"/>
    <m/>
    <m/>
    <m/>
    <m/>
    <m/>
    <m/>
    <m/>
    <m/>
    <m/>
    <m/>
    <n v="6"/>
    <m/>
    <n v="6"/>
    <m/>
    <m/>
    <m/>
    <m/>
    <m/>
    <m/>
    <m/>
    <m/>
    <n v="0"/>
    <m/>
    <n v="0"/>
  </r>
  <r>
    <m/>
    <m/>
    <m/>
    <x v="2"/>
    <m/>
    <m/>
    <m/>
    <m/>
    <m/>
    <m/>
    <m/>
    <m/>
    <m/>
    <m/>
    <n v="656"/>
    <m/>
    <n v="436"/>
    <m/>
    <m/>
    <m/>
    <m/>
    <m/>
    <m/>
    <m/>
    <m/>
    <n v="0"/>
    <m/>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2797D7-8A26-41E0-B259-775642EBB101}"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14:C17" firstHeaderRow="1" firstDataRow="1" firstDataCol="1"/>
  <pivotFields count="24">
    <pivotField showAll="0"/>
    <pivotField showAll="0"/>
    <pivotField showAll="0"/>
    <pivotField axis="axisRow" showAll="0">
      <items count="5">
        <item h="1" x="0"/>
        <item x="2"/>
        <item x="1"/>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s>
  <rowFields count="1">
    <field x="3"/>
  </rowFields>
  <rowItems count="3">
    <i>
      <x v="1"/>
    </i>
    <i>
      <x v="2"/>
    </i>
    <i t="grand">
      <x/>
    </i>
  </rowItems>
  <colItems count="1">
    <i/>
  </colItems>
  <dataFields count="1">
    <dataField name="Sum of Total Price for Inner Planks " fld="23" baseField="0" baseItem="0" numFmtId="44"/>
  </dataFields>
  <formats count="18">
    <format dxfId="17">
      <pivotArea outline="0" collapsedLevelsAreSubtotals="1" fieldPosition="0"/>
    </format>
    <format dxfId="16">
      <pivotArea dataOnly="0" labelOnly="1" outline="0" axis="axisValues" fieldPosition="0"/>
    </format>
    <format dxfId="15">
      <pivotArea field="3" type="button" dataOnly="0" labelOnly="1" outline="0" axis="axisRow"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3" type="button" dataOnly="0" labelOnly="1" outline="0" axis="axisRow" fieldPosition="0"/>
    </format>
    <format dxfId="10">
      <pivotArea dataOnly="0" labelOnly="1" fieldPosition="0">
        <references count="1">
          <reference field="3" count="0"/>
        </references>
      </pivotArea>
    </format>
    <format dxfId="9">
      <pivotArea dataOnly="0" labelOnly="1" grandRow="1" outline="0" fieldPosition="0"/>
    </format>
    <format dxfId="8">
      <pivotArea dataOnly="0" labelOnly="1" outline="0" axis="axisValues" fieldPosition="0"/>
    </format>
    <format dxfId="7">
      <pivotArea field="3" type="button" dataOnly="0" labelOnly="1" outline="0" axis="axisRow" fieldPosition="0"/>
    </format>
    <format dxfId="6">
      <pivotArea dataOnly="0" labelOnly="1" outline="0" axis="axisValues" fieldPosition="0"/>
    </format>
    <format dxfId="5">
      <pivotArea field="3" type="button" dataOnly="0" labelOnly="1" outline="0" axis="axisRow" fieldPosition="0"/>
    </format>
    <format dxfId="4">
      <pivotArea dataOnly="0" labelOnly="1" outline="0" axis="axisValues" fieldPosition="0"/>
    </format>
    <format dxfId="3">
      <pivotArea field="3" type="button" dataOnly="0" labelOnly="1" outline="0" axis="axisRow" fieldPosition="0"/>
    </format>
    <format dxfId="2">
      <pivotArea dataOnly="0" labelOnly="1" outline="0" axis="axisValues" fieldPosition="0"/>
    </format>
    <format dxfId="1">
      <pivotArea field="3" type="button" dataOnly="0" labelOnly="1" outline="0" axis="axisRow"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538B4BA-6A8B-44AE-97FB-20BCC2B6C5D9}"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6:D9" firstHeaderRow="0" firstDataRow="1" firstDataCol="1"/>
  <pivotFields count="28">
    <pivotField showAll="0"/>
    <pivotField showAll="0"/>
    <pivotField showAll="0"/>
    <pivotField axis="axisRow" showAll="0">
      <items count="5">
        <item h="1" x="0"/>
        <item x="3"/>
        <item x="1"/>
        <item h="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dataField="1" showAll="0"/>
  </pivotFields>
  <rowFields count="1">
    <field x="3"/>
  </rowFields>
  <rowItems count="3">
    <i>
      <x v="1"/>
    </i>
    <i>
      <x v="2"/>
    </i>
    <i t="grand">
      <x/>
    </i>
  </rowItems>
  <colFields count="1">
    <field x="-2"/>
  </colFields>
  <colItems count="2">
    <i>
      <x/>
    </i>
    <i i="1">
      <x v="1"/>
    </i>
  </colItems>
  <dataFields count="2">
    <dataField name="Sum of Total Price for Inner Planks " fld="25" baseField="0" baseItem="0"/>
    <dataField name="Sum of Total Price for 1/4 Sawn Planks" fld="27" baseField="0" baseItem="0"/>
  </dataFields>
  <formats count="20">
    <format dxfId="37">
      <pivotArea outline="0" collapsedLevelsAreSubtotals="1" fieldPosition="0"/>
    </format>
    <format dxfId="36">
      <pivotArea dataOnly="0" labelOnly="1" outline="0" fieldPosition="0">
        <references count="1">
          <reference field="4294967294" count="1">
            <x v="0"/>
          </reference>
        </references>
      </pivotArea>
    </format>
    <format dxfId="35">
      <pivotArea dataOnly="0" labelOnly="1" outline="0" fieldPosition="0">
        <references count="1">
          <reference field="4294967294" count="1">
            <x v="1"/>
          </reference>
        </references>
      </pivotArea>
    </format>
    <format dxfId="34">
      <pivotArea field="3" type="button" dataOnly="0" labelOnly="1" outline="0" axis="axisRow" fieldPosition="0"/>
    </format>
    <format dxfId="33">
      <pivotArea dataOnly="0" labelOnly="1" outline="0" fieldPosition="0">
        <references count="1">
          <reference field="4294967294" count="2">
            <x v="0"/>
            <x v="1"/>
          </reference>
        </references>
      </pivotArea>
    </format>
    <format dxfId="32">
      <pivotArea field="3" type="button" dataOnly="0" labelOnly="1" outline="0" axis="axisRow" fieldPosition="0"/>
    </format>
    <format dxfId="31">
      <pivotArea dataOnly="0" labelOnly="1" outline="0" fieldPosition="0">
        <references count="1">
          <reference field="4294967294" count="2">
            <x v="0"/>
            <x v="1"/>
          </reference>
        </references>
      </pivotArea>
    </format>
    <format dxfId="30">
      <pivotArea type="all" dataOnly="0" outline="0" fieldPosition="0"/>
    </format>
    <format dxfId="29">
      <pivotArea outline="0" collapsedLevelsAreSubtotals="1" fieldPosition="0"/>
    </format>
    <format dxfId="28">
      <pivotArea field="3" type="button" dataOnly="0" labelOnly="1" outline="0" axis="axisRow" fieldPosition="0"/>
    </format>
    <format dxfId="27">
      <pivotArea dataOnly="0" labelOnly="1" fieldPosition="0">
        <references count="1">
          <reference field="3" count="0"/>
        </references>
      </pivotArea>
    </format>
    <format dxfId="26">
      <pivotArea dataOnly="0" labelOnly="1" grandRow="1" outline="0" fieldPosition="0"/>
    </format>
    <format dxfId="25">
      <pivotArea dataOnly="0" labelOnly="1" outline="0" fieldPosition="0">
        <references count="1">
          <reference field="4294967294" count="2">
            <x v="0"/>
            <x v="1"/>
          </reference>
        </references>
      </pivotArea>
    </format>
    <format dxfId="24">
      <pivotArea field="3" type="button" dataOnly="0" labelOnly="1" outline="0" axis="axisRow" fieldPosition="0"/>
    </format>
    <format dxfId="23">
      <pivotArea dataOnly="0" labelOnly="1" outline="0" fieldPosition="0">
        <references count="1">
          <reference field="4294967294" count="2">
            <x v="0"/>
            <x v="1"/>
          </reference>
        </references>
      </pivotArea>
    </format>
    <format dxfId="22">
      <pivotArea field="3" type="button" dataOnly="0" labelOnly="1" outline="0" axis="axisRow" fieldPosition="0"/>
    </format>
    <format dxfId="21">
      <pivotArea dataOnly="0" labelOnly="1" outline="0" fieldPosition="0">
        <references count="1">
          <reference field="4294967294" count="2">
            <x v="0"/>
            <x v="1"/>
          </reference>
        </references>
      </pivotArea>
    </format>
    <format dxfId="20">
      <pivotArea field="3" type="button" dataOnly="0" labelOnly="1" outline="0" axis="axisRow" fieldPosition="0"/>
    </format>
    <format dxfId="19">
      <pivotArea dataOnly="0" labelOnly="1" outline="0" fieldPosition="0">
        <references count="1">
          <reference field="4294967294" count="1">
            <x v="0"/>
          </reference>
        </references>
      </pivotArea>
    </format>
    <format dxfId="18">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EB12D-0D26-45CA-A846-80E307CDF9B4}">
  <sheetPr>
    <tabColor theme="4" tint="-0.499984740745262"/>
  </sheetPr>
  <dimension ref="B2:C19"/>
  <sheetViews>
    <sheetView tabSelected="1" topLeftCell="A9" workbookViewId="0">
      <selection activeCell="F6" sqref="F6"/>
    </sheetView>
  </sheetViews>
  <sheetFormatPr defaultRowHeight="15" x14ac:dyDescent="0.25"/>
  <cols>
    <col min="2" max="2" width="4" customWidth="1"/>
    <col min="3" max="3" width="122.5703125" style="198" customWidth="1"/>
  </cols>
  <sheetData>
    <row r="2" spans="2:3" ht="36" customHeight="1" x14ac:dyDescent="0.25">
      <c r="B2" s="67" t="s">
        <v>343</v>
      </c>
      <c r="C2" s="284"/>
    </row>
    <row r="3" spans="2:3" ht="30" customHeight="1" x14ac:dyDescent="0.25">
      <c r="B3" s="295" t="s">
        <v>374</v>
      </c>
      <c r="C3" s="295"/>
    </row>
    <row r="4" spans="2:3" ht="15" customHeight="1" x14ac:dyDescent="0.25">
      <c r="B4" s="279"/>
      <c r="C4" s="279"/>
    </row>
    <row r="5" spans="2:3" ht="123" customHeight="1" x14ac:dyDescent="0.25">
      <c r="B5" s="202">
        <v>1</v>
      </c>
      <c r="C5" s="199" t="s">
        <v>518</v>
      </c>
    </row>
    <row r="6" spans="2:3" ht="249" customHeight="1" x14ac:dyDescent="0.25">
      <c r="B6" s="202">
        <v>2</v>
      </c>
      <c r="C6" s="199" t="s">
        <v>505</v>
      </c>
    </row>
    <row r="7" spans="2:3" ht="264" customHeight="1" x14ac:dyDescent="0.25">
      <c r="B7" s="202">
        <v>3</v>
      </c>
      <c r="C7" s="199" t="s">
        <v>519</v>
      </c>
    </row>
    <row r="8" spans="2:3" ht="57.75" customHeight="1" x14ac:dyDescent="0.25">
      <c r="B8" s="202">
        <v>4</v>
      </c>
      <c r="C8" s="199" t="s">
        <v>459</v>
      </c>
    </row>
    <row r="9" spans="2:3" ht="87" customHeight="1" x14ac:dyDescent="0.25">
      <c r="B9" s="202">
        <v>5</v>
      </c>
      <c r="C9" s="199" t="s">
        <v>460</v>
      </c>
    </row>
    <row r="10" spans="2:3" ht="101.25" customHeight="1" x14ac:dyDescent="0.25">
      <c r="B10" s="202">
        <v>6</v>
      </c>
      <c r="C10" s="199" t="s">
        <v>510</v>
      </c>
    </row>
    <row r="11" spans="2:3" ht="60" customHeight="1" x14ac:dyDescent="0.25">
      <c r="B11" s="202">
        <v>7</v>
      </c>
      <c r="C11" s="205" t="s">
        <v>509</v>
      </c>
    </row>
    <row r="12" spans="2:3" ht="35.25" customHeight="1" x14ac:dyDescent="0.25">
      <c r="B12" s="202">
        <v>9</v>
      </c>
      <c r="C12" s="199" t="s">
        <v>373</v>
      </c>
    </row>
    <row r="13" spans="2:3" ht="30" customHeight="1" x14ac:dyDescent="0.25">
      <c r="B13" s="202">
        <v>10</v>
      </c>
      <c r="C13" s="199" t="s">
        <v>507</v>
      </c>
    </row>
    <row r="14" spans="2:3" ht="30" x14ac:dyDescent="0.25">
      <c r="B14" s="202">
        <v>11</v>
      </c>
      <c r="C14" s="205" t="s">
        <v>508</v>
      </c>
    </row>
    <row r="17" spans="2:2" x14ac:dyDescent="0.25">
      <c r="B17" s="202"/>
    </row>
    <row r="18" spans="2:2" x14ac:dyDescent="0.25">
      <c r="B18" s="202"/>
    </row>
    <row r="19" spans="2:2" x14ac:dyDescent="0.25">
      <c r="B19" s="202"/>
    </row>
  </sheetData>
  <mergeCells count="1">
    <mergeCell ref="B3:C3"/>
  </mergeCells>
  <pageMargins left="0.70866141732283472" right="0.70866141732283472" top="0.94488188976377963" bottom="0.74803149606299213" header="0.31496062992125984" footer="0.31496062992125984"/>
  <pageSetup paperSize="9" orientation="portrait" r:id="rId1"/>
  <headerFooter>
    <oddHeader>&amp;C&amp;12HMS VICTORY
TIMBER SUPPLY FRAMEWORK&amp;R&amp;G</oddHead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9412B-08BC-49A1-B69B-0F603F7F4EFE}">
  <sheetPr>
    <tabColor rgb="FFFF0000"/>
  </sheetPr>
  <dimension ref="A2:Z141"/>
  <sheetViews>
    <sheetView showGridLines="0" zoomScale="90" zoomScaleNormal="90" workbookViewId="0">
      <pane ySplit="7" topLeftCell="A8" activePane="bottomLeft" state="frozen"/>
      <selection pane="bottomLeft" activeCell="B2" sqref="B2"/>
    </sheetView>
  </sheetViews>
  <sheetFormatPr defaultRowHeight="15" x14ac:dyDescent="0.25"/>
  <cols>
    <col min="3" max="3" width="13.42578125" bestFit="1" customWidth="1"/>
    <col min="4" max="4" width="36.140625" hidden="1" customWidth="1"/>
    <col min="5" max="5" width="62.42578125" bestFit="1" customWidth="1"/>
    <col min="6" max="6" width="15.7109375" customWidth="1"/>
    <col min="7" max="7" width="11.5703125" hidden="1" customWidth="1"/>
    <col min="8" max="10" width="15.7109375" hidden="1" customWidth="1"/>
    <col min="11" max="12" width="23.7109375" hidden="1" customWidth="1"/>
    <col min="13" max="15" width="15.7109375" customWidth="1"/>
    <col min="16" max="16" width="23.7109375" hidden="1" customWidth="1"/>
    <col min="17" max="22" width="20.85546875" customWidth="1"/>
    <col min="23" max="26" width="20.7109375" hidden="1" customWidth="1"/>
  </cols>
  <sheetData>
    <row r="2" spans="2:26" ht="60" customHeight="1" x14ac:dyDescent="0.25">
      <c r="B2" s="71" t="s">
        <v>227</v>
      </c>
      <c r="M2" s="369" t="s">
        <v>338</v>
      </c>
      <c r="N2" s="369"/>
      <c r="O2" s="369"/>
      <c r="P2" s="369"/>
      <c r="Q2" s="369"/>
      <c r="R2" s="369"/>
      <c r="S2" s="369"/>
      <c r="T2" s="369"/>
      <c r="U2" s="369"/>
      <c r="V2" s="369"/>
    </row>
    <row r="3" spans="2:26" ht="15" customHeight="1" thickBot="1" x14ac:dyDescent="0.3"/>
    <row r="4" spans="2:26" ht="16.5" customHeight="1" thickBot="1" x14ac:dyDescent="0.3">
      <c r="C4" s="71"/>
      <c r="M4" s="298" t="s">
        <v>243</v>
      </c>
      <c r="N4" s="299"/>
      <c r="O4" s="300"/>
      <c r="W4" s="367" t="s">
        <v>239</v>
      </c>
      <c r="Y4" s="367" t="s">
        <v>239</v>
      </c>
    </row>
    <row r="5" spans="2:26" ht="17.25" customHeight="1" thickBot="1" x14ac:dyDescent="0.3">
      <c r="C5" s="43"/>
      <c r="D5" s="43"/>
      <c r="E5" s="43"/>
      <c r="F5" s="43"/>
      <c r="G5" s="304" t="s">
        <v>220</v>
      </c>
      <c r="H5" s="305"/>
      <c r="I5" s="305"/>
      <c r="J5" s="306"/>
      <c r="K5" s="43"/>
      <c r="L5" s="42"/>
      <c r="M5" s="301"/>
      <c r="N5" s="302"/>
      <c r="O5" s="303"/>
      <c r="P5" s="69"/>
      <c r="Q5" s="69"/>
      <c r="R5" s="69"/>
      <c r="S5" s="69"/>
      <c r="T5" s="69"/>
      <c r="U5" s="42"/>
      <c r="V5" s="42"/>
      <c r="W5" s="368"/>
      <c r="Y5" s="368"/>
    </row>
    <row r="6" spans="2:26" ht="63" customHeight="1" thickBot="1" x14ac:dyDescent="0.3">
      <c r="C6" s="100" t="s">
        <v>247</v>
      </c>
      <c r="D6" s="100" t="s">
        <v>208</v>
      </c>
      <c r="E6" s="100" t="s">
        <v>209</v>
      </c>
      <c r="F6" s="100" t="s">
        <v>244</v>
      </c>
      <c r="G6" s="98" t="s">
        <v>206</v>
      </c>
      <c r="H6" s="101" t="s">
        <v>215</v>
      </c>
      <c r="I6" s="101" t="s">
        <v>203</v>
      </c>
      <c r="J6" s="101" t="s">
        <v>204</v>
      </c>
      <c r="K6" s="100" t="s">
        <v>218</v>
      </c>
      <c r="L6" s="100" t="s">
        <v>219</v>
      </c>
      <c r="M6" s="100" t="s">
        <v>215</v>
      </c>
      <c r="N6" s="100" t="s">
        <v>233</v>
      </c>
      <c r="O6" s="100" t="s">
        <v>234</v>
      </c>
      <c r="P6" s="100" t="s">
        <v>222</v>
      </c>
      <c r="Q6" s="100" t="s">
        <v>223</v>
      </c>
      <c r="R6" s="100" t="s">
        <v>245</v>
      </c>
      <c r="S6" s="100" t="s">
        <v>224</v>
      </c>
      <c r="T6" s="100" t="s">
        <v>246</v>
      </c>
      <c r="U6" s="100" t="s">
        <v>253</v>
      </c>
      <c r="V6" s="110" t="s">
        <v>210</v>
      </c>
      <c r="W6" s="79" t="s">
        <v>249</v>
      </c>
      <c r="X6" s="78" t="s">
        <v>251</v>
      </c>
      <c r="Y6" s="78" t="s">
        <v>250</v>
      </c>
      <c r="Z6" s="78" t="s">
        <v>252</v>
      </c>
    </row>
    <row r="7" spans="2:26" ht="15" customHeight="1" thickBot="1" x14ac:dyDescent="0.3">
      <c r="C7" s="70">
        <v>1</v>
      </c>
      <c r="D7" s="143">
        <v>2</v>
      </c>
      <c r="E7" s="142">
        <v>3</v>
      </c>
      <c r="F7" s="70">
        <v>4</v>
      </c>
      <c r="G7" s="143">
        <v>5</v>
      </c>
      <c r="H7" s="102">
        <v>6</v>
      </c>
      <c r="I7" s="102">
        <v>7</v>
      </c>
      <c r="J7" s="102">
        <v>8</v>
      </c>
      <c r="K7" s="102">
        <v>9</v>
      </c>
      <c r="L7" s="142">
        <v>10</v>
      </c>
      <c r="M7" s="70">
        <v>11</v>
      </c>
      <c r="N7" s="70">
        <v>12</v>
      </c>
      <c r="O7" s="70">
        <v>13</v>
      </c>
      <c r="P7" s="153">
        <v>14</v>
      </c>
      <c r="Q7" s="70">
        <v>15</v>
      </c>
      <c r="R7" s="70">
        <v>16</v>
      </c>
      <c r="S7" s="70">
        <v>17</v>
      </c>
      <c r="T7" s="70">
        <v>18</v>
      </c>
      <c r="U7" s="70">
        <v>19</v>
      </c>
      <c r="V7" s="70">
        <v>20</v>
      </c>
      <c r="W7" s="147">
        <v>21</v>
      </c>
      <c r="X7" s="104">
        <v>22</v>
      </c>
      <c r="Y7" s="104">
        <v>23</v>
      </c>
      <c r="Z7" s="104">
        <v>24</v>
      </c>
    </row>
    <row r="8" spans="2:26" x14ac:dyDescent="0.25">
      <c r="B8" s="310" t="s">
        <v>363</v>
      </c>
      <c r="C8" s="176">
        <v>37.70000000000001</v>
      </c>
      <c r="D8" s="58" t="s">
        <v>160</v>
      </c>
      <c r="E8" s="58" t="s">
        <v>26</v>
      </c>
      <c r="F8" s="163" t="s">
        <v>213</v>
      </c>
      <c r="G8" s="58">
        <v>7.4</v>
      </c>
      <c r="H8" s="59">
        <f t="shared" ref="H8:H16" si="0">CONVERT(G8,"m","mm")</f>
        <v>7400</v>
      </c>
      <c r="I8" s="58">
        <v>370</v>
      </c>
      <c r="J8" s="58">
        <v>184</v>
      </c>
      <c r="K8" s="59">
        <f t="shared" ref="K8:K16" si="1">(J8/O8)</f>
        <v>4.1818181818181817</v>
      </c>
      <c r="L8" s="58">
        <f t="shared" ref="L8:L16" si="2">ROUNDUP(K8,0)</f>
        <v>5</v>
      </c>
      <c r="M8" s="59">
        <f>(H8+300)</f>
        <v>7700</v>
      </c>
      <c r="N8" s="59">
        <f t="shared" ref="N8:N31" si="3">(I8+100)</f>
        <v>470</v>
      </c>
      <c r="O8" s="59">
        <v>44</v>
      </c>
      <c r="P8" s="59">
        <f t="shared" ref="P8:P16" si="4">(K8-1)</f>
        <v>3.1818181818181817</v>
      </c>
      <c r="Q8" s="59">
        <f>(L8-1)*2</f>
        <v>8</v>
      </c>
      <c r="R8" s="60" t="s">
        <v>342</v>
      </c>
      <c r="S8" s="58">
        <v>2</v>
      </c>
      <c r="T8" s="61" t="s">
        <v>340</v>
      </c>
      <c r="U8" s="62" t="s">
        <v>221</v>
      </c>
      <c r="V8" s="152">
        <v>11383</v>
      </c>
      <c r="W8" s="137">
        <v>0</v>
      </c>
      <c r="X8" s="86">
        <f t="shared" ref="X8:X16" si="5">(W8*Q8)</f>
        <v>0</v>
      </c>
      <c r="Y8" s="111">
        <v>0</v>
      </c>
      <c r="Z8" s="87">
        <f t="shared" ref="Z8:Z16" si="6">(Y8*S8)</f>
        <v>0</v>
      </c>
    </row>
    <row r="9" spans="2:26" x14ac:dyDescent="0.25">
      <c r="B9" s="311"/>
      <c r="C9" s="175">
        <v>37.800000000000011</v>
      </c>
      <c r="D9" s="48" t="s">
        <v>160</v>
      </c>
      <c r="E9" s="48" t="s">
        <v>163</v>
      </c>
      <c r="F9" s="160" t="s">
        <v>213</v>
      </c>
      <c r="G9" s="48">
        <v>6</v>
      </c>
      <c r="H9" s="44">
        <f t="shared" si="0"/>
        <v>6000</v>
      </c>
      <c r="I9" s="48">
        <v>370</v>
      </c>
      <c r="J9" s="48">
        <v>184</v>
      </c>
      <c r="K9" s="44">
        <f t="shared" si="1"/>
        <v>8.3636363636363633</v>
      </c>
      <c r="L9" s="48">
        <f t="shared" si="2"/>
        <v>9</v>
      </c>
      <c r="M9" s="44">
        <f>(H9+350)</f>
        <v>6350</v>
      </c>
      <c r="N9" s="44">
        <f t="shared" si="3"/>
        <v>470</v>
      </c>
      <c r="O9" s="44">
        <v>22</v>
      </c>
      <c r="P9" s="44">
        <f t="shared" si="4"/>
        <v>7.3636363636363633</v>
      </c>
      <c r="Q9" s="59">
        <f t="shared" ref="Q9:Q16" si="7">(L9-1)*2</f>
        <v>16</v>
      </c>
      <c r="R9" s="165" t="s">
        <v>342</v>
      </c>
      <c r="S9" s="58">
        <v>2</v>
      </c>
      <c r="T9" s="166" t="s">
        <v>340</v>
      </c>
      <c r="U9" s="53" t="s">
        <v>221</v>
      </c>
      <c r="V9" s="140">
        <v>11383</v>
      </c>
      <c r="W9" s="138">
        <v>0</v>
      </c>
      <c r="X9" s="88">
        <f t="shared" si="5"/>
        <v>0</v>
      </c>
      <c r="Y9" s="112">
        <v>0</v>
      </c>
      <c r="Z9" s="89">
        <f t="shared" si="6"/>
        <v>0</v>
      </c>
    </row>
    <row r="10" spans="2:26" x14ac:dyDescent="0.25">
      <c r="B10" s="311"/>
      <c r="C10" s="175">
        <v>37.900000000000013</v>
      </c>
      <c r="D10" s="48" t="s">
        <v>160</v>
      </c>
      <c r="E10" s="48" t="s">
        <v>167</v>
      </c>
      <c r="F10" s="160" t="s">
        <v>212</v>
      </c>
      <c r="G10" s="48">
        <v>5</v>
      </c>
      <c r="H10" s="44">
        <f t="shared" si="0"/>
        <v>5000</v>
      </c>
      <c r="I10" s="48">
        <v>370</v>
      </c>
      <c r="J10" s="48">
        <v>184</v>
      </c>
      <c r="K10" s="44">
        <f t="shared" si="1"/>
        <v>8.3636363636363633</v>
      </c>
      <c r="L10" s="48">
        <f t="shared" si="2"/>
        <v>9</v>
      </c>
      <c r="M10" s="44">
        <f>(H10+350)</f>
        <v>5350</v>
      </c>
      <c r="N10" s="44">
        <f t="shared" si="3"/>
        <v>470</v>
      </c>
      <c r="O10" s="159">
        <v>22</v>
      </c>
      <c r="P10" s="44">
        <f t="shared" si="4"/>
        <v>7.3636363636363633</v>
      </c>
      <c r="Q10" s="59">
        <f t="shared" si="7"/>
        <v>16</v>
      </c>
      <c r="R10" s="52" t="s">
        <v>341</v>
      </c>
      <c r="S10" s="58">
        <v>2</v>
      </c>
      <c r="T10" s="50" t="s">
        <v>339</v>
      </c>
      <c r="U10" s="53" t="s">
        <v>221</v>
      </c>
      <c r="V10" s="140">
        <v>11383</v>
      </c>
      <c r="W10" s="138">
        <v>0</v>
      </c>
      <c r="X10" s="88">
        <f t="shared" si="5"/>
        <v>0</v>
      </c>
      <c r="Y10" s="112">
        <v>0</v>
      </c>
      <c r="Z10" s="89">
        <f t="shared" si="6"/>
        <v>0</v>
      </c>
    </row>
    <row r="11" spans="2:26" x14ac:dyDescent="0.25">
      <c r="B11" s="311"/>
      <c r="C11" s="175">
        <v>38.70000000000001</v>
      </c>
      <c r="D11" s="48" t="s">
        <v>160</v>
      </c>
      <c r="E11" s="48" t="s">
        <v>26</v>
      </c>
      <c r="F11" s="160" t="s">
        <v>213</v>
      </c>
      <c r="G11" s="48">
        <v>7.4</v>
      </c>
      <c r="H11" s="44">
        <f t="shared" si="0"/>
        <v>7400</v>
      </c>
      <c r="I11" s="48">
        <v>370</v>
      </c>
      <c r="J11" s="48">
        <v>190.5</v>
      </c>
      <c r="K11" s="44">
        <f t="shared" si="1"/>
        <v>4.3295454545454541</v>
      </c>
      <c r="L11" s="48">
        <f t="shared" si="2"/>
        <v>5</v>
      </c>
      <c r="M11" s="44">
        <f>(H11+300)</f>
        <v>7700</v>
      </c>
      <c r="N11" s="44">
        <f t="shared" si="3"/>
        <v>470</v>
      </c>
      <c r="O11" s="164">
        <v>44</v>
      </c>
      <c r="P11" s="44">
        <f t="shared" si="4"/>
        <v>3.3295454545454541</v>
      </c>
      <c r="Q11" s="59">
        <f t="shared" si="7"/>
        <v>8</v>
      </c>
      <c r="R11" s="165" t="s">
        <v>342</v>
      </c>
      <c r="S11" s="58">
        <v>2</v>
      </c>
      <c r="T11" s="166" t="s">
        <v>340</v>
      </c>
      <c r="U11" s="53" t="s">
        <v>221</v>
      </c>
      <c r="V11" s="140">
        <v>11383</v>
      </c>
      <c r="W11" s="138">
        <v>0</v>
      </c>
      <c r="X11" s="88">
        <f t="shared" si="5"/>
        <v>0</v>
      </c>
      <c r="Y11" s="112">
        <v>0</v>
      </c>
      <c r="Z11" s="89">
        <f t="shared" si="6"/>
        <v>0</v>
      </c>
    </row>
    <row r="12" spans="2:26" x14ac:dyDescent="0.25">
      <c r="B12" s="311"/>
      <c r="C12" s="175">
        <v>38.800000000000011</v>
      </c>
      <c r="D12" s="48" t="s">
        <v>160</v>
      </c>
      <c r="E12" s="48" t="s">
        <v>163</v>
      </c>
      <c r="F12" s="160" t="s">
        <v>213</v>
      </c>
      <c r="G12" s="48">
        <v>7.4</v>
      </c>
      <c r="H12" s="44">
        <f t="shared" si="0"/>
        <v>7400</v>
      </c>
      <c r="I12" s="48">
        <v>370</v>
      </c>
      <c r="J12" s="48">
        <v>190.5</v>
      </c>
      <c r="K12" s="44">
        <f t="shared" si="1"/>
        <v>8.6590909090909083</v>
      </c>
      <c r="L12" s="48">
        <f t="shared" si="2"/>
        <v>9</v>
      </c>
      <c r="M12" s="44">
        <f>(H12+350)</f>
        <v>7750</v>
      </c>
      <c r="N12" s="44">
        <f t="shared" si="3"/>
        <v>470</v>
      </c>
      <c r="O12" s="159">
        <v>22</v>
      </c>
      <c r="P12" s="44">
        <f t="shared" si="4"/>
        <v>7.6590909090909083</v>
      </c>
      <c r="Q12" s="59">
        <f t="shared" si="7"/>
        <v>16</v>
      </c>
      <c r="R12" s="165" t="s">
        <v>342</v>
      </c>
      <c r="S12" s="58">
        <v>2</v>
      </c>
      <c r="T12" s="166" t="s">
        <v>340</v>
      </c>
      <c r="U12" s="53" t="s">
        <v>221</v>
      </c>
      <c r="V12" s="140">
        <v>11383</v>
      </c>
      <c r="W12" s="138">
        <v>0</v>
      </c>
      <c r="X12" s="88">
        <f t="shared" si="5"/>
        <v>0</v>
      </c>
      <c r="Y12" s="112">
        <v>0</v>
      </c>
      <c r="Z12" s="89">
        <f t="shared" si="6"/>
        <v>0</v>
      </c>
    </row>
    <row r="13" spans="2:26" x14ac:dyDescent="0.25">
      <c r="B13" s="311"/>
      <c r="C13" s="175">
        <v>38.900000000000013</v>
      </c>
      <c r="D13" s="48" t="s">
        <v>160</v>
      </c>
      <c r="E13" s="48" t="s">
        <v>167</v>
      </c>
      <c r="F13" s="160" t="s">
        <v>212</v>
      </c>
      <c r="G13" s="48">
        <v>4.5</v>
      </c>
      <c r="H13" s="44">
        <f t="shared" si="0"/>
        <v>4500</v>
      </c>
      <c r="I13" s="48">
        <v>370</v>
      </c>
      <c r="J13" s="48">
        <v>190.5</v>
      </c>
      <c r="K13" s="44">
        <f t="shared" si="1"/>
        <v>8.6590909090909083</v>
      </c>
      <c r="L13" s="48">
        <f t="shared" si="2"/>
        <v>9</v>
      </c>
      <c r="M13" s="44">
        <f>(H13+350)</f>
        <v>4850</v>
      </c>
      <c r="N13" s="44">
        <f t="shared" si="3"/>
        <v>470</v>
      </c>
      <c r="O13" s="159">
        <v>22</v>
      </c>
      <c r="P13" s="44">
        <f t="shared" si="4"/>
        <v>7.6590909090909083</v>
      </c>
      <c r="Q13" s="59">
        <f t="shared" si="7"/>
        <v>16</v>
      </c>
      <c r="R13" s="162" t="s">
        <v>341</v>
      </c>
      <c r="S13" s="58">
        <v>2</v>
      </c>
      <c r="T13" s="161" t="s">
        <v>339</v>
      </c>
      <c r="U13" s="53" t="s">
        <v>221</v>
      </c>
      <c r="V13" s="140">
        <v>11383</v>
      </c>
      <c r="W13" s="138">
        <v>0</v>
      </c>
      <c r="X13" s="88">
        <f t="shared" si="5"/>
        <v>0</v>
      </c>
      <c r="Y13" s="112">
        <v>0</v>
      </c>
      <c r="Z13" s="89">
        <f t="shared" si="6"/>
        <v>0</v>
      </c>
    </row>
    <row r="14" spans="2:26" x14ac:dyDescent="0.25">
      <c r="B14" s="311"/>
      <c r="C14" s="175">
        <v>39.800000000000011</v>
      </c>
      <c r="D14" s="48" t="s">
        <v>160</v>
      </c>
      <c r="E14" s="48" t="s">
        <v>171</v>
      </c>
      <c r="F14" s="160" t="s">
        <v>213</v>
      </c>
      <c r="G14" s="48">
        <v>7.4</v>
      </c>
      <c r="H14" s="44">
        <f t="shared" si="0"/>
        <v>7400</v>
      </c>
      <c r="I14" s="48">
        <v>370</v>
      </c>
      <c r="J14" s="48">
        <v>197</v>
      </c>
      <c r="K14" s="44">
        <f t="shared" si="1"/>
        <v>8.954545454545455</v>
      </c>
      <c r="L14" s="48">
        <f t="shared" si="2"/>
        <v>9</v>
      </c>
      <c r="M14" s="44">
        <f>(H14+350)</f>
        <v>7750</v>
      </c>
      <c r="N14" s="44">
        <f t="shared" si="3"/>
        <v>470</v>
      </c>
      <c r="O14" s="159">
        <v>22</v>
      </c>
      <c r="P14" s="44">
        <f t="shared" si="4"/>
        <v>7.954545454545455</v>
      </c>
      <c r="Q14" s="59">
        <f t="shared" si="7"/>
        <v>16</v>
      </c>
      <c r="R14" s="165" t="s">
        <v>342</v>
      </c>
      <c r="S14" s="58">
        <v>2</v>
      </c>
      <c r="T14" s="166" t="s">
        <v>340</v>
      </c>
      <c r="U14" s="53" t="s">
        <v>221</v>
      </c>
      <c r="V14" s="140">
        <v>11383</v>
      </c>
      <c r="W14" s="138">
        <v>0</v>
      </c>
      <c r="X14" s="88">
        <f t="shared" si="5"/>
        <v>0</v>
      </c>
      <c r="Y14" s="112">
        <v>0</v>
      </c>
      <c r="Z14" s="89">
        <f t="shared" si="6"/>
        <v>0</v>
      </c>
    </row>
    <row r="15" spans="2:26" x14ac:dyDescent="0.25">
      <c r="B15" s="311"/>
      <c r="C15" s="175">
        <v>39.900000000000013</v>
      </c>
      <c r="D15" s="48" t="s">
        <v>160</v>
      </c>
      <c r="E15" s="48" t="s">
        <v>167</v>
      </c>
      <c r="F15" s="160" t="s">
        <v>213</v>
      </c>
      <c r="G15" s="48">
        <v>7.4</v>
      </c>
      <c r="H15" s="44">
        <f t="shared" si="0"/>
        <v>7400</v>
      </c>
      <c r="I15" s="48">
        <v>370</v>
      </c>
      <c r="J15" s="48">
        <v>197</v>
      </c>
      <c r="K15" s="44">
        <f t="shared" si="1"/>
        <v>8.954545454545455</v>
      </c>
      <c r="L15" s="48">
        <f t="shared" si="2"/>
        <v>9</v>
      </c>
      <c r="M15" s="44">
        <f>(H15+350)</f>
        <v>7750</v>
      </c>
      <c r="N15" s="44">
        <f t="shared" si="3"/>
        <v>470</v>
      </c>
      <c r="O15" s="159">
        <v>22</v>
      </c>
      <c r="P15" s="44">
        <f t="shared" si="4"/>
        <v>7.954545454545455</v>
      </c>
      <c r="Q15" s="59">
        <f t="shared" si="7"/>
        <v>16</v>
      </c>
      <c r="R15" s="165" t="s">
        <v>342</v>
      </c>
      <c r="S15" s="58">
        <v>2</v>
      </c>
      <c r="T15" s="166" t="s">
        <v>340</v>
      </c>
      <c r="U15" s="53" t="s">
        <v>221</v>
      </c>
      <c r="V15" s="140">
        <v>11383</v>
      </c>
      <c r="W15" s="138">
        <v>0</v>
      </c>
      <c r="X15" s="88">
        <f t="shared" si="5"/>
        <v>0</v>
      </c>
      <c r="Y15" s="112">
        <v>0</v>
      </c>
      <c r="Z15" s="89">
        <f t="shared" si="6"/>
        <v>0</v>
      </c>
    </row>
    <row r="16" spans="2:26" ht="15.75" thickBot="1" x14ac:dyDescent="0.3">
      <c r="B16" s="311"/>
      <c r="C16" s="175">
        <v>39.1</v>
      </c>
      <c r="D16" s="48" t="s">
        <v>160</v>
      </c>
      <c r="E16" s="48" t="s">
        <v>167</v>
      </c>
      <c r="F16" s="160" t="s">
        <v>212</v>
      </c>
      <c r="G16" s="48">
        <v>3</v>
      </c>
      <c r="H16" s="44">
        <f t="shared" si="0"/>
        <v>3000</v>
      </c>
      <c r="I16" s="48">
        <v>370</v>
      </c>
      <c r="J16" s="48">
        <v>197</v>
      </c>
      <c r="K16" s="44">
        <f t="shared" si="1"/>
        <v>8.954545454545455</v>
      </c>
      <c r="L16" s="48">
        <f t="shared" si="2"/>
        <v>9</v>
      </c>
      <c r="M16" s="44">
        <f>(H16+350)</f>
        <v>3350</v>
      </c>
      <c r="N16" s="44">
        <f t="shared" si="3"/>
        <v>470</v>
      </c>
      <c r="O16" s="159">
        <v>22</v>
      </c>
      <c r="P16" s="44">
        <f t="shared" si="4"/>
        <v>7.954545454545455</v>
      </c>
      <c r="Q16" s="59">
        <f t="shared" si="7"/>
        <v>16</v>
      </c>
      <c r="R16" s="162" t="s">
        <v>341</v>
      </c>
      <c r="S16" s="58">
        <v>2</v>
      </c>
      <c r="T16" s="161" t="s">
        <v>339</v>
      </c>
      <c r="U16" s="53" t="s">
        <v>221</v>
      </c>
      <c r="V16" s="140">
        <v>11383</v>
      </c>
      <c r="W16" s="139">
        <v>0</v>
      </c>
      <c r="X16" s="90">
        <f t="shared" si="5"/>
        <v>0</v>
      </c>
      <c r="Y16" s="113">
        <v>0</v>
      </c>
      <c r="Z16" s="91">
        <f t="shared" si="6"/>
        <v>0</v>
      </c>
    </row>
    <row r="17" spans="2:26" s="66" customFormat="1" ht="15.75" thickBot="1" x14ac:dyDescent="0.3">
      <c r="B17" s="313"/>
      <c r="C17" s="189" t="s">
        <v>268</v>
      </c>
      <c r="D17" s="180"/>
      <c r="E17" s="180"/>
      <c r="F17" s="180"/>
      <c r="G17" s="180"/>
      <c r="H17" s="180"/>
      <c r="I17" s="180"/>
      <c r="J17" s="180"/>
      <c r="K17" s="180"/>
      <c r="L17" s="180"/>
      <c r="M17" s="180"/>
      <c r="N17" s="180"/>
      <c r="O17" s="180"/>
      <c r="P17" s="180"/>
      <c r="Q17" s="180">
        <f>SUM(Q8:Q16)</f>
        <v>128</v>
      </c>
      <c r="R17" s="180"/>
      <c r="S17" s="180">
        <f>SUM(S8:S16)</f>
        <v>18</v>
      </c>
      <c r="T17" s="180"/>
      <c r="U17" s="180"/>
      <c r="V17" s="180"/>
      <c r="W17" s="130"/>
      <c r="X17" s="75">
        <f>SUM(X8:X16)</f>
        <v>0</v>
      </c>
      <c r="Y17" s="75"/>
      <c r="Z17" s="75">
        <f>SUM(Z8:Z16)</f>
        <v>0</v>
      </c>
    </row>
    <row r="18" spans="2:26" x14ac:dyDescent="0.25">
      <c r="B18" s="310" t="s">
        <v>364</v>
      </c>
      <c r="C18" s="175">
        <v>40.800000000000011</v>
      </c>
      <c r="D18" s="48" t="s">
        <v>160</v>
      </c>
      <c r="E18" s="48" t="s">
        <v>171</v>
      </c>
      <c r="F18" s="160" t="s">
        <v>213</v>
      </c>
      <c r="G18" s="48">
        <v>7.4</v>
      </c>
      <c r="H18" s="44">
        <f t="shared" ref="H18:H29" si="8">CONVERT(G18,"m","mm")</f>
        <v>7400</v>
      </c>
      <c r="I18" s="48">
        <v>370</v>
      </c>
      <c r="J18" s="48">
        <v>203</v>
      </c>
      <c r="K18" s="44">
        <f t="shared" ref="K18:K81" si="9">(J18/O18)</f>
        <v>9.2272727272727266</v>
      </c>
      <c r="L18" s="48">
        <f t="shared" ref="L18:L29" si="10">ROUNDUP(K18,0)</f>
        <v>10</v>
      </c>
      <c r="M18" s="44">
        <f>(H18+350)</f>
        <v>7750</v>
      </c>
      <c r="N18" s="44">
        <f t="shared" si="3"/>
        <v>470</v>
      </c>
      <c r="O18" s="159">
        <v>22</v>
      </c>
      <c r="P18" s="44">
        <f t="shared" ref="P18:P29" si="11">(K18-1)</f>
        <v>8.2272727272727266</v>
      </c>
      <c r="Q18" s="44">
        <f>(L18-1)*2</f>
        <v>18</v>
      </c>
      <c r="R18" s="165" t="s">
        <v>342</v>
      </c>
      <c r="S18" s="58">
        <v>2</v>
      </c>
      <c r="T18" s="166" t="s">
        <v>340</v>
      </c>
      <c r="U18" s="53" t="s">
        <v>221</v>
      </c>
      <c r="V18" s="140">
        <v>11536</v>
      </c>
      <c r="W18" s="137">
        <v>0</v>
      </c>
      <c r="X18" s="86">
        <f t="shared" ref="X18:X29" si="12">(W18*Q18)</f>
        <v>0</v>
      </c>
      <c r="Y18" s="111">
        <v>0</v>
      </c>
      <c r="Z18" s="87">
        <f t="shared" ref="Z18:Z29" si="13">(Y18*S18)</f>
        <v>0</v>
      </c>
    </row>
    <row r="19" spans="2:26" x14ac:dyDescent="0.25">
      <c r="B19" s="311"/>
      <c r="C19" s="175">
        <v>40.900000000000013</v>
      </c>
      <c r="D19" s="48" t="s">
        <v>160</v>
      </c>
      <c r="E19" s="48" t="s">
        <v>167</v>
      </c>
      <c r="F19" s="160" t="s">
        <v>213</v>
      </c>
      <c r="G19" s="48">
        <v>6.3</v>
      </c>
      <c r="H19" s="44">
        <f t="shared" si="8"/>
        <v>6300</v>
      </c>
      <c r="I19" s="48">
        <v>370</v>
      </c>
      <c r="J19" s="48">
        <v>203</v>
      </c>
      <c r="K19" s="44">
        <f t="shared" si="9"/>
        <v>9.2272727272727266</v>
      </c>
      <c r="L19" s="48">
        <f t="shared" si="10"/>
        <v>10</v>
      </c>
      <c r="M19" s="44">
        <f>(H19+350)</f>
        <v>6650</v>
      </c>
      <c r="N19" s="44">
        <f t="shared" si="3"/>
        <v>470</v>
      </c>
      <c r="O19" s="159">
        <v>22</v>
      </c>
      <c r="P19" s="44">
        <f t="shared" si="11"/>
        <v>8.2272727272727266</v>
      </c>
      <c r="Q19" s="44">
        <f t="shared" ref="Q19:Q29" si="14">(L19-1)*2</f>
        <v>18</v>
      </c>
      <c r="R19" s="165" t="s">
        <v>342</v>
      </c>
      <c r="S19" s="58">
        <v>2</v>
      </c>
      <c r="T19" s="166" t="s">
        <v>340</v>
      </c>
      <c r="U19" s="53" t="s">
        <v>221</v>
      </c>
      <c r="V19" s="140">
        <v>11536</v>
      </c>
      <c r="W19" s="138">
        <v>0</v>
      </c>
      <c r="X19" s="88">
        <f t="shared" si="12"/>
        <v>0</v>
      </c>
      <c r="Y19" s="112">
        <v>0</v>
      </c>
      <c r="Z19" s="89">
        <f t="shared" si="13"/>
        <v>0</v>
      </c>
    </row>
    <row r="20" spans="2:26" x14ac:dyDescent="0.25">
      <c r="B20" s="311"/>
      <c r="C20" s="175">
        <v>41.70000000000001</v>
      </c>
      <c r="D20" s="48" t="s">
        <v>160</v>
      </c>
      <c r="E20" s="48" t="s">
        <v>26</v>
      </c>
      <c r="F20" s="160" t="s">
        <v>213</v>
      </c>
      <c r="G20" s="48">
        <v>7.4</v>
      </c>
      <c r="H20" s="44">
        <f t="shared" si="8"/>
        <v>7400</v>
      </c>
      <c r="I20" s="48">
        <v>474</v>
      </c>
      <c r="J20" s="48">
        <v>254</v>
      </c>
      <c r="K20" s="44">
        <f t="shared" si="9"/>
        <v>5.7727272727272725</v>
      </c>
      <c r="L20" s="48">
        <f t="shared" si="10"/>
        <v>6</v>
      </c>
      <c r="M20" s="44">
        <f>(H20+300)</f>
        <v>7700</v>
      </c>
      <c r="N20" s="44">
        <f t="shared" si="3"/>
        <v>574</v>
      </c>
      <c r="O20" s="164">
        <v>44</v>
      </c>
      <c r="P20" s="44">
        <f t="shared" si="11"/>
        <v>4.7727272727272725</v>
      </c>
      <c r="Q20" s="44">
        <f t="shared" si="14"/>
        <v>10</v>
      </c>
      <c r="R20" s="165" t="s">
        <v>342</v>
      </c>
      <c r="S20" s="58">
        <v>2</v>
      </c>
      <c r="T20" s="166" t="s">
        <v>340</v>
      </c>
      <c r="U20" s="53" t="s">
        <v>221</v>
      </c>
      <c r="V20" s="140">
        <v>11536</v>
      </c>
      <c r="W20" s="138">
        <v>0</v>
      </c>
      <c r="X20" s="88">
        <f t="shared" si="12"/>
        <v>0</v>
      </c>
      <c r="Y20" s="112">
        <v>0</v>
      </c>
      <c r="Z20" s="89">
        <f t="shared" si="13"/>
        <v>0</v>
      </c>
    </row>
    <row r="21" spans="2:26" x14ac:dyDescent="0.25">
      <c r="B21" s="311"/>
      <c r="C21" s="175">
        <v>41.800000000000011</v>
      </c>
      <c r="D21" s="48" t="s">
        <v>160</v>
      </c>
      <c r="E21" s="48" t="s">
        <v>163</v>
      </c>
      <c r="F21" s="160" t="s">
        <v>213</v>
      </c>
      <c r="G21" s="48">
        <v>7</v>
      </c>
      <c r="H21" s="44">
        <f t="shared" si="8"/>
        <v>7000</v>
      </c>
      <c r="I21" s="48">
        <v>474</v>
      </c>
      <c r="J21" s="48">
        <v>254</v>
      </c>
      <c r="K21" s="44">
        <f t="shared" si="9"/>
        <v>11.545454545454545</v>
      </c>
      <c r="L21" s="48">
        <f t="shared" si="10"/>
        <v>12</v>
      </c>
      <c r="M21" s="44">
        <f>(H21+350)</f>
        <v>7350</v>
      </c>
      <c r="N21" s="44">
        <f t="shared" si="3"/>
        <v>574</v>
      </c>
      <c r="O21" s="159">
        <v>22</v>
      </c>
      <c r="P21" s="44">
        <f t="shared" si="11"/>
        <v>10.545454545454545</v>
      </c>
      <c r="Q21" s="44">
        <f t="shared" si="14"/>
        <v>22</v>
      </c>
      <c r="R21" s="165" t="s">
        <v>342</v>
      </c>
      <c r="S21" s="58">
        <v>2</v>
      </c>
      <c r="T21" s="166" t="s">
        <v>340</v>
      </c>
      <c r="U21" s="53" t="s">
        <v>221</v>
      </c>
      <c r="V21" s="140">
        <v>11536</v>
      </c>
      <c r="W21" s="138">
        <v>0</v>
      </c>
      <c r="X21" s="88">
        <f t="shared" si="12"/>
        <v>0</v>
      </c>
      <c r="Y21" s="112">
        <v>0</v>
      </c>
      <c r="Z21" s="89">
        <f t="shared" si="13"/>
        <v>0</v>
      </c>
    </row>
    <row r="22" spans="2:26" x14ac:dyDescent="0.25">
      <c r="B22" s="311"/>
      <c r="C22" s="175">
        <v>41.900000000000013</v>
      </c>
      <c r="D22" s="48" t="s">
        <v>160</v>
      </c>
      <c r="E22" s="48" t="s">
        <v>167</v>
      </c>
      <c r="F22" s="160" t="s">
        <v>212</v>
      </c>
      <c r="G22" s="48">
        <v>2.4</v>
      </c>
      <c r="H22" s="44">
        <f t="shared" si="8"/>
        <v>2400</v>
      </c>
      <c r="I22" s="48">
        <v>474</v>
      </c>
      <c r="J22" s="48">
        <v>254</v>
      </c>
      <c r="K22" s="44">
        <f t="shared" si="9"/>
        <v>11.545454545454545</v>
      </c>
      <c r="L22" s="48">
        <f t="shared" si="10"/>
        <v>12</v>
      </c>
      <c r="M22" s="44">
        <f>(H22+350)</f>
        <v>2750</v>
      </c>
      <c r="N22" s="44">
        <f t="shared" si="3"/>
        <v>574</v>
      </c>
      <c r="O22" s="159">
        <v>22</v>
      </c>
      <c r="P22" s="44">
        <f t="shared" si="11"/>
        <v>10.545454545454545</v>
      </c>
      <c r="Q22" s="44">
        <f t="shared" si="14"/>
        <v>22</v>
      </c>
      <c r="R22" s="162" t="s">
        <v>341</v>
      </c>
      <c r="S22" s="58">
        <v>2</v>
      </c>
      <c r="T22" s="161" t="s">
        <v>339</v>
      </c>
      <c r="U22" s="53" t="s">
        <v>221</v>
      </c>
      <c r="V22" s="140">
        <v>11536</v>
      </c>
      <c r="W22" s="138">
        <v>0</v>
      </c>
      <c r="X22" s="88">
        <f t="shared" si="12"/>
        <v>0</v>
      </c>
      <c r="Y22" s="112">
        <v>0</v>
      </c>
      <c r="Z22" s="89">
        <f t="shared" si="13"/>
        <v>0</v>
      </c>
    </row>
    <row r="23" spans="2:26" x14ac:dyDescent="0.25">
      <c r="B23" s="311"/>
      <c r="C23" s="175">
        <v>42.70000000000001</v>
      </c>
      <c r="D23" s="48" t="s">
        <v>160</v>
      </c>
      <c r="E23" s="48" t="s">
        <v>26</v>
      </c>
      <c r="F23" s="160" t="s">
        <v>213</v>
      </c>
      <c r="G23" s="48">
        <v>7.4</v>
      </c>
      <c r="H23" s="44">
        <f t="shared" si="8"/>
        <v>7400</v>
      </c>
      <c r="I23" s="48">
        <v>474</v>
      </c>
      <c r="J23" s="48">
        <v>254</v>
      </c>
      <c r="K23" s="44">
        <f t="shared" si="9"/>
        <v>5.7727272727272725</v>
      </c>
      <c r="L23" s="48">
        <f t="shared" si="10"/>
        <v>6</v>
      </c>
      <c r="M23" s="44">
        <f>(H23+300)</f>
        <v>7700</v>
      </c>
      <c r="N23" s="44">
        <f t="shared" si="3"/>
        <v>574</v>
      </c>
      <c r="O23" s="164">
        <v>44</v>
      </c>
      <c r="P23" s="44">
        <f t="shared" si="11"/>
        <v>4.7727272727272725</v>
      </c>
      <c r="Q23" s="44">
        <f t="shared" si="14"/>
        <v>10</v>
      </c>
      <c r="R23" s="165" t="s">
        <v>342</v>
      </c>
      <c r="S23" s="58">
        <v>2</v>
      </c>
      <c r="T23" s="166" t="s">
        <v>340</v>
      </c>
      <c r="U23" s="53" t="s">
        <v>221</v>
      </c>
      <c r="V23" s="140">
        <v>11536</v>
      </c>
      <c r="W23" s="138">
        <v>0</v>
      </c>
      <c r="X23" s="88">
        <f t="shared" si="12"/>
        <v>0</v>
      </c>
      <c r="Y23" s="112">
        <v>0</v>
      </c>
      <c r="Z23" s="89">
        <f t="shared" si="13"/>
        <v>0</v>
      </c>
    </row>
    <row r="24" spans="2:26" x14ac:dyDescent="0.25">
      <c r="B24" s="311"/>
      <c r="C24" s="175">
        <v>42.800000000000011</v>
      </c>
      <c r="D24" s="48" t="s">
        <v>160</v>
      </c>
      <c r="E24" s="48" t="s">
        <v>163</v>
      </c>
      <c r="F24" s="160" t="s">
        <v>213</v>
      </c>
      <c r="G24" s="48">
        <v>7.4</v>
      </c>
      <c r="H24" s="44">
        <f t="shared" si="8"/>
        <v>7400</v>
      </c>
      <c r="I24" s="48">
        <v>474</v>
      </c>
      <c r="J24" s="48">
        <v>254</v>
      </c>
      <c r="K24" s="44">
        <f t="shared" si="9"/>
        <v>11.545454545454545</v>
      </c>
      <c r="L24" s="48">
        <f t="shared" si="10"/>
        <v>12</v>
      </c>
      <c r="M24" s="44">
        <f t="shared" ref="M24:M29" si="15">(H24+350)</f>
        <v>7750</v>
      </c>
      <c r="N24" s="44">
        <f t="shared" si="3"/>
        <v>574</v>
      </c>
      <c r="O24" s="159">
        <v>22</v>
      </c>
      <c r="P24" s="44">
        <f t="shared" si="11"/>
        <v>10.545454545454545</v>
      </c>
      <c r="Q24" s="44">
        <f t="shared" si="14"/>
        <v>22</v>
      </c>
      <c r="R24" s="165" t="s">
        <v>342</v>
      </c>
      <c r="S24" s="58">
        <v>2</v>
      </c>
      <c r="T24" s="166" t="s">
        <v>340</v>
      </c>
      <c r="U24" s="53" t="s">
        <v>221</v>
      </c>
      <c r="V24" s="140">
        <v>11536</v>
      </c>
      <c r="W24" s="138">
        <v>0</v>
      </c>
      <c r="X24" s="88">
        <f t="shared" si="12"/>
        <v>0</v>
      </c>
      <c r="Y24" s="112">
        <v>0</v>
      </c>
      <c r="Z24" s="89">
        <f t="shared" si="13"/>
        <v>0</v>
      </c>
    </row>
    <row r="25" spans="2:26" x14ac:dyDescent="0.25">
      <c r="B25" s="311"/>
      <c r="C25" s="175">
        <v>42.900000000000013</v>
      </c>
      <c r="D25" s="48" t="s">
        <v>160</v>
      </c>
      <c r="E25" s="48" t="s">
        <v>167</v>
      </c>
      <c r="F25" s="160" t="s">
        <v>212</v>
      </c>
      <c r="G25" s="48">
        <v>4.4000000000000004</v>
      </c>
      <c r="H25" s="44">
        <f t="shared" si="8"/>
        <v>4400</v>
      </c>
      <c r="I25" s="48">
        <v>474</v>
      </c>
      <c r="J25" s="48">
        <v>254</v>
      </c>
      <c r="K25" s="44">
        <f t="shared" si="9"/>
        <v>11.545454545454545</v>
      </c>
      <c r="L25" s="48">
        <f t="shared" si="10"/>
        <v>12</v>
      </c>
      <c r="M25" s="44">
        <f t="shared" si="15"/>
        <v>4750</v>
      </c>
      <c r="N25" s="44">
        <f t="shared" si="3"/>
        <v>574</v>
      </c>
      <c r="O25" s="159">
        <v>22</v>
      </c>
      <c r="P25" s="44">
        <f t="shared" si="11"/>
        <v>10.545454545454545</v>
      </c>
      <c r="Q25" s="44">
        <f t="shared" si="14"/>
        <v>22</v>
      </c>
      <c r="R25" s="162" t="s">
        <v>341</v>
      </c>
      <c r="S25" s="58">
        <v>2</v>
      </c>
      <c r="T25" s="161" t="s">
        <v>339</v>
      </c>
      <c r="U25" s="53" t="s">
        <v>221</v>
      </c>
      <c r="V25" s="140">
        <v>11536</v>
      </c>
      <c r="W25" s="138">
        <v>0</v>
      </c>
      <c r="X25" s="88">
        <f t="shared" si="12"/>
        <v>0</v>
      </c>
      <c r="Y25" s="112">
        <v>0</v>
      </c>
      <c r="Z25" s="89">
        <f t="shared" si="13"/>
        <v>0</v>
      </c>
    </row>
    <row r="26" spans="2:26" x14ac:dyDescent="0.25">
      <c r="B26" s="311"/>
      <c r="C26" s="175">
        <v>43.800000000000011</v>
      </c>
      <c r="D26" s="48" t="s">
        <v>160</v>
      </c>
      <c r="E26" s="48" t="s">
        <v>162</v>
      </c>
      <c r="F26" s="160" t="s">
        <v>213</v>
      </c>
      <c r="G26" s="48">
        <v>7.4</v>
      </c>
      <c r="H26" s="44">
        <f t="shared" si="8"/>
        <v>7400</v>
      </c>
      <c r="I26" s="48">
        <v>474</v>
      </c>
      <c r="J26" s="48">
        <v>254</v>
      </c>
      <c r="K26" s="44">
        <f t="shared" si="9"/>
        <v>11.545454545454545</v>
      </c>
      <c r="L26" s="48">
        <f t="shared" si="10"/>
        <v>12</v>
      </c>
      <c r="M26" s="44">
        <f t="shared" si="15"/>
        <v>7750</v>
      </c>
      <c r="N26" s="44">
        <f t="shared" si="3"/>
        <v>574</v>
      </c>
      <c r="O26" s="159">
        <v>22</v>
      </c>
      <c r="P26" s="44">
        <f t="shared" si="11"/>
        <v>10.545454545454545</v>
      </c>
      <c r="Q26" s="44">
        <f t="shared" si="14"/>
        <v>22</v>
      </c>
      <c r="R26" s="165" t="s">
        <v>342</v>
      </c>
      <c r="S26" s="58">
        <v>2</v>
      </c>
      <c r="T26" s="166" t="s">
        <v>340</v>
      </c>
      <c r="U26" s="53" t="s">
        <v>221</v>
      </c>
      <c r="V26" s="140">
        <v>11536</v>
      </c>
      <c r="W26" s="138">
        <v>0</v>
      </c>
      <c r="X26" s="88">
        <f t="shared" si="12"/>
        <v>0</v>
      </c>
      <c r="Y26" s="112">
        <v>0</v>
      </c>
      <c r="Z26" s="89">
        <f t="shared" si="13"/>
        <v>0</v>
      </c>
    </row>
    <row r="27" spans="2:26" x14ac:dyDescent="0.25">
      <c r="B27" s="311"/>
      <c r="C27" s="175">
        <v>43.900000000000013</v>
      </c>
      <c r="D27" s="48" t="s">
        <v>160</v>
      </c>
      <c r="E27" s="48" t="s">
        <v>163</v>
      </c>
      <c r="F27" s="160" t="s">
        <v>213</v>
      </c>
      <c r="G27" s="48">
        <v>6.4</v>
      </c>
      <c r="H27" s="44">
        <f t="shared" si="8"/>
        <v>6400</v>
      </c>
      <c r="I27" s="48">
        <v>474</v>
      </c>
      <c r="J27" s="48">
        <v>254</v>
      </c>
      <c r="K27" s="44">
        <f t="shared" si="9"/>
        <v>11.545454545454545</v>
      </c>
      <c r="L27" s="48">
        <f t="shared" si="10"/>
        <v>12</v>
      </c>
      <c r="M27" s="44">
        <f t="shared" si="15"/>
        <v>6750</v>
      </c>
      <c r="N27" s="44">
        <f t="shared" si="3"/>
        <v>574</v>
      </c>
      <c r="O27" s="159">
        <v>22</v>
      </c>
      <c r="P27" s="44">
        <f t="shared" si="11"/>
        <v>10.545454545454545</v>
      </c>
      <c r="Q27" s="44">
        <f t="shared" si="14"/>
        <v>22</v>
      </c>
      <c r="R27" s="165" t="s">
        <v>342</v>
      </c>
      <c r="S27" s="58">
        <v>2</v>
      </c>
      <c r="T27" s="166" t="s">
        <v>340</v>
      </c>
      <c r="U27" s="53" t="s">
        <v>221</v>
      </c>
      <c r="V27" s="140">
        <v>11536</v>
      </c>
      <c r="W27" s="138">
        <v>0</v>
      </c>
      <c r="X27" s="88">
        <f t="shared" si="12"/>
        <v>0</v>
      </c>
      <c r="Y27" s="112">
        <v>0</v>
      </c>
      <c r="Z27" s="89">
        <f t="shared" si="13"/>
        <v>0</v>
      </c>
    </row>
    <row r="28" spans="2:26" x14ac:dyDescent="0.25">
      <c r="B28" s="311"/>
      <c r="C28" s="175">
        <v>44.800000000000011</v>
      </c>
      <c r="D28" s="48" t="s">
        <v>160</v>
      </c>
      <c r="E28" s="48" t="s">
        <v>162</v>
      </c>
      <c r="F28" s="160" t="s">
        <v>213</v>
      </c>
      <c r="G28" s="48">
        <v>8.3000000000000007</v>
      </c>
      <c r="H28" s="44">
        <f t="shared" si="8"/>
        <v>8300</v>
      </c>
      <c r="I28" s="48">
        <v>474</v>
      </c>
      <c r="J28" s="48">
        <v>254</v>
      </c>
      <c r="K28" s="44">
        <f t="shared" si="9"/>
        <v>11.545454545454545</v>
      </c>
      <c r="L28" s="48">
        <f t="shared" si="10"/>
        <v>12</v>
      </c>
      <c r="M28" s="44">
        <f t="shared" si="15"/>
        <v>8650</v>
      </c>
      <c r="N28" s="44">
        <f t="shared" si="3"/>
        <v>574</v>
      </c>
      <c r="O28" s="159">
        <v>22</v>
      </c>
      <c r="P28" s="44">
        <f t="shared" si="11"/>
        <v>10.545454545454545</v>
      </c>
      <c r="Q28" s="44">
        <f t="shared" si="14"/>
        <v>22</v>
      </c>
      <c r="R28" s="165" t="s">
        <v>342</v>
      </c>
      <c r="S28" s="58">
        <v>2</v>
      </c>
      <c r="T28" s="166" t="s">
        <v>340</v>
      </c>
      <c r="U28" s="53" t="s">
        <v>221</v>
      </c>
      <c r="V28" s="140">
        <v>11536</v>
      </c>
      <c r="W28" s="138">
        <v>0</v>
      </c>
      <c r="X28" s="88">
        <f t="shared" si="12"/>
        <v>0</v>
      </c>
      <c r="Y28" s="112">
        <v>0</v>
      </c>
      <c r="Z28" s="89">
        <f t="shared" si="13"/>
        <v>0</v>
      </c>
    </row>
    <row r="29" spans="2:26" ht="15.75" thickBot="1" x14ac:dyDescent="0.3">
      <c r="B29" s="311"/>
      <c r="C29" s="175">
        <v>44.900000000000013</v>
      </c>
      <c r="D29" s="48" t="s">
        <v>160</v>
      </c>
      <c r="E29" s="48" t="s">
        <v>163</v>
      </c>
      <c r="F29" s="160" t="s">
        <v>212</v>
      </c>
      <c r="G29" s="48">
        <v>3</v>
      </c>
      <c r="H29" s="44">
        <f t="shared" si="8"/>
        <v>3000</v>
      </c>
      <c r="I29" s="48">
        <v>474</v>
      </c>
      <c r="J29" s="48">
        <v>254</v>
      </c>
      <c r="K29" s="44">
        <f t="shared" si="9"/>
        <v>11.545454545454545</v>
      </c>
      <c r="L29" s="48">
        <f t="shared" si="10"/>
        <v>12</v>
      </c>
      <c r="M29" s="44">
        <f t="shared" si="15"/>
        <v>3350</v>
      </c>
      <c r="N29" s="44">
        <f t="shared" si="3"/>
        <v>574</v>
      </c>
      <c r="O29" s="159">
        <v>22</v>
      </c>
      <c r="P29" s="44">
        <f t="shared" si="11"/>
        <v>10.545454545454545</v>
      </c>
      <c r="Q29" s="44">
        <f t="shared" si="14"/>
        <v>22</v>
      </c>
      <c r="R29" s="162" t="s">
        <v>341</v>
      </c>
      <c r="S29" s="58">
        <v>2</v>
      </c>
      <c r="T29" s="161" t="s">
        <v>339</v>
      </c>
      <c r="U29" s="53" t="s">
        <v>221</v>
      </c>
      <c r="V29" s="140">
        <v>11536</v>
      </c>
      <c r="W29" s="139">
        <v>0</v>
      </c>
      <c r="X29" s="90">
        <f t="shared" si="12"/>
        <v>0</v>
      </c>
      <c r="Y29" s="113">
        <v>0</v>
      </c>
      <c r="Z29" s="91">
        <f t="shared" si="13"/>
        <v>0</v>
      </c>
    </row>
    <row r="30" spans="2:26" s="66" customFormat="1" ht="15.75" thickBot="1" x14ac:dyDescent="0.3">
      <c r="B30" s="313"/>
      <c r="C30" s="189" t="s">
        <v>269</v>
      </c>
      <c r="D30" s="180"/>
      <c r="E30" s="180"/>
      <c r="F30" s="180"/>
      <c r="G30" s="180"/>
      <c r="H30" s="180"/>
      <c r="I30" s="180"/>
      <c r="J30" s="180"/>
      <c r="K30" s="180"/>
      <c r="L30" s="180"/>
      <c r="M30" s="180"/>
      <c r="N30" s="180"/>
      <c r="O30" s="180"/>
      <c r="P30" s="180"/>
      <c r="Q30" s="180">
        <f>SUM(Q18:Q29)</f>
        <v>232</v>
      </c>
      <c r="R30" s="180"/>
      <c r="S30" s="180">
        <f>SUM(S18:S29)</f>
        <v>24</v>
      </c>
      <c r="T30" s="180"/>
      <c r="U30" s="180"/>
      <c r="V30" s="180"/>
      <c r="W30" s="130"/>
      <c r="X30" s="75">
        <f>SUM(X18:X29)</f>
        <v>0</v>
      </c>
      <c r="Y30" s="75"/>
      <c r="Z30" s="75">
        <f>SUM(Z18:Z29)</f>
        <v>0</v>
      </c>
    </row>
    <row r="31" spans="2:26" x14ac:dyDescent="0.25">
      <c r="B31" s="310" t="s">
        <v>365</v>
      </c>
      <c r="C31" s="175">
        <v>45.800000000000011</v>
      </c>
      <c r="D31" s="48" t="s">
        <v>48</v>
      </c>
      <c r="E31" s="48" t="s">
        <v>126</v>
      </c>
      <c r="F31" s="160" t="s">
        <v>212</v>
      </c>
      <c r="G31" s="48">
        <v>5</v>
      </c>
      <c r="H31" s="44">
        <f t="shared" ref="H31:H41" si="16">CONVERT(G31,"m","mm")</f>
        <v>5000</v>
      </c>
      <c r="I31" s="48">
        <v>330</v>
      </c>
      <c r="J31" s="48">
        <v>203</v>
      </c>
      <c r="K31" s="44">
        <f t="shared" si="9"/>
        <v>4.6136363636363633</v>
      </c>
      <c r="L31" s="48">
        <f t="shared" ref="L31:L41" si="17">ROUNDUP(K31,0)</f>
        <v>5</v>
      </c>
      <c r="M31" s="44">
        <f t="shared" ref="M31:M41" si="18">(H31+300)</f>
        <v>5300</v>
      </c>
      <c r="N31" s="44">
        <f t="shared" si="3"/>
        <v>430</v>
      </c>
      <c r="O31" s="164">
        <v>44</v>
      </c>
      <c r="P31" s="44">
        <f t="shared" ref="P31:P41" si="19">(K31-1)</f>
        <v>3.6136363636363633</v>
      </c>
      <c r="Q31" s="44">
        <f>(L31-1)*2</f>
        <v>8</v>
      </c>
      <c r="R31" s="162" t="s">
        <v>341</v>
      </c>
      <c r="S31" s="58">
        <v>2</v>
      </c>
      <c r="T31" s="161" t="s">
        <v>339</v>
      </c>
      <c r="U31" s="53" t="s">
        <v>221</v>
      </c>
      <c r="V31" s="140">
        <v>11689</v>
      </c>
      <c r="W31" s="137">
        <v>0</v>
      </c>
      <c r="X31" s="86">
        <f t="shared" ref="X31:X41" si="20">(W31*Q31)</f>
        <v>0</v>
      </c>
      <c r="Y31" s="111">
        <v>0</v>
      </c>
      <c r="Z31" s="87">
        <f t="shared" ref="Z31:Z41" si="21">(Y31*S31)</f>
        <v>0</v>
      </c>
    </row>
    <row r="32" spans="2:26" x14ac:dyDescent="0.25">
      <c r="B32" s="311"/>
      <c r="C32" s="175">
        <v>45.900000000000013</v>
      </c>
      <c r="D32" s="48" t="s">
        <v>48</v>
      </c>
      <c r="E32" s="48" t="s">
        <v>126</v>
      </c>
      <c r="F32" s="160" t="s">
        <v>212</v>
      </c>
      <c r="G32" s="48">
        <v>2.5</v>
      </c>
      <c r="H32" s="44">
        <f t="shared" si="16"/>
        <v>2500</v>
      </c>
      <c r="I32" s="48">
        <v>330</v>
      </c>
      <c r="J32" s="48">
        <v>203</v>
      </c>
      <c r="K32" s="44">
        <f t="shared" si="9"/>
        <v>4.6136363636363633</v>
      </c>
      <c r="L32" s="48">
        <f t="shared" si="17"/>
        <v>5</v>
      </c>
      <c r="M32" s="44">
        <f t="shared" si="18"/>
        <v>2800</v>
      </c>
      <c r="N32" s="44">
        <f t="shared" ref="N32:N95" si="22">(I32+100)</f>
        <v>430</v>
      </c>
      <c r="O32" s="164">
        <v>44</v>
      </c>
      <c r="P32" s="44">
        <f t="shared" si="19"/>
        <v>3.6136363636363633</v>
      </c>
      <c r="Q32" s="44">
        <f t="shared" ref="Q32:Q41" si="23">(L32-1)*2</f>
        <v>8</v>
      </c>
      <c r="R32" s="162" t="s">
        <v>341</v>
      </c>
      <c r="S32" s="58">
        <v>2</v>
      </c>
      <c r="T32" s="161" t="s">
        <v>339</v>
      </c>
      <c r="U32" s="53" t="s">
        <v>221</v>
      </c>
      <c r="V32" s="140">
        <v>11689</v>
      </c>
      <c r="W32" s="138">
        <v>0</v>
      </c>
      <c r="X32" s="88">
        <f t="shared" si="20"/>
        <v>0</v>
      </c>
      <c r="Y32" s="112">
        <v>0</v>
      </c>
      <c r="Z32" s="89">
        <f t="shared" si="21"/>
        <v>0</v>
      </c>
    </row>
    <row r="33" spans="2:26" x14ac:dyDescent="0.25">
      <c r="B33" s="311"/>
      <c r="C33" s="175">
        <v>45.1</v>
      </c>
      <c r="D33" s="48" t="s">
        <v>48</v>
      </c>
      <c r="E33" s="48" t="s">
        <v>126</v>
      </c>
      <c r="F33" s="160" t="s">
        <v>212</v>
      </c>
      <c r="G33" s="48">
        <v>2.4</v>
      </c>
      <c r="H33" s="44">
        <f t="shared" si="16"/>
        <v>2400</v>
      </c>
      <c r="I33" s="48">
        <v>330</v>
      </c>
      <c r="J33" s="48">
        <v>203</v>
      </c>
      <c r="K33" s="44">
        <f t="shared" si="9"/>
        <v>4.6136363636363633</v>
      </c>
      <c r="L33" s="48">
        <f t="shared" si="17"/>
        <v>5</v>
      </c>
      <c r="M33" s="44">
        <f t="shared" si="18"/>
        <v>2700</v>
      </c>
      <c r="N33" s="44">
        <f t="shared" si="22"/>
        <v>430</v>
      </c>
      <c r="O33" s="164">
        <v>44</v>
      </c>
      <c r="P33" s="44">
        <f t="shared" si="19"/>
        <v>3.6136363636363633</v>
      </c>
      <c r="Q33" s="44">
        <f t="shared" si="23"/>
        <v>8</v>
      </c>
      <c r="R33" s="162" t="s">
        <v>341</v>
      </c>
      <c r="S33" s="58">
        <v>2</v>
      </c>
      <c r="T33" s="161" t="s">
        <v>339</v>
      </c>
      <c r="U33" s="53" t="s">
        <v>221</v>
      </c>
      <c r="V33" s="140">
        <v>11689</v>
      </c>
      <c r="W33" s="138">
        <v>0</v>
      </c>
      <c r="X33" s="88">
        <f t="shared" si="20"/>
        <v>0</v>
      </c>
      <c r="Y33" s="112">
        <v>0</v>
      </c>
      <c r="Z33" s="89">
        <f t="shared" si="21"/>
        <v>0</v>
      </c>
    </row>
    <row r="34" spans="2:26" x14ac:dyDescent="0.25">
      <c r="B34" s="311"/>
      <c r="C34" s="175">
        <v>45.11</v>
      </c>
      <c r="D34" s="48" t="s">
        <v>48</v>
      </c>
      <c r="E34" s="48" t="s">
        <v>126</v>
      </c>
      <c r="F34" s="160" t="s">
        <v>212</v>
      </c>
      <c r="G34" s="48">
        <v>3.9</v>
      </c>
      <c r="H34" s="44">
        <f t="shared" si="16"/>
        <v>3900</v>
      </c>
      <c r="I34" s="48">
        <v>330</v>
      </c>
      <c r="J34" s="48">
        <v>203</v>
      </c>
      <c r="K34" s="44">
        <f t="shared" si="9"/>
        <v>4.6136363636363633</v>
      </c>
      <c r="L34" s="48">
        <f t="shared" si="17"/>
        <v>5</v>
      </c>
      <c r="M34" s="44">
        <f t="shared" si="18"/>
        <v>4200</v>
      </c>
      <c r="N34" s="44">
        <f t="shared" si="22"/>
        <v>430</v>
      </c>
      <c r="O34" s="164">
        <v>44</v>
      </c>
      <c r="P34" s="44">
        <f t="shared" si="19"/>
        <v>3.6136363636363633</v>
      </c>
      <c r="Q34" s="44">
        <f t="shared" si="23"/>
        <v>8</v>
      </c>
      <c r="R34" s="162" t="s">
        <v>341</v>
      </c>
      <c r="S34" s="58">
        <v>2</v>
      </c>
      <c r="T34" s="161" t="s">
        <v>339</v>
      </c>
      <c r="U34" s="53" t="s">
        <v>221</v>
      </c>
      <c r="V34" s="140">
        <v>11689</v>
      </c>
      <c r="W34" s="138">
        <v>0</v>
      </c>
      <c r="X34" s="88">
        <f t="shared" si="20"/>
        <v>0</v>
      </c>
      <c r="Y34" s="112">
        <v>0</v>
      </c>
      <c r="Z34" s="89">
        <f t="shared" si="21"/>
        <v>0</v>
      </c>
    </row>
    <row r="35" spans="2:26" x14ac:dyDescent="0.25">
      <c r="B35" s="311"/>
      <c r="C35" s="175">
        <v>46.14</v>
      </c>
      <c r="D35" s="48" t="s">
        <v>48</v>
      </c>
      <c r="E35" s="48" t="s">
        <v>126</v>
      </c>
      <c r="F35" s="160" t="s">
        <v>212</v>
      </c>
      <c r="G35" s="48">
        <v>2.5</v>
      </c>
      <c r="H35" s="44">
        <f t="shared" si="16"/>
        <v>2500</v>
      </c>
      <c r="I35" s="48">
        <v>260</v>
      </c>
      <c r="J35" s="48">
        <v>178</v>
      </c>
      <c r="K35" s="44">
        <f t="shared" si="9"/>
        <v>4.0454545454545459</v>
      </c>
      <c r="L35" s="48">
        <f t="shared" si="17"/>
        <v>5</v>
      </c>
      <c r="M35" s="44">
        <f t="shared" si="18"/>
        <v>2800</v>
      </c>
      <c r="N35" s="44">
        <f t="shared" si="22"/>
        <v>360</v>
      </c>
      <c r="O35" s="164">
        <v>44</v>
      </c>
      <c r="P35" s="44">
        <f t="shared" si="19"/>
        <v>3.0454545454545459</v>
      </c>
      <c r="Q35" s="44">
        <f t="shared" si="23"/>
        <v>8</v>
      </c>
      <c r="R35" s="162" t="s">
        <v>341</v>
      </c>
      <c r="S35" s="58">
        <v>2</v>
      </c>
      <c r="T35" s="161" t="s">
        <v>339</v>
      </c>
      <c r="U35" s="53" t="s">
        <v>221</v>
      </c>
      <c r="V35" s="140">
        <v>11689</v>
      </c>
      <c r="W35" s="138">
        <v>0</v>
      </c>
      <c r="X35" s="88">
        <f t="shared" si="20"/>
        <v>0</v>
      </c>
      <c r="Y35" s="112">
        <v>0</v>
      </c>
      <c r="Z35" s="89">
        <f t="shared" si="21"/>
        <v>0</v>
      </c>
    </row>
    <row r="36" spans="2:26" x14ac:dyDescent="0.25">
      <c r="B36" s="311"/>
      <c r="C36" s="175">
        <v>46.15</v>
      </c>
      <c r="D36" s="48" t="s">
        <v>48</v>
      </c>
      <c r="E36" s="48" t="s">
        <v>126</v>
      </c>
      <c r="F36" s="160" t="s">
        <v>212</v>
      </c>
      <c r="G36" s="48">
        <v>2.4</v>
      </c>
      <c r="H36" s="44">
        <f t="shared" si="16"/>
        <v>2400</v>
      </c>
      <c r="I36" s="48">
        <v>260</v>
      </c>
      <c r="J36" s="48">
        <v>178</v>
      </c>
      <c r="K36" s="44">
        <f t="shared" si="9"/>
        <v>4.0454545454545459</v>
      </c>
      <c r="L36" s="48">
        <f t="shared" si="17"/>
        <v>5</v>
      </c>
      <c r="M36" s="44">
        <f t="shared" si="18"/>
        <v>2700</v>
      </c>
      <c r="N36" s="44">
        <f t="shared" si="22"/>
        <v>360</v>
      </c>
      <c r="O36" s="164">
        <v>44</v>
      </c>
      <c r="P36" s="44">
        <f t="shared" si="19"/>
        <v>3.0454545454545459</v>
      </c>
      <c r="Q36" s="44">
        <f t="shared" si="23"/>
        <v>8</v>
      </c>
      <c r="R36" s="162" t="s">
        <v>341</v>
      </c>
      <c r="S36" s="58">
        <v>2</v>
      </c>
      <c r="T36" s="161" t="s">
        <v>339</v>
      </c>
      <c r="U36" s="53" t="s">
        <v>221</v>
      </c>
      <c r="V36" s="140">
        <v>11689</v>
      </c>
      <c r="W36" s="138">
        <v>0</v>
      </c>
      <c r="X36" s="88">
        <f t="shared" si="20"/>
        <v>0</v>
      </c>
      <c r="Y36" s="112">
        <v>0</v>
      </c>
      <c r="Z36" s="89">
        <f t="shared" si="21"/>
        <v>0</v>
      </c>
    </row>
    <row r="37" spans="2:26" x14ac:dyDescent="0.25">
      <c r="B37" s="311"/>
      <c r="C37" s="175">
        <v>46.16</v>
      </c>
      <c r="D37" s="48" t="s">
        <v>48</v>
      </c>
      <c r="E37" s="48" t="s">
        <v>126</v>
      </c>
      <c r="F37" s="160" t="s">
        <v>212</v>
      </c>
      <c r="G37" s="48">
        <v>2.4</v>
      </c>
      <c r="H37" s="44">
        <f t="shared" si="16"/>
        <v>2400</v>
      </c>
      <c r="I37" s="48">
        <v>260</v>
      </c>
      <c r="J37" s="48">
        <v>178</v>
      </c>
      <c r="K37" s="44">
        <f t="shared" si="9"/>
        <v>4.0454545454545459</v>
      </c>
      <c r="L37" s="48">
        <f t="shared" si="17"/>
        <v>5</v>
      </c>
      <c r="M37" s="44">
        <f t="shared" si="18"/>
        <v>2700</v>
      </c>
      <c r="N37" s="44">
        <f t="shared" si="22"/>
        <v>360</v>
      </c>
      <c r="O37" s="164">
        <v>44</v>
      </c>
      <c r="P37" s="44">
        <f t="shared" si="19"/>
        <v>3.0454545454545459</v>
      </c>
      <c r="Q37" s="44">
        <f t="shared" si="23"/>
        <v>8</v>
      </c>
      <c r="R37" s="162" t="s">
        <v>341</v>
      </c>
      <c r="S37" s="58">
        <v>2</v>
      </c>
      <c r="T37" s="161" t="s">
        <v>339</v>
      </c>
      <c r="U37" s="53" t="s">
        <v>221</v>
      </c>
      <c r="V37" s="140">
        <v>11689</v>
      </c>
      <c r="W37" s="138">
        <v>0</v>
      </c>
      <c r="X37" s="88">
        <f t="shared" si="20"/>
        <v>0</v>
      </c>
      <c r="Y37" s="112">
        <v>0</v>
      </c>
      <c r="Z37" s="89">
        <f t="shared" si="21"/>
        <v>0</v>
      </c>
    </row>
    <row r="38" spans="2:26" x14ac:dyDescent="0.25">
      <c r="B38" s="311"/>
      <c r="C38" s="175">
        <v>46.17</v>
      </c>
      <c r="D38" s="48" t="s">
        <v>48</v>
      </c>
      <c r="E38" s="48" t="s">
        <v>113</v>
      </c>
      <c r="F38" s="160" t="s">
        <v>212</v>
      </c>
      <c r="G38" s="48">
        <v>4.2</v>
      </c>
      <c r="H38" s="44">
        <f t="shared" si="16"/>
        <v>4200</v>
      </c>
      <c r="I38" s="48">
        <v>260</v>
      </c>
      <c r="J38" s="48">
        <v>178</v>
      </c>
      <c r="K38" s="44">
        <f t="shared" si="9"/>
        <v>4.0454545454545459</v>
      </c>
      <c r="L38" s="48">
        <f t="shared" si="17"/>
        <v>5</v>
      </c>
      <c r="M38" s="44">
        <f t="shared" si="18"/>
        <v>4500</v>
      </c>
      <c r="N38" s="44">
        <f t="shared" si="22"/>
        <v>360</v>
      </c>
      <c r="O38" s="164">
        <v>44</v>
      </c>
      <c r="P38" s="44">
        <f t="shared" si="19"/>
        <v>3.0454545454545459</v>
      </c>
      <c r="Q38" s="44">
        <f t="shared" si="23"/>
        <v>8</v>
      </c>
      <c r="R38" s="162" t="s">
        <v>341</v>
      </c>
      <c r="S38" s="58">
        <v>2</v>
      </c>
      <c r="T38" s="161" t="s">
        <v>339</v>
      </c>
      <c r="U38" s="53" t="s">
        <v>221</v>
      </c>
      <c r="V38" s="140">
        <v>11689</v>
      </c>
      <c r="W38" s="138">
        <v>0</v>
      </c>
      <c r="X38" s="88">
        <f t="shared" si="20"/>
        <v>0</v>
      </c>
      <c r="Y38" s="112">
        <v>0</v>
      </c>
      <c r="Z38" s="89">
        <f t="shared" si="21"/>
        <v>0</v>
      </c>
    </row>
    <row r="39" spans="2:26" x14ac:dyDescent="0.25">
      <c r="B39" s="311"/>
      <c r="C39" s="175">
        <v>47.14</v>
      </c>
      <c r="D39" s="48" t="s">
        <v>48</v>
      </c>
      <c r="E39" s="48" t="s">
        <v>126</v>
      </c>
      <c r="F39" s="160" t="s">
        <v>212</v>
      </c>
      <c r="G39" s="48">
        <v>2.5</v>
      </c>
      <c r="H39" s="44">
        <f t="shared" si="16"/>
        <v>2500</v>
      </c>
      <c r="I39" s="48">
        <v>260</v>
      </c>
      <c r="J39" s="48">
        <v>159</v>
      </c>
      <c r="K39" s="44">
        <f t="shared" si="9"/>
        <v>3.6136363636363638</v>
      </c>
      <c r="L39" s="48">
        <f t="shared" si="17"/>
        <v>4</v>
      </c>
      <c r="M39" s="44">
        <f t="shared" si="18"/>
        <v>2800</v>
      </c>
      <c r="N39" s="44">
        <f t="shared" si="22"/>
        <v>360</v>
      </c>
      <c r="O39" s="164">
        <v>44</v>
      </c>
      <c r="P39" s="44">
        <f t="shared" si="19"/>
        <v>2.6136363636363638</v>
      </c>
      <c r="Q39" s="44">
        <f t="shared" si="23"/>
        <v>6</v>
      </c>
      <c r="R39" s="162" t="s">
        <v>341</v>
      </c>
      <c r="S39" s="58">
        <v>2</v>
      </c>
      <c r="T39" s="161" t="s">
        <v>339</v>
      </c>
      <c r="U39" s="53" t="s">
        <v>221</v>
      </c>
      <c r="V39" s="140">
        <v>11689</v>
      </c>
      <c r="W39" s="138">
        <v>0</v>
      </c>
      <c r="X39" s="88">
        <f t="shared" si="20"/>
        <v>0</v>
      </c>
      <c r="Y39" s="112">
        <v>0</v>
      </c>
      <c r="Z39" s="89">
        <f t="shared" si="21"/>
        <v>0</v>
      </c>
    </row>
    <row r="40" spans="2:26" x14ac:dyDescent="0.25">
      <c r="B40" s="311"/>
      <c r="C40" s="175">
        <v>47.15</v>
      </c>
      <c r="D40" s="48" t="s">
        <v>48</v>
      </c>
      <c r="E40" s="48" t="s">
        <v>126</v>
      </c>
      <c r="F40" s="160" t="s">
        <v>213</v>
      </c>
      <c r="G40" s="48">
        <v>5.4</v>
      </c>
      <c r="H40" s="44">
        <f t="shared" si="16"/>
        <v>5400</v>
      </c>
      <c r="I40" s="48">
        <v>260</v>
      </c>
      <c r="J40" s="48">
        <v>159</v>
      </c>
      <c r="K40" s="44">
        <f t="shared" si="9"/>
        <v>3.6136363636363638</v>
      </c>
      <c r="L40" s="48">
        <f t="shared" si="17"/>
        <v>4</v>
      </c>
      <c r="M40" s="44">
        <f t="shared" si="18"/>
        <v>5700</v>
      </c>
      <c r="N40" s="44">
        <f t="shared" si="22"/>
        <v>360</v>
      </c>
      <c r="O40" s="164">
        <v>44</v>
      </c>
      <c r="P40" s="44">
        <f t="shared" si="19"/>
        <v>2.6136363636363638</v>
      </c>
      <c r="Q40" s="44">
        <f t="shared" si="23"/>
        <v>6</v>
      </c>
      <c r="R40" s="165" t="s">
        <v>342</v>
      </c>
      <c r="S40" s="58">
        <v>2</v>
      </c>
      <c r="T40" s="166" t="s">
        <v>340</v>
      </c>
      <c r="U40" s="53" t="s">
        <v>221</v>
      </c>
      <c r="V40" s="140">
        <v>11689</v>
      </c>
      <c r="W40" s="138">
        <v>0</v>
      </c>
      <c r="X40" s="88">
        <f t="shared" si="20"/>
        <v>0</v>
      </c>
      <c r="Y40" s="112">
        <v>0</v>
      </c>
      <c r="Z40" s="89">
        <f t="shared" si="21"/>
        <v>0</v>
      </c>
    </row>
    <row r="41" spans="2:26" ht="15.75" thickBot="1" x14ac:dyDescent="0.3">
      <c r="B41" s="311"/>
      <c r="C41" s="175">
        <v>47.16</v>
      </c>
      <c r="D41" s="48" t="s">
        <v>48</v>
      </c>
      <c r="E41" s="48" t="s">
        <v>148</v>
      </c>
      <c r="F41" s="160" t="s">
        <v>213</v>
      </c>
      <c r="G41" s="48">
        <v>5.8</v>
      </c>
      <c r="H41" s="44">
        <f t="shared" si="16"/>
        <v>5800</v>
      </c>
      <c r="I41" s="48">
        <v>300</v>
      </c>
      <c r="J41" s="48">
        <v>159</v>
      </c>
      <c r="K41" s="44">
        <f t="shared" si="9"/>
        <v>3.6136363636363638</v>
      </c>
      <c r="L41" s="48">
        <f t="shared" si="17"/>
        <v>4</v>
      </c>
      <c r="M41" s="44">
        <f t="shared" si="18"/>
        <v>6100</v>
      </c>
      <c r="N41" s="44">
        <f t="shared" si="22"/>
        <v>400</v>
      </c>
      <c r="O41" s="164">
        <v>44</v>
      </c>
      <c r="P41" s="44">
        <f t="shared" si="19"/>
        <v>2.6136363636363638</v>
      </c>
      <c r="Q41" s="44">
        <f t="shared" si="23"/>
        <v>6</v>
      </c>
      <c r="R41" s="165" t="s">
        <v>342</v>
      </c>
      <c r="S41" s="58">
        <v>2</v>
      </c>
      <c r="T41" s="166" t="s">
        <v>340</v>
      </c>
      <c r="U41" s="53" t="s">
        <v>221</v>
      </c>
      <c r="V41" s="140">
        <v>11689</v>
      </c>
      <c r="W41" s="139">
        <v>0</v>
      </c>
      <c r="X41" s="90">
        <f t="shared" si="20"/>
        <v>0</v>
      </c>
      <c r="Y41" s="113">
        <v>0</v>
      </c>
      <c r="Z41" s="91">
        <f t="shared" si="21"/>
        <v>0</v>
      </c>
    </row>
    <row r="42" spans="2:26" s="66" customFormat="1" ht="15.75" thickBot="1" x14ac:dyDescent="0.3">
      <c r="B42" s="313"/>
      <c r="C42" s="189" t="s">
        <v>270</v>
      </c>
      <c r="D42" s="180"/>
      <c r="E42" s="180"/>
      <c r="F42" s="180"/>
      <c r="G42" s="180"/>
      <c r="H42" s="180"/>
      <c r="I42" s="180"/>
      <c r="J42" s="180"/>
      <c r="K42" s="180"/>
      <c r="L42" s="180"/>
      <c r="M42" s="180"/>
      <c r="N42" s="180"/>
      <c r="O42" s="180"/>
      <c r="P42" s="180"/>
      <c r="Q42" s="180">
        <f>SUM(Q31:Q41)</f>
        <v>82</v>
      </c>
      <c r="R42" s="180"/>
      <c r="S42" s="180">
        <f>SUM(S31:S41)</f>
        <v>22</v>
      </c>
      <c r="T42" s="180"/>
      <c r="U42" s="180"/>
      <c r="V42" s="180"/>
      <c r="W42" s="130"/>
      <c r="X42" s="75">
        <f>SUM(X31:X41)</f>
        <v>0</v>
      </c>
      <c r="Y42" s="75"/>
      <c r="Z42" s="75">
        <f>SUM(Z31:Z41)</f>
        <v>0</v>
      </c>
    </row>
    <row r="43" spans="2:26" x14ac:dyDescent="0.25">
      <c r="B43" s="310" t="s">
        <v>366</v>
      </c>
      <c r="C43" s="175">
        <v>48.129999999999995</v>
      </c>
      <c r="D43" s="48" t="s">
        <v>48</v>
      </c>
      <c r="E43" s="48" t="s">
        <v>126</v>
      </c>
      <c r="F43" s="160" t="s">
        <v>212</v>
      </c>
      <c r="G43" s="48">
        <v>4</v>
      </c>
      <c r="H43" s="44">
        <f t="shared" ref="H43:H53" si="24">CONVERT(G43,"m","mm")</f>
        <v>4000</v>
      </c>
      <c r="I43" s="48">
        <v>260</v>
      </c>
      <c r="J43" s="48">
        <v>142</v>
      </c>
      <c r="K43" s="44">
        <f t="shared" si="9"/>
        <v>3.2272727272727271</v>
      </c>
      <c r="L43" s="48">
        <f t="shared" ref="L43:L53" si="25">ROUNDUP(K43,0)</f>
        <v>4</v>
      </c>
      <c r="M43" s="44">
        <f t="shared" ref="M43:M53" si="26">(H43+300)</f>
        <v>4300</v>
      </c>
      <c r="N43" s="44">
        <f t="shared" si="22"/>
        <v>360</v>
      </c>
      <c r="O43" s="164">
        <v>44</v>
      </c>
      <c r="P43" s="44">
        <f t="shared" ref="P43:P53" si="27">(K43-1)</f>
        <v>2.2272727272727271</v>
      </c>
      <c r="Q43" s="44">
        <f>(L43-1)*2</f>
        <v>6</v>
      </c>
      <c r="R43" s="162" t="s">
        <v>341</v>
      </c>
      <c r="S43" s="58">
        <v>2</v>
      </c>
      <c r="T43" s="161" t="s">
        <v>339</v>
      </c>
      <c r="U43" s="53" t="s">
        <v>221</v>
      </c>
      <c r="V43" s="140">
        <v>11810</v>
      </c>
      <c r="W43" s="137">
        <v>0</v>
      </c>
      <c r="X43" s="86">
        <f t="shared" ref="X43:X53" si="28">(W43*Q43)</f>
        <v>0</v>
      </c>
      <c r="Y43" s="111">
        <v>0</v>
      </c>
      <c r="Z43" s="87">
        <f t="shared" ref="Z43:Z53" si="29">(Y43*S43)</f>
        <v>0</v>
      </c>
    </row>
    <row r="44" spans="2:26" x14ac:dyDescent="0.25">
      <c r="B44" s="311"/>
      <c r="C44" s="175">
        <v>48.139999999999993</v>
      </c>
      <c r="D44" s="48" t="s">
        <v>48</v>
      </c>
      <c r="E44" s="48" t="s">
        <v>126</v>
      </c>
      <c r="F44" s="160" t="s">
        <v>213</v>
      </c>
      <c r="G44" s="48">
        <v>7.4</v>
      </c>
      <c r="H44" s="44">
        <f t="shared" si="24"/>
        <v>7400</v>
      </c>
      <c r="I44" s="48">
        <v>260</v>
      </c>
      <c r="J44" s="48">
        <v>142</v>
      </c>
      <c r="K44" s="44">
        <f t="shared" si="9"/>
        <v>3.2272727272727271</v>
      </c>
      <c r="L44" s="48">
        <f t="shared" si="25"/>
        <v>4</v>
      </c>
      <c r="M44" s="44">
        <f t="shared" si="26"/>
        <v>7700</v>
      </c>
      <c r="N44" s="44">
        <f t="shared" si="22"/>
        <v>360</v>
      </c>
      <c r="O44" s="164">
        <v>44</v>
      </c>
      <c r="P44" s="44">
        <f t="shared" si="27"/>
        <v>2.2272727272727271</v>
      </c>
      <c r="Q44" s="44">
        <f t="shared" ref="Q44:Q53" si="30">(L44-1)*2</f>
        <v>6</v>
      </c>
      <c r="R44" s="165" t="s">
        <v>342</v>
      </c>
      <c r="S44" s="58">
        <v>2</v>
      </c>
      <c r="T44" s="166" t="s">
        <v>340</v>
      </c>
      <c r="U44" s="53" t="s">
        <v>221</v>
      </c>
      <c r="V44" s="140">
        <v>11810</v>
      </c>
      <c r="W44" s="138">
        <v>0</v>
      </c>
      <c r="X44" s="88">
        <f t="shared" si="28"/>
        <v>0</v>
      </c>
      <c r="Y44" s="112">
        <v>0</v>
      </c>
      <c r="Z44" s="89">
        <f t="shared" si="29"/>
        <v>0</v>
      </c>
    </row>
    <row r="45" spans="2:26" x14ac:dyDescent="0.25">
      <c r="B45" s="311"/>
      <c r="C45" s="175">
        <v>48.149999999999991</v>
      </c>
      <c r="D45" s="48" t="s">
        <v>48</v>
      </c>
      <c r="E45" s="48" t="s">
        <v>113</v>
      </c>
      <c r="F45" s="160" t="s">
        <v>212</v>
      </c>
      <c r="G45" s="48">
        <v>3.6</v>
      </c>
      <c r="H45" s="44">
        <f t="shared" si="24"/>
        <v>3600</v>
      </c>
      <c r="I45" s="48">
        <v>260</v>
      </c>
      <c r="J45" s="48">
        <v>142</v>
      </c>
      <c r="K45" s="44">
        <f t="shared" si="9"/>
        <v>3.2272727272727271</v>
      </c>
      <c r="L45" s="48">
        <f t="shared" si="25"/>
        <v>4</v>
      </c>
      <c r="M45" s="44">
        <f t="shared" si="26"/>
        <v>3900</v>
      </c>
      <c r="N45" s="44">
        <f t="shared" si="22"/>
        <v>360</v>
      </c>
      <c r="O45" s="164">
        <v>44</v>
      </c>
      <c r="P45" s="44">
        <f t="shared" si="27"/>
        <v>2.2272727272727271</v>
      </c>
      <c r="Q45" s="44">
        <f t="shared" si="30"/>
        <v>6</v>
      </c>
      <c r="R45" s="162" t="s">
        <v>341</v>
      </c>
      <c r="S45" s="58">
        <v>2</v>
      </c>
      <c r="T45" s="161" t="s">
        <v>339</v>
      </c>
      <c r="U45" s="53" t="s">
        <v>221</v>
      </c>
      <c r="V45" s="140">
        <v>11810</v>
      </c>
      <c r="W45" s="138">
        <v>0</v>
      </c>
      <c r="X45" s="88">
        <f t="shared" si="28"/>
        <v>0</v>
      </c>
      <c r="Y45" s="112">
        <v>0</v>
      </c>
      <c r="Z45" s="89">
        <f t="shared" si="29"/>
        <v>0</v>
      </c>
    </row>
    <row r="46" spans="2:26" x14ac:dyDescent="0.25">
      <c r="B46" s="311"/>
      <c r="C46" s="175">
        <v>49.11</v>
      </c>
      <c r="D46" s="48" t="s">
        <v>48</v>
      </c>
      <c r="E46" s="48" t="s">
        <v>126</v>
      </c>
      <c r="F46" s="160" t="s">
        <v>213</v>
      </c>
      <c r="G46" s="48">
        <v>7</v>
      </c>
      <c r="H46" s="44">
        <f t="shared" si="24"/>
        <v>7000</v>
      </c>
      <c r="I46" s="48">
        <v>260</v>
      </c>
      <c r="J46" s="48">
        <v>127</v>
      </c>
      <c r="K46" s="44">
        <f t="shared" si="9"/>
        <v>2.8863636363636362</v>
      </c>
      <c r="L46" s="48">
        <f t="shared" si="25"/>
        <v>3</v>
      </c>
      <c r="M46" s="44">
        <f t="shared" si="26"/>
        <v>7300</v>
      </c>
      <c r="N46" s="44">
        <f t="shared" si="22"/>
        <v>360</v>
      </c>
      <c r="O46" s="164">
        <v>44</v>
      </c>
      <c r="P46" s="44">
        <f t="shared" si="27"/>
        <v>1.8863636363636362</v>
      </c>
      <c r="Q46" s="44">
        <f t="shared" si="30"/>
        <v>4</v>
      </c>
      <c r="R46" s="165" t="s">
        <v>342</v>
      </c>
      <c r="S46" s="58">
        <v>2</v>
      </c>
      <c r="T46" s="166" t="s">
        <v>340</v>
      </c>
      <c r="U46" s="53" t="s">
        <v>221</v>
      </c>
      <c r="V46" s="140">
        <v>11810</v>
      </c>
      <c r="W46" s="138">
        <v>0</v>
      </c>
      <c r="X46" s="88">
        <f t="shared" si="28"/>
        <v>0</v>
      </c>
      <c r="Y46" s="112">
        <v>0</v>
      </c>
      <c r="Z46" s="89">
        <f t="shared" si="29"/>
        <v>0</v>
      </c>
    </row>
    <row r="47" spans="2:26" x14ac:dyDescent="0.25">
      <c r="B47" s="311"/>
      <c r="C47" s="175">
        <v>49.12</v>
      </c>
      <c r="D47" s="48" t="s">
        <v>48</v>
      </c>
      <c r="E47" s="48" t="s">
        <v>113</v>
      </c>
      <c r="F47" s="160" t="s">
        <v>213</v>
      </c>
      <c r="G47" s="48">
        <v>7.6</v>
      </c>
      <c r="H47" s="44">
        <f t="shared" si="24"/>
        <v>7600</v>
      </c>
      <c r="I47" s="48">
        <v>260</v>
      </c>
      <c r="J47" s="48">
        <v>127</v>
      </c>
      <c r="K47" s="44">
        <f t="shared" si="9"/>
        <v>2.8863636363636362</v>
      </c>
      <c r="L47" s="48">
        <f t="shared" si="25"/>
        <v>3</v>
      </c>
      <c r="M47" s="44">
        <f t="shared" si="26"/>
        <v>7900</v>
      </c>
      <c r="N47" s="44">
        <f t="shared" si="22"/>
        <v>360</v>
      </c>
      <c r="O47" s="164">
        <v>44</v>
      </c>
      <c r="P47" s="44">
        <f t="shared" si="27"/>
        <v>1.8863636363636362</v>
      </c>
      <c r="Q47" s="44">
        <f t="shared" si="30"/>
        <v>4</v>
      </c>
      <c r="R47" s="165" t="s">
        <v>342</v>
      </c>
      <c r="S47" s="58">
        <v>2</v>
      </c>
      <c r="T47" s="166" t="s">
        <v>340</v>
      </c>
      <c r="U47" s="53" t="s">
        <v>221</v>
      </c>
      <c r="V47" s="140">
        <v>11810</v>
      </c>
      <c r="W47" s="138">
        <v>0</v>
      </c>
      <c r="X47" s="88">
        <f t="shared" si="28"/>
        <v>0</v>
      </c>
      <c r="Y47" s="112">
        <v>0</v>
      </c>
      <c r="Z47" s="89">
        <f t="shared" si="29"/>
        <v>0</v>
      </c>
    </row>
    <row r="48" spans="2:26" x14ac:dyDescent="0.25">
      <c r="B48" s="311"/>
      <c r="C48" s="175">
        <v>50.70000000000001</v>
      </c>
      <c r="D48" s="48" t="s">
        <v>130</v>
      </c>
      <c r="E48" s="48" t="s">
        <v>126</v>
      </c>
      <c r="F48" s="160" t="s">
        <v>213</v>
      </c>
      <c r="G48" s="48">
        <v>7.4</v>
      </c>
      <c r="H48" s="44">
        <f t="shared" si="24"/>
        <v>7400</v>
      </c>
      <c r="I48" s="48">
        <v>431</v>
      </c>
      <c r="J48" s="48">
        <v>140</v>
      </c>
      <c r="K48" s="44">
        <f t="shared" si="9"/>
        <v>3.1818181818181817</v>
      </c>
      <c r="L48" s="48">
        <f t="shared" si="25"/>
        <v>4</v>
      </c>
      <c r="M48" s="44">
        <f t="shared" si="26"/>
        <v>7700</v>
      </c>
      <c r="N48" s="44">
        <f t="shared" si="22"/>
        <v>531</v>
      </c>
      <c r="O48" s="164">
        <v>44</v>
      </c>
      <c r="P48" s="44">
        <f t="shared" si="27"/>
        <v>2.1818181818181817</v>
      </c>
      <c r="Q48" s="44">
        <f t="shared" si="30"/>
        <v>6</v>
      </c>
      <c r="R48" s="165" t="s">
        <v>342</v>
      </c>
      <c r="S48" s="58">
        <v>2</v>
      </c>
      <c r="T48" s="166" t="s">
        <v>340</v>
      </c>
      <c r="U48" s="53" t="s">
        <v>221</v>
      </c>
      <c r="V48" s="140">
        <v>11810</v>
      </c>
      <c r="W48" s="138">
        <v>0</v>
      </c>
      <c r="X48" s="88">
        <f t="shared" si="28"/>
        <v>0</v>
      </c>
      <c r="Y48" s="112">
        <v>0</v>
      </c>
      <c r="Z48" s="89">
        <f t="shared" si="29"/>
        <v>0</v>
      </c>
    </row>
    <row r="49" spans="2:26" x14ac:dyDescent="0.25">
      <c r="B49" s="311"/>
      <c r="C49" s="175">
        <v>50.800000000000011</v>
      </c>
      <c r="D49" s="48" t="s">
        <v>130</v>
      </c>
      <c r="E49" s="48" t="s">
        <v>126</v>
      </c>
      <c r="F49" s="160" t="s">
        <v>213</v>
      </c>
      <c r="G49" s="48">
        <v>7.7</v>
      </c>
      <c r="H49" s="44">
        <f t="shared" si="24"/>
        <v>7700</v>
      </c>
      <c r="I49" s="48">
        <v>431</v>
      </c>
      <c r="J49" s="48">
        <v>140</v>
      </c>
      <c r="K49" s="44">
        <f t="shared" si="9"/>
        <v>3.1818181818181817</v>
      </c>
      <c r="L49" s="48">
        <f t="shared" si="25"/>
        <v>4</v>
      </c>
      <c r="M49" s="44">
        <f t="shared" si="26"/>
        <v>8000</v>
      </c>
      <c r="N49" s="44">
        <f t="shared" si="22"/>
        <v>531</v>
      </c>
      <c r="O49" s="164">
        <v>44</v>
      </c>
      <c r="P49" s="44">
        <f t="shared" si="27"/>
        <v>2.1818181818181817</v>
      </c>
      <c r="Q49" s="44">
        <f t="shared" si="30"/>
        <v>6</v>
      </c>
      <c r="R49" s="165" t="s">
        <v>342</v>
      </c>
      <c r="S49" s="58">
        <v>2</v>
      </c>
      <c r="T49" s="166" t="s">
        <v>340</v>
      </c>
      <c r="U49" s="53" t="s">
        <v>221</v>
      </c>
      <c r="V49" s="140">
        <v>11810</v>
      </c>
      <c r="W49" s="138">
        <v>0</v>
      </c>
      <c r="X49" s="88">
        <f t="shared" si="28"/>
        <v>0</v>
      </c>
      <c r="Y49" s="112">
        <v>0</v>
      </c>
      <c r="Z49" s="89">
        <f t="shared" si="29"/>
        <v>0</v>
      </c>
    </row>
    <row r="50" spans="2:26" x14ac:dyDescent="0.25">
      <c r="B50" s="311"/>
      <c r="C50" s="175">
        <v>50.900000000000013</v>
      </c>
      <c r="D50" s="48" t="s">
        <v>130</v>
      </c>
      <c r="E50" s="48" t="s">
        <v>113</v>
      </c>
      <c r="F50" s="160" t="s">
        <v>212</v>
      </c>
      <c r="G50" s="48">
        <v>1.3</v>
      </c>
      <c r="H50" s="44">
        <f t="shared" si="24"/>
        <v>1300</v>
      </c>
      <c r="I50" s="48">
        <v>431</v>
      </c>
      <c r="J50" s="48">
        <v>140</v>
      </c>
      <c r="K50" s="44">
        <f t="shared" si="9"/>
        <v>3.1818181818181817</v>
      </c>
      <c r="L50" s="48">
        <f t="shared" si="25"/>
        <v>4</v>
      </c>
      <c r="M50" s="44">
        <f t="shared" si="26"/>
        <v>1600</v>
      </c>
      <c r="N50" s="44">
        <f t="shared" si="22"/>
        <v>531</v>
      </c>
      <c r="O50" s="164">
        <v>44</v>
      </c>
      <c r="P50" s="44">
        <f t="shared" si="27"/>
        <v>2.1818181818181817</v>
      </c>
      <c r="Q50" s="44">
        <f t="shared" si="30"/>
        <v>6</v>
      </c>
      <c r="R50" s="162" t="s">
        <v>341</v>
      </c>
      <c r="S50" s="58">
        <v>2</v>
      </c>
      <c r="T50" s="161" t="s">
        <v>339</v>
      </c>
      <c r="U50" s="53" t="s">
        <v>221</v>
      </c>
      <c r="V50" s="140">
        <v>11810</v>
      </c>
      <c r="W50" s="138">
        <v>0</v>
      </c>
      <c r="X50" s="88">
        <f t="shared" si="28"/>
        <v>0</v>
      </c>
      <c r="Y50" s="112">
        <v>0</v>
      </c>
      <c r="Z50" s="89">
        <f t="shared" si="29"/>
        <v>0</v>
      </c>
    </row>
    <row r="51" spans="2:26" x14ac:dyDescent="0.25">
      <c r="B51" s="311"/>
      <c r="C51" s="175">
        <v>51.800000000000011</v>
      </c>
      <c r="D51" s="48" t="s">
        <v>130</v>
      </c>
      <c r="E51" s="48" t="s">
        <v>126</v>
      </c>
      <c r="F51" s="160" t="s">
        <v>213</v>
      </c>
      <c r="G51" s="48">
        <v>7.4</v>
      </c>
      <c r="H51" s="44">
        <f t="shared" si="24"/>
        <v>7400</v>
      </c>
      <c r="I51" s="48">
        <v>431</v>
      </c>
      <c r="J51" s="48">
        <v>140</v>
      </c>
      <c r="K51" s="44">
        <f t="shared" si="9"/>
        <v>3.1818181818181817</v>
      </c>
      <c r="L51" s="48">
        <f t="shared" si="25"/>
        <v>4</v>
      </c>
      <c r="M51" s="44">
        <f t="shared" si="26"/>
        <v>7700</v>
      </c>
      <c r="N51" s="44">
        <f t="shared" si="22"/>
        <v>531</v>
      </c>
      <c r="O51" s="164">
        <v>44</v>
      </c>
      <c r="P51" s="44">
        <f t="shared" si="27"/>
        <v>2.1818181818181817</v>
      </c>
      <c r="Q51" s="44">
        <f t="shared" si="30"/>
        <v>6</v>
      </c>
      <c r="R51" s="165" t="s">
        <v>342</v>
      </c>
      <c r="S51" s="58">
        <v>2</v>
      </c>
      <c r="T51" s="166" t="s">
        <v>340</v>
      </c>
      <c r="U51" s="53" t="s">
        <v>221</v>
      </c>
      <c r="V51" s="140">
        <v>11810</v>
      </c>
      <c r="W51" s="138">
        <v>0</v>
      </c>
      <c r="X51" s="88">
        <f t="shared" si="28"/>
        <v>0</v>
      </c>
      <c r="Y51" s="112">
        <v>0</v>
      </c>
      <c r="Z51" s="89">
        <f t="shared" si="29"/>
        <v>0</v>
      </c>
    </row>
    <row r="52" spans="2:26" x14ac:dyDescent="0.25">
      <c r="B52" s="311"/>
      <c r="C52" s="175">
        <v>51.900000000000013</v>
      </c>
      <c r="D52" s="48" t="s">
        <v>130</v>
      </c>
      <c r="E52" s="48" t="s">
        <v>113</v>
      </c>
      <c r="F52" s="160" t="s">
        <v>212</v>
      </c>
      <c r="G52" s="48">
        <v>3.9</v>
      </c>
      <c r="H52" s="44">
        <f t="shared" si="24"/>
        <v>3900</v>
      </c>
      <c r="I52" s="48">
        <v>431</v>
      </c>
      <c r="J52" s="48">
        <v>140</v>
      </c>
      <c r="K52" s="44">
        <f t="shared" si="9"/>
        <v>3.1818181818181817</v>
      </c>
      <c r="L52" s="48">
        <f t="shared" si="25"/>
        <v>4</v>
      </c>
      <c r="M52" s="44">
        <f t="shared" si="26"/>
        <v>4200</v>
      </c>
      <c r="N52" s="44">
        <f t="shared" si="22"/>
        <v>531</v>
      </c>
      <c r="O52" s="164">
        <v>44</v>
      </c>
      <c r="P52" s="44">
        <f t="shared" si="27"/>
        <v>2.1818181818181817</v>
      </c>
      <c r="Q52" s="44">
        <f t="shared" si="30"/>
        <v>6</v>
      </c>
      <c r="R52" s="162" t="s">
        <v>341</v>
      </c>
      <c r="S52" s="58">
        <v>2</v>
      </c>
      <c r="T52" s="161" t="s">
        <v>339</v>
      </c>
      <c r="U52" s="53" t="s">
        <v>221</v>
      </c>
      <c r="V52" s="140">
        <v>11810</v>
      </c>
      <c r="W52" s="138">
        <v>0</v>
      </c>
      <c r="X52" s="88">
        <f t="shared" si="28"/>
        <v>0</v>
      </c>
      <c r="Y52" s="112">
        <v>0</v>
      </c>
      <c r="Z52" s="89">
        <f t="shared" si="29"/>
        <v>0</v>
      </c>
    </row>
    <row r="53" spans="2:26" ht="15.75" thickBot="1" x14ac:dyDescent="0.3">
      <c r="B53" s="311"/>
      <c r="C53" s="175">
        <v>51.1</v>
      </c>
      <c r="D53" s="48" t="s">
        <v>130</v>
      </c>
      <c r="E53" s="48" t="s">
        <v>113</v>
      </c>
      <c r="F53" s="160" t="s">
        <v>212</v>
      </c>
      <c r="G53" s="48">
        <v>1.5</v>
      </c>
      <c r="H53" s="44">
        <f t="shared" si="24"/>
        <v>1500</v>
      </c>
      <c r="I53" s="48">
        <v>431</v>
      </c>
      <c r="J53" s="48">
        <v>140</v>
      </c>
      <c r="K53" s="44">
        <f t="shared" si="9"/>
        <v>3.1818181818181817</v>
      </c>
      <c r="L53" s="48">
        <f t="shared" si="25"/>
        <v>4</v>
      </c>
      <c r="M53" s="44">
        <f t="shared" si="26"/>
        <v>1800</v>
      </c>
      <c r="N53" s="44">
        <f t="shared" si="22"/>
        <v>531</v>
      </c>
      <c r="O53" s="164">
        <v>44</v>
      </c>
      <c r="P53" s="44">
        <f t="shared" si="27"/>
        <v>2.1818181818181817</v>
      </c>
      <c r="Q53" s="44">
        <f t="shared" si="30"/>
        <v>6</v>
      </c>
      <c r="R53" s="162" t="s">
        <v>341</v>
      </c>
      <c r="S53" s="58">
        <v>2</v>
      </c>
      <c r="T53" s="161" t="s">
        <v>339</v>
      </c>
      <c r="U53" s="53" t="s">
        <v>221</v>
      </c>
      <c r="V53" s="140">
        <v>11810</v>
      </c>
      <c r="W53" s="139">
        <v>0</v>
      </c>
      <c r="X53" s="90">
        <f t="shared" si="28"/>
        <v>0</v>
      </c>
      <c r="Y53" s="113">
        <v>0</v>
      </c>
      <c r="Z53" s="91">
        <f t="shared" si="29"/>
        <v>0</v>
      </c>
    </row>
    <row r="54" spans="2:26" s="66" customFormat="1" ht="15.75" thickBot="1" x14ac:dyDescent="0.3">
      <c r="B54" s="313"/>
      <c r="C54" s="189" t="s">
        <v>271</v>
      </c>
      <c r="D54" s="180"/>
      <c r="E54" s="180"/>
      <c r="F54" s="180"/>
      <c r="G54" s="180"/>
      <c r="H54" s="180"/>
      <c r="I54" s="180"/>
      <c r="J54" s="180"/>
      <c r="K54" s="180"/>
      <c r="L54" s="180"/>
      <c r="M54" s="180"/>
      <c r="N54" s="180"/>
      <c r="O54" s="180"/>
      <c r="P54" s="180"/>
      <c r="Q54" s="180">
        <f>SUM(Q43:Q53)</f>
        <v>62</v>
      </c>
      <c r="R54" s="180"/>
      <c r="S54" s="180">
        <f>SUM(S43:S53)</f>
        <v>22</v>
      </c>
      <c r="T54" s="180"/>
      <c r="U54" s="180"/>
      <c r="V54" s="180"/>
      <c r="W54" s="130"/>
      <c r="X54" s="75">
        <f>SUM(X43:X53)</f>
        <v>0</v>
      </c>
      <c r="Y54" s="75"/>
      <c r="Z54" s="75">
        <f>SUM(Z43:Z53)</f>
        <v>0</v>
      </c>
    </row>
    <row r="55" spans="2:26" x14ac:dyDescent="0.25">
      <c r="B55" s="310" t="s">
        <v>367</v>
      </c>
      <c r="C55" s="175">
        <v>52.70000000000001</v>
      </c>
      <c r="D55" s="48" t="s">
        <v>48</v>
      </c>
      <c r="E55" s="48" t="s">
        <v>126</v>
      </c>
      <c r="F55" s="160" t="s">
        <v>213</v>
      </c>
      <c r="G55" s="48">
        <v>7.4</v>
      </c>
      <c r="H55" s="44">
        <f t="shared" ref="H55:H68" si="31">CONVERT(G55,"m","mm")</f>
        <v>7400</v>
      </c>
      <c r="I55" s="48">
        <v>431</v>
      </c>
      <c r="J55" s="48">
        <v>140</v>
      </c>
      <c r="K55" s="44">
        <f t="shared" si="9"/>
        <v>3.1818181818181817</v>
      </c>
      <c r="L55" s="48">
        <f t="shared" ref="L55:L68" si="32">ROUNDUP(K55,0)</f>
        <v>4</v>
      </c>
      <c r="M55" s="44">
        <f t="shared" ref="M55:M68" si="33">(H55+300)</f>
        <v>7700</v>
      </c>
      <c r="N55" s="44">
        <f t="shared" si="22"/>
        <v>531</v>
      </c>
      <c r="O55" s="164">
        <v>44</v>
      </c>
      <c r="P55" s="44">
        <f t="shared" ref="P55:P68" si="34">(K55-1)</f>
        <v>2.1818181818181817</v>
      </c>
      <c r="Q55" s="44">
        <f>(L55-1)*2</f>
        <v>6</v>
      </c>
      <c r="R55" s="165" t="s">
        <v>342</v>
      </c>
      <c r="S55" s="58">
        <v>2</v>
      </c>
      <c r="T55" s="166" t="s">
        <v>340</v>
      </c>
      <c r="U55" s="53" t="s">
        <v>221</v>
      </c>
      <c r="V55" s="140">
        <v>11963</v>
      </c>
      <c r="W55" s="137">
        <v>0</v>
      </c>
      <c r="X55" s="86">
        <f t="shared" ref="X55:X68" si="35">(W55*Q55)</f>
        <v>0</v>
      </c>
      <c r="Y55" s="111">
        <v>0</v>
      </c>
      <c r="Z55" s="87">
        <f t="shared" ref="Z55:Z68" si="36">(Y55*S55)</f>
        <v>0</v>
      </c>
    </row>
    <row r="56" spans="2:26" x14ac:dyDescent="0.25">
      <c r="B56" s="311"/>
      <c r="C56" s="175">
        <v>52.800000000000011</v>
      </c>
      <c r="D56" s="48" t="s">
        <v>48</v>
      </c>
      <c r="E56" s="48" t="s">
        <v>126</v>
      </c>
      <c r="F56" s="160" t="s">
        <v>213</v>
      </c>
      <c r="G56" s="48">
        <v>7.4</v>
      </c>
      <c r="H56" s="44">
        <f t="shared" si="31"/>
        <v>7400</v>
      </c>
      <c r="I56" s="48">
        <v>431</v>
      </c>
      <c r="J56" s="48">
        <v>140</v>
      </c>
      <c r="K56" s="44">
        <f t="shared" si="9"/>
        <v>3.1818181818181817</v>
      </c>
      <c r="L56" s="48">
        <f t="shared" si="32"/>
        <v>4</v>
      </c>
      <c r="M56" s="44">
        <f t="shared" si="33"/>
        <v>7700</v>
      </c>
      <c r="N56" s="44">
        <f t="shared" si="22"/>
        <v>531</v>
      </c>
      <c r="O56" s="164">
        <v>44</v>
      </c>
      <c r="P56" s="44">
        <f t="shared" si="34"/>
        <v>2.1818181818181817</v>
      </c>
      <c r="Q56" s="44">
        <f t="shared" ref="Q56:Q68" si="37">(L56-1)*2</f>
        <v>6</v>
      </c>
      <c r="R56" s="165" t="s">
        <v>342</v>
      </c>
      <c r="S56" s="58">
        <v>2</v>
      </c>
      <c r="T56" s="166" t="s">
        <v>340</v>
      </c>
      <c r="U56" s="53" t="s">
        <v>221</v>
      </c>
      <c r="V56" s="140">
        <v>11963</v>
      </c>
      <c r="W56" s="138">
        <v>0</v>
      </c>
      <c r="X56" s="88">
        <f t="shared" si="35"/>
        <v>0</v>
      </c>
      <c r="Y56" s="112">
        <v>0</v>
      </c>
      <c r="Z56" s="89">
        <f t="shared" si="36"/>
        <v>0</v>
      </c>
    </row>
    <row r="57" spans="2:26" x14ac:dyDescent="0.25">
      <c r="B57" s="311"/>
      <c r="C57" s="175">
        <v>52.900000000000013</v>
      </c>
      <c r="D57" s="48" t="s">
        <v>48</v>
      </c>
      <c r="E57" s="48" t="s">
        <v>113</v>
      </c>
      <c r="F57" s="160" t="s">
        <v>212</v>
      </c>
      <c r="G57" s="48">
        <v>2.1</v>
      </c>
      <c r="H57" s="44">
        <f t="shared" si="31"/>
        <v>2100</v>
      </c>
      <c r="I57" s="48">
        <v>431</v>
      </c>
      <c r="J57" s="48">
        <v>140</v>
      </c>
      <c r="K57" s="44">
        <f t="shared" si="9"/>
        <v>3.1818181818181817</v>
      </c>
      <c r="L57" s="48">
        <f t="shared" si="32"/>
        <v>4</v>
      </c>
      <c r="M57" s="44">
        <f t="shared" si="33"/>
        <v>2400</v>
      </c>
      <c r="N57" s="44">
        <f t="shared" si="22"/>
        <v>531</v>
      </c>
      <c r="O57" s="164">
        <v>44</v>
      </c>
      <c r="P57" s="44">
        <f t="shared" si="34"/>
        <v>2.1818181818181817</v>
      </c>
      <c r="Q57" s="44">
        <f t="shared" si="37"/>
        <v>6</v>
      </c>
      <c r="R57" s="162" t="s">
        <v>341</v>
      </c>
      <c r="S57" s="58">
        <v>2</v>
      </c>
      <c r="T57" s="161" t="s">
        <v>339</v>
      </c>
      <c r="U57" s="53" t="s">
        <v>221</v>
      </c>
      <c r="V57" s="140">
        <v>11963</v>
      </c>
      <c r="W57" s="138">
        <v>0</v>
      </c>
      <c r="X57" s="88">
        <f t="shared" si="35"/>
        <v>0</v>
      </c>
      <c r="Y57" s="112">
        <v>0</v>
      </c>
      <c r="Z57" s="89">
        <f t="shared" si="36"/>
        <v>0</v>
      </c>
    </row>
    <row r="58" spans="2:26" x14ac:dyDescent="0.25">
      <c r="B58" s="311"/>
      <c r="C58" s="175">
        <v>52.1</v>
      </c>
      <c r="D58" s="48" t="s">
        <v>48</v>
      </c>
      <c r="E58" s="48" t="s">
        <v>113</v>
      </c>
      <c r="F58" s="160" t="s">
        <v>212</v>
      </c>
      <c r="G58" s="48">
        <v>1.6</v>
      </c>
      <c r="H58" s="44">
        <f t="shared" si="31"/>
        <v>1600</v>
      </c>
      <c r="I58" s="48">
        <v>431</v>
      </c>
      <c r="J58" s="48">
        <v>140</v>
      </c>
      <c r="K58" s="44">
        <f t="shared" si="9"/>
        <v>3.1818181818181817</v>
      </c>
      <c r="L58" s="48">
        <f t="shared" si="32"/>
        <v>4</v>
      </c>
      <c r="M58" s="44">
        <f t="shared" si="33"/>
        <v>1900</v>
      </c>
      <c r="N58" s="44">
        <f t="shared" si="22"/>
        <v>531</v>
      </c>
      <c r="O58" s="164">
        <v>44</v>
      </c>
      <c r="P58" s="44">
        <f t="shared" si="34"/>
        <v>2.1818181818181817</v>
      </c>
      <c r="Q58" s="44">
        <f t="shared" si="37"/>
        <v>6</v>
      </c>
      <c r="R58" s="162" t="s">
        <v>341</v>
      </c>
      <c r="S58" s="58">
        <v>2</v>
      </c>
      <c r="T58" s="161" t="s">
        <v>339</v>
      </c>
      <c r="U58" s="53" t="s">
        <v>221</v>
      </c>
      <c r="V58" s="140">
        <v>11963</v>
      </c>
      <c r="W58" s="138">
        <v>0</v>
      </c>
      <c r="X58" s="88">
        <f t="shared" si="35"/>
        <v>0</v>
      </c>
      <c r="Y58" s="112">
        <v>0</v>
      </c>
      <c r="Z58" s="89">
        <f t="shared" si="36"/>
        <v>0</v>
      </c>
    </row>
    <row r="59" spans="2:26" x14ac:dyDescent="0.25">
      <c r="B59" s="311"/>
      <c r="C59" s="175">
        <v>53.900000000000013</v>
      </c>
      <c r="D59" s="48" t="s">
        <v>48</v>
      </c>
      <c r="E59" s="48" t="s">
        <v>126</v>
      </c>
      <c r="F59" s="160" t="s">
        <v>212</v>
      </c>
      <c r="G59" s="48">
        <v>4.5</v>
      </c>
      <c r="H59" s="44">
        <f t="shared" si="31"/>
        <v>4500</v>
      </c>
      <c r="I59" s="48">
        <v>288</v>
      </c>
      <c r="J59" s="48">
        <v>114.3</v>
      </c>
      <c r="K59" s="44">
        <f t="shared" si="9"/>
        <v>2.5977272727272727</v>
      </c>
      <c r="L59" s="48">
        <f t="shared" si="32"/>
        <v>3</v>
      </c>
      <c r="M59" s="44">
        <f t="shared" si="33"/>
        <v>4800</v>
      </c>
      <c r="N59" s="44">
        <f t="shared" si="22"/>
        <v>388</v>
      </c>
      <c r="O59" s="164">
        <v>44</v>
      </c>
      <c r="P59" s="44">
        <f t="shared" si="34"/>
        <v>1.5977272727272727</v>
      </c>
      <c r="Q59" s="44">
        <f t="shared" si="37"/>
        <v>4</v>
      </c>
      <c r="R59" s="162" t="s">
        <v>341</v>
      </c>
      <c r="S59" s="58">
        <v>2</v>
      </c>
      <c r="T59" s="161" t="s">
        <v>339</v>
      </c>
      <c r="U59" s="53" t="s">
        <v>221</v>
      </c>
      <c r="V59" s="140">
        <v>11963</v>
      </c>
      <c r="W59" s="138">
        <v>0</v>
      </c>
      <c r="X59" s="88">
        <f t="shared" si="35"/>
        <v>0</v>
      </c>
      <c r="Y59" s="112">
        <v>0</v>
      </c>
      <c r="Z59" s="89">
        <f t="shared" si="36"/>
        <v>0</v>
      </c>
    </row>
    <row r="60" spans="2:26" x14ac:dyDescent="0.25">
      <c r="B60" s="311"/>
      <c r="C60" s="175">
        <v>53.1</v>
      </c>
      <c r="D60" s="48" t="s">
        <v>48</v>
      </c>
      <c r="E60" s="48" t="s">
        <v>126</v>
      </c>
      <c r="F60" s="160" t="s">
        <v>212</v>
      </c>
      <c r="G60" s="48">
        <v>2.5</v>
      </c>
      <c r="H60" s="44">
        <f t="shared" si="31"/>
        <v>2500</v>
      </c>
      <c r="I60" s="48">
        <v>288</v>
      </c>
      <c r="J60" s="48">
        <v>114.3</v>
      </c>
      <c r="K60" s="44">
        <f t="shared" si="9"/>
        <v>2.5977272727272727</v>
      </c>
      <c r="L60" s="48">
        <f t="shared" si="32"/>
        <v>3</v>
      </c>
      <c r="M60" s="44">
        <f t="shared" si="33"/>
        <v>2800</v>
      </c>
      <c r="N60" s="44">
        <f t="shared" si="22"/>
        <v>388</v>
      </c>
      <c r="O60" s="164">
        <v>44</v>
      </c>
      <c r="P60" s="44">
        <f t="shared" si="34"/>
        <v>1.5977272727272727</v>
      </c>
      <c r="Q60" s="44">
        <f t="shared" si="37"/>
        <v>4</v>
      </c>
      <c r="R60" s="162" t="s">
        <v>341</v>
      </c>
      <c r="S60" s="58">
        <v>2</v>
      </c>
      <c r="T60" s="161" t="s">
        <v>339</v>
      </c>
      <c r="U60" s="53" t="s">
        <v>221</v>
      </c>
      <c r="V60" s="140">
        <v>11963</v>
      </c>
      <c r="W60" s="138">
        <v>0</v>
      </c>
      <c r="X60" s="88">
        <f t="shared" si="35"/>
        <v>0</v>
      </c>
      <c r="Y60" s="112">
        <v>0</v>
      </c>
      <c r="Z60" s="89">
        <f t="shared" si="36"/>
        <v>0</v>
      </c>
    </row>
    <row r="61" spans="2:26" x14ac:dyDescent="0.25">
      <c r="B61" s="311"/>
      <c r="C61" s="175">
        <v>53.11</v>
      </c>
      <c r="D61" s="48" t="s">
        <v>48</v>
      </c>
      <c r="E61" s="48" t="s">
        <v>113</v>
      </c>
      <c r="F61" s="160" t="s">
        <v>212</v>
      </c>
      <c r="G61" s="48">
        <v>4.5</v>
      </c>
      <c r="H61" s="44">
        <f t="shared" si="31"/>
        <v>4500</v>
      </c>
      <c r="I61" s="48">
        <v>288</v>
      </c>
      <c r="J61" s="48">
        <v>114.3</v>
      </c>
      <c r="K61" s="44">
        <f t="shared" si="9"/>
        <v>2.5977272727272727</v>
      </c>
      <c r="L61" s="48">
        <f t="shared" si="32"/>
        <v>3</v>
      </c>
      <c r="M61" s="44">
        <f t="shared" si="33"/>
        <v>4800</v>
      </c>
      <c r="N61" s="44">
        <f t="shared" si="22"/>
        <v>388</v>
      </c>
      <c r="O61" s="164">
        <v>44</v>
      </c>
      <c r="P61" s="44">
        <f t="shared" si="34"/>
        <v>1.5977272727272727</v>
      </c>
      <c r="Q61" s="44">
        <f t="shared" si="37"/>
        <v>4</v>
      </c>
      <c r="R61" s="162" t="s">
        <v>341</v>
      </c>
      <c r="S61" s="58">
        <v>2</v>
      </c>
      <c r="T61" s="161" t="s">
        <v>339</v>
      </c>
      <c r="U61" s="53" t="s">
        <v>221</v>
      </c>
      <c r="V61" s="140">
        <v>11963</v>
      </c>
      <c r="W61" s="138">
        <v>0</v>
      </c>
      <c r="X61" s="88">
        <f t="shared" si="35"/>
        <v>0</v>
      </c>
      <c r="Y61" s="112">
        <v>0</v>
      </c>
      <c r="Z61" s="89">
        <f t="shared" si="36"/>
        <v>0</v>
      </c>
    </row>
    <row r="62" spans="2:26" x14ac:dyDescent="0.25">
      <c r="B62" s="311"/>
      <c r="C62" s="175">
        <v>53.12</v>
      </c>
      <c r="D62" s="48" t="s">
        <v>48</v>
      </c>
      <c r="E62" s="48" t="s">
        <v>113</v>
      </c>
      <c r="F62" s="160" t="s">
        <v>212</v>
      </c>
      <c r="G62" s="48">
        <v>1.7</v>
      </c>
      <c r="H62" s="44">
        <f t="shared" si="31"/>
        <v>1700</v>
      </c>
      <c r="I62" s="48">
        <v>288</v>
      </c>
      <c r="J62" s="48">
        <v>114.3</v>
      </c>
      <c r="K62" s="44">
        <f t="shared" si="9"/>
        <v>2.5977272727272727</v>
      </c>
      <c r="L62" s="48">
        <f t="shared" si="32"/>
        <v>3</v>
      </c>
      <c r="M62" s="44">
        <f t="shared" si="33"/>
        <v>2000</v>
      </c>
      <c r="N62" s="44">
        <f t="shared" si="22"/>
        <v>388</v>
      </c>
      <c r="O62" s="164">
        <v>44</v>
      </c>
      <c r="P62" s="44">
        <f t="shared" si="34"/>
        <v>1.5977272727272727</v>
      </c>
      <c r="Q62" s="44">
        <f t="shared" si="37"/>
        <v>4</v>
      </c>
      <c r="R62" s="162" t="s">
        <v>341</v>
      </c>
      <c r="S62" s="58">
        <v>2</v>
      </c>
      <c r="T62" s="161" t="s">
        <v>339</v>
      </c>
      <c r="U62" s="53" t="s">
        <v>221</v>
      </c>
      <c r="V62" s="140">
        <v>11963</v>
      </c>
      <c r="W62" s="138">
        <v>0</v>
      </c>
      <c r="X62" s="88">
        <f t="shared" si="35"/>
        <v>0</v>
      </c>
      <c r="Y62" s="112">
        <v>0</v>
      </c>
      <c r="Z62" s="89">
        <f t="shared" si="36"/>
        <v>0</v>
      </c>
    </row>
    <row r="63" spans="2:26" x14ac:dyDescent="0.25">
      <c r="B63" s="311"/>
      <c r="C63" s="175">
        <v>54.15</v>
      </c>
      <c r="D63" s="48" t="s">
        <v>48</v>
      </c>
      <c r="E63" s="48" t="s">
        <v>26</v>
      </c>
      <c r="F63" s="160" t="s">
        <v>212</v>
      </c>
      <c r="G63" s="48">
        <v>2.5</v>
      </c>
      <c r="H63" s="44">
        <f t="shared" si="31"/>
        <v>2500</v>
      </c>
      <c r="I63" s="48">
        <v>288</v>
      </c>
      <c r="J63" s="48">
        <v>112</v>
      </c>
      <c r="K63" s="44">
        <f t="shared" si="9"/>
        <v>2.5454545454545454</v>
      </c>
      <c r="L63" s="48">
        <f t="shared" si="32"/>
        <v>3</v>
      </c>
      <c r="M63" s="44">
        <f t="shared" si="33"/>
        <v>2800</v>
      </c>
      <c r="N63" s="44">
        <f t="shared" si="22"/>
        <v>388</v>
      </c>
      <c r="O63" s="164">
        <v>44</v>
      </c>
      <c r="P63" s="44">
        <f t="shared" si="34"/>
        <v>1.5454545454545454</v>
      </c>
      <c r="Q63" s="44">
        <f t="shared" si="37"/>
        <v>4</v>
      </c>
      <c r="R63" s="162" t="s">
        <v>341</v>
      </c>
      <c r="S63" s="58">
        <v>2</v>
      </c>
      <c r="T63" s="161" t="s">
        <v>339</v>
      </c>
      <c r="U63" s="53" t="s">
        <v>221</v>
      </c>
      <c r="V63" s="140">
        <v>11963</v>
      </c>
      <c r="W63" s="138">
        <v>0</v>
      </c>
      <c r="X63" s="88">
        <f t="shared" si="35"/>
        <v>0</v>
      </c>
      <c r="Y63" s="112">
        <v>0</v>
      </c>
      <c r="Z63" s="89">
        <f t="shared" si="36"/>
        <v>0</v>
      </c>
    </row>
    <row r="64" spans="2:26" x14ac:dyDescent="0.25">
      <c r="B64" s="311"/>
      <c r="C64" s="175">
        <v>54.16</v>
      </c>
      <c r="D64" s="48" t="s">
        <v>48</v>
      </c>
      <c r="E64" s="48" t="s">
        <v>26</v>
      </c>
      <c r="F64" s="160" t="s">
        <v>212</v>
      </c>
      <c r="G64" s="48">
        <v>2.5</v>
      </c>
      <c r="H64" s="44">
        <f t="shared" si="31"/>
        <v>2500</v>
      </c>
      <c r="I64" s="48">
        <v>288</v>
      </c>
      <c r="J64" s="48">
        <v>112</v>
      </c>
      <c r="K64" s="44">
        <f t="shared" si="9"/>
        <v>2.5454545454545454</v>
      </c>
      <c r="L64" s="48">
        <f t="shared" si="32"/>
        <v>3</v>
      </c>
      <c r="M64" s="44">
        <f t="shared" si="33"/>
        <v>2800</v>
      </c>
      <c r="N64" s="44">
        <f t="shared" si="22"/>
        <v>388</v>
      </c>
      <c r="O64" s="164">
        <v>44</v>
      </c>
      <c r="P64" s="44">
        <f t="shared" si="34"/>
        <v>1.5454545454545454</v>
      </c>
      <c r="Q64" s="44">
        <f t="shared" si="37"/>
        <v>4</v>
      </c>
      <c r="R64" s="162" t="s">
        <v>341</v>
      </c>
      <c r="S64" s="58">
        <v>2</v>
      </c>
      <c r="T64" s="161" t="s">
        <v>339</v>
      </c>
      <c r="U64" s="53" t="s">
        <v>221</v>
      </c>
      <c r="V64" s="140">
        <v>11963</v>
      </c>
      <c r="W64" s="138">
        <v>0</v>
      </c>
      <c r="X64" s="88">
        <f t="shared" si="35"/>
        <v>0</v>
      </c>
      <c r="Y64" s="112">
        <v>0</v>
      </c>
      <c r="Z64" s="89">
        <f t="shared" si="36"/>
        <v>0</v>
      </c>
    </row>
    <row r="65" spans="2:26" x14ac:dyDescent="0.25">
      <c r="B65" s="311"/>
      <c r="C65" s="175">
        <v>54.17</v>
      </c>
      <c r="D65" s="48" t="s">
        <v>48</v>
      </c>
      <c r="E65" s="48" t="s">
        <v>113</v>
      </c>
      <c r="F65" s="160" t="s">
        <v>213</v>
      </c>
      <c r="G65" s="48">
        <v>6.9</v>
      </c>
      <c r="H65" s="44">
        <f t="shared" si="31"/>
        <v>6900</v>
      </c>
      <c r="I65" s="48">
        <v>288</v>
      </c>
      <c r="J65" s="48">
        <v>112</v>
      </c>
      <c r="K65" s="44">
        <f t="shared" si="9"/>
        <v>2.5454545454545454</v>
      </c>
      <c r="L65" s="48">
        <f t="shared" si="32"/>
        <v>3</v>
      </c>
      <c r="M65" s="44">
        <f t="shared" si="33"/>
        <v>7200</v>
      </c>
      <c r="N65" s="44">
        <f t="shared" si="22"/>
        <v>388</v>
      </c>
      <c r="O65" s="164">
        <v>44</v>
      </c>
      <c r="P65" s="44">
        <f t="shared" si="34"/>
        <v>1.5454545454545454</v>
      </c>
      <c r="Q65" s="44">
        <f t="shared" si="37"/>
        <v>4</v>
      </c>
      <c r="R65" s="165" t="s">
        <v>342</v>
      </c>
      <c r="S65" s="58">
        <v>2</v>
      </c>
      <c r="T65" s="166" t="s">
        <v>340</v>
      </c>
      <c r="U65" s="53" t="s">
        <v>221</v>
      </c>
      <c r="V65" s="140">
        <v>11963</v>
      </c>
      <c r="W65" s="138">
        <v>0</v>
      </c>
      <c r="X65" s="88">
        <f t="shared" si="35"/>
        <v>0</v>
      </c>
      <c r="Y65" s="112">
        <v>0</v>
      </c>
      <c r="Z65" s="89">
        <f t="shared" si="36"/>
        <v>0</v>
      </c>
    </row>
    <row r="66" spans="2:26" x14ac:dyDescent="0.25">
      <c r="B66" s="311"/>
      <c r="C66" s="175">
        <v>55.149999999999991</v>
      </c>
      <c r="D66" s="48" t="s">
        <v>48</v>
      </c>
      <c r="E66" s="48" t="s">
        <v>26</v>
      </c>
      <c r="F66" s="160" t="s">
        <v>212</v>
      </c>
      <c r="G66" s="48">
        <v>2.5</v>
      </c>
      <c r="H66" s="44">
        <f t="shared" si="31"/>
        <v>2500</v>
      </c>
      <c r="I66" s="48">
        <v>288</v>
      </c>
      <c r="J66" s="48">
        <v>108</v>
      </c>
      <c r="K66" s="44">
        <f t="shared" si="9"/>
        <v>2.4545454545454546</v>
      </c>
      <c r="L66" s="48">
        <f t="shared" si="32"/>
        <v>3</v>
      </c>
      <c r="M66" s="44">
        <f t="shared" si="33"/>
        <v>2800</v>
      </c>
      <c r="N66" s="44">
        <f t="shared" si="22"/>
        <v>388</v>
      </c>
      <c r="O66" s="164">
        <v>44</v>
      </c>
      <c r="P66" s="44">
        <f t="shared" si="34"/>
        <v>1.4545454545454546</v>
      </c>
      <c r="Q66" s="44">
        <f t="shared" si="37"/>
        <v>4</v>
      </c>
      <c r="R66" s="162" t="s">
        <v>341</v>
      </c>
      <c r="S66" s="58">
        <v>2</v>
      </c>
      <c r="T66" s="161" t="s">
        <v>339</v>
      </c>
      <c r="U66" s="53" t="s">
        <v>221</v>
      </c>
      <c r="V66" s="140">
        <v>11963</v>
      </c>
      <c r="W66" s="138">
        <v>0</v>
      </c>
      <c r="X66" s="88">
        <f t="shared" si="35"/>
        <v>0</v>
      </c>
      <c r="Y66" s="112">
        <v>0</v>
      </c>
      <c r="Z66" s="89">
        <f t="shared" si="36"/>
        <v>0</v>
      </c>
    </row>
    <row r="67" spans="2:26" x14ac:dyDescent="0.25">
      <c r="B67" s="311"/>
      <c r="C67" s="175">
        <v>55.159999999999989</v>
      </c>
      <c r="D67" s="48" t="s">
        <v>48</v>
      </c>
      <c r="E67" s="48" t="s">
        <v>26</v>
      </c>
      <c r="F67" s="160" t="s">
        <v>212</v>
      </c>
      <c r="G67" s="48">
        <v>2.5</v>
      </c>
      <c r="H67" s="44">
        <f t="shared" si="31"/>
        <v>2500</v>
      </c>
      <c r="I67" s="48">
        <v>288</v>
      </c>
      <c r="J67" s="48">
        <v>108</v>
      </c>
      <c r="K67" s="44">
        <f t="shared" si="9"/>
        <v>2.4545454545454546</v>
      </c>
      <c r="L67" s="48">
        <f t="shared" si="32"/>
        <v>3</v>
      </c>
      <c r="M67" s="44">
        <f t="shared" si="33"/>
        <v>2800</v>
      </c>
      <c r="N67" s="44">
        <f t="shared" si="22"/>
        <v>388</v>
      </c>
      <c r="O67" s="164">
        <v>44</v>
      </c>
      <c r="P67" s="44">
        <f t="shared" si="34"/>
        <v>1.4545454545454546</v>
      </c>
      <c r="Q67" s="44">
        <f t="shared" si="37"/>
        <v>4</v>
      </c>
      <c r="R67" s="162" t="s">
        <v>341</v>
      </c>
      <c r="S67" s="58">
        <v>2</v>
      </c>
      <c r="T67" s="161" t="s">
        <v>339</v>
      </c>
      <c r="U67" s="53" t="s">
        <v>221</v>
      </c>
      <c r="V67" s="140">
        <v>11963</v>
      </c>
      <c r="W67" s="138">
        <v>0</v>
      </c>
      <c r="X67" s="88">
        <f t="shared" si="35"/>
        <v>0</v>
      </c>
      <c r="Y67" s="112">
        <v>0</v>
      </c>
      <c r="Z67" s="89">
        <f t="shared" si="36"/>
        <v>0</v>
      </c>
    </row>
    <row r="68" spans="2:26" ht="15.75" thickBot="1" x14ac:dyDescent="0.3">
      <c r="B68" s="311"/>
      <c r="C68" s="175">
        <v>55.169999999999987</v>
      </c>
      <c r="D68" s="48" t="s">
        <v>48</v>
      </c>
      <c r="E68" s="48" t="s">
        <v>113</v>
      </c>
      <c r="F68" s="160" t="s">
        <v>213</v>
      </c>
      <c r="G68" s="48">
        <v>7</v>
      </c>
      <c r="H68" s="44">
        <f t="shared" si="31"/>
        <v>7000</v>
      </c>
      <c r="I68" s="48">
        <v>288</v>
      </c>
      <c r="J68" s="48">
        <v>108</v>
      </c>
      <c r="K68" s="44">
        <f t="shared" si="9"/>
        <v>2.4545454545454546</v>
      </c>
      <c r="L68" s="48">
        <f t="shared" si="32"/>
        <v>3</v>
      </c>
      <c r="M68" s="44">
        <f t="shared" si="33"/>
        <v>7300</v>
      </c>
      <c r="N68" s="44">
        <f t="shared" si="22"/>
        <v>388</v>
      </c>
      <c r="O68" s="164">
        <v>44</v>
      </c>
      <c r="P68" s="44">
        <f t="shared" si="34"/>
        <v>1.4545454545454546</v>
      </c>
      <c r="Q68" s="44">
        <f t="shared" si="37"/>
        <v>4</v>
      </c>
      <c r="R68" s="165" t="s">
        <v>342</v>
      </c>
      <c r="S68" s="58">
        <v>2</v>
      </c>
      <c r="T68" s="166" t="s">
        <v>340</v>
      </c>
      <c r="U68" s="53" t="s">
        <v>221</v>
      </c>
      <c r="V68" s="140">
        <v>11963</v>
      </c>
      <c r="W68" s="139">
        <v>0</v>
      </c>
      <c r="X68" s="90">
        <f t="shared" si="35"/>
        <v>0</v>
      </c>
      <c r="Y68" s="113">
        <v>0</v>
      </c>
      <c r="Z68" s="91">
        <f t="shared" si="36"/>
        <v>0</v>
      </c>
    </row>
    <row r="69" spans="2:26" s="66" customFormat="1" ht="15.75" thickBot="1" x14ac:dyDescent="0.3">
      <c r="B69" s="313"/>
      <c r="C69" s="189" t="s">
        <v>272</v>
      </c>
      <c r="D69" s="180"/>
      <c r="E69" s="180"/>
      <c r="F69" s="180"/>
      <c r="G69" s="180"/>
      <c r="H69" s="180"/>
      <c r="I69" s="180"/>
      <c r="J69" s="180"/>
      <c r="K69" s="180"/>
      <c r="L69" s="180"/>
      <c r="M69" s="180"/>
      <c r="N69" s="180"/>
      <c r="O69" s="180"/>
      <c r="P69" s="180"/>
      <c r="Q69" s="180">
        <f>SUM(Q55:Q68)</f>
        <v>64</v>
      </c>
      <c r="R69" s="180"/>
      <c r="S69" s="180">
        <f>SUM(S55:S68)</f>
        <v>28</v>
      </c>
      <c r="T69" s="180"/>
      <c r="U69" s="180"/>
      <c r="V69" s="180"/>
      <c r="W69" s="130"/>
      <c r="X69" s="75">
        <f>SUM(X55:X68)</f>
        <v>0</v>
      </c>
      <c r="Y69" s="75"/>
      <c r="Z69" s="75">
        <f>SUM(Z55:Z68)</f>
        <v>0</v>
      </c>
    </row>
    <row r="70" spans="2:26" x14ac:dyDescent="0.25">
      <c r="B70" s="310" t="s">
        <v>368</v>
      </c>
      <c r="C70" s="175">
        <v>56.139999999999993</v>
      </c>
      <c r="D70" s="48" t="s">
        <v>48</v>
      </c>
      <c r="E70" s="48" t="s">
        <v>109</v>
      </c>
      <c r="F70" s="160" t="s">
        <v>213</v>
      </c>
      <c r="G70" s="48">
        <v>7.4</v>
      </c>
      <c r="H70" s="44">
        <f t="shared" ref="H70:H83" si="38">CONVERT(G70,"m","mm")</f>
        <v>7400</v>
      </c>
      <c r="I70" s="48">
        <v>410</v>
      </c>
      <c r="J70" s="48">
        <v>101.6</v>
      </c>
      <c r="K70" s="44">
        <f t="shared" si="9"/>
        <v>2.3090909090909091</v>
      </c>
      <c r="L70" s="48">
        <f t="shared" ref="L70:L83" si="39">ROUNDUP(K70,0)</f>
        <v>3</v>
      </c>
      <c r="M70" s="44">
        <f t="shared" ref="M70:M83" si="40">(H70+300)</f>
        <v>7700</v>
      </c>
      <c r="N70" s="44">
        <f t="shared" si="22"/>
        <v>510</v>
      </c>
      <c r="O70" s="164">
        <v>44</v>
      </c>
      <c r="P70" s="44">
        <f t="shared" ref="P70:P83" si="41">(K70-1)</f>
        <v>1.3090909090909091</v>
      </c>
      <c r="Q70" s="44">
        <f>(L70-1)*2</f>
        <v>4</v>
      </c>
      <c r="R70" s="165" t="s">
        <v>342</v>
      </c>
      <c r="S70" s="58">
        <v>2</v>
      </c>
      <c r="T70" s="166" t="s">
        <v>340</v>
      </c>
      <c r="U70" s="53" t="s">
        <v>221</v>
      </c>
      <c r="V70" s="140">
        <v>12114</v>
      </c>
      <c r="W70" s="137">
        <v>0</v>
      </c>
      <c r="X70" s="86">
        <f t="shared" ref="X70:X83" si="42">(W70*Q70)</f>
        <v>0</v>
      </c>
      <c r="Y70" s="111">
        <v>0</v>
      </c>
      <c r="Z70" s="87">
        <f t="shared" ref="Z70:Z83" si="43">(Y70*S70)</f>
        <v>0</v>
      </c>
    </row>
    <row r="71" spans="2:26" x14ac:dyDescent="0.25">
      <c r="B71" s="311"/>
      <c r="C71" s="175">
        <v>56.149999999999991</v>
      </c>
      <c r="D71" s="48" t="s">
        <v>48</v>
      </c>
      <c r="E71" s="48" t="s">
        <v>74</v>
      </c>
      <c r="F71" s="160" t="s">
        <v>213</v>
      </c>
      <c r="G71" s="48">
        <v>6.6</v>
      </c>
      <c r="H71" s="44">
        <f t="shared" si="38"/>
        <v>6600</v>
      </c>
      <c r="I71" s="48">
        <v>288</v>
      </c>
      <c r="J71" s="48">
        <v>101.6</v>
      </c>
      <c r="K71" s="44">
        <f t="shared" si="9"/>
        <v>2.3090909090909091</v>
      </c>
      <c r="L71" s="48">
        <f t="shared" si="39"/>
        <v>3</v>
      </c>
      <c r="M71" s="44">
        <f t="shared" si="40"/>
        <v>6900</v>
      </c>
      <c r="N71" s="44">
        <f t="shared" si="22"/>
        <v>388</v>
      </c>
      <c r="O71" s="164">
        <v>44</v>
      </c>
      <c r="P71" s="44">
        <f t="shared" si="41"/>
        <v>1.3090909090909091</v>
      </c>
      <c r="Q71" s="44">
        <f t="shared" ref="Q71:Q83" si="44">(L71-1)*2</f>
        <v>4</v>
      </c>
      <c r="R71" s="165" t="s">
        <v>342</v>
      </c>
      <c r="S71" s="58">
        <v>2</v>
      </c>
      <c r="T71" s="166" t="s">
        <v>340</v>
      </c>
      <c r="U71" s="53" t="s">
        <v>221</v>
      </c>
      <c r="V71" s="140">
        <v>12114</v>
      </c>
      <c r="W71" s="138">
        <v>0</v>
      </c>
      <c r="X71" s="88">
        <f t="shared" si="42"/>
        <v>0</v>
      </c>
      <c r="Y71" s="112">
        <v>0</v>
      </c>
      <c r="Z71" s="89">
        <f t="shared" si="43"/>
        <v>0</v>
      </c>
    </row>
    <row r="72" spans="2:26" x14ac:dyDescent="0.25">
      <c r="B72" s="311"/>
      <c r="C72" s="175">
        <v>57.11</v>
      </c>
      <c r="D72" s="48" t="s">
        <v>48</v>
      </c>
      <c r="E72" s="48" t="s">
        <v>105</v>
      </c>
      <c r="F72" s="160" t="s">
        <v>213</v>
      </c>
      <c r="G72" s="48">
        <v>7.3</v>
      </c>
      <c r="H72" s="44">
        <f t="shared" si="38"/>
        <v>7300</v>
      </c>
      <c r="I72" s="48">
        <v>380</v>
      </c>
      <c r="J72" s="48">
        <v>89</v>
      </c>
      <c r="K72" s="44">
        <f t="shared" si="9"/>
        <v>2.0227272727272729</v>
      </c>
      <c r="L72" s="48">
        <f t="shared" si="39"/>
        <v>3</v>
      </c>
      <c r="M72" s="44">
        <f t="shared" si="40"/>
        <v>7600</v>
      </c>
      <c r="N72" s="44">
        <f t="shared" si="22"/>
        <v>480</v>
      </c>
      <c r="O72" s="164">
        <v>44</v>
      </c>
      <c r="P72" s="44">
        <f t="shared" si="41"/>
        <v>1.0227272727272729</v>
      </c>
      <c r="Q72" s="44">
        <f t="shared" si="44"/>
        <v>4</v>
      </c>
      <c r="R72" s="165" t="s">
        <v>342</v>
      </c>
      <c r="S72" s="58">
        <v>2</v>
      </c>
      <c r="T72" s="166" t="s">
        <v>340</v>
      </c>
      <c r="U72" s="53" t="s">
        <v>221</v>
      </c>
      <c r="V72" s="140">
        <v>12114</v>
      </c>
      <c r="W72" s="138">
        <v>0</v>
      </c>
      <c r="X72" s="88">
        <f t="shared" si="42"/>
        <v>0</v>
      </c>
      <c r="Y72" s="112">
        <v>0</v>
      </c>
      <c r="Z72" s="89">
        <f t="shared" si="43"/>
        <v>0</v>
      </c>
    </row>
    <row r="73" spans="2:26" x14ac:dyDescent="0.25">
      <c r="B73" s="311"/>
      <c r="C73" s="175">
        <v>57.12</v>
      </c>
      <c r="D73" s="48" t="s">
        <v>48</v>
      </c>
      <c r="E73" s="48" t="s">
        <v>26</v>
      </c>
      <c r="F73" s="160" t="s">
        <v>213</v>
      </c>
      <c r="G73" s="48">
        <v>7.2</v>
      </c>
      <c r="H73" s="44">
        <f t="shared" si="38"/>
        <v>7200</v>
      </c>
      <c r="I73" s="48">
        <v>288</v>
      </c>
      <c r="J73" s="48">
        <v>89</v>
      </c>
      <c r="K73" s="44">
        <f t="shared" si="9"/>
        <v>2.0227272727272729</v>
      </c>
      <c r="L73" s="48">
        <f t="shared" si="39"/>
        <v>3</v>
      </c>
      <c r="M73" s="44">
        <f t="shared" si="40"/>
        <v>7500</v>
      </c>
      <c r="N73" s="44">
        <f t="shared" si="22"/>
        <v>388</v>
      </c>
      <c r="O73" s="164">
        <v>44</v>
      </c>
      <c r="P73" s="44">
        <f t="shared" si="41"/>
        <v>1.0227272727272729</v>
      </c>
      <c r="Q73" s="44">
        <f t="shared" si="44"/>
        <v>4</v>
      </c>
      <c r="R73" s="165" t="s">
        <v>342</v>
      </c>
      <c r="S73" s="58">
        <v>2</v>
      </c>
      <c r="T73" s="166" t="s">
        <v>340</v>
      </c>
      <c r="U73" s="53" t="s">
        <v>221</v>
      </c>
      <c r="V73" s="140">
        <v>12114</v>
      </c>
      <c r="W73" s="138">
        <v>0</v>
      </c>
      <c r="X73" s="88">
        <f t="shared" si="42"/>
        <v>0</v>
      </c>
      <c r="Y73" s="112">
        <v>0</v>
      </c>
      <c r="Z73" s="89">
        <f t="shared" si="43"/>
        <v>0</v>
      </c>
    </row>
    <row r="74" spans="2:26" x14ac:dyDescent="0.25">
      <c r="B74" s="311"/>
      <c r="C74" s="175">
        <v>57.129999999999995</v>
      </c>
      <c r="D74" s="48" t="s">
        <v>48</v>
      </c>
      <c r="E74" s="48" t="s">
        <v>74</v>
      </c>
      <c r="F74" s="160" t="s">
        <v>212</v>
      </c>
      <c r="G74" s="48">
        <v>2.9</v>
      </c>
      <c r="H74" s="44">
        <f t="shared" si="38"/>
        <v>2900</v>
      </c>
      <c r="I74" s="48">
        <v>288</v>
      </c>
      <c r="J74" s="48">
        <v>89</v>
      </c>
      <c r="K74" s="44">
        <f t="shared" si="9"/>
        <v>2.0227272727272729</v>
      </c>
      <c r="L74" s="48">
        <f t="shared" si="39"/>
        <v>3</v>
      </c>
      <c r="M74" s="44">
        <f t="shared" si="40"/>
        <v>3200</v>
      </c>
      <c r="N74" s="44">
        <f t="shared" si="22"/>
        <v>388</v>
      </c>
      <c r="O74" s="164">
        <v>44</v>
      </c>
      <c r="P74" s="44">
        <f t="shared" si="41"/>
        <v>1.0227272727272729</v>
      </c>
      <c r="Q74" s="44">
        <f t="shared" si="44"/>
        <v>4</v>
      </c>
      <c r="R74" s="162" t="s">
        <v>341</v>
      </c>
      <c r="S74" s="58">
        <v>2</v>
      </c>
      <c r="T74" s="161" t="s">
        <v>339</v>
      </c>
      <c r="U74" s="53" t="s">
        <v>221</v>
      </c>
      <c r="V74" s="140">
        <v>12114</v>
      </c>
      <c r="W74" s="138">
        <v>0</v>
      </c>
      <c r="X74" s="88">
        <f t="shared" si="42"/>
        <v>0</v>
      </c>
      <c r="Y74" s="112">
        <v>0</v>
      </c>
      <c r="Z74" s="89">
        <f t="shared" si="43"/>
        <v>0</v>
      </c>
    </row>
    <row r="75" spans="2:26" x14ac:dyDescent="0.25">
      <c r="B75" s="311"/>
      <c r="C75" s="175">
        <v>58.70000000000001</v>
      </c>
      <c r="D75" s="48" t="s">
        <v>48</v>
      </c>
      <c r="E75" s="48" t="s">
        <v>26</v>
      </c>
      <c r="F75" s="160" t="s">
        <v>213</v>
      </c>
      <c r="G75" s="48">
        <v>7.4</v>
      </c>
      <c r="H75" s="44">
        <f t="shared" si="38"/>
        <v>7400</v>
      </c>
      <c r="I75" s="48">
        <v>299</v>
      </c>
      <c r="J75" s="48">
        <v>101.6</v>
      </c>
      <c r="K75" s="44">
        <f t="shared" si="9"/>
        <v>2.3090909090909091</v>
      </c>
      <c r="L75" s="48">
        <f t="shared" si="39"/>
        <v>3</v>
      </c>
      <c r="M75" s="44">
        <f t="shared" si="40"/>
        <v>7700</v>
      </c>
      <c r="N75" s="44">
        <f t="shared" si="22"/>
        <v>399</v>
      </c>
      <c r="O75" s="164">
        <v>44</v>
      </c>
      <c r="P75" s="44">
        <f t="shared" si="41"/>
        <v>1.3090909090909091</v>
      </c>
      <c r="Q75" s="44">
        <f t="shared" si="44"/>
        <v>4</v>
      </c>
      <c r="R75" s="165" t="s">
        <v>342</v>
      </c>
      <c r="S75" s="58">
        <v>2</v>
      </c>
      <c r="T75" s="166" t="s">
        <v>340</v>
      </c>
      <c r="U75" s="53" t="s">
        <v>221</v>
      </c>
      <c r="V75" s="140">
        <v>12114</v>
      </c>
      <c r="W75" s="138">
        <v>0</v>
      </c>
      <c r="X75" s="88">
        <f t="shared" si="42"/>
        <v>0</v>
      </c>
      <c r="Y75" s="112">
        <v>0</v>
      </c>
      <c r="Z75" s="89">
        <f t="shared" si="43"/>
        <v>0</v>
      </c>
    </row>
    <row r="76" spans="2:26" x14ac:dyDescent="0.25">
      <c r="B76" s="311"/>
      <c r="C76" s="175">
        <v>58.800000000000011</v>
      </c>
      <c r="D76" s="48" t="s">
        <v>48</v>
      </c>
      <c r="E76" s="48" t="s">
        <v>26</v>
      </c>
      <c r="F76" s="160" t="s">
        <v>213</v>
      </c>
      <c r="G76" s="48">
        <v>7.4</v>
      </c>
      <c r="H76" s="44">
        <f t="shared" si="38"/>
        <v>7400</v>
      </c>
      <c r="I76" s="48">
        <v>299</v>
      </c>
      <c r="J76" s="48">
        <v>101.6</v>
      </c>
      <c r="K76" s="44">
        <f t="shared" si="9"/>
        <v>2.3090909090909091</v>
      </c>
      <c r="L76" s="48">
        <f t="shared" si="39"/>
        <v>3</v>
      </c>
      <c r="M76" s="44">
        <f t="shared" si="40"/>
        <v>7700</v>
      </c>
      <c r="N76" s="44">
        <f t="shared" si="22"/>
        <v>399</v>
      </c>
      <c r="O76" s="164">
        <v>44</v>
      </c>
      <c r="P76" s="44">
        <f t="shared" si="41"/>
        <v>1.3090909090909091</v>
      </c>
      <c r="Q76" s="44">
        <f t="shared" si="44"/>
        <v>4</v>
      </c>
      <c r="R76" s="165" t="s">
        <v>342</v>
      </c>
      <c r="S76" s="58">
        <v>2</v>
      </c>
      <c r="T76" s="166" t="s">
        <v>340</v>
      </c>
      <c r="U76" s="53" t="s">
        <v>221</v>
      </c>
      <c r="V76" s="140">
        <v>12114</v>
      </c>
      <c r="W76" s="138">
        <v>0</v>
      </c>
      <c r="X76" s="88">
        <f t="shared" si="42"/>
        <v>0</v>
      </c>
      <c r="Y76" s="112">
        <v>0</v>
      </c>
      <c r="Z76" s="89">
        <f t="shared" si="43"/>
        <v>0</v>
      </c>
    </row>
    <row r="77" spans="2:26" x14ac:dyDescent="0.25">
      <c r="B77" s="311"/>
      <c r="C77" s="175">
        <v>58.900000000000013</v>
      </c>
      <c r="D77" s="48" t="s">
        <v>48</v>
      </c>
      <c r="E77" s="48" t="s">
        <v>74</v>
      </c>
      <c r="F77" s="160" t="s">
        <v>212</v>
      </c>
      <c r="G77" s="48">
        <v>4.8</v>
      </c>
      <c r="H77" s="44">
        <f t="shared" si="38"/>
        <v>4800</v>
      </c>
      <c r="I77" s="48">
        <v>299</v>
      </c>
      <c r="J77" s="48">
        <v>101.6</v>
      </c>
      <c r="K77" s="44">
        <f t="shared" si="9"/>
        <v>2.3090909090909091</v>
      </c>
      <c r="L77" s="48">
        <f t="shared" si="39"/>
        <v>3</v>
      </c>
      <c r="M77" s="44">
        <f t="shared" si="40"/>
        <v>5100</v>
      </c>
      <c r="N77" s="44">
        <f t="shared" si="22"/>
        <v>399</v>
      </c>
      <c r="O77" s="164">
        <v>44</v>
      </c>
      <c r="P77" s="44">
        <f t="shared" si="41"/>
        <v>1.3090909090909091</v>
      </c>
      <c r="Q77" s="44">
        <f t="shared" si="44"/>
        <v>4</v>
      </c>
      <c r="R77" s="162" t="s">
        <v>341</v>
      </c>
      <c r="S77" s="58">
        <v>2</v>
      </c>
      <c r="T77" s="161" t="s">
        <v>339</v>
      </c>
      <c r="U77" s="53" t="s">
        <v>221</v>
      </c>
      <c r="V77" s="140">
        <v>12114</v>
      </c>
      <c r="W77" s="138">
        <v>0</v>
      </c>
      <c r="X77" s="88">
        <f t="shared" si="42"/>
        <v>0</v>
      </c>
      <c r="Y77" s="112">
        <v>0</v>
      </c>
      <c r="Z77" s="89">
        <f t="shared" si="43"/>
        <v>0</v>
      </c>
    </row>
    <row r="78" spans="2:26" x14ac:dyDescent="0.25">
      <c r="B78" s="311"/>
      <c r="C78" s="175">
        <v>59.800000000000011</v>
      </c>
      <c r="D78" s="48" t="s">
        <v>48</v>
      </c>
      <c r="E78" s="48" t="s">
        <v>26</v>
      </c>
      <c r="F78" s="160" t="s">
        <v>213</v>
      </c>
      <c r="G78" s="48">
        <v>7.4</v>
      </c>
      <c r="H78" s="44">
        <f t="shared" si="38"/>
        <v>7400</v>
      </c>
      <c r="I78" s="48">
        <v>299</v>
      </c>
      <c r="J78" s="48">
        <v>101.6</v>
      </c>
      <c r="K78" s="44">
        <f t="shared" si="9"/>
        <v>2.3090909090909091</v>
      </c>
      <c r="L78" s="48">
        <f t="shared" si="39"/>
        <v>3</v>
      </c>
      <c r="M78" s="44">
        <f t="shared" si="40"/>
        <v>7700</v>
      </c>
      <c r="N78" s="44">
        <f t="shared" si="22"/>
        <v>399</v>
      </c>
      <c r="O78" s="164">
        <v>44</v>
      </c>
      <c r="P78" s="44">
        <f t="shared" si="41"/>
        <v>1.3090909090909091</v>
      </c>
      <c r="Q78" s="44">
        <f t="shared" si="44"/>
        <v>4</v>
      </c>
      <c r="R78" s="165" t="s">
        <v>342</v>
      </c>
      <c r="S78" s="58">
        <v>2</v>
      </c>
      <c r="T78" s="166" t="s">
        <v>340</v>
      </c>
      <c r="U78" s="53" t="s">
        <v>221</v>
      </c>
      <c r="V78" s="140">
        <v>12114</v>
      </c>
      <c r="W78" s="138">
        <v>0</v>
      </c>
      <c r="X78" s="88">
        <f t="shared" si="42"/>
        <v>0</v>
      </c>
      <c r="Y78" s="112">
        <v>0</v>
      </c>
      <c r="Z78" s="89">
        <f t="shared" si="43"/>
        <v>0</v>
      </c>
    </row>
    <row r="79" spans="2:26" x14ac:dyDescent="0.25">
      <c r="B79" s="311"/>
      <c r="C79" s="175">
        <v>59.900000000000013</v>
      </c>
      <c r="D79" s="48" t="s">
        <v>48</v>
      </c>
      <c r="E79" s="48" t="s">
        <v>94</v>
      </c>
      <c r="F79" s="160" t="s">
        <v>213</v>
      </c>
      <c r="G79" s="48">
        <v>5.9</v>
      </c>
      <c r="H79" s="44">
        <f t="shared" si="38"/>
        <v>5900</v>
      </c>
      <c r="I79" s="48">
        <v>340</v>
      </c>
      <c r="J79" s="48">
        <v>101.6</v>
      </c>
      <c r="K79" s="44">
        <f t="shared" si="9"/>
        <v>2.3090909090909091</v>
      </c>
      <c r="L79" s="48">
        <f t="shared" si="39"/>
        <v>3</v>
      </c>
      <c r="M79" s="44">
        <f t="shared" si="40"/>
        <v>6200</v>
      </c>
      <c r="N79" s="44">
        <f t="shared" si="22"/>
        <v>440</v>
      </c>
      <c r="O79" s="164">
        <v>44</v>
      </c>
      <c r="P79" s="44">
        <f t="shared" si="41"/>
        <v>1.3090909090909091</v>
      </c>
      <c r="Q79" s="44">
        <f t="shared" si="44"/>
        <v>4</v>
      </c>
      <c r="R79" s="165" t="s">
        <v>342</v>
      </c>
      <c r="S79" s="58">
        <v>2</v>
      </c>
      <c r="T79" s="166" t="s">
        <v>340</v>
      </c>
      <c r="U79" s="53" t="s">
        <v>221</v>
      </c>
      <c r="V79" s="140">
        <v>12114</v>
      </c>
      <c r="W79" s="138">
        <v>0</v>
      </c>
      <c r="X79" s="88">
        <f t="shared" si="42"/>
        <v>0</v>
      </c>
      <c r="Y79" s="112">
        <v>0</v>
      </c>
      <c r="Z79" s="89">
        <f t="shared" si="43"/>
        <v>0</v>
      </c>
    </row>
    <row r="80" spans="2:26" x14ac:dyDescent="0.25">
      <c r="B80" s="311"/>
      <c r="C80" s="175">
        <v>59.1</v>
      </c>
      <c r="D80" s="48" t="s">
        <v>48</v>
      </c>
      <c r="E80" s="48" t="s">
        <v>74</v>
      </c>
      <c r="F80" s="160" t="s">
        <v>212</v>
      </c>
      <c r="G80" s="48">
        <v>1.9</v>
      </c>
      <c r="H80" s="44">
        <f t="shared" si="38"/>
        <v>1900</v>
      </c>
      <c r="I80" s="48">
        <v>299</v>
      </c>
      <c r="J80" s="48">
        <v>101.6</v>
      </c>
      <c r="K80" s="44">
        <f t="shared" si="9"/>
        <v>2.3090909090909091</v>
      </c>
      <c r="L80" s="48">
        <f t="shared" si="39"/>
        <v>3</v>
      </c>
      <c r="M80" s="44">
        <f t="shared" si="40"/>
        <v>2200</v>
      </c>
      <c r="N80" s="44">
        <f t="shared" si="22"/>
        <v>399</v>
      </c>
      <c r="O80" s="164">
        <v>44</v>
      </c>
      <c r="P80" s="44">
        <f t="shared" si="41"/>
        <v>1.3090909090909091</v>
      </c>
      <c r="Q80" s="44">
        <f t="shared" si="44"/>
        <v>4</v>
      </c>
      <c r="R80" s="162" t="s">
        <v>341</v>
      </c>
      <c r="S80" s="58">
        <v>2</v>
      </c>
      <c r="T80" s="161" t="s">
        <v>339</v>
      </c>
      <c r="U80" s="53" t="s">
        <v>221</v>
      </c>
      <c r="V80" s="140">
        <v>12114</v>
      </c>
      <c r="W80" s="138">
        <v>0</v>
      </c>
      <c r="X80" s="88">
        <f t="shared" si="42"/>
        <v>0</v>
      </c>
      <c r="Y80" s="112">
        <v>0</v>
      </c>
      <c r="Z80" s="89">
        <f t="shared" si="43"/>
        <v>0</v>
      </c>
    </row>
    <row r="81" spans="2:26" x14ac:dyDescent="0.25">
      <c r="B81" s="311"/>
      <c r="C81" s="175">
        <v>60.800000000000011</v>
      </c>
      <c r="D81" s="48" t="s">
        <v>48</v>
      </c>
      <c r="E81" s="48" t="s">
        <v>92</v>
      </c>
      <c r="F81" s="160" t="s">
        <v>213</v>
      </c>
      <c r="G81" s="48">
        <v>7.1</v>
      </c>
      <c r="H81" s="44">
        <f t="shared" si="38"/>
        <v>7100</v>
      </c>
      <c r="I81" s="48">
        <v>341</v>
      </c>
      <c r="J81" s="48">
        <v>101.6</v>
      </c>
      <c r="K81" s="44">
        <f t="shared" si="9"/>
        <v>2.3090909090909091</v>
      </c>
      <c r="L81" s="48">
        <f t="shared" si="39"/>
        <v>3</v>
      </c>
      <c r="M81" s="44">
        <f t="shared" si="40"/>
        <v>7400</v>
      </c>
      <c r="N81" s="44">
        <f t="shared" si="22"/>
        <v>441</v>
      </c>
      <c r="O81" s="164">
        <v>44</v>
      </c>
      <c r="P81" s="44">
        <f t="shared" si="41"/>
        <v>1.3090909090909091</v>
      </c>
      <c r="Q81" s="44">
        <f t="shared" si="44"/>
        <v>4</v>
      </c>
      <c r="R81" s="165" t="s">
        <v>342</v>
      </c>
      <c r="S81" s="58">
        <v>2</v>
      </c>
      <c r="T81" s="166" t="s">
        <v>340</v>
      </c>
      <c r="U81" s="53" t="s">
        <v>221</v>
      </c>
      <c r="V81" s="140">
        <v>12114</v>
      </c>
      <c r="W81" s="138">
        <v>0</v>
      </c>
      <c r="X81" s="88">
        <f t="shared" si="42"/>
        <v>0</v>
      </c>
      <c r="Y81" s="112">
        <v>0</v>
      </c>
      <c r="Z81" s="89">
        <f t="shared" si="43"/>
        <v>0</v>
      </c>
    </row>
    <row r="82" spans="2:26" x14ac:dyDescent="0.25">
      <c r="B82" s="311"/>
      <c r="C82" s="175">
        <v>60.900000000000013</v>
      </c>
      <c r="D82" s="48" t="s">
        <v>48</v>
      </c>
      <c r="E82" s="48" t="s">
        <v>26</v>
      </c>
      <c r="F82" s="160" t="s">
        <v>212</v>
      </c>
      <c r="G82" s="48">
        <v>3.4</v>
      </c>
      <c r="H82" s="44">
        <f t="shared" si="38"/>
        <v>3400</v>
      </c>
      <c r="I82" s="48">
        <v>299</v>
      </c>
      <c r="J82" s="48">
        <v>101.6</v>
      </c>
      <c r="K82" s="44">
        <f t="shared" ref="K82:K135" si="45">(J82/O82)</f>
        <v>2.3090909090909091</v>
      </c>
      <c r="L82" s="48">
        <f t="shared" si="39"/>
        <v>3</v>
      </c>
      <c r="M82" s="44">
        <f t="shared" si="40"/>
        <v>3700</v>
      </c>
      <c r="N82" s="44">
        <f t="shared" si="22"/>
        <v>399</v>
      </c>
      <c r="O82" s="164">
        <v>44</v>
      </c>
      <c r="P82" s="44">
        <f t="shared" si="41"/>
        <v>1.3090909090909091</v>
      </c>
      <c r="Q82" s="44">
        <f t="shared" si="44"/>
        <v>4</v>
      </c>
      <c r="R82" s="162" t="s">
        <v>341</v>
      </c>
      <c r="S82" s="58">
        <v>2</v>
      </c>
      <c r="T82" s="161" t="s">
        <v>339</v>
      </c>
      <c r="U82" s="53" t="s">
        <v>221</v>
      </c>
      <c r="V82" s="140">
        <v>12114</v>
      </c>
      <c r="W82" s="138">
        <v>0</v>
      </c>
      <c r="X82" s="88">
        <f t="shared" si="42"/>
        <v>0</v>
      </c>
      <c r="Y82" s="112">
        <v>0</v>
      </c>
      <c r="Z82" s="89">
        <f t="shared" si="43"/>
        <v>0</v>
      </c>
    </row>
    <row r="83" spans="2:26" ht="15.75" thickBot="1" x14ac:dyDescent="0.3">
      <c r="B83" s="311"/>
      <c r="C83" s="175">
        <v>60.1</v>
      </c>
      <c r="D83" s="48" t="s">
        <v>48</v>
      </c>
      <c r="E83" s="48" t="s">
        <v>74</v>
      </c>
      <c r="F83" s="160" t="s">
        <v>212</v>
      </c>
      <c r="G83" s="48">
        <v>2</v>
      </c>
      <c r="H83" s="44">
        <f t="shared" si="38"/>
        <v>2000</v>
      </c>
      <c r="I83" s="48">
        <v>299</v>
      </c>
      <c r="J83" s="48">
        <v>101.6</v>
      </c>
      <c r="K83" s="44">
        <f t="shared" si="45"/>
        <v>2.3090909090909091</v>
      </c>
      <c r="L83" s="48">
        <f t="shared" si="39"/>
        <v>3</v>
      </c>
      <c r="M83" s="44">
        <f t="shared" si="40"/>
        <v>2300</v>
      </c>
      <c r="N83" s="44">
        <f t="shared" si="22"/>
        <v>399</v>
      </c>
      <c r="O83" s="164">
        <v>44</v>
      </c>
      <c r="P83" s="44">
        <f t="shared" si="41"/>
        <v>1.3090909090909091</v>
      </c>
      <c r="Q83" s="44">
        <f t="shared" si="44"/>
        <v>4</v>
      </c>
      <c r="R83" s="162" t="s">
        <v>341</v>
      </c>
      <c r="S83" s="58">
        <v>2</v>
      </c>
      <c r="T83" s="161" t="s">
        <v>339</v>
      </c>
      <c r="U83" s="53" t="s">
        <v>221</v>
      </c>
      <c r="V83" s="140">
        <v>12114</v>
      </c>
      <c r="W83" s="139">
        <v>0</v>
      </c>
      <c r="X83" s="90">
        <f t="shared" si="42"/>
        <v>0</v>
      </c>
      <c r="Y83" s="113">
        <v>0</v>
      </c>
      <c r="Z83" s="91">
        <f t="shared" si="43"/>
        <v>0</v>
      </c>
    </row>
    <row r="84" spans="2:26" s="66" customFormat="1" ht="15.75" thickBot="1" x14ac:dyDescent="0.3">
      <c r="B84" s="313"/>
      <c r="C84" s="189" t="s">
        <v>273</v>
      </c>
      <c r="D84" s="180"/>
      <c r="E84" s="180"/>
      <c r="F84" s="180"/>
      <c r="G84" s="180"/>
      <c r="H84" s="180"/>
      <c r="I84" s="180"/>
      <c r="J84" s="180"/>
      <c r="K84" s="180"/>
      <c r="L84" s="180"/>
      <c r="M84" s="180"/>
      <c r="N84" s="180"/>
      <c r="O84" s="180"/>
      <c r="P84" s="180"/>
      <c r="Q84" s="180">
        <f>SUM(Q70:Q83)</f>
        <v>56</v>
      </c>
      <c r="R84" s="180"/>
      <c r="S84" s="180">
        <f>SUM(S70:S83)</f>
        <v>28</v>
      </c>
      <c r="T84" s="180"/>
      <c r="U84" s="180"/>
      <c r="V84" s="180"/>
      <c r="W84" s="130"/>
      <c r="X84" s="75">
        <f>SUM(X70:X83)</f>
        <v>0</v>
      </c>
      <c r="Y84" s="75"/>
      <c r="Z84" s="75">
        <f>SUM(Z70:Z83)</f>
        <v>0</v>
      </c>
    </row>
    <row r="85" spans="2:26" x14ac:dyDescent="0.25">
      <c r="B85" s="310" t="s">
        <v>369</v>
      </c>
      <c r="C85" s="175">
        <v>61.70000000000001</v>
      </c>
      <c r="D85" s="48" t="s">
        <v>48</v>
      </c>
      <c r="E85" s="48" t="s">
        <v>85</v>
      </c>
      <c r="F85" s="160" t="s">
        <v>212</v>
      </c>
      <c r="G85" s="48">
        <v>4.3</v>
      </c>
      <c r="H85" s="44">
        <f t="shared" ref="H85:H100" si="46">CONVERT(G85,"m","mm")</f>
        <v>4300</v>
      </c>
      <c r="I85" s="48">
        <v>341</v>
      </c>
      <c r="J85" s="48">
        <v>76.2</v>
      </c>
      <c r="K85" s="44">
        <f t="shared" si="45"/>
        <v>1.7318181818181819</v>
      </c>
      <c r="L85" s="48">
        <f t="shared" ref="L85:L100" si="47">ROUNDUP(K85,0)</f>
        <v>2</v>
      </c>
      <c r="M85" s="44">
        <f t="shared" ref="M85:M100" si="48">(H85+300)</f>
        <v>4600</v>
      </c>
      <c r="N85" s="44">
        <f t="shared" si="22"/>
        <v>441</v>
      </c>
      <c r="O85" s="164">
        <v>44</v>
      </c>
      <c r="P85" s="44">
        <f t="shared" ref="P85:P100" si="49">(K85-1)</f>
        <v>0.73181818181818192</v>
      </c>
      <c r="Q85" s="44">
        <f>(L85-1)*2</f>
        <v>2</v>
      </c>
      <c r="R85" s="162" t="s">
        <v>341</v>
      </c>
      <c r="S85" s="58">
        <v>2</v>
      </c>
      <c r="T85" s="161" t="s">
        <v>339</v>
      </c>
      <c r="U85" s="53" t="s">
        <v>221</v>
      </c>
      <c r="V85" s="140">
        <v>12236</v>
      </c>
      <c r="W85" s="137">
        <v>0</v>
      </c>
      <c r="X85" s="86">
        <f t="shared" ref="X85:X100" si="50">(W85*Q85)</f>
        <v>0</v>
      </c>
      <c r="Y85" s="111">
        <v>0</v>
      </c>
      <c r="Z85" s="87">
        <f t="shared" ref="Z85:Z100" si="51">(Y85*S85)</f>
        <v>0</v>
      </c>
    </row>
    <row r="86" spans="2:26" x14ac:dyDescent="0.25">
      <c r="B86" s="311"/>
      <c r="C86" s="175">
        <v>61.800000000000011</v>
      </c>
      <c r="D86" s="48" t="s">
        <v>48</v>
      </c>
      <c r="E86" s="48" t="s">
        <v>26</v>
      </c>
      <c r="F86" s="160" t="s">
        <v>212</v>
      </c>
      <c r="G86" s="48">
        <v>2.2999999999999998</v>
      </c>
      <c r="H86" s="44">
        <f t="shared" si="46"/>
        <v>2300</v>
      </c>
      <c r="I86" s="48">
        <v>267</v>
      </c>
      <c r="J86" s="48">
        <v>76.2</v>
      </c>
      <c r="K86" s="44">
        <f t="shared" si="45"/>
        <v>1.7318181818181819</v>
      </c>
      <c r="L86" s="48">
        <f t="shared" si="47"/>
        <v>2</v>
      </c>
      <c r="M86" s="44">
        <f t="shared" si="48"/>
        <v>2600</v>
      </c>
      <c r="N86" s="44">
        <f t="shared" si="22"/>
        <v>367</v>
      </c>
      <c r="O86" s="164">
        <v>44</v>
      </c>
      <c r="P86" s="44">
        <f t="shared" si="49"/>
        <v>0.73181818181818192</v>
      </c>
      <c r="Q86" s="44">
        <f t="shared" ref="Q86:Q100" si="52">(L86-1)*2</f>
        <v>2</v>
      </c>
      <c r="R86" s="162" t="s">
        <v>341</v>
      </c>
      <c r="S86" s="58">
        <v>2</v>
      </c>
      <c r="T86" s="161" t="s">
        <v>339</v>
      </c>
      <c r="U86" s="53" t="s">
        <v>221</v>
      </c>
      <c r="V86" s="140">
        <v>12236</v>
      </c>
      <c r="W86" s="138">
        <v>0</v>
      </c>
      <c r="X86" s="88">
        <f t="shared" si="50"/>
        <v>0</v>
      </c>
      <c r="Y86" s="112">
        <v>0</v>
      </c>
      <c r="Z86" s="89">
        <f t="shared" si="51"/>
        <v>0</v>
      </c>
    </row>
    <row r="87" spans="2:26" x14ac:dyDescent="0.25">
      <c r="B87" s="311"/>
      <c r="C87" s="175">
        <v>61.900000000000013</v>
      </c>
      <c r="D87" s="48" t="s">
        <v>48</v>
      </c>
      <c r="E87" s="48" t="s">
        <v>26</v>
      </c>
      <c r="F87" s="160" t="s">
        <v>212</v>
      </c>
      <c r="G87" s="48">
        <v>2.2999999999999998</v>
      </c>
      <c r="H87" s="44">
        <f t="shared" si="46"/>
        <v>2300</v>
      </c>
      <c r="I87" s="48">
        <v>267</v>
      </c>
      <c r="J87" s="48">
        <v>76.2</v>
      </c>
      <c r="K87" s="44">
        <f t="shared" si="45"/>
        <v>1.7318181818181819</v>
      </c>
      <c r="L87" s="48">
        <f t="shared" si="47"/>
        <v>2</v>
      </c>
      <c r="M87" s="44">
        <f t="shared" si="48"/>
        <v>2600</v>
      </c>
      <c r="N87" s="44">
        <f t="shared" si="22"/>
        <v>367</v>
      </c>
      <c r="O87" s="164">
        <v>44</v>
      </c>
      <c r="P87" s="44">
        <f t="shared" si="49"/>
        <v>0.73181818181818192</v>
      </c>
      <c r="Q87" s="44">
        <f t="shared" si="52"/>
        <v>2</v>
      </c>
      <c r="R87" s="162" t="s">
        <v>341</v>
      </c>
      <c r="S87" s="58">
        <v>2</v>
      </c>
      <c r="T87" s="161" t="s">
        <v>339</v>
      </c>
      <c r="U87" s="53" t="s">
        <v>221</v>
      </c>
      <c r="V87" s="140">
        <v>12236</v>
      </c>
      <c r="W87" s="138">
        <v>0</v>
      </c>
      <c r="X87" s="88">
        <f t="shared" si="50"/>
        <v>0</v>
      </c>
      <c r="Y87" s="112">
        <v>0</v>
      </c>
      <c r="Z87" s="89">
        <f t="shared" si="51"/>
        <v>0</v>
      </c>
    </row>
    <row r="88" spans="2:26" x14ac:dyDescent="0.25">
      <c r="B88" s="311"/>
      <c r="C88" s="175">
        <v>61.1</v>
      </c>
      <c r="D88" s="48" t="s">
        <v>48</v>
      </c>
      <c r="E88" s="48" t="s">
        <v>74</v>
      </c>
      <c r="F88" s="160" t="s">
        <v>212</v>
      </c>
      <c r="G88" s="48">
        <v>3.4</v>
      </c>
      <c r="H88" s="44">
        <f t="shared" si="46"/>
        <v>3400</v>
      </c>
      <c r="I88" s="48">
        <v>267</v>
      </c>
      <c r="J88" s="48">
        <v>76.2</v>
      </c>
      <c r="K88" s="44">
        <f t="shared" si="45"/>
        <v>1.7318181818181819</v>
      </c>
      <c r="L88" s="48">
        <f t="shared" si="47"/>
        <v>2</v>
      </c>
      <c r="M88" s="44">
        <f t="shared" si="48"/>
        <v>3700</v>
      </c>
      <c r="N88" s="44">
        <f t="shared" si="22"/>
        <v>367</v>
      </c>
      <c r="O88" s="164">
        <v>44</v>
      </c>
      <c r="P88" s="44">
        <f t="shared" si="49"/>
        <v>0.73181818181818192</v>
      </c>
      <c r="Q88" s="44">
        <f t="shared" si="52"/>
        <v>2</v>
      </c>
      <c r="R88" s="162" t="s">
        <v>341</v>
      </c>
      <c r="S88" s="58">
        <v>2</v>
      </c>
      <c r="T88" s="161" t="s">
        <v>339</v>
      </c>
      <c r="U88" s="53" t="s">
        <v>221</v>
      </c>
      <c r="V88" s="140">
        <v>12236</v>
      </c>
      <c r="W88" s="138">
        <v>0</v>
      </c>
      <c r="X88" s="88">
        <f t="shared" si="50"/>
        <v>0</v>
      </c>
      <c r="Y88" s="112">
        <v>0</v>
      </c>
      <c r="Z88" s="89">
        <f t="shared" si="51"/>
        <v>0</v>
      </c>
    </row>
    <row r="89" spans="2:26" x14ac:dyDescent="0.25">
      <c r="B89" s="311"/>
      <c r="C89" s="175">
        <v>61.11</v>
      </c>
      <c r="D89" s="48" t="s">
        <v>48</v>
      </c>
      <c r="E89" s="48" t="s">
        <v>74</v>
      </c>
      <c r="F89" s="160" t="s">
        <v>212</v>
      </c>
      <c r="G89" s="48">
        <v>2.1</v>
      </c>
      <c r="H89" s="44">
        <f t="shared" si="46"/>
        <v>2100</v>
      </c>
      <c r="I89" s="48">
        <v>267</v>
      </c>
      <c r="J89" s="48">
        <v>76.2</v>
      </c>
      <c r="K89" s="44">
        <f t="shared" si="45"/>
        <v>1.7318181818181819</v>
      </c>
      <c r="L89" s="48">
        <f t="shared" si="47"/>
        <v>2</v>
      </c>
      <c r="M89" s="44">
        <f t="shared" si="48"/>
        <v>2400</v>
      </c>
      <c r="N89" s="44">
        <f t="shared" si="22"/>
        <v>367</v>
      </c>
      <c r="O89" s="164">
        <v>44</v>
      </c>
      <c r="P89" s="44">
        <f t="shared" si="49"/>
        <v>0.73181818181818192</v>
      </c>
      <c r="Q89" s="44">
        <f t="shared" si="52"/>
        <v>2</v>
      </c>
      <c r="R89" s="162" t="s">
        <v>341</v>
      </c>
      <c r="S89" s="58">
        <v>2</v>
      </c>
      <c r="T89" s="161" t="s">
        <v>339</v>
      </c>
      <c r="U89" s="53" t="s">
        <v>221</v>
      </c>
      <c r="V89" s="140">
        <v>12236</v>
      </c>
      <c r="W89" s="138">
        <v>0</v>
      </c>
      <c r="X89" s="88">
        <f t="shared" si="50"/>
        <v>0</v>
      </c>
      <c r="Y89" s="112">
        <v>0</v>
      </c>
      <c r="Z89" s="89">
        <f t="shared" si="51"/>
        <v>0</v>
      </c>
    </row>
    <row r="90" spans="2:26" x14ac:dyDescent="0.25">
      <c r="B90" s="311"/>
      <c r="C90" s="175">
        <v>62.1</v>
      </c>
      <c r="D90" s="48" t="s">
        <v>48</v>
      </c>
      <c r="E90" s="48" t="s">
        <v>26</v>
      </c>
      <c r="F90" s="160" t="s">
        <v>212</v>
      </c>
      <c r="G90" s="48">
        <v>2.7</v>
      </c>
      <c r="H90" s="44">
        <f t="shared" si="46"/>
        <v>2700</v>
      </c>
      <c r="I90" s="48">
        <v>267</v>
      </c>
      <c r="J90" s="48">
        <v>76.2</v>
      </c>
      <c r="K90" s="44">
        <f t="shared" si="45"/>
        <v>1.7318181818181819</v>
      </c>
      <c r="L90" s="48">
        <f t="shared" si="47"/>
        <v>2</v>
      </c>
      <c r="M90" s="44">
        <f t="shared" si="48"/>
        <v>3000</v>
      </c>
      <c r="N90" s="44">
        <f t="shared" si="22"/>
        <v>367</v>
      </c>
      <c r="O90" s="164">
        <v>44</v>
      </c>
      <c r="P90" s="44">
        <f t="shared" si="49"/>
        <v>0.73181818181818192</v>
      </c>
      <c r="Q90" s="44">
        <f t="shared" si="52"/>
        <v>2</v>
      </c>
      <c r="R90" s="162" t="s">
        <v>341</v>
      </c>
      <c r="S90" s="58">
        <v>2</v>
      </c>
      <c r="T90" s="161" t="s">
        <v>339</v>
      </c>
      <c r="U90" s="53" t="s">
        <v>221</v>
      </c>
      <c r="V90" s="140">
        <v>12236</v>
      </c>
      <c r="W90" s="138">
        <v>0</v>
      </c>
      <c r="X90" s="88">
        <f t="shared" si="50"/>
        <v>0</v>
      </c>
      <c r="Y90" s="112">
        <v>0</v>
      </c>
      <c r="Z90" s="89">
        <f t="shared" si="51"/>
        <v>0</v>
      </c>
    </row>
    <row r="91" spans="2:26" x14ac:dyDescent="0.25">
      <c r="B91" s="311"/>
      <c r="C91" s="175">
        <v>62.11</v>
      </c>
      <c r="D91" s="48" t="s">
        <v>48</v>
      </c>
      <c r="E91" s="48" t="s">
        <v>26</v>
      </c>
      <c r="F91" s="160" t="s">
        <v>212</v>
      </c>
      <c r="G91" s="48">
        <v>2.2999999999999998</v>
      </c>
      <c r="H91" s="44">
        <f t="shared" si="46"/>
        <v>2300</v>
      </c>
      <c r="I91" s="48">
        <v>267</v>
      </c>
      <c r="J91" s="48">
        <v>76.2</v>
      </c>
      <c r="K91" s="44">
        <f t="shared" si="45"/>
        <v>1.7318181818181819</v>
      </c>
      <c r="L91" s="48">
        <f t="shared" si="47"/>
        <v>2</v>
      </c>
      <c r="M91" s="44">
        <f t="shared" si="48"/>
        <v>2600</v>
      </c>
      <c r="N91" s="44">
        <f t="shared" si="22"/>
        <v>367</v>
      </c>
      <c r="O91" s="164">
        <v>44</v>
      </c>
      <c r="P91" s="44">
        <f t="shared" si="49"/>
        <v>0.73181818181818192</v>
      </c>
      <c r="Q91" s="44">
        <f t="shared" si="52"/>
        <v>2</v>
      </c>
      <c r="R91" s="162" t="s">
        <v>341</v>
      </c>
      <c r="S91" s="58">
        <v>2</v>
      </c>
      <c r="T91" s="161" t="s">
        <v>339</v>
      </c>
      <c r="U91" s="53" t="s">
        <v>221</v>
      </c>
      <c r="V91" s="140">
        <v>12236</v>
      </c>
      <c r="W91" s="138">
        <v>0</v>
      </c>
      <c r="X91" s="88">
        <f t="shared" si="50"/>
        <v>0</v>
      </c>
      <c r="Y91" s="112">
        <v>0</v>
      </c>
      <c r="Z91" s="89">
        <f t="shared" si="51"/>
        <v>0</v>
      </c>
    </row>
    <row r="92" spans="2:26" x14ac:dyDescent="0.25">
      <c r="B92" s="311"/>
      <c r="C92" s="175">
        <v>62.12</v>
      </c>
      <c r="D92" s="48" t="s">
        <v>48</v>
      </c>
      <c r="E92" s="48" t="s">
        <v>26</v>
      </c>
      <c r="F92" s="160" t="s">
        <v>212</v>
      </c>
      <c r="G92" s="48">
        <v>2.2999999999999998</v>
      </c>
      <c r="H92" s="44">
        <f t="shared" si="46"/>
        <v>2300</v>
      </c>
      <c r="I92" s="48">
        <v>267</v>
      </c>
      <c r="J92" s="48">
        <v>76.2</v>
      </c>
      <c r="K92" s="44">
        <f t="shared" si="45"/>
        <v>1.7318181818181819</v>
      </c>
      <c r="L92" s="48">
        <f t="shared" si="47"/>
        <v>2</v>
      </c>
      <c r="M92" s="44">
        <f t="shared" si="48"/>
        <v>2600</v>
      </c>
      <c r="N92" s="44">
        <f t="shared" si="22"/>
        <v>367</v>
      </c>
      <c r="O92" s="164">
        <v>44</v>
      </c>
      <c r="P92" s="44">
        <f t="shared" si="49"/>
        <v>0.73181818181818192</v>
      </c>
      <c r="Q92" s="44">
        <f t="shared" si="52"/>
        <v>2</v>
      </c>
      <c r="R92" s="162" t="s">
        <v>341</v>
      </c>
      <c r="S92" s="58">
        <v>2</v>
      </c>
      <c r="T92" s="161" t="s">
        <v>339</v>
      </c>
      <c r="U92" s="53" t="s">
        <v>221</v>
      </c>
      <c r="V92" s="140">
        <v>12236</v>
      </c>
      <c r="W92" s="138">
        <v>0</v>
      </c>
      <c r="X92" s="88">
        <f t="shared" si="50"/>
        <v>0</v>
      </c>
      <c r="Y92" s="112">
        <v>0</v>
      </c>
      <c r="Z92" s="89">
        <f t="shared" si="51"/>
        <v>0</v>
      </c>
    </row>
    <row r="93" spans="2:26" x14ac:dyDescent="0.25">
      <c r="B93" s="311"/>
      <c r="C93" s="175">
        <v>62.129999999999995</v>
      </c>
      <c r="D93" s="48" t="s">
        <v>48</v>
      </c>
      <c r="E93" s="48" t="s">
        <v>74</v>
      </c>
      <c r="F93" s="160" t="s">
        <v>212</v>
      </c>
      <c r="G93" s="48">
        <v>3.4</v>
      </c>
      <c r="H93" s="44">
        <f t="shared" si="46"/>
        <v>3400</v>
      </c>
      <c r="I93" s="48">
        <v>267</v>
      </c>
      <c r="J93" s="48">
        <v>76.2</v>
      </c>
      <c r="K93" s="44">
        <f t="shared" si="45"/>
        <v>1.7318181818181819</v>
      </c>
      <c r="L93" s="48">
        <f t="shared" si="47"/>
        <v>2</v>
      </c>
      <c r="M93" s="44">
        <f t="shared" si="48"/>
        <v>3700</v>
      </c>
      <c r="N93" s="44">
        <f t="shared" si="22"/>
        <v>367</v>
      </c>
      <c r="O93" s="164">
        <v>44</v>
      </c>
      <c r="P93" s="44">
        <f t="shared" si="49"/>
        <v>0.73181818181818192</v>
      </c>
      <c r="Q93" s="44">
        <f t="shared" si="52"/>
        <v>2</v>
      </c>
      <c r="R93" s="162" t="s">
        <v>341</v>
      </c>
      <c r="S93" s="58">
        <v>2</v>
      </c>
      <c r="T93" s="161" t="s">
        <v>339</v>
      </c>
      <c r="U93" s="53" t="s">
        <v>221</v>
      </c>
      <c r="V93" s="140">
        <v>12236</v>
      </c>
      <c r="W93" s="138">
        <v>0</v>
      </c>
      <c r="X93" s="88">
        <f t="shared" si="50"/>
        <v>0</v>
      </c>
      <c r="Y93" s="112">
        <v>0</v>
      </c>
      <c r="Z93" s="89">
        <f t="shared" si="51"/>
        <v>0</v>
      </c>
    </row>
    <row r="94" spans="2:26" x14ac:dyDescent="0.25">
      <c r="B94" s="311"/>
      <c r="C94" s="175">
        <v>62.139999999999993</v>
      </c>
      <c r="D94" s="48" t="s">
        <v>48</v>
      </c>
      <c r="E94" s="48" t="s">
        <v>74</v>
      </c>
      <c r="F94" s="160" t="s">
        <v>212</v>
      </c>
      <c r="G94" s="48">
        <v>2.2000000000000002</v>
      </c>
      <c r="H94" s="44">
        <f t="shared" si="46"/>
        <v>2200</v>
      </c>
      <c r="I94" s="48">
        <v>267</v>
      </c>
      <c r="J94" s="48">
        <v>76.2</v>
      </c>
      <c r="K94" s="44">
        <f t="shared" si="45"/>
        <v>1.7318181818181819</v>
      </c>
      <c r="L94" s="48">
        <f t="shared" si="47"/>
        <v>2</v>
      </c>
      <c r="M94" s="44">
        <f t="shared" si="48"/>
        <v>2500</v>
      </c>
      <c r="N94" s="44">
        <f t="shared" si="22"/>
        <v>367</v>
      </c>
      <c r="O94" s="164">
        <v>44</v>
      </c>
      <c r="P94" s="44">
        <f t="shared" si="49"/>
        <v>0.73181818181818192</v>
      </c>
      <c r="Q94" s="44">
        <f t="shared" si="52"/>
        <v>2</v>
      </c>
      <c r="R94" s="162" t="s">
        <v>341</v>
      </c>
      <c r="S94" s="58">
        <v>2</v>
      </c>
      <c r="T94" s="161" t="s">
        <v>339</v>
      </c>
      <c r="U94" s="53" t="s">
        <v>221</v>
      </c>
      <c r="V94" s="140">
        <v>12236</v>
      </c>
      <c r="W94" s="138">
        <v>0</v>
      </c>
      <c r="X94" s="88">
        <f t="shared" si="50"/>
        <v>0</v>
      </c>
      <c r="Y94" s="112">
        <v>0</v>
      </c>
      <c r="Z94" s="89">
        <f t="shared" si="51"/>
        <v>0</v>
      </c>
    </row>
    <row r="95" spans="2:26" x14ac:dyDescent="0.25">
      <c r="B95" s="311"/>
      <c r="C95" s="175">
        <v>63.129999999999995</v>
      </c>
      <c r="D95" s="48" t="s">
        <v>48</v>
      </c>
      <c r="E95" s="48" t="s">
        <v>26</v>
      </c>
      <c r="F95" s="160" t="s">
        <v>212</v>
      </c>
      <c r="G95" s="48">
        <v>2.7</v>
      </c>
      <c r="H95" s="44">
        <f t="shared" si="46"/>
        <v>2700</v>
      </c>
      <c r="I95" s="48">
        <v>267</v>
      </c>
      <c r="J95" s="48">
        <v>76.2</v>
      </c>
      <c r="K95" s="44">
        <f t="shared" si="45"/>
        <v>1.7318181818181819</v>
      </c>
      <c r="L95" s="48">
        <f t="shared" si="47"/>
        <v>2</v>
      </c>
      <c r="M95" s="44">
        <f t="shared" si="48"/>
        <v>3000</v>
      </c>
      <c r="N95" s="44">
        <f t="shared" si="22"/>
        <v>367</v>
      </c>
      <c r="O95" s="164">
        <v>44</v>
      </c>
      <c r="P95" s="44">
        <f t="shared" si="49"/>
        <v>0.73181818181818192</v>
      </c>
      <c r="Q95" s="44">
        <f t="shared" si="52"/>
        <v>2</v>
      </c>
      <c r="R95" s="162" t="s">
        <v>341</v>
      </c>
      <c r="S95" s="58">
        <v>2</v>
      </c>
      <c r="T95" s="161" t="s">
        <v>339</v>
      </c>
      <c r="U95" s="53" t="s">
        <v>221</v>
      </c>
      <c r="V95" s="140">
        <v>12236</v>
      </c>
      <c r="W95" s="138">
        <v>0</v>
      </c>
      <c r="X95" s="88">
        <f t="shared" si="50"/>
        <v>0</v>
      </c>
      <c r="Y95" s="112">
        <v>0</v>
      </c>
      <c r="Z95" s="89">
        <f t="shared" si="51"/>
        <v>0</v>
      </c>
    </row>
    <row r="96" spans="2:26" x14ac:dyDescent="0.25">
      <c r="B96" s="311"/>
      <c r="C96" s="175">
        <v>63.139999999999993</v>
      </c>
      <c r="D96" s="48" t="s">
        <v>48</v>
      </c>
      <c r="E96" s="48" t="s">
        <v>26</v>
      </c>
      <c r="F96" s="160" t="s">
        <v>212</v>
      </c>
      <c r="G96" s="48">
        <v>2.2999999999999998</v>
      </c>
      <c r="H96" s="44">
        <f t="shared" si="46"/>
        <v>2300</v>
      </c>
      <c r="I96" s="48">
        <v>267</v>
      </c>
      <c r="J96" s="48">
        <v>76.2</v>
      </c>
      <c r="K96" s="44">
        <f t="shared" si="45"/>
        <v>1.7318181818181819</v>
      </c>
      <c r="L96" s="48">
        <f t="shared" si="47"/>
        <v>2</v>
      </c>
      <c r="M96" s="44">
        <f t="shared" si="48"/>
        <v>2600</v>
      </c>
      <c r="N96" s="44">
        <f t="shared" ref="N96:N135" si="53">(I96+100)</f>
        <v>367</v>
      </c>
      <c r="O96" s="164">
        <v>44</v>
      </c>
      <c r="P96" s="44">
        <f t="shared" si="49"/>
        <v>0.73181818181818192</v>
      </c>
      <c r="Q96" s="44">
        <f t="shared" si="52"/>
        <v>2</v>
      </c>
      <c r="R96" s="162" t="s">
        <v>341</v>
      </c>
      <c r="S96" s="58">
        <v>2</v>
      </c>
      <c r="T96" s="161" t="s">
        <v>339</v>
      </c>
      <c r="U96" s="53" t="s">
        <v>221</v>
      </c>
      <c r="V96" s="140">
        <v>12236</v>
      </c>
      <c r="W96" s="138">
        <v>0</v>
      </c>
      <c r="X96" s="88">
        <f t="shared" si="50"/>
        <v>0</v>
      </c>
      <c r="Y96" s="112">
        <v>0</v>
      </c>
      <c r="Z96" s="89">
        <f t="shared" si="51"/>
        <v>0</v>
      </c>
    </row>
    <row r="97" spans="2:26" x14ac:dyDescent="0.25">
      <c r="B97" s="311"/>
      <c r="C97" s="175">
        <v>63.15</v>
      </c>
      <c r="D97" s="48" t="s">
        <v>48</v>
      </c>
      <c r="E97" s="48" t="s">
        <v>74</v>
      </c>
      <c r="F97" s="160" t="s">
        <v>213</v>
      </c>
      <c r="G97" s="48">
        <v>9.6999999999999993</v>
      </c>
      <c r="H97" s="44">
        <f t="shared" si="46"/>
        <v>9700</v>
      </c>
      <c r="I97" s="48">
        <v>267</v>
      </c>
      <c r="J97" s="48">
        <v>76.2</v>
      </c>
      <c r="K97" s="44">
        <f t="shared" si="45"/>
        <v>1.7318181818181819</v>
      </c>
      <c r="L97" s="48">
        <f t="shared" si="47"/>
        <v>2</v>
      </c>
      <c r="M97" s="44">
        <f t="shared" si="48"/>
        <v>10000</v>
      </c>
      <c r="N97" s="44">
        <f t="shared" si="53"/>
        <v>367</v>
      </c>
      <c r="O97" s="164">
        <v>44</v>
      </c>
      <c r="P97" s="44">
        <f t="shared" si="49"/>
        <v>0.73181818181818192</v>
      </c>
      <c r="Q97" s="44">
        <f t="shared" si="52"/>
        <v>2</v>
      </c>
      <c r="R97" s="165" t="s">
        <v>342</v>
      </c>
      <c r="S97" s="58">
        <v>2</v>
      </c>
      <c r="T97" s="166" t="s">
        <v>340</v>
      </c>
      <c r="U97" s="53" t="s">
        <v>221</v>
      </c>
      <c r="V97" s="140">
        <v>12236</v>
      </c>
      <c r="W97" s="138">
        <v>0</v>
      </c>
      <c r="X97" s="88">
        <f t="shared" si="50"/>
        <v>0</v>
      </c>
      <c r="Y97" s="112">
        <v>0</v>
      </c>
      <c r="Z97" s="89">
        <f t="shared" si="51"/>
        <v>0</v>
      </c>
    </row>
    <row r="98" spans="2:26" x14ac:dyDescent="0.25">
      <c r="B98" s="311"/>
      <c r="C98" s="175">
        <v>64.12</v>
      </c>
      <c r="D98" s="48" t="s">
        <v>48</v>
      </c>
      <c r="E98" s="48" t="s">
        <v>26</v>
      </c>
      <c r="F98" s="160" t="s">
        <v>212</v>
      </c>
      <c r="G98" s="48">
        <v>4.3</v>
      </c>
      <c r="H98" s="44">
        <f t="shared" si="46"/>
        <v>4300</v>
      </c>
      <c r="I98" s="48">
        <v>267</v>
      </c>
      <c r="J98" s="48">
        <v>76.2</v>
      </c>
      <c r="K98" s="44">
        <f t="shared" si="45"/>
        <v>1.7318181818181819</v>
      </c>
      <c r="L98" s="48">
        <f t="shared" si="47"/>
        <v>2</v>
      </c>
      <c r="M98" s="44">
        <f t="shared" si="48"/>
        <v>4600</v>
      </c>
      <c r="N98" s="44">
        <f t="shared" si="53"/>
        <v>367</v>
      </c>
      <c r="O98" s="164">
        <v>44</v>
      </c>
      <c r="P98" s="44">
        <f t="shared" si="49"/>
        <v>0.73181818181818192</v>
      </c>
      <c r="Q98" s="44">
        <f t="shared" si="52"/>
        <v>2</v>
      </c>
      <c r="R98" s="162" t="s">
        <v>341</v>
      </c>
      <c r="S98" s="58">
        <v>2</v>
      </c>
      <c r="T98" s="161" t="s">
        <v>339</v>
      </c>
      <c r="U98" s="53" t="s">
        <v>221</v>
      </c>
      <c r="V98" s="140">
        <v>12236</v>
      </c>
      <c r="W98" s="138">
        <v>0</v>
      </c>
      <c r="X98" s="88">
        <f t="shared" si="50"/>
        <v>0</v>
      </c>
      <c r="Y98" s="112">
        <v>0</v>
      </c>
      <c r="Z98" s="89">
        <f t="shared" si="51"/>
        <v>0</v>
      </c>
    </row>
    <row r="99" spans="2:26" x14ac:dyDescent="0.25">
      <c r="B99" s="311"/>
      <c r="C99" s="175">
        <v>64.13000000000001</v>
      </c>
      <c r="D99" s="48" t="s">
        <v>48</v>
      </c>
      <c r="E99" s="48" t="s">
        <v>79</v>
      </c>
      <c r="F99" s="160" t="s">
        <v>213</v>
      </c>
      <c r="G99" s="48">
        <v>7.4</v>
      </c>
      <c r="H99" s="44">
        <f t="shared" si="46"/>
        <v>7400</v>
      </c>
      <c r="I99" s="48">
        <v>344</v>
      </c>
      <c r="J99" s="48">
        <v>76.2</v>
      </c>
      <c r="K99" s="44">
        <f t="shared" si="45"/>
        <v>1.7318181818181819</v>
      </c>
      <c r="L99" s="48">
        <f t="shared" si="47"/>
        <v>2</v>
      </c>
      <c r="M99" s="44">
        <f t="shared" si="48"/>
        <v>7700</v>
      </c>
      <c r="N99" s="44">
        <f t="shared" si="53"/>
        <v>444</v>
      </c>
      <c r="O99" s="164">
        <v>44</v>
      </c>
      <c r="P99" s="44">
        <f t="shared" si="49"/>
        <v>0.73181818181818192</v>
      </c>
      <c r="Q99" s="44">
        <f t="shared" si="52"/>
        <v>2</v>
      </c>
      <c r="R99" s="165" t="s">
        <v>342</v>
      </c>
      <c r="S99" s="58">
        <v>2</v>
      </c>
      <c r="T99" s="166" t="s">
        <v>340</v>
      </c>
      <c r="U99" s="53" t="s">
        <v>221</v>
      </c>
      <c r="V99" s="140">
        <v>12236</v>
      </c>
      <c r="W99" s="138">
        <v>0</v>
      </c>
      <c r="X99" s="88">
        <f t="shared" si="50"/>
        <v>0</v>
      </c>
      <c r="Y99" s="112">
        <v>0</v>
      </c>
      <c r="Z99" s="89">
        <f t="shared" si="51"/>
        <v>0</v>
      </c>
    </row>
    <row r="100" spans="2:26" ht="15.75" thickBot="1" x14ac:dyDescent="0.3">
      <c r="B100" s="311"/>
      <c r="C100" s="175">
        <v>64.140000000000015</v>
      </c>
      <c r="D100" s="48" t="s">
        <v>48</v>
      </c>
      <c r="E100" s="48" t="s">
        <v>80</v>
      </c>
      <c r="F100" s="160" t="s">
        <v>212</v>
      </c>
      <c r="G100" s="48">
        <v>4.9000000000000004</v>
      </c>
      <c r="H100" s="44">
        <f t="shared" si="46"/>
        <v>4900</v>
      </c>
      <c r="I100" s="48">
        <v>417</v>
      </c>
      <c r="J100" s="48">
        <v>76.2</v>
      </c>
      <c r="K100" s="44">
        <f t="shared" si="45"/>
        <v>1.7318181818181819</v>
      </c>
      <c r="L100" s="48">
        <f t="shared" si="47"/>
        <v>2</v>
      </c>
      <c r="M100" s="44">
        <f t="shared" si="48"/>
        <v>5200</v>
      </c>
      <c r="N100" s="44">
        <f t="shared" si="53"/>
        <v>517</v>
      </c>
      <c r="O100" s="164">
        <v>44</v>
      </c>
      <c r="P100" s="44">
        <f t="shared" si="49"/>
        <v>0.73181818181818192</v>
      </c>
      <c r="Q100" s="44">
        <f t="shared" si="52"/>
        <v>2</v>
      </c>
      <c r="R100" s="162" t="s">
        <v>341</v>
      </c>
      <c r="S100" s="58">
        <v>2</v>
      </c>
      <c r="T100" s="161" t="s">
        <v>339</v>
      </c>
      <c r="U100" s="53" t="s">
        <v>221</v>
      </c>
      <c r="V100" s="140">
        <v>12236</v>
      </c>
      <c r="W100" s="139">
        <v>0</v>
      </c>
      <c r="X100" s="90">
        <f t="shared" si="50"/>
        <v>0</v>
      </c>
      <c r="Y100" s="113">
        <v>0</v>
      </c>
      <c r="Z100" s="91">
        <f t="shared" si="51"/>
        <v>0</v>
      </c>
    </row>
    <row r="101" spans="2:26" s="66" customFormat="1" ht="15.75" thickBot="1" x14ac:dyDescent="0.3">
      <c r="B101" s="313"/>
      <c r="C101" s="189" t="s">
        <v>274</v>
      </c>
      <c r="D101" s="180"/>
      <c r="E101" s="180"/>
      <c r="F101" s="180"/>
      <c r="G101" s="180"/>
      <c r="H101" s="180"/>
      <c r="I101" s="180"/>
      <c r="J101" s="180"/>
      <c r="K101" s="180"/>
      <c r="L101" s="180"/>
      <c r="M101" s="180"/>
      <c r="N101" s="180"/>
      <c r="O101" s="180"/>
      <c r="P101" s="180"/>
      <c r="Q101" s="180">
        <f>SUM(Q85:Q100)</f>
        <v>32</v>
      </c>
      <c r="R101" s="180"/>
      <c r="S101" s="180">
        <f>SUM(S85:S100)</f>
        <v>32</v>
      </c>
      <c r="T101" s="180"/>
      <c r="U101" s="180"/>
      <c r="V101" s="180"/>
      <c r="W101" s="130"/>
      <c r="X101" s="75">
        <f>SUM(X85:X100)</f>
        <v>0</v>
      </c>
      <c r="Y101" s="75"/>
      <c r="Z101" s="75">
        <f>SUM(Z85:Z100)</f>
        <v>0</v>
      </c>
    </row>
    <row r="102" spans="2:26" x14ac:dyDescent="0.25">
      <c r="B102" s="310" t="s">
        <v>370</v>
      </c>
      <c r="C102" s="175">
        <v>65.11</v>
      </c>
      <c r="D102" s="48" t="s">
        <v>48</v>
      </c>
      <c r="E102" s="48" t="s">
        <v>26</v>
      </c>
      <c r="F102" s="160" t="s">
        <v>213</v>
      </c>
      <c r="G102" s="48">
        <v>7.4</v>
      </c>
      <c r="H102" s="44">
        <f t="shared" ref="H102:H116" si="54">CONVERT(G102,"m","mm")</f>
        <v>7400</v>
      </c>
      <c r="I102" s="48">
        <v>267</v>
      </c>
      <c r="J102" s="48">
        <v>76.2</v>
      </c>
      <c r="K102" s="44">
        <f t="shared" si="45"/>
        <v>1.7318181818181819</v>
      </c>
      <c r="L102" s="48">
        <f t="shared" ref="L102:L116" si="55">ROUNDUP(K102,0)</f>
        <v>2</v>
      </c>
      <c r="M102" s="44">
        <f t="shared" ref="M102:M116" si="56">(H102+300)</f>
        <v>7700</v>
      </c>
      <c r="N102" s="44">
        <f t="shared" si="53"/>
        <v>367</v>
      </c>
      <c r="O102" s="164">
        <v>44</v>
      </c>
      <c r="P102" s="44">
        <f t="shared" ref="P102:P116" si="57">(K102-1)</f>
        <v>0.73181818181818192</v>
      </c>
      <c r="Q102" s="44">
        <f>(L102-1)*2</f>
        <v>2</v>
      </c>
      <c r="R102" s="165" t="s">
        <v>342</v>
      </c>
      <c r="S102" s="58">
        <v>2</v>
      </c>
      <c r="T102" s="166" t="s">
        <v>340</v>
      </c>
      <c r="U102" s="53" t="s">
        <v>221</v>
      </c>
      <c r="V102" s="140">
        <v>12389</v>
      </c>
      <c r="W102" s="137">
        <v>0</v>
      </c>
      <c r="X102" s="86">
        <f t="shared" ref="X102:X116" si="58">(W102*Q102)</f>
        <v>0</v>
      </c>
      <c r="Y102" s="111">
        <v>0</v>
      </c>
      <c r="Z102" s="87">
        <f t="shared" ref="Z102:Z116" si="59">(Y102*S102)</f>
        <v>0</v>
      </c>
    </row>
    <row r="103" spans="2:26" x14ac:dyDescent="0.25">
      <c r="B103" s="311"/>
      <c r="C103" s="175">
        <v>65.12</v>
      </c>
      <c r="D103" s="48" t="s">
        <v>48</v>
      </c>
      <c r="E103" s="48" t="s">
        <v>26</v>
      </c>
      <c r="F103" s="160" t="s">
        <v>213</v>
      </c>
      <c r="G103" s="48">
        <v>6.8</v>
      </c>
      <c r="H103" s="44">
        <f t="shared" si="54"/>
        <v>6800</v>
      </c>
      <c r="I103" s="48">
        <v>267</v>
      </c>
      <c r="J103" s="48">
        <v>76.2</v>
      </c>
      <c r="K103" s="44">
        <f t="shared" si="45"/>
        <v>1.7318181818181819</v>
      </c>
      <c r="L103" s="48">
        <f t="shared" si="55"/>
        <v>2</v>
      </c>
      <c r="M103" s="44">
        <f t="shared" si="56"/>
        <v>7100</v>
      </c>
      <c r="N103" s="44">
        <f t="shared" si="53"/>
        <v>367</v>
      </c>
      <c r="O103" s="164">
        <v>44</v>
      </c>
      <c r="P103" s="44">
        <f t="shared" si="57"/>
        <v>0.73181818181818192</v>
      </c>
      <c r="Q103" s="44">
        <f t="shared" ref="Q103:Q116" si="60">(L103-1)*2</f>
        <v>2</v>
      </c>
      <c r="R103" s="165" t="s">
        <v>342</v>
      </c>
      <c r="S103" s="58">
        <v>2</v>
      </c>
      <c r="T103" s="166" t="s">
        <v>340</v>
      </c>
      <c r="U103" s="53" t="s">
        <v>221</v>
      </c>
      <c r="V103" s="140">
        <v>12389</v>
      </c>
      <c r="W103" s="138">
        <v>0</v>
      </c>
      <c r="X103" s="88">
        <f t="shared" si="58"/>
        <v>0</v>
      </c>
      <c r="Y103" s="112">
        <v>0</v>
      </c>
      <c r="Z103" s="89">
        <f t="shared" si="59"/>
        <v>0</v>
      </c>
    </row>
    <row r="104" spans="2:26" x14ac:dyDescent="0.25">
      <c r="B104" s="311"/>
      <c r="C104" s="175">
        <v>65.13</v>
      </c>
      <c r="D104" s="48" t="s">
        <v>48</v>
      </c>
      <c r="E104" s="48" t="s">
        <v>74</v>
      </c>
      <c r="F104" s="160" t="s">
        <v>212</v>
      </c>
      <c r="G104" s="48">
        <v>1.4</v>
      </c>
      <c r="H104" s="44">
        <f t="shared" si="54"/>
        <v>1400</v>
      </c>
      <c r="I104" s="48">
        <v>267</v>
      </c>
      <c r="J104" s="48">
        <v>76.2</v>
      </c>
      <c r="K104" s="44">
        <f t="shared" si="45"/>
        <v>1.7318181818181819</v>
      </c>
      <c r="L104" s="48">
        <f t="shared" si="55"/>
        <v>2</v>
      </c>
      <c r="M104" s="44">
        <f t="shared" si="56"/>
        <v>1700</v>
      </c>
      <c r="N104" s="44">
        <f t="shared" si="53"/>
        <v>367</v>
      </c>
      <c r="O104" s="164">
        <v>44</v>
      </c>
      <c r="P104" s="44">
        <f t="shared" si="57"/>
        <v>0.73181818181818192</v>
      </c>
      <c r="Q104" s="44">
        <f t="shared" si="60"/>
        <v>2</v>
      </c>
      <c r="R104" s="162" t="s">
        <v>341</v>
      </c>
      <c r="S104" s="58">
        <v>2</v>
      </c>
      <c r="T104" s="161" t="s">
        <v>339</v>
      </c>
      <c r="U104" s="53" t="s">
        <v>221</v>
      </c>
      <c r="V104" s="140">
        <v>12389</v>
      </c>
      <c r="W104" s="138">
        <v>0</v>
      </c>
      <c r="X104" s="88">
        <f t="shared" si="58"/>
        <v>0</v>
      </c>
      <c r="Y104" s="112">
        <v>0</v>
      </c>
      <c r="Z104" s="89">
        <f t="shared" si="59"/>
        <v>0</v>
      </c>
    </row>
    <row r="105" spans="2:26" x14ac:dyDescent="0.25">
      <c r="B105" s="311"/>
      <c r="C105" s="175">
        <v>66.69999999999996</v>
      </c>
      <c r="D105" s="48" t="s">
        <v>48</v>
      </c>
      <c r="E105" s="48" t="s">
        <v>26</v>
      </c>
      <c r="F105" s="160" t="s">
        <v>213</v>
      </c>
      <c r="G105" s="48">
        <v>7.4</v>
      </c>
      <c r="H105" s="44">
        <f t="shared" si="54"/>
        <v>7400</v>
      </c>
      <c r="I105" s="48">
        <v>355</v>
      </c>
      <c r="J105" s="48">
        <v>101.6</v>
      </c>
      <c r="K105" s="44">
        <f t="shared" si="45"/>
        <v>2.3090909090909091</v>
      </c>
      <c r="L105" s="48">
        <f t="shared" si="55"/>
        <v>3</v>
      </c>
      <c r="M105" s="44">
        <f t="shared" si="56"/>
        <v>7700</v>
      </c>
      <c r="N105" s="44">
        <f t="shared" si="53"/>
        <v>455</v>
      </c>
      <c r="O105" s="164">
        <v>44</v>
      </c>
      <c r="P105" s="44">
        <f t="shared" si="57"/>
        <v>1.3090909090909091</v>
      </c>
      <c r="Q105" s="44">
        <f t="shared" si="60"/>
        <v>4</v>
      </c>
      <c r="R105" s="165" t="s">
        <v>342</v>
      </c>
      <c r="S105" s="58">
        <v>2</v>
      </c>
      <c r="T105" s="166" t="s">
        <v>340</v>
      </c>
      <c r="U105" s="53" t="s">
        <v>221</v>
      </c>
      <c r="V105" s="140">
        <v>12389</v>
      </c>
      <c r="W105" s="138">
        <v>0</v>
      </c>
      <c r="X105" s="88">
        <f t="shared" si="58"/>
        <v>0</v>
      </c>
      <c r="Y105" s="112">
        <v>0</v>
      </c>
      <c r="Z105" s="89">
        <f t="shared" si="59"/>
        <v>0</v>
      </c>
    </row>
    <row r="106" spans="2:26" x14ac:dyDescent="0.25">
      <c r="B106" s="311"/>
      <c r="C106" s="175">
        <v>66.799999999999955</v>
      </c>
      <c r="D106" s="48" t="s">
        <v>48</v>
      </c>
      <c r="E106" s="48" t="s">
        <v>73</v>
      </c>
      <c r="F106" s="160" t="s">
        <v>212</v>
      </c>
      <c r="G106" s="48">
        <v>4.8</v>
      </c>
      <c r="H106" s="44">
        <f t="shared" si="54"/>
        <v>4800</v>
      </c>
      <c r="I106" s="48">
        <v>441</v>
      </c>
      <c r="J106" s="48">
        <v>101.6</v>
      </c>
      <c r="K106" s="44">
        <f t="shared" si="45"/>
        <v>2.3090909090909091</v>
      </c>
      <c r="L106" s="48">
        <f t="shared" si="55"/>
        <v>3</v>
      </c>
      <c r="M106" s="44">
        <f t="shared" si="56"/>
        <v>5100</v>
      </c>
      <c r="N106" s="44">
        <f t="shared" si="53"/>
        <v>541</v>
      </c>
      <c r="O106" s="164">
        <v>44</v>
      </c>
      <c r="P106" s="44">
        <f t="shared" si="57"/>
        <v>1.3090909090909091</v>
      </c>
      <c r="Q106" s="44">
        <f t="shared" si="60"/>
        <v>4</v>
      </c>
      <c r="R106" s="162" t="s">
        <v>341</v>
      </c>
      <c r="S106" s="58">
        <v>2</v>
      </c>
      <c r="T106" s="161" t="s">
        <v>339</v>
      </c>
      <c r="U106" s="53" t="s">
        <v>221</v>
      </c>
      <c r="V106" s="140">
        <v>12389</v>
      </c>
      <c r="W106" s="138">
        <v>0</v>
      </c>
      <c r="X106" s="88">
        <f t="shared" si="58"/>
        <v>0</v>
      </c>
      <c r="Y106" s="112">
        <v>0</v>
      </c>
      <c r="Z106" s="89">
        <f t="shared" si="59"/>
        <v>0</v>
      </c>
    </row>
    <row r="107" spans="2:26" x14ac:dyDescent="0.25">
      <c r="B107" s="311"/>
      <c r="C107" s="175">
        <v>66.899999999999949</v>
      </c>
      <c r="D107" s="48" t="s">
        <v>48</v>
      </c>
      <c r="E107" s="48" t="s">
        <v>74</v>
      </c>
      <c r="F107" s="160" t="s">
        <v>212</v>
      </c>
      <c r="G107" s="48">
        <v>1.6</v>
      </c>
      <c r="H107" s="44">
        <f t="shared" si="54"/>
        <v>1600</v>
      </c>
      <c r="I107" s="48">
        <v>355</v>
      </c>
      <c r="J107" s="48">
        <v>101.6</v>
      </c>
      <c r="K107" s="44">
        <f t="shared" si="45"/>
        <v>2.3090909090909091</v>
      </c>
      <c r="L107" s="48">
        <f t="shared" si="55"/>
        <v>3</v>
      </c>
      <c r="M107" s="44">
        <f t="shared" si="56"/>
        <v>1900</v>
      </c>
      <c r="N107" s="44">
        <f t="shared" si="53"/>
        <v>455</v>
      </c>
      <c r="O107" s="164">
        <v>44</v>
      </c>
      <c r="P107" s="44">
        <f t="shared" si="57"/>
        <v>1.3090909090909091</v>
      </c>
      <c r="Q107" s="44">
        <f t="shared" si="60"/>
        <v>4</v>
      </c>
      <c r="R107" s="162" t="s">
        <v>341</v>
      </c>
      <c r="S107" s="58">
        <v>2</v>
      </c>
      <c r="T107" s="161" t="s">
        <v>339</v>
      </c>
      <c r="U107" s="53" t="s">
        <v>221</v>
      </c>
      <c r="V107" s="140">
        <v>12389</v>
      </c>
      <c r="W107" s="138">
        <v>0</v>
      </c>
      <c r="X107" s="88">
        <f t="shared" si="58"/>
        <v>0</v>
      </c>
      <c r="Y107" s="112">
        <v>0</v>
      </c>
      <c r="Z107" s="89">
        <f t="shared" si="59"/>
        <v>0</v>
      </c>
    </row>
    <row r="108" spans="2:26" x14ac:dyDescent="0.25">
      <c r="B108" s="311"/>
      <c r="C108" s="175">
        <v>67.599999999999966</v>
      </c>
      <c r="D108" s="48" t="s">
        <v>48</v>
      </c>
      <c r="E108" s="48" t="s">
        <v>26</v>
      </c>
      <c r="F108" s="160" t="s">
        <v>213</v>
      </c>
      <c r="G108" s="48">
        <v>7.4</v>
      </c>
      <c r="H108" s="44">
        <f t="shared" si="54"/>
        <v>7400</v>
      </c>
      <c r="I108" s="48">
        <v>355</v>
      </c>
      <c r="J108" s="48">
        <v>101.6</v>
      </c>
      <c r="K108" s="44">
        <f t="shared" si="45"/>
        <v>2.3090909090909091</v>
      </c>
      <c r="L108" s="48">
        <f t="shared" si="55"/>
        <v>3</v>
      </c>
      <c r="M108" s="44">
        <f t="shared" si="56"/>
        <v>7700</v>
      </c>
      <c r="N108" s="44">
        <f t="shared" si="53"/>
        <v>455</v>
      </c>
      <c r="O108" s="164">
        <v>44</v>
      </c>
      <c r="P108" s="44">
        <f t="shared" si="57"/>
        <v>1.3090909090909091</v>
      </c>
      <c r="Q108" s="44">
        <f t="shared" si="60"/>
        <v>4</v>
      </c>
      <c r="R108" s="165" t="s">
        <v>342</v>
      </c>
      <c r="S108" s="58">
        <v>2</v>
      </c>
      <c r="T108" s="166" t="s">
        <v>340</v>
      </c>
      <c r="U108" s="53" t="s">
        <v>221</v>
      </c>
      <c r="V108" s="140">
        <v>12389</v>
      </c>
      <c r="W108" s="138">
        <v>0</v>
      </c>
      <c r="X108" s="88">
        <f t="shared" si="58"/>
        <v>0</v>
      </c>
      <c r="Y108" s="112">
        <v>0</v>
      </c>
      <c r="Z108" s="89">
        <f t="shared" si="59"/>
        <v>0</v>
      </c>
    </row>
    <row r="109" spans="2:26" x14ac:dyDescent="0.25">
      <c r="B109" s="311"/>
      <c r="C109" s="175">
        <v>67.69999999999996</v>
      </c>
      <c r="D109" s="48" t="s">
        <v>48</v>
      </c>
      <c r="E109" s="48" t="s">
        <v>26</v>
      </c>
      <c r="F109" s="160" t="s">
        <v>213</v>
      </c>
      <c r="G109" s="48">
        <v>5.6</v>
      </c>
      <c r="H109" s="44">
        <f t="shared" si="54"/>
        <v>5600</v>
      </c>
      <c r="I109" s="48">
        <v>355</v>
      </c>
      <c r="J109" s="48">
        <v>101.6</v>
      </c>
      <c r="K109" s="44">
        <f t="shared" si="45"/>
        <v>2.3090909090909091</v>
      </c>
      <c r="L109" s="48">
        <f t="shared" si="55"/>
        <v>3</v>
      </c>
      <c r="M109" s="44">
        <f t="shared" si="56"/>
        <v>5900</v>
      </c>
      <c r="N109" s="44">
        <f t="shared" si="53"/>
        <v>455</v>
      </c>
      <c r="O109" s="164">
        <v>44</v>
      </c>
      <c r="P109" s="44">
        <f t="shared" si="57"/>
        <v>1.3090909090909091</v>
      </c>
      <c r="Q109" s="44">
        <f t="shared" si="60"/>
        <v>4</v>
      </c>
      <c r="R109" s="165" t="s">
        <v>342</v>
      </c>
      <c r="S109" s="58">
        <v>2</v>
      </c>
      <c r="T109" s="166" t="s">
        <v>340</v>
      </c>
      <c r="U109" s="53" t="s">
        <v>221</v>
      </c>
      <c r="V109" s="140">
        <v>12389</v>
      </c>
      <c r="W109" s="138">
        <v>0</v>
      </c>
      <c r="X109" s="88">
        <f t="shared" si="58"/>
        <v>0</v>
      </c>
      <c r="Y109" s="112">
        <v>0</v>
      </c>
      <c r="Z109" s="89">
        <f t="shared" si="59"/>
        <v>0</v>
      </c>
    </row>
    <row r="110" spans="2:26" x14ac:dyDescent="0.25">
      <c r="B110" s="311"/>
      <c r="C110" s="175">
        <v>67.799999999999955</v>
      </c>
      <c r="D110" s="48" t="s">
        <v>48</v>
      </c>
      <c r="E110" s="48" t="s">
        <v>26</v>
      </c>
      <c r="F110" s="160" t="s">
        <v>212</v>
      </c>
      <c r="G110" s="48">
        <v>2.2999999999999998</v>
      </c>
      <c r="H110" s="44">
        <f t="shared" si="54"/>
        <v>2300</v>
      </c>
      <c r="I110" s="48">
        <v>355</v>
      </c>
      <c r="J110" s="48">
        <v>101.6</v>
      </c>
      <c r="K110" s="44">
        <f t="shared" si="45"/>
        <v>2.3090909090909091</v>
      </c>
      <c r="L110" s="48">
        <f t="shared" si="55"/>
        <v>3</v>
      </c>
      <c r="M110" s="44">
        <f t="shared" si="56"/>
        <v>2600</v>
      </c>
      <c r="N110" s="44">
        <f t="shared" si="53"/>
        <v>455</v>
      </c>
      <c r="O110" s="164">
        <v>44</v>
      </c>
      <c r="P110" s="44">
        <f t="shared" si="57"/>
        <v>1.3090909090909091</v>
      </c>
      <c r="Q110" s="44">
        <f t="shared" si="60"/>
        <v>4</v>
      </c>
      <c r="R110" s="162" t="s">
        <v>341</v>
      </c>
      <c r="S110" s="58">
        <v>2</v>
      </c>
      <c r="T110" s="161" t="s">
        <v>339</v>
      </c>
      <c r="U110" s="53" t="s">
        <v>221</v>
      </c>
      <c r="V110" s="140">
        <v>12389</v>
      </c>
      <c r="W110" s="138">
        <v>0</v>
      </c>
      <c r="X110" s="88">
        <f t="shared" si="58"/>
        <v>0</v>
      </c>
      <c r="Y110" s="112">
        <v>0</v>
      </c>
      <c r="Z110" s="89">
        <f t="shared" si="59"/>
        <v>0</v>
      </c>
    </row>
    <row r="111" spans="2:26" x14ac:dyDescent="0.25">
      <c r="B111" s="311"/>
      <c r="C111" s="175">
        <v>67.899999999999949</v>
      </c>
      <c r="D111" s="48" t="s">
        <v>48</v>
      </c>
      <c r="E111" s="48" t="s">
        <v>26</v>
      </c>
      <c r="F111" s="160" t="s">
        <v>212</v>
      </c>
      <c r="G111" s="48">
        <v>1.7</v>
      </c>
      <c r="H111" s="44">
        <f t="shared" si="54"/>
        <v>1700</v>
      </c>
      <c r="I111" s="48">
        <v>355</v>
      </c>
      <c r="J111" s="48">
        <v>101.6</v>
      </c>
      <c r="K111" s="44">
        <f t="shared" si="45"/>
        <v>2.3090909090909091</v>
      </c>
      <c r="L111" s="48">
        <f t="shared" si="55"/>
        <v>3</v>
      </c>
      <c r="M111" s="44">
        <f t="shared" si="56"/>
        <v>2000</v>
      </c>
      <c r="N111" s="44">
        <f t="shared" si="53"/>
        <v>455</v>
      </c>
      <c r="O111" s="164">
        <v>44</v>
      </c>
      <c r="P111" s="44">
        <f t="shared" si="57"/>
        <v>1.3090909090909091</v>
      </c>
      <c r="Q111" s="44">
        <f t="shared" si="60"/>
        <v>4</v>
      </c>
      <c r="R111" s="162" t="s">
        <v>341</v>
      </c>
      <c r="S111" s="58">
        <v>2</v>
      </c>
      <c r="T111" s="161" t="s">
        <v>339</v>
      </c>
      <c r="U111" s="53" t="s">
        <v>221</v>
      </c>
      <c r="V111" s="140">
        <v>12389</v>
      </c>
      <c r="W111" s="138">
        <v>0</v>
      </c>
      <c r="X111" s="88">
        <f t="shared" si="58"/>
        <v>0</v>
      </c>
      <c r="Y111" s="112">
        <v>0</v>
      </c>
      <c r="Z111" s="89">
        <f t="shared" si="59"/>
        <v>0</v>
      </c>
    </row>
    <row r="112" spans="2:26" x14ac:dyDescent="0.25">
      <c r="B112" s="311"/>
      <c r="C112" s="175">
        <v>68.599999999999966</v>
      </c>
      <c r="D112" s="48" t="s">
        <v>48</v>
      </c>
      <c r="E112" s="48" t="s">
        <v>64</v>
      </c>
      <c r="F112" s="160" t="s">
        <v>213</v>
      </c>
      <c r="G112" s="48">
        <v>6.8</v>
      </c>
      <c r="H112" s="44">
        <f t="shared" si="54"/>
        <v>6800</v>
      </c>
      <c r="I112" s="48">
        <v>310</v>
      </c>
      <c r="J112" s="48">
        <v>76.2</v>
      </c>
      <c r="K112" s="44">
        <f t="shared" si="45"/>
        <v>1.7318181818181819</v>
      </c>
      <c r="L112" s="48">
        <f t="shared" si="55"/>
        <v>2</v>
      </c>
      <c r="M112" s="44">
        <f t="shared" si="56"/>
        <v>7100</v>
      </c>
      <c r="N112" s="44">
        <f t="shared" si="53"/>
        <v>410</v>
      </c>
      <c r="O112" s="164">
        <v>44</v>
      </c>
      <c r="P112" s="44">
        <f t="shared" si="57"/>
        <v>0.73181818181818192</v>
      </c>
      <c r="Q112" s="44">
        <f t="shared" si="60"/>
        <v>2</v>
      </c>
      <c r="R112" s="165" t="s">
        <v>342</v>
      </c>
      <c r="S112" s="58">
        <v>2</v>
      </c>
      <c r="T112" s="166" t="s">
        <v>340</v>
      </c>
      <c r="U112" s="53" t="s">
        <v>221</v>
      </c>
      <c r="V112" s="140">
        <v>12389</v>
      </c>
      <c r="W112" s="138">
        <v>0</v>
      </c>
      <c r="X112" s="88">
        <f t="shared" si="58"/>
        <v>0</v>
      </c>
      <c r="Y112" s="112">
        <v>0</v>
      </c>
      <c r="Z112" s="89">
        <f t="shared" si="59"/>
        <v>0</v>
      </c>
    </row>
    <row r="113" spans="2:26" x14ac:dyDescent="0.25">
      <c r="B113" s="311"/>
      <c r="C113" s="175">
        <v>68.69999999999996</v>
      </c>
      <c r="D113" s="48" t="s">
        <v>48</v>
      </c>
      <c r="E113" s="48" t="s">
        <v>26</v>
      </c>
      <c r="F113" s="160" t="s">
        <v>212</v>
      </c>
      <c r="G113" s="48">
        <v>4.4000000000000004</v>
      </c>
      <c r="H113" s="44">
        <f t="shared" si="54"/>
        <v>4400</v>
      </c>
      <c r="I113" s="48">
        <v>265</v>
      </c>
      <c r="J113" s="48">
        <v>76.2</v>
      </c>
      <c r="K113" s="44">
        <f t="shared" si="45"/>
        <v>1.7318181818181819</v>
      </c>
      <c r="L113" s="48">
        <f t="shared" si="55"/>
        <v>2</v>
      </c>
      <c r="M113" s="44">
        <f t="shared" si="56"/>
        <v>4700</v>
      </c>
      <c r="N113" s="44">
        <f t="shared" si="53"/>
        <v>365</v>
      </c>
      <c r="O113" s="164">
        <v>44</v>
      </c>
      <c r="P113" s="44">
        <f t="shared" si="57"/>
        <v>0.73181818181818192</v>
      </c>
      <c r="Q113" s="44">
        <f t="shared" si="60"/>
        <v>2</v>
      </c>
      <c r="R113" s="162" t="s">
        <v>341</v>
      </c>
      <c r="S113" s="58">
        <v>2</v>
      </c>
      <c r="T113" s="161" t="s">
        <v>339</v>
      </c>
      <c r="U113" s="53" t="s">
        <v>221</v>
      </c>
      <c r="V113" s="140">
        <v>12389</v>
      </c>
      <c r="W113" s="138">
        <v>0</v>
      </c>
      <c r="X113" s="88">
        <f t="shared" si="58"/>
        <v>0</v>
      </c>
      <c r="Y113" s="112">
        <v>0</v>
      </c>
      <c r="Z113" s="89">
        <f t="shared" si="59"/>
        <v>0</v>
      </c>
    </row>
    <row r="114" spans="2:26" x14ac:dyDescent="0.25">
      <c r="B114" s="311"/>
      <c r="C114" s="175">
        <v>68.799999999999955</v>
      </c>
      <c r="D114" s="48" t="s">
        <v>48</v>
      </c>
      <c r="E114" s="48" t="s">
        <v>26</v>
      </c>
      <c r="F114" s="160" t="s">
        <v>212</v>
      </c>
      <c r="G114" s="48">
        <v>3</v>
      </c>
      <c r="H114" s="44">
        <f t="shared" si="54"/>
        <v>3000</v>
      </c>
      <c r="I114" s="48">
        <v>270</v>
      </c>
      <c r="J114" s="48">
        <v>76.2</v>
      </c>
      <c r="K114" s="44">
        <f t="shared" si="45"/>
        <v>1.7318181818181819</v>
      </c>
      <c r="L114" s="48">
        <f t="shared" si="55"/>
        <v>2</v>
      </c>
      <c r="M114" s="44">
        <f t="shared" si="56"/>
        <v>3300</v>
      </c>
      <c r="N114" s="44">
        <f t="shared" si="53"/>
        <v>370</v>
      </c>
      <c r="O114" s="164">
        <v>44</v>
      </c>
      <c r="P114" s="44">
        <f t="shared" si="57"/>
        <v>0.73181818181818192</v>
      </c>
      <c r="Q114" s="44">
        <f t="shared" si="60"/>
        <v>2</v>
      </c>
      <c r="R114" s="162" t="s">
        <v>341</v>
      </c>
      <c r="S114" s="58">
        <v>2</v>
      </c>
      <c r="T114" s="161" t="s">
        <v>339</v>
      </c>
      <c r="U114" s="53" t="s">
        <v>221</v>
      </c>
      <c r="V114" s="140">
        <v>12389</v>
      </c>
      <c r="W114" s="138">
        <v>0</v>
      </c>
      <c r="X114" s="88">
        <f t="shared" si="58"/>
        <v>0</v>
      </c>
      <c r="Y114" s="112">
        <v>0</v>
      </c>
      <c r="Z114" s="89">
        <f t="shared" si="59"/>
        <v>0</v>
      </c>
    </row>
    <row r="115" spans="2:26" x14ac:dyDescent="0.25">
      <c r="B115" s="311"/>
      <c r="C115" s="175">
        <v>68.899999999999949</v>
      </c>
      <c r="D115" s="48" t="s">
        <v>48</v>
      </c>
      <c r="E115" s="48" t="s">
        <v>26</v>
      </c>
      <c r="F115" s="160" t="s">
        <v>212</v>
      </c>
      <c r="G115" s="48">
        <v>2.2999999999999998</v>
      </c>
      <c r="H115" s="44">
        <f t="shared" si="54"/>
        <v>2300</v>
      </c>
      <c r="I115" s="48">
        <v>290</v>
      </c>
      <c r="J115" s="48">
        <v>76.2</v>
      </c>
      <c r="K115" s="44">
        <f t="shared" si="45"/>
        <v>1.7318181818181819</v>
      </c>
      <c r="L115" s="48">
        <f t="shared" si="55"/>
        <v>2</v>
      </c>
      <c r="M115" s="44">
        <f t="shared" si="56"/>
        <v>2600</v>
      </c>
      <c r="N115" s="44">
        <f t="shared" si="53"/>
        <v>390</v>
      </c>
      <c r="O115" s="164">
        <v>44</v>
      </c>
      <c r="P115" s="44">
        <f t="shared" si="57"/>
        <v>0.73181818181818192</v>
      </c>
      <c r="Q115" s="44">
        <f t="shared" si="60"/>
        <v>2</v>
      </c>
      <c r="R115" s="162" t="s">
        <v>341</v>
      </c>
      <c r="S115" s="58">
        <v>2</v>
      </c>
      <c r="T115" s="161" t="s">
        <v>339</v>
      </c>
      <c r="U115" s="53" t="s">
        <v>221</v>
      </c>
      <c r="V115" s="140">
        <v>12389</v>
      </c>
      <c r="W115" s="138">
        <v>0</v>
      </c>
      <c r="X115" s="88">
        <f t="shared" si="58"/>
        <v>0</v>
      </c>
      <c r="Y115" s="112">
        <v>0</v>
      </c>
      <c r="Z115" s="89">
        <f t="shared" si="59"/>
        <v>0</v>
      </c>
    </row>
    <row r="116" spans="2:26" ht="15.75" thickBot="1" x14ac:dyDescent="0.3">
      <c r="B116" s="311"/>
      <c r="C116" s="175">
        <v>68.099999999999994</v>
      </c>
      <c r="D116" s="48" t="s">
        <v>48</v>
      </c>
      <c r="E116" s="48" t="s">
        <v>26</v>
      </c>
      <c r="F116" s="160" t="s">
        <v>212</v>
      </c>
      <c r="G116" s="48">
        <v>1.8</v>
      </c>
      <c r="H116" s="44">
        <f t="shared" si="54"/>
        <v>1800</v>
      </c>
      <c r="I116" s="48">
        <v>310</v>
      </c>
      <c r="J116" s="48">
        <v>76.2</v>
      </c>
      <c r="K116" s="44">
        <f t="shared" si="45"/>
        <v>1.7318181818181819</v>
      </c>
      <c r="L116" s="48">
        <f t="shared" si="55"/>
        <v>2</v>
      </c>
      <c r="M116" s="44">
        <f t="shared" si="56"/>
        <v>2100</v>
      </c>
      <c r="N116" s="44">
        <f t="shared" si="53"/>
        <v>410</v>
      </c>
      <c r="O116" s="164">
        <v>44</v>
      </c>
      <c r="P116" s="44">
        <f t="shared" si="57"/>
        <v>0.73181818181818192</v>
      </c>
      <c r="Q116" s="44">
        <f t="shared" si="60"/>
        <v>2</v>
      </c>
      <c r="R116" s="162" t="s">
        <v>341</v>
      </c>
      <c r="S116" s="58">
        <v>2</v>
      </c>
      <c r="T116" s="161" t="s">
        <v>339</v>
      </c>
      <c r="U116" s="53" t="s">
        <v>221</v>
      </c>
      <c r="V116" s="140">
        <v>12389</v>
      </c>
      <c r="W116" s="139">
        <v>0</v>
      </c>
      <c r="X116" s="90">
        <f t="shared" si="58"/>
        <v>0</v>
      </c>
      <c r="Y116" s="113">
        <v>0</v>
      </c>
      <c r="Z116" s="91">
        <f t="shared" si="59"/>
        <v>0</v>
      </c>
    </row>
    <row r="117" spans="2:26" s="66" customFormat="1" ht="15.75" thickBot="1" x14ac:dyDescent="0.3">
      <c r="B117" s="313"/>
      <c r="C117" s="189" t="s">
        <v>275</v>
      </c>
      <c r="D117" s="180"/>
      <c r="E117" s="180"/>
      <c r="F117" s="180"/>
      <c r="G117" s="180"/>
      <c r="H117" s="180"/>
      <c r="I117" s="180"/>
      <c r="J117" s="180"/>
      <c r="K117" s="180"/>
      <c r="L117" s="180"/>
      <c r="M117" s="180"/>
      <c r="N117" s="180"/>
      <c r="O117" s="180"/>
      <c r="P117" s="180"/>
      <c r="Q117" s="180">
        <f>SUM(Q102:Q116)</f>
        <v>44</v>
      </c>
      <c r="R117" s="180"/>
      <c r="S117" s="180">
        <f>SUM(S102:S116)</f>
        <v>30</v>
      </c>
      <c r="T117" s="180"/>
      <c r="U117" s="180"/>
      <c r="V117" s="180"/>
      <c r="W117" s="130"/>
      <c r="X117" s="75">
        <f>SUM(X102:X116)</f>
        <v>0</v>
      </c>
      <c r="Y117" s="75"/>
      <c r="Z117" s="75">
        <f>SUM(Z102:Z116)</f>
        <v>0</v>
      </c>
    </row>
    <row r="118" spans="2:26" x14ac:dyDescent="0.25">
      <c r="B118" s="310" t="s">
        <v>371</v>
      </c>
      <c r="C118" s="175">
        <v>69.599999999999966</v>
      </c>
      <c r="D118" s="48" t="s">
        <v>48</v>
      </c>
      <c r="E118" s="48" t="s">
        <v>26</v>
      </c>
      <c r="F118" s="160" t="s">
        <v>212</v>
      </c>
      <c r="G118" s="48">
        <v>2.5</v>
      </c>
      <c r="H118" s="44">
        <f t="shared" ref="H118:H128" si="61">CONVERT(G118,"m","mm")</f>
        <v>2500</v>
      </c>
      <c r="I118" s="48">
        <v>265</v>
      </c>
      <c r="J118" s="48">
        <v>76.2</v>
      </c>
      <c r="K118" s="44">
        <f t="shared" si="45"/>
        <v>1.7318181818181819</v>
      </c>
      <c r="L118" s="48">
        <f t="shared" ref="L118:L128" si="62">ROUNDUP(K118,0)</f>
        <v>2</v>
      </c>
      <c r="M118" s="44">
        <f t="shared" ref="M118:M128" si="63">(H118+300)</f>
        <v>2800</v>
      </c>
      <c r="N118" s="44">
        <f t="shared" si="53"/>
        <v>365</v>
      </c>
      <c r="O118" s="164">
        <v>44</v>
      </c>
      <c r="P118" s="44">
        <f t="shared" ref="P118:P128" si="64">(K118-1)</f>
        <v>0.73181818181818192</v>
      </c>
      <c r="Q118" s="44">
        <f>(L118-1)*2</f>
        <v>2</v>
      </c>
      <c r="R118" s="162" t="s">
        <v>341</v>
      </c>
      <c r="S118" s="58">
        <v>2</v>
      </c>
      <c r="T118" s="161" t="s">
        <v>339</v>
      </c>
      <c r="U118" s="53" t="s">
        <v>221</v>
      </c>
      <c r="V118" s="140">
        <v>12540</v>
      </c>
      <c r="W118" s="137">
        <v>0</v>
      </c>
      <c r="X118" s="86">
        <f t="shared" ref="X118:X128" si="65">(W118*Q118)</f>
        <v>0</v>
      </c>
      <c r="Y118" s="111">
        <v>0</v>
      </c>
      <c r="Z118" s="87">
        <f t="shared" ref="Z118:Z128" si="66">(Y118*S118)</f>
        <v>0</v>
      </c>
    </row>
    <row r="119" spans="2:26" x14ac:dyDescent="0.25">
      <c r="B119" s="311"/>
      <c r="C119" s="175">
        <v>69.69999999999996</v>
      </c>
      <c r="D119" s="48" t="s">
        <v>48</v>
      </c>
      <c r="E119" s="48" t="s">
        <v>26</v>
      </c>
      <c r="F119" s="160" t="s">
        <v>212</v>
      </c>
      <c r="G119" s="48">
        <v>3.3</v>
      </c>
      <c r="H119" s="44">
        <f t="shared" si="61"/>
        <v>3300</v>
      </c>
      <c r="I119" s="48">
        <v>265</v>
      </c>
      <c r="J119" s="48">
        <v>76.2</v>
      </c>
      <c r="K119" s="44">
        <f t="shared" si="45"/>
        <v>1.7318181818181819</v>
      </c>
      <c r="L119" s="48">
        <f t="shared" si="62"/>
        <v>2</v>
      </c>
      <c r="M119" s="44">
        <f t="shared" si="63"/>
        <v>3600</v>
      </c>
      <c r="N119" s="44">
        <f t="shared" si="53"/>
        <v>365</v>
      </c>
      <c r="O119" s="164">
        <v>44</v>
      </c>
      <c r="P119" s="44">
        <f t="shared" si="64"/>
        <v>0.73181818181818192</v>
      </c>
      <c r="Q119" s="44">
        <f t="shared" ref="Q119:Q128" si="67">(L119-1)*2</f>
        <v>2</v>
      </c>
      <c r="R119" s="162" t="s">
        <v>341</v>
      </c>
      <c r="S119" s="58">
        <v>2</v>
      </c>
      <c r="T119" s="161" t="s">
        <v>339</v>
      </c>
      <c r="U119" s="53" t="s">
        <v>221</v>
      </c>
      <c r="V119" s="140">
        <v>12540</v>
      </c>
      <c r="W119" s="138">
        <v>0</v>
      </c>
      <c r="X119" s="88">
        <f t="shared" si="65"/>
        <v>0</v>
      </c>
      <c r="Y119" s="112">
        <v>0</v>
      </c>
      <c r="Z119" s="89">
        <f t="shared" si="66"/>
        <v>0</v>
      </c>
    </row>
    <row r="120" spans="2:26" x14ac:dyDescent="0.25">
      <c r="B120" s="311"/>
      <c r="C120" s="175">
        <v>69.799999999999955</v>
      </c>
      <c r="D120" s="48" t="s">
        <v>48</v>
      </c>
      <c r="E120" s="48" t="s">
        <v>26</v>
      </c>
      <c r="F120" s="160" t="s">
        <v>212</v>
      </c>
      <c r="G120" s="48">
        <v>3</v>
      </c>
      <c r="H120" s="44">
        <f t="shared" si="61"/>
        <v>3000</v>
      </c>
      <c r="I120" s="48">
        <v>270</v>
      </c>
      <c r="J120" s="48">
        <v>76.2</v>
      </c>
      <c r="K120" s="44">
        <f t="shared" si="45"/>
        <v>1.7318181818181819</v>
      </c>
      <c r="L120" s="48">
        <f t="shared" si="62"/>
        <v>2</v>
      </c>
      <c r="M120" s="44">
        <f t="shared" si="63"/>
        <v>3300</v>
      </c>
      <c r="N120" s="44">
        <f t="shared" si="53"/>
        <v>370</v>
      </c>
      <c r="O120" s="164">
        <v>44</v>
      </c>
      <c r="P120" s="44">
        <f t="shared" si="64"/>
        <v>0.73181818181818192</v>
      </c>
      <c r="Q120" s="44">
        <f t="shared" si="67"/>
        <v>2</v>
      </c>
      <c r="R120" s="162" t="s">
        <v>341</v>
      </c>
      <c r="S120" s="58">
        <v>2</v>
      </c>
      <c r="T120" s="161" t="s">
        <v>339</v>
      </c>
      <c r="U120" s="53" t="s">
        <v>221</v>
      </c>
      <c r="V120" s="140">
        <v>12540</v>
      </c>
      <c r="W120" s="138">
        <v>0</v>
      </c>
      <c r="X120" s="88">
        <f t="shared" si="65"/>
        <v>0</v>
      </c>
      <c r="Y120" s="112">
        <v>0</v>
      </c>
      <c r="Z120" s="89">
        <f t="shared" si="66"/>
        <v>0</v>
      </c>
    </row>
    <row r="121" spans="2:26" x14ac:dyDescent="0.25">
      <c r="B121" s="311"/>
      <c r="C121" s="175">
        <v>69.899999999999949</v>
      </c>
      <c r="D121" s="48" t="s">
        <v>48</v>
      </c>
      <c r="E121" s="48" t="s">
        <v>26</v>
      </c>
      <c r="F121" s="160" t="s">
        <v>212</v>
      </c>
      <c r="G121" s="48">
        <v>2.2999999999999998</v>
      </c>
      <c r="H121" s="44">
        <f t="shared" si="61"/>
        <v>2300</v>
      </c>
      <c r="I121" s="48">
        <v>290</v>
      </c>
      <c r="J121" s="48">
        <v>76.2</v>
      </c>
      <c r="K121" s="44">
        <f t="shared" si="45"/>
        <v>1.7318181818181819</v>
      </c>
      <c r="L121" s="48">
        <f t="shared" si="62"/>
        <v>2</v>
      </c>
      <c r="M121" s="44">
        <f t="shared" si="63"/>
        <v>2600</v>
      </c>
      <c r="N121" s="44">
        <f t="shared" si="53"/>
        <v>390</v>
      </c>
      <c r="O121" s="164">
        <v>44</v>
      </c>
      <c r="P121" s="44">
        <f t="shared" si="64"/>
        <v>0.73181818181818192</v>
      </c>
      <c r="Q121" s="44">
        <f t="shared" si="67"/>
        <v>2</v>
      </c>
      <c r="R121" s="162" t="s">
        <v>341</v>
      </c>
      <c r="S121" s="58">
        <v>2</v>
      </c>
      <c r="T121" s="161" t="s">
        <v>339</v>
      </c>
      <c r="U121" s="53" t="s">
        <v>221</v>
      </c>
      <c r="V121" s="140">
        <v>12540</v>
      </c>
      <c r="W121" s="138">
        <v>0</v>
      </c>
      <c r="X121" s="88">
        <f t="shared" si="65"/>
        <v>0</v>
      </c>
      <c r="Y121" s="112">
        <v>0</v>
      </c>
      <c r="Z121" s="89">
        <f t="shared" si="66"/>
        <v>0</v>
      </c>
    </row>
    <row r="122" spans="2:26" x14ac:dyDescent="0.25">
      <c r="B122" s="311"/>
      <c r="C122" s="175">
        <v>69.099999999999994</v>
      </c>
      <c r="D122" s="48" t="s">
        <v>48</v>
      </c>
      <c r="E122" s="48" t="s">
        <v>26</v>
      </c>
      <c r="F122" s="160" t="s">
        <v>212</v>
      </c>
      <c r="G122" s="48">
        <v>2</v>
      </c>
      <c r="H122" s="44">
        <f t="shared" si="61"/>
        <v>2000</v>
      </c>
      <c r="I122" s="48">
        <v>310</v>
      </c>
      <c r="J122" s="48">
        <v>76.2</v>
      </c>
      <c r="K122" s="44">
        <f t="shared" si="45"/>
        <v>1.7318181818181819</v>
      </c>
      <c r="L122" s="48">
        <f t="shared" si="62"/>
        <v>2</v>
      </c>
      <c r="M122" s="44">
        <f t="shared" si="63"/>
        <v>2300</v>
      </c>
      <c r="N122" s="44">
        <f t="shared" si="53"/>
        <v>410</v>
      </c>
      <c r="O122" s="164">
        <v>44</v>
      </c>
      <c r="P122" s="44">
        <f t="shared" si="64"/>
        <v>0.73181818181818192</v>
      </c>
      <c r="Q122" s="44">
        <f t="shared" si="67"/>
        <v>2</v>
      </c>
      <c r="R122" s="162" t="s">
        <v>341</v>
      </c>
      <c r="S122" s="58">
        <v>2</v>
      </c>
      <c r="T122" s="161" t="s">
        <v>339</v>
      </c>
      <c r="U122" s="53" t="s">
        <v>221</v>
      </c>
      <c r="V122" s="140">
        <v>12540</v>
      </c>
      <c r="W122" s="138">
        <v>0</v>
      </c>
      <c r="X122" s="88">
        <f t="shared" si="65"/>
        <v>0</v>
      </c>
      <c r="Y122" s="112">
        <v>0</v>
      </c>
      <c r="Z122" s="89">
        <f t="shared" si="66"/>
        <v>0</v>
      </c>
    </row>
    <row r="123" spans="2:26" x14ac:dyDescent="0.25">
      <c r="B123" s="311"/>
      <c r="C123" s="175">
        <v>70.399999999999977</v>
      </c>
      <c r="D123" s="48" t="s">
        <v>48</v>
      </c>
      <c r="E123" s="48" t="s">
        <v>26</v>
      </c>
      <c r="F123" s="160" t="s">
        <v>212</v>
      </c>
      <c r="G123" s="48">
        <v>2.5</v>
      </c>
      <c r="H123" s="44">
        <f t="shared" si="61"/>
        <v>2500</v>
      </c>
      <c r="I123" s="48">
        <v>265</v>
      </c>
      <c r="J123" s="48">
        <v>76.2</v>
      </c>
      <c r="K123" s="44">
        <f t="shared" si="45"/>
        <v>1.7318181818181819</v>
      </c>
      <c r="L123" s="48">
        <f t="shared" si="62"/>
        <v>2</v>
      </c>
      <c r="M123" s="44">
        <f t="shared" si="63"/>
        <v>2800</v>
      </c>
      <c r="N123" s="44">
        <f t="shared" si="53"/>
        <v>365</v>
      </c>
      <c r="O123" s="164">
        <v>44</v>
      </c>
      <c r="P123" s="44">
        <f t="shared" si="64"/>
        <v>0.73181818181818192</v>
      </c>
      <c r="Q123" s="44">
        <f t="shared" si="67"/>
        <v>2</v>
      </c>
      <c r="R123" s="162" t="s">
        <v>341</v>
      </c>
      <c r="S123" s="58">
        <v>2</v>
      </c>
      <c r="T123" s="161" t="s">
        <v>339</v>
      </c>
      <c r="U123" s="53" t="s">
        <v>221</v>
      </c>
      <c r="V123" s="140">
        <v>12540</v>
      </c>
      <c r="W123" s="138">
        <v>0</v>
      </c>
      <c r="X123" s="88">
        <f t="shared" si="65"/>
        <v>0</v>
      </c>
      <c r="Y123" s="112">
        <v>0</v>
      </c>
      <c r="Z123" s="89">
        <f t="shared" si="66"/>
        <v>0</v>
      </c>
    </row>
    <row r="124" spans="2:26" x14ac:dyDescent="0.25">
      <c r="B124" s="311"/>
      <c r="C124" s="175">
        <v>70.499999999999972</v>
      </c>
      <c r="D124" s="48" t="s">
        <v>48</v>
      </c>
      <c r="E124" s="48" t="s">
        <v>26</v>
      </c>
      <c r="F124" s="160" t="s">
        <v>212</v>
      </c>
      <c r="G124" s="48">
        <v>3.3</v>
      </c>
      <c r="H124" s="44">
        <f t="shared" si="61"/>
        <v>3300</v>
      </c>
      <c r="I124" s="48">
        <v>270</v>
      </c>
      <c r="J124" s="48">
        <v>76.2</v>
      </c>
      <c r="K124" s="44">
        <f t="shared" si="45"/>
        <v>1.7318181818181819</v>
      </c>
      <c r="L124" s="48">
        <f t="shared" si="62"/>
        <v>2</v>
      </c>
      <c r="M124" s="44">
        <f t="shared" si="63"/>
        <v>3600</v>
      </c>
      <c r="N124" s="44">
        <f t="shared" si="53"/>
        <v>370</v>
      </c>
      <c r="O124" s="164">
        <v>44</v>
      </c>
      <c r="P124" s="44">
        <f t="shared" si="64"/>
        <v>0.73181818181818192</v>
      </c>
      <c r="Q124" s="44">
        <f t="shared" si="67"/>
        <v>2</v>
      </c>
      <c r="R124" s="162" t="s">
        <v>341</v>
      </c>
      <c r="S124" s="58">
        <v>2</v>
      </c>
      <c r="T124" s="161" t="s">
        <v>339</v>
      </c>
      <c r="U124" s="53" t="s">
        <v>221</v>
      </c>
      <c r="V124" s="140">
        <v>12540</v>
      </c>
      <c r="W124" s="138">
        <v>0</v>
      </c>
      <c r="X124" s="88">
        <f t="shared" si="65"/>
        <v>0</v>
      </c>
      <c r="Y124" s="112">
        <v>0</v>
      </c>
      <c r="Z124" s="89">
        <f t="shared" si="66"/>
        <v>0</v>
      </c>
    </row>
    <row r="125" spans="2:26" x14ac:dyDescent="0.25">
      <c r="B125" s="311"/>
      <c r="C125" s="175">
        <v>70.599999999999966</v>
      </c>
      <c r="D125" s="48" t="s">
        <v>48</v>
      </c>
      <c r="E125" s="48" t="s">
        <v>57</v>
      </c>
      <c r="F125" s="160" t="s">
        <v>213</v>
      </c>
      <c r="G125" s="48">
        <v>6</v>
      </c>
      <c r="H125" s="44">
        <f t="shared" si="61"/>
        <v>6000</v>
      </c>
      <c r="I125" s="48">
        <v>360</v>
      </c>
      <c r="J125" s="48">
        <v>76.2</v>
      </c>
      <c r="K125" s="44">
        <f t="shared" si="45"/>
        <v>1.7318181818181819</v>
      </c>
      <c r="L125" s="48">
        <f t="shared" si="62"/>
        <v>2</v>
      </c>
      <c r="M125" s="44">
        <f t="shared" si="63"/>
        <v>6300</v>
      </c>
      <c r="N125" s="44">
        <f t="shared" si="53"/>
        <v>460</v>
      </c>
      <c r="O125" s="164">
        <v>44</v>
      </c>
      <c r="P125" s="44">
        <f t="shared" si="64"/>
        <v>0.73181818181818192</v>
      </c>
      <c r="Q125" s="44">
        <f t="shared" si="67"/>
        <v>2</v>
      </c>
      <c r="R125" s="165" t="s">
        <v>342</v>
      </c>
      <c r="S125" s="58">
        <v>2</v>
      </c>
      <c r="T125" s="166" t="s">
        <v>340</v>
      </c>
      <c r="U125" s="53" t="s">
        <v>221</v>
      </c>
      <c r="V125" s="140">
        <v>12540</v>
      </c>
      <c r="W125" s="138">
        <v>0</v>
      </c>
      <c r="X125" s="88">
        <f t="shared" si="65"/>
        <v>0</v>
      </c>
      <c r="Y125" s="112">
        <v>0</v>
      </c>
      <c r="Z125" s="89">
        <f t="shared" si="66"/>
        <v>0</v>
      </c>
    </row>
    <row r="126" spans="2:26" x14ac:dyDescent="0.25">
      <c r="B126" s="311"/>
      <c r="C126" s="175">
        <v>70.69999999999996</v>
      </c>
      <c r="D126" s="48" t="s">
        <v>48</v>
      </c>
      <c r="E126" s="48" t="s">
        <v>26</v>
      </c>
      <c r="F126" s="160" t="s">
        <v>212</v>
      </c>
      <c r="G126" s="48">
        <v>2.1</v>
      </c>
      <c r="H126" s="44">
        <f t="shared" si="61"/>
        <v>2100</v>
      </c>
      <c r="I126" s="48">
        <v>310</v>
      </c>
      <c r="J126" s="48">
        <v>76.2</v>
      </c>
      <c r="K126" s="44">
        <f t="shared" si="45"/>
        <v>1.7318181818181819</v>
      </c>
      <c r="L126" s="48">
        <f t="shared" si="62"/>
        <v>2</v>
      </c>
      <c r="M126" s="44">
        <f t="shared" si="63"/>
        <v>2400</v>
      </c>
      <c r="N126" s="44">
        <f t="shared" si="53"/>
        <v>410</v>
      </c>
      <c r="O126" s="164">
        <v>44</v>
      </c>
      <c r="P126" s="44">
        <f t="shared" si="64"/>
        <v>0.73181818181818192</v>
      </c>
      <c r="Q126" s="44">
        <f t="shared" si="67"/>
        <v>2</v>
      </c>
      <c r="R126" s="162" t="s">
        <v>341</v>
      </c>
      <c r="S126" s="58">
        <v>2</v>
      </c>
      <c r="T126" s="161" t="s">
        <v>339</v>
      </c>
      <c r="U126" s="53" t="s">
        <v>221</v>
      </c>
      <c r="V126" s="140">
        <v>12540</v>
      </c>
      <c r="W126" s="138">
        <v>0</v>
      </c>
      <c r="X126" s="88">
        <f t="shared" si="65"/>
        <v>0</v>
      </c>
      <c r="Y126" s="112">
        <v>0</v>
      </c>
      <c r="Z126" s="89">
        <f t="shared" si="66"/>
        <v>0</v>
      </c>
    </row>
    <row r="127" spans="2:26" x14ac:dyDescent="0.25">
      <c r="B127" s="311"/>
      <c r="C127" s="175">
        <v>71.499999999999972</v>
      </c>
      <c r="D127" s="48" t="s">
        <v>48</v>
      </c>
      <c r="E127" s="48" t="s">
        <v>53</v>
      </c>
      <c r="F127" s="160" t="s">
        <v>213</v>
      </c>
      <c r="G127" s="48">
        <v>8.4</v>
      </c>
      <c r="H127" s="44">
        <f t="shared" si="61"/>
        <v>8400</v>
      </c>
      <c r="I127" s="48">
        <v>355</v>
      </c>
      <c r="J127" s="48">
        <v>76.2</v>
      </c>
      <c r="K127" s="44">
        <f t="shared" si="45"/>
        <v>1.7318181818181819</v>
      </c>
      <c r="L127" s="48">
        <f t="shared" si="62"/>
        <v>2</v>
      </c>
      <c r="M127" s="44">
        <f t="shared" si="63"/>
        <v>8700</v>
      </c>
      <c r="N127" s="44">
        <f t="shared" si="53"/>
        <v>455</v>
      </c>
      <c r="O127" s="164">
        <v>44</v>
      </c>
      <c r="P127" s="44">
        <f t="shared" si="64"/>
        <v>0.73181818181818192</v>
      </c>
      <c r="Q127" s="44">
        <f t="shared" si="67"/>
        <v>2</v>
      </c>
      <c r="R127" s="165" t="s">
        <v>342</v>
      </c>
      <c r="S127" s="58">
        <v>2</v>
      </c>
      <c r="T127" s="166" t="s">
        <v>340</v>
      </c>
      <c r="U127" s="53" t="s">
        <v>221</v>
      </c>
      <c r="V127" s="140">
        <v>12540</v>
      </c>
      <c r="W127" s="138">
        <v>0</v>
      </c>
      <c r="X127" s="88">
        <f t="shared" si="65"/>
        <v>0</v>
      </c>
      <c r="Y127" s="112">
        <v>0</v>
      </c>
      <c r="Z127" s="89">
        <f t="shared" si="66"/>
        <v>0</v>
      </c>
    </row>
    <row r="128" spans="2:26" ht="15.75" thickBot="1" x14ac:dyDescent="0.3">
      <c r="B128" s="311"/>
      <c r="C128" s="175">
        <v>71.599999999999966</v>
      </c>
      <c r="D128" s="48" t="s">
        <v>48</v>
      </c>
      <c r="E128" s="48" t="s">
        <v>55</v>
      </c>
      <c r="F128" s="160" t="s">
        <v>213</v>
      </c>
      <c r="G128" s="48">
        <v>7.9</v>
      </c>
      <c r="H128" s="44">
        <f t="shared" si="61"/>
        <v>7900</v>
      </c>
      <c r="I128" s="48">
        <v>410</v>
      </c>
      <c r="J128" s="48">
        <v>76.2</v>
      </c>
      <c r="K128" s="44">
        <f t="shared" si="45"/>
        <v>1.7318181818181819</v>
      </c>
      <c r="L128" s="48">
        <f t="shared" si="62"/>
        <v>2</v>
      </c>
      <c r="M128" s="44">
        <f t="shared" si="63"/>
        <v>8200</v>
      </c>
      <c r="N128" s="44">
        <f t="shared" si="53"/>
        <v>510</v>
      </c>
      <c r="O128" s="164">
        <v>44</v>
      </c>
      <c r="P128" s="44">
        <f t="shared" si="64"/>
        <v>0.73181818181818192</v>
      </c>
      <c r="Q128" s="44">
        <f t="shared" si="67"/>
        <v>2</v>
      </c>
      <c r="R128" s="165" t="s">
        <v>342</v>
      </c>
      <c r="S128" s="58">
        <v>2</v>
      </c>
      <c r="T128" s="166" t="s">
        <v>340</v>
      </c>
      <c r="U128" s="53" t="s">
        <v>221</v>
      </c>
      <c r="V128" s="140">
        <v>12540</v>
      </c>
      <c r="W128" s="139">
        <v>0</v>
      </c>
      <c r="X128" s="90">
        <f t="shared" si="65"/>
        <v>0</v>
      </c>
      <c r="Y128" s="113">
        <v>0</v>
      </c>
      <c r="Z128" s="91">
        <f t="shared" si="66"/>
        <v>0</v>
      </c>
    </row>
    <row r="129" spans="1:26" s="66" customFormat="1" ht="15.75" thickBot="1" x14ac:dyDescent="0.3">
      <c r="A129" s="92"/>
      <c r="B129" s="313"/>
      <c r="C129" s="196" t="s">
        <v>276</v>
      </c>
      <c r="D129" s="197"/>
      <c r="E129" s="197"/>
      <c r="F129" s="197"/>
      <c r="G129" s="197"/>
      <c r="H129" s="197"/>
      <c r="I129" s="197"/>
      <c r="J129" s="197"/>
      <c r="K129" s="197"/>
      <c r="L129" s="197"/>
      <c r="M129" s="197"/>
      <c r="N129" s="197"/>
      <c r="O129" s="197"/>
      <c r="P129" s="180"/>
      <c r="Q129" s="180">
        <f>SUM(Q118:Q128)</f>
        <v>22</v>
      </c>
      <c r="R129" s="180"/>
      <c r="S129" s="180">
        <f>SUM(S118:S128)</f>
        <v>22</v>
      </c>
      <c r="T129" s="180"/>
      <c r="U129" s="180"/>
      <c r="V129" s="180"/>
      <c r="W129" s="130"/>
      <c r="X129" s="75">
        <f>SUM(X118:X128)</f>
        <v>0</v>
      </c>
      <c r="Y129" s="75"/>
      <c r="Z129" s="75">
        <f>SUM(Z118:Z128)</f>
        <v>0</v>
      </c>
    </row>
    <row r="130" spans="1:26" x14ac:dyDescent="0.25">
      <c r="B130" s="310" t="s">
        <v>372</v>
      </c>
      <c r="C130" s="175">
        <v>72.299999999999983</v>
      </c>
      <c r="D130" s="48" t="s">
        <v>48</v>
      </c>
      <c r="E130" s="48" t="s">
        <v>26</v>
      </c>
      <c r="F130" s="160" t="s">
        <v>213</v>
      </c>
      <c r="G130" s="48">
        <v>7.3</v>
      </c>
      <c r="H130" s="44">
        <f t="shared" ref="H130:H135" si="68">CONVERT(G130,"m","mm")</f>
        <v>7300</v>
      </c>
      <c r="I130" s="48">
        <v>265</v>
      </c>
      <c r="J130" s="48">
        <v>76.2</v>
      </c>
      <c r="K130" s="44">
        <f t="shared" si="45"/>
        <v>1.7318181818181819</v>
      </c>
      <c r="L130" s="48">
        <f t="shared" ref="L130:L135" si="69">ROUNDUP(K130,0)</f>
        <v>2</v>
      </c>
      <c r="M130" s="44">
        <f t="shared" ref="M130:M135" si="70">(H130+300)</f>
        <v>7600</v>
      </c>
      <c r="N130" s="44">
        <f t="shared" si="53"/>
        <v>365</v>
      </c>
      <c r="O130" s="164">
        <v>44</v>
      </c>
      <c r="P130" s="44">
        <f t="shared" ref="P130:P135" si="71">(K130-1)</f>
        <v>0.73181818181818192</v>
      </c>
      <c r="Q130" s="44">
        <f t="shared" ref="Q130:Q135" si="72">(L130-1)*2</f>
        <v>2</v>
      </c>
      <c r="R130" s="165" t="s">
        <v>342</v>
      </c>
      <c r="S130" s="58">
        <v>2</v>
      </c>
      <c r="T130" s="166" t="s">
        <v>340</v>
      </c>
      <c r="U130" s="53" t="s">
        <v>221</v>
      </c>
      <c r="V130" s="140">
        <v>12663</v>
      </c>
      <c r="W130" s="137">
        <v>0</v>
      </c>
      <c r="X130" s="86">
        <f>(W130*Q130)</f>
        <v>0</v>
      </c>
      <c r="Y130" s="111">
        <v>0</v>
      </c>
      <c r="Z130" s="87">
        <f>(Y130*S130)</f>
        <v>0</v>
      </c>
    </row>
    <row r="131" spans="1:26" x14ac:dyDescent="0.25">
      <c r="B131" s="311"/>
      <c r="C131" s="175">
        <v>72.399999999999977</v>
      </c>
      <c r="D131" s="48" t="s">
        <v>48</v>
      </c>
      <c r="E131" s="48" t="s">
        <v>26</v>
      </c>
      <c r="F131" s="160" t="s">
        <v>213</v>
      </c>
      <c r="G131" s="48">
        <v>7.4</v>
      </c>
      <c r="H131" s="44">
        <f t="shared" si="68"/>
        <v>7400</v>
      </c>
      <c r="I131" s="48">
        <v>280</v>
      </c>
      <c r="J131" s="48">
        <v>76.2</v>
      </c>
      <c r="K131" s="44">
        <f t="shared" si="45"/>
        <v>1.7318181818181819</v>
      </c>
      <c r="L131" s="48">
        <f t="shared" si="69"/>
        <v>2</v>
      </c>
      <c r="M131" s="44">
        <f t="shared" si="70"/>
        <v>7700</v>
      </c>
      <c r="N131" s="44">
        <f t="shared" si="53"/>
        <v>380</v>
      </c>
      <c r="O131" s="164">
        <v>44</v>
      </c>
      <c r="P131" s="44">
        <f t="shared" si="71"/>
        <v>0.73181818181818192</v>
      </c>
      <c r="Q131" s="44">
        <f t="shared" si="72"/>
        <v>2</v>
      </c>
      <c r="R131" s="165" t="s">
        <v>342</v>
      </c>
      <c r="S131" s="58">
        <v>2</v>
      </c>
      <c r="T131" s="166" t="s">
        <v>340</v>
      </c>
      <c r="U131" s="53" t="s">
        <v>221</v>
      </c>
      <c r="V131" s="140">
        <v>12663</v>
      </c>
      <c r="W131" s="138">
        <v>0</v>
      </c>
      <c r="X131" s="88">
        <f>(W131*Q131)</f>
        <v>0</v>
      </c>
      <c r="Y131" s="112">
        <v>0</v>
      </c>
      <c r="Z131" s="89">
        <f>(Y131*S131)</f>
        <v>0</v>
      </c>
    </row>
    <row r="132" spans="1:26" x14ac:dyDescent="0.25">
      <c r="B132" s="311"/>
      <c r="C132" s="175">
        <v>72.499999999999972</v>
      </c>
      <c r="D132" s="48" t="s">
        <v>48</v>
      </c>
      <c r="E132" s="48" t="s">
        <v>53</v>
      </c>
      <c r="F132" s="160" t="s">
        <v>212</v>
      </c>
      <c r="G132" s="48">
        <v>4.3</v>
      </c>
      <c r="H132" s="44">
        <f t="shared" si="68"/>
        <v>4300</v>
      </c>
      <c r="I132" s="48">
        <v>310</v>
      </c>
      <c r="J132" s="48">
        <v>76.2</v>
      </c>
      <c r="K132" s="44">
        <f t="shared" si="45"/>
        <v>1.7318181818181819</v>
      </c>
      <c r="L132" s="48">
        <f t="shared" si="69"/>
        <v>2</v>
      </c>
      <c r="M132" s="44">
        <f t="shared" si="70"/>
        <v>4600</v>
      </c>
      <c r="N132" s="44">
        <f t="shared" si="53"/>
        <v>410</v>
      </c>
      <c r="O132" s="164">
        <v>44</v>
      </c>
      <c r="P132" s="44">
        <f t="shared" si="71"/>
        <v>0.73181818181818192</v>
      </c>
      <c r="Q132" s="44">
        <f t="shared" si="72"/>
        <v>2</v>
      </c>
      <c r="R132" s="162" t="s">
        <v>341</v>
      </c>
      <c r="S132" s="58">
        <v>2</v>
      </c>
      <c r="T132" s="161" t="s">
        <v>339</v>
      </c>
      <c r="U132" s="53" t="s">
        <v>221</v>
      </c>
      <c r="V132" s="140">
        <v>12663</v>
      </c>
      <c r="W132" s="138">
        <v>0</v>
      </c>
      <c r="X132" s="88">
        <v>0</v>
      </c>
      <c r="Y132" s="112">
        <v>0</v>
      </c>
      <c r="Z132" s="89">
        <v>0</v>
      </c>
    </row>
    <row r="133" spans="1:26" x14ac:dyDescent="0.25">
      <c r="B133" s="311"/>
      <c r="C133" s="175">
        <v>73.099999999999994</v>
      </c>
      <c r="D133" s="48" t="s">
        <v>48</v>
      </c>
      <c r="E133" s="48" t="s">
        <v>26</v>
      </c>
      <c r="F133" s="160" t="s">
        <v>213</v>
      </c>
      <c r="G133" s="48">
        <v>6.2</v>
      </c>
      <c r="H133" s="44">
        <f t="shared" si="68"/>
        <v>6200</v>
      </c>
      <c r="I133" s="48">
        <v>265</v>
      </c>
      <c r="J133" s="48">
        <v>76.2</v>
      </c>
      <c r="K133" s="44">
        <f t="shared" si="45"/>
        <v>1.7318181818181819</v>
      </c>
      <c r="L133" s="48">
        <f t="shared" si="69"/>
        <v>2</v>
      </c>
      <c r="M133" s="44">
        <f t="shared" si="70"/>
        <v>6500</v>
      </c>
      <c r="N133" s="44">
        <f t="shared" si="53"/>
        <v>365</v>
      </c>
      <c r="O133" s="164">
        <v>44</v>
      </c>
      <c r="P133" s="44">
        <f t="shared" si="71"/>
        <v>0.73181818181818192</v>
      </c>
      <c r="Q133" s="44">
        <f t="shared" si="72"/>
        <v>2</v>
      </c>
      <c r="R133" s="165" t="s">
        <v>342</v>
      </c>
      <c r="S133" s="58">
        <v>2</v>
      </c>
      <c r="T133" s="166" t="s">
        <v>340</v>
      </c>
      <c r="U133" s="53" t="s">
        <v>221</v>
      </c>
      <c r="V133" s="140">
        <v>12663</v>
      </c>
      <c r="W133" s="138">
        <v>0</v>
      </c>
      <c r="X133" s="88">
        <v>0</v>
      </c>
      <c r="Y133" s="112">
        <v>0</v>
      </c>
      <c r="Z133" s="89">
        <f>(Y133*S133)</f>
        <v>0</v>
      </c>
    </row>
    <row r="134" spans="1:26" x14ac:dyDescent="0.25">
      <c r="B134" s="311"/>
      <c r="C134" s="175">
        <v>73.199999999999989</v>
      </c>
      <c r="D134" s="48" t="s">
        <v>48</v>
      </c>
      <c r="E134" s="48" t="s">
        <v>26</v>
      </c>
      <c r="F134" s="160" t="s">
        <v>213</v>
      </c>
      <c r="G134" s="48">
        <v>7.4</v>
      </c>
      <c r="H134" s="44">
        <f t="shared" si="68"/>
        <v>7400</v>
      </c>
      <c r="I134" s="48">
        <v>285</v>
      </c>
      <c r="J134" s="48">
        <v>76.2</v>
      </c>
      <c r="K134" s="44">
        <f t="shared" si="45"/>
        <v>1.7318181818181819</v>
      </c>
      <c r="L134" s="48">
        <f t="shared" si="69"/>
        <v>2</v>
      </c>
      <c r="M134" s="44">
        <f t="shared" si="70"/>
        <v>7700</v>
      </c>
      <c r="N134" s="44">
        <f t="shared" si="53"/>
        <v>385</v>
      </c>
      <c r="O134" s="164">
        <v>44</v>
      </c>
      <c r="P134" s="44">
        <f t="shared" si="71"/>
        <v>0.73181818181818192</v>
      </c>
      <c r="Q134" s="44">
        <f t="shared" si="72"/>
        <v>2</v>
      </c>
      <c r="R134" s="165" t="s">
        <v>342</v>
      </c>
      <c r="S134" s="58">
        <v>2</v>
      </c>
      <c r="T134" s="166" t="s">
        <v>340</v>
      </c>
      <c r="U134" s="53" t="s">
        <v>221</v>
      </c>
      <c r="V134" s="140">
        <v>12663</v>
      </c>
      <c r="W134" s="138">
        <v>0</v>
      </c>
      <c r="X134" s="88">
        <f>(W134*Q134)</f>
        <v>0</v>
      </c>
      <c r="Y134" s="112">
        <v>0</v>
      </c>
      <c r="Z134" s="89">
        <f>(Y134*S134)</f>
        <v>0</v>
      </c>
    </row>
    <row r="135" spans="1:26" ht="15.75" thickBot="1" x14ac:dyDescent="0.3">
      <c r="B135" s="311"/>
      <c r="C135" s="175">
        <v>73.299999999999983</v>
      </c>
      <c r="D135" s="48" t="s">
        <v>48</v>
      </c>
      <c r="E135" s="48" t="s">
        <v>26</v>
      </c>
      <c r="F135" s="160" t="s">
        <v>212</v>
      </c>
      <c r="G135" s="48">
        <v>2.8</v>
      </c>
      <c r="H135" s="44">
        <f t="shared" si="68"/>
        <v>2800</v>
      </c>
      <c r="I135" s="48">
        <v>310</v>
      </c>
      <c r="J135" s="48">
        <v>76.2</v>
      </c>
      <c r="K135" s="44">
        <f t="shared" si="45"/>
        <v>1.7318181818181819</v>
      </c>
      <c r="L135" s="48">
        <f t="shared" si="69"/>
        <v>2</v>
      </c>
      <c r="M135" s="44">
        <f t="shared" si="70"/>
        <v>3100</v>
      </c>
      <c r="N135" s="44">
        <f t="shared" si="53"/>
        <v>410</v>
      </c>
      <c r="O135" s="164">
        <v>44</v>
      </c>
      <c r="P135" s="44">
        <f t="shared" si="71"/>
        <v>0.73181818181818192</v>
      </c>
      <c r="Q135" s="44">
        <f t="shared" si="72"/>
        <v>2</v>
      </c>
      <c r="R135" s="162" t="s">
        <v>341</v>
      </c>
      <c r="S135" s="58">
        <v>2</v>
      </c>
      <c r="T135" s="161" t="s">
        <v>339</v>
      </c>
      <c r="U135" s="53" t="s">
        <v>221</v>
      </c>
      <c r="V135" s="140">
        <v>12663</v>
      </c>
      <c r="W135" s="139">
        <v>0</v>
      </c>
      <c r="X135" s="90">
        <f>(W135*Q135)</f>
        <v>0</v>
      </c>
      <c r="Y135" s="113">
        <v>0</v>
      </c>
      <c r="Z135" s="91">
        <f>(Y135*S135)</f>
        <v>0</v>
      </c>
    </row>
    <row r="136" spans="1:26" s="66" customFormat="1" ht="15.75" thickBot="1" x14ac:dyDescent="0.3">
      <c r="B136" s="313"/>
      <c r="C136" s="189" t="s">
        <v>277</v>
      </c>
      <c r="D136" s="180"/>
      <c r="E136" s="180"/>
      <c r="F136" s="180"/>
      <c r="G136" s="180"/>
      <c r="H136" s="180"/>
      <c r="I136" s="180"/>
      <c r="J136" s="180"/>
      <c r="K136" s="180"/>
      <c r="L136" s="180"/>
      <c r="M136" s="180"/>
      <c r="N136" s="180"/>
      <c r="O136" s="180"/>
      <c r="P136" s="180"/>
      <c r="Q136" s="188">
        <f>SUM(Q130:Q135)</f>
        <v>12</v>
      </c>
      <c r="R136" s="180"/>
      <c r="S136" s="188">
        <f>SUM(S130:S135)</f>
        <v>12</v>
      </c>
      <c r="T136" s="180"/>
      <c r="U136" s="180"/>
      <c r="V136" s="180"/>
      <c r="W136" s="130"/>
      <c r="X136" s="74">
        <f>SUM(X130:X135)</f>
        <v>0</v>
      </c>
      <c r="Y136" s="75"/>
      <c r="Z136" s="74">
        <f>SUM(Z130:Z135)</f>
        <v>0</v>
      </c>
    </row>
    <row r="137" spans="1:26" ht="14.25" customHeight="1" thickBot="1" x14ac:dyDescent="0.3">
      <c r="P137" s="82"/>
      <c r="Q137" s="207">
        <f>SUM(Q136,Q129,Q117,Q101,Q84,Q69,Q54,Q42,Q30,Q17)</f>
        <v>734</v>
      </c>
      <c r="R137" s="51"/>
      <c r="S137" s="207">
        <f>SUM(S136,S129,S117,S101,S84,S69,S54,S42,S30,S17)</f>
        <v>238</v>
      </c>
      <c r="X137" s="75">
        <f>SUM(X136,X129,X117,X101,X84,X69,X54,X42,X30,X17)</f>
        <v>0</v>
      </c>
      <c r="Z137" s="75">
        <f>SUM(Z136,Z129,Z117,Z101,Z84,Z69,Z54,Z42,Z30,Z17)</f>
        <v>0</v>
      </c>
    </row>
    <row r="138" spans="1:26" x14ac:dyDescent="0.25">
      <c r="R138" s="51"/>
    </row>
    <row r="139" spans="1:26" x14ac:dyDescent="0.25">
      <c r="C139" s="51"/>
      <c r="D139" s="51"/>
      <c r="E139" s="51"/>
      <c r="F139" s="51"/>
      <c r="G139" s="51"/>
      <c r="H139" s="51"/>
      <c r="I139" s="51"/>
      <c r="J139" s="51"/>
      <c r="K139" s="51"/>
      <c r="L139" s="51"/>
      <c r="M139" s="51"/>
      <c r="N139" s="51"/>
      <c r="O139" s="51"/>
      <c r="P139" s="51"/>
      <c r="Q139" s="51"/>
      <c r="R139" s="51"/>
      <c r="S139" s="51"/>
      <c r="T139" s="51"/>
      <c r="U139" s="51"/>
      <c r="V139" s="51"/>
    </row>
    <row r="140" spans="1:26" x14ac:dyDescent="0.25">
      <c r="C140" s="51"/>
      <c r="D140" s="51"/>
      <c r="E140" s="51"/>
      <c r="F140" s="51"/>
      <c r="G140" s="51"/>
      <c r="H140" s="51"/>
      <c r="I140" s="51"/>
      <c r="J140" s="51"/>
      <c r="K140" s="51"/>
      <c r="L140" s="51"/>
      <c r="M140" s="51"/>
      <c r="N140" s="51"/>
      <c r="O140" s="51"/>
      <c r="P140" s="51"/>
      <c r="Q140" s="51"/>
      <c r="R140" s="51"/>
      <c r="S140" s="51"/>
      <c r="T140" s="51"/>
      <c r="U140" s="51"/>
      <c r="V140" s="51"/>
    </row>
    <row r="141" spans="1:26" x14ac:dyDescent="0.25">
      <c r="C141" s="51"/>
      <c r="D141" s="51"/>
      <c r="E141" s="51"/>
      <c r="F141" s="51"/>
      <c r="G141" s="51"/>
      <c r="H141" s="51"/>
      <c r="I141" s="51"/>
      <c r="J141" s="51"/>
      <c r="K141" s="51"/>
      <c r="L141" s="51"/>
      <c r="M141" s="51"/>
      <c r="N141" s="51"/>
      <c r="O141" s="51"/>
      <c r="P141" s="51"/>
      <c r="Q141" s="51"/>
      <c r="R141" s="51"/>
      <c r="S141" s="51"/>
      <c r="T141" s="51"/>
      <c r="U141" s="51"/>
      <c r="V141" s="51"/>
    </row>
  </sheetData>
  <autoFilter ref="A6:Z137" xr:uid="{352DAD4C-D2E7-40E1-B558-EF8CE8329860}"/>
  <mergeCells count="15">
    <mergeCell ref="B70:B84"/>
    <mergeCell ref="B85:B101"/>
    <mergeCell ref="B102:B117"/>
    <mergeCell ref="B118:B129"/>
    <mergeCell ref="B130:B136"/>
    <mergeCell ref="B8:B17"/>
    <mergeCell ref="B18:B30"/>
    <mergeCell ref="B31:B42"/>
    <mergeCell ref="B43:B54"/>
    <mergeCell ref="B55:B69"/>
    <mergeCell ref="W4:W5"/>
    <mergeCell ref="Y4:Y5"/>
    <mergeCell ref="M4:O5"/>
    <mergeCell ref="G5:J5"/>
    <mergeCell ref="M2:V2"/>
  </mergeCells>
  <printOptions gridLines="1"/>
  <pageMargins left="0.31496062992125984" right="0.31496062992125984" top="0.55118110236220474" bottom="0.55118110236220474" header="0.31496062992125984" footer="0.31496062992125984"/>
  <pageSetup paperSize="9" scale="95" orientation="landscape" r:id="rId1"/>
  <headerFooter>
    <oddHeader xml:space="preserve">&amp;LPhase 1 Stbd&amp;RAppendix 1: Phases replanking Cutting List 20220627  </oddHeader>
    <oddFooter>Page &amp;P of &amp;N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7FBEBC3-5470-4639-BA7F-B30AFFE0FC92}">
          <x14:formula1>
            <xm:f>'Pick List'!$B$3:$B$5</xm:f>
          </x14:formula1>
          <xm:sqref>F139:F140 F8:F16 F18:F29 F31:F41 F43:F53 F55:F68 F70:F83 F85:F100 F102:F116 F118:F128 F130:F135</xm:sqref>
        </x14:dataValidation>
        <x14:dataValidation type="list" allowBlank="1" showInputMessage="1" showErrorMessage="1" xr:uid="{8021216A-9E8D-4550-B10E-7B2C8756CCDA}">
          <x14:formula1>
            <xm:f>'Pick List'!$D$2:$D$4</xm:f>
          </x14:formula1>
          <xm:sqref>O8:O135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F441-2F29-4CA1-BF32-3A84A05DDEF5}">
  <dimension ref="B2:F5"/>
  <sheetViews>
    <sheetView workbookViewId="0">
      <selection activeCell="I11" sqref="I11"/>
    </sheetView>
  </sheetViews>
  <sheetFormatPr defaultRowHeight="15" x14ac:dyDescent="0.25"/>
  <sheetData>
    <row r="2" spans="2:6" x14ac:dyDescent="0.25">
      <c r="B2" t="s">
        <v>211</v>
      </c>
      <c r="D2">
        <v>22</v>
      </c>
      <c r="F2" t="s">
        <v>331</v>
      </c>
    </row>
    <row r="3" spans="2:6" x14ac:dyDescent="0.25">
      <c r="B3" t="s">
        <v>212</v>
      </c>
      <c r="D3">
        <v>44</v>
      </c>
      <c r="F3" t="s">
        <v>332</v>
      </c>
    </row>
    <row r="4" spans="2:6" x14ac:dyDescent="0.25">
      <c r="B4" t="s">
        <v>213</v>
      </c>
      <c r="D4">
        <v>69</v>
      </c>
    </row>
    <row r="5" spans="2:6" x14ac:dyDescent="0.25">
      <c r="B5" t="s">
        <v>214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6C8D7-526A-4A93-A7B7-995F9FF6E570}">
  <dimension ref="A1:N565"/>
  <sheetViews>
    <sheetView topLeftCell="A318" zoomScaleNormal="100" workbookViewId="0">
      <selection activeCell="I52" sqref="I52"/>
    </sheetView>
  </sheetViews>
  <sheetFormatPr defaultColWidth="9.140625" defaultRowHeight="15" x14ac:dyDescent="0.25"/>
  <cols>
    <col min="1" max="1" width="14.140625" style="30" customWidth="1"/>
    <col min="2" max="2" width="25.85546875" style="15" bestFit="1" customWidth="1"/>
    <col min="3" max="3" width="7.7109375" style="13" customWidth="1"/>
    <col min="4" max="4" width="8.5703125" style="13" customWidth="1"/>
    <col min="5" max="5" width="10.7109375" style="13" bestFit="1" customWidth="1"/>
    <col min="6" max="7" width="6" style="13" bestFit="1" customWidth="1"/>
    <col min="8" max="8" width="12.42578125" style="13" bestFit="1" customWidth="1"/>
    <col min="9" max="9" width="39.5703125" style="15" customWidth="1"/>
    <col min="10" max="10" width="9.85546875" style="3" customWidth="1"/>
    <col min="11" max="11" width="11.85546875" style="3" customWidth="1"/>
    <col min="12" max="12" width="8" style="3" bestFit="1" customWidth="1"/>
    <col min="13" max="13" width="11.5703125" style="3" bestFit="1" customWidth="1"/>
    <col min="14" max="16384" width="9.140625" style="3"/>
  </cols>
  <sheetData>
    <row r="1" spans="1:14" ht="30" customHeight="1" thickBot="1" x14ac:dyDescent="0.3">
      <c r="A1" s="385" t="s">
        <v>0</v>
      </c>
      <c r="B1" s="386"/>
      <c r="C1" s="386"/>
      <c r="D1" s="386"/>
      <c r="E1" s="386"/>
      <c r="F1" s="386"/>
      <c r="G1" s="386"/>
      <c r="H1" s="386"/>
      <c r="I1" s="386"/>
      <c r="J1" s="36" t="s">
        <v>182</v>
      </c>
      <c r="K1" s="37">
        <f>SUM(K48:K558)</f>
        <v>101.08501277800005</v>
      </c>
      <c r="L1" s="37" t="s">
        <v>183</v>
      </c>
      <c r="M1" s="38">
        <f>K1*35.3146667</f>
        <v>3569.7835346203124</v>
      </c>
      <c r="N1" s="4"/>
    </row>
    <row r="2" spans="1:14" s="35" customFormat="1" ht="42" customHeight="1" x14ac:dyDescent="0.25">
      <c r="A2" s="1"/>
      <c r="B2" s="2"/>
      <c r="C2" s="2"/>
      <c r="D2" s="2"/>
      <c r="E2" s="2"/>
      <c r="F2" s="2"/>
      <c r="G2" s="2"/>
      <c r="H2" s="2"/>
      <c r="I2" s="2"/>
      <c r="J2" s="40"/>
      <c r="K2" s="40"/>
      <c r="L2" s="40"/>
      <c r="M2" s="40"/>
      <c r="N2" s="4"/>
    </row>
    <row r="3" spans="1:14" s="35" customFormat="1" ht="30" customHeight="1" x14ac:dyDescent="0.25">
      <c r="A3" s="1"/>
      <c r="B3" s="2"/>
      <c r="C3" s="2"/>
      <c r="D3" s="2"/>
      <c r="E3" s="2"/>
      <c r="F3" s="2"/>
      <c r="G3" s="2"/>
      <c r="H3" s="2"/>
      <c r="I3" s="2"/>
      <c r="J3" s="40"/>
      <c r="K3" s="40"/>
      <c r="L3" s="40"/>
      <c r="M3" s="40"/>
      <c r="N3" s="4"/>
    </row>
    <row r="4" spans="1:14" s="35" customFormat="1" ht="30" customHeight="1" x14ac:dyDescent="0.25">
      <c r="A4" s="1"/>
      <c r="B4" s="2"/>
      <c r="C4" s="2"/>
      <c r="D4" s="2"/>
      <c r="E4" s="2"/>
      <c r="F4" s="2"/>
      <c r="G4" s="2"/>
      <c r="H4" s="2"/>
      <c r="I4" s="2"/>
      <c r="J4" s="40"/>
      <c r="K4" s="40"/>
      <c r="L4" s="40"/>
      <c r="M4" s="40"/>
      <c r="N4" s="4"/>
    </row>
    <row r="5" spans="1:14" s="35" customFormat="1" ht="30" customHeight="1" x14ac:dyDescent="0.25">
      <c r="A5" s="1"/>
      <c r="B5" s="2"/>
      <c r="C5" s="2"/>
      <c r="D5" s="2"/>
      <c r="E5" s="2"/>
      <c r="F5" s="2"/>
      <c r="G5" s="2"/>
      <c r="H5" s="2"/>
      <c r="I5" s="2"/>
      <c r="J5" s="40"/>
      <c r="K5" s="40"/>
      <c r="L5" s="40"/>
      <c r="M5" s="40"/>
      <c r="N5" s="4"/>
    </row>
    <row r="6" spans="1:14" s="35" customFormat="1" ht="30" customHeight="1" x14ac:dyDescent="0.25">
      <c r="A6" s="1"/>
      <c r="B6" s="2"/>
      <c r="C6" s="2"/>
      <c r="D6" s="2"/>
      <c r="E6" s="2"/>
      <c r="F6" s="2"/>
      <c r="G6" s="2"/>
      <c r="H6" s="2"/>
      <c r="I6" s="2"/>
      <c r="J6" s="40"/>
      <c r="K6" s="40"/>
      <c r="L6" s="40"/>
      <c r="M6" s="40"/>
      <c r="N6" s="4"/>
    </row>
    <row r="7" spans="1:14" s="35" customFormat="1" ht="30" customHeight="1" x14ac:dyDescent="0.25">
      <c r="A7" s="1"/>
      <c r="B7" s="2"/>
      <c r="C7" s="2"/>
      <c r="D7" s="2"/>
      <c r="E7" s="2"/>
      <c r="F7" s="2"/>
      <c r="G7" s="2"/>
      <c r="H7" s="2"/>
      <c r="I7" s="2"/>
      <c r="J7" s="40"/>
      <c r="K7" s="40"/>
      <c r="L7" s="40"/>
      <c r="M7" s="40"/>
      <c r="N7" s="4"/>
    </row>
    <row r="8" spans="1:14" s="35" customFormat="1" ht="30" customHeight="1" x14ac:dyDescent="0.25">
      <c r="A8" s="1"/>
      <c r="B8" s="2"/>
      <c r="C8" s="2"/>
      <c r="D8" s="2"/>
      <c r="E8" s="2"/>
      <c r="F8" s="2"/>
      <c r="G8" s="2"/>
      <c r="H8" s="2"/>
      <c r="I8" s="2"/>
      <c r="J8" s="40"/>
      <c r="K8" s="40"/>
      <c r="L8" s="40"/>
      <c r="M8" s="40"/>
      <c r="N8" s="4"/>
    </row>
    <row r="9" spans="1:14" s="35" customFormat="1" ht="30" customHeight="1" x14ac:dyDescent="0.25">
      <c r="A9" s="1"/>
      <c r="B9" s="2"/>
      <c r="C9" s="2"/>
      <c r="D9" s="2"/>
      <c r="E9" s="2"/>
      <c r="F9" s="2"/>
      <c r="G9" s="2"/>
      <c r="H9" s="2"/>
      <c r="I9" s="2"/>
      <c r="J9" s="40"/>
      <c r="K9" s="40"/>
      <c r="L9" s="40"/>
      <c r="M9" s="40"/>
      <c r="N9" s="4"/>
    </row>
    <row r="10" spans="1:14" s="35" customFormat="1" ht="30" customHeight="1" x14ac:dyDescent="0.25">
      <c r="A10" s="1"/>
      <c r="B10" s="2"/>
      <c r="C10" s="2"/>
      <c r="D10" s="2"/>
      <c r="E10" s="2"/>
      <c r="F10" s="2"/>
      <c r="G10" s="2"/>
      <c r="H10" s="2"/>
      <c r="I10" s="2"/>
      <c r="J10" s="40"/>
      <c r="K10" s="40"/>
      <c r="L10" s="40"/>
      <c r="M10" s="40"/>
      <c r="N10" s="4"/>
    </row>
    <row r="11" spans="1:14" s="35" customFormat="1" ht="10.5" customHeight="1" x14ac:dyDescent="0.25">
      <c r="A11" s="1"/>
      <c r="B11" s="2"/>
      <c r="C11" s="2"/>
      <c r="D11" s="2"/>
      <c r="E11" s="2"/>
      <c r="F11" s="2"/>
      <c r="G11" s="2"/>
      <c r="H11" s="2"/>
      <c r="I11" s="2"/>
      <c r="J11" s="40"/>
      <c r="K11" s="40"/>
      <c r="L11" s="40"/>
      <c r="M11" s="40"/>
      <c r="N11" s="4"/>
    </row>
    <row r="12" spans="1:14" s="35" customFormat="1" ht="10.5" customHeight="1" x14ac:dyDescent="0.25">
      <c r="A12" s="1"/>
      <c r="B12" s="2"/>
      <c r="C12" s="2"/>
      <c r="D12" s="2"/>
      <c r="E12" s="2"/>
      <c r="F12" s="2"/>
      <c r="G12" s="2"/>
      <c r="H12" s="2"/>
      <c r="I12" s="2"/>
      <c r="J12" s="40"/>
      <c r="K12" s="40"/>
      <c r="L12" s="40"/>
      <c r="M12" s="40"/>
      <c r="N12" s="4"/>
    </row>
    <row r="13" spans="1:14" s="35" customFormat="1" ht="30.75" customHeight="1" thickBot="1" x14ac:dyDescent="0.3">
      <c r="A13" s="1"/>
      <c r="B13" s="2"/>
      <c r="C13" s="2"/>
      <c r="D13" s="2"/>
      <c r="E13" s="2"/>
      <c r="F13" s="2"/>
      <c r="G13" s="2"/>
      <c r="H13" s="2"/>
      <c r="I13" s="2"/>
      <c r="J13" s="40"/>
      <c r="K13" s="40"/>
      <c r="L13" s="40"/>
      <c r="M13" s="40"/>
      <c r="N13" s="4"/>
    </row>
    <row r="14" spans="1:14" s="35" customFormat="1" ht="30" customHeight="1" thickTop="1" x14ac:dyDescent="0.25">
      <c r="A14" s="390" t="s">
        <v>184</v>
      </c>
      <c r="B14" s="391"/>
      <c r="C14" s="391"/>
      <c r="D14" s="391"/>
      <c r="E14" s="391"/>
      <c r="F14" s="391"/>
      <c r="G14" s="391"/>
      <c r="H14" s="391"/>
      <c r="I14" s="392"/>
    </row>
    <row r="15" spans="1:14" s="35" customFormat="1" ht="30" customHeight="1" thickBot="1" x14ac:dyDescent="0.3">
      <c r="A15" s="393" t="s">
        <v>188</v>
      </c>
      <c r="B15" s="394"/>
      <c r="C15" s="394"/>
      <c r="D15" s="394"/>
      <c r="E15" s="394"/>
      <c r="F15" s="394"/>
      <c r="G15" s="394"/>
      <c r="H15" s="394"/>
      <c r="I15" s="395"/>
    </row>
    <row r="16" spans="1:14" s="35" customFormat="1" ht="29.25" customHeight="1" thickTop="1" thickBot="1" x14ac:dyDescent="0.3">
      <c r="A16" s="1"/>
      <c r="B16" s="2"/>
      <c r="C16" s="2"/>
      <c r="D16" s="2"/>
      <c r="E16" s="2"/>
      <c r="F16" s="2"/>
      <c r="G16" s="2"/>
      <c r="H16" s="2"/>
      <c r="I16" s="2"/>
      <c r="J16" s="40"/>
      <c r="K16" s="40"/>
      <c r="L16" s="40"/>
      <c r="M16" s="40"/>
      <c r="N16" s="4"/>
    </row>
    <row r="17" spans="1:14" ht="30" hidden="1" customHeight="1" thickBot="1" x14ac:dyDescent="0.3">
      <c r="A17" s="5"/>
      <c r="B17" s="6"/>
      <c r="C17" s="6"/>
      <c r="D17" s="6"/>
      <c r="E17" s="6"/>
      <c r="F17" s="6"/>
      <c r="G17" s="6"/>
      <c r="H17" s="6"/>
      <c r="I17" s="6"/>
      <c r="N17" s="4"/>
    </row>
    <row r="18" spans="1:14" ht="30" customHeight="1" thickTop="1" thickBot="1" x14ac:dyDescent="0.3">
      <c r="A18" s="376" t="s">
        <v>185</v>
      </c>
      <c r="B18" s="377"/>
      <c r="C18" s="377"/>
      <c r="D18" s="377"/>
      <c r="E18" s="377"/>
      <c r="F18" s="377"/>
      <c r="G18" s="377"/>
      <c r="H18" s="377"/>
      <c r="I18" s="378"/>
      <c r="N18" s="4"/>
    </row>
    <row r="19" spans="1:14" ht="32.25" customHeight="1" thickTop="1" thickBot="1" x14ac:dyDescent="0.3">
      <c r="A19" s="7"/>
      <c r="B19" s="8"/>
      <c r="C19" s="8"/>
      <c r="D19" s="8"/>
      <c r="E19" s="8"/>
      <c r="F19" s="8"/>
      <c r="G19" s="8"/>
      <c r="H19" s="8"/>
      <c r="I19" s="8"/>
      <c r="N19" s="4"/>
    </row>
    <row r="20" spans="1:14" ht="30" customHeight="1" thickTop="1" x14ac:dyDescent="0.25">
      <c r="A20" s="9" t="s">
        <v>1</v>
      </c>
      <c r="B20" s="387" t="s">
        <v>2</v>
      </c>
      <c r="C20" s="388"/>
      <c r="D20" s="388"/>
      <c r="E20" s="388"/>
      <c r="F20" s="388"/>
      <c r="G20" s="388"/>
      <c r="H20" s="388"/>
      <c r="I20" s="389"/>
    </row>
    <row r="21" spans="1:14" ht="30" customHeight="1" x14ac:dyDescent="0.25">
      <c r="A21" s="10" t="s">
        <v>3</v>
      </c>
      <c r="B21" s="379" t="s">
        <v>4</v>
      </c>
      <c r="C21" s="380"/>
      <c r="D21" s="380"/>
      <c r="E21" s="380"/>
      <c r="F21" s="380"/>
      <c r="G21" s="380"/>
      <c r="H21" s="380"/>
      <c r="I21" s="381"/>
    </row>
    <row r="22" spans="1:14" ht="30" customHeight="1" x14ac:dyDescent="0.25">
      <c r="A22" s="10" t="s">
        <v>5</v>
      </c>
      <c r="B22" s="379" t="s">
        <v>6</v>
      </c>
      <c r="C22" s="380"/>
      <c r="D22" s="380"/>
      <c r="E22" s="380"/>
      <c r="F22" s="380"/>
      <c r="G22" s="380"/>
      <c r="H22" s="380"/>
      <c r="I22" s="381"/>
    </row>
    <row r="23" spans="1:14" ht="30" customHeight="1" x14ac:dyDescent="0.25">
      <c r="A23" s="10" t="s">
        <v>7</v>
      </c>
      <c r="B23" s="379" t="s">
        <v>8</v>
      </c>
      <c r="C23" s="380"/>
      <c r="D23" s="380"/>
      <c r="E23" s="380"/>
      <c r="F23" s="380"/>
      <c r="G23" s="380"/>
      <c r="H23" s="380"/>
      <c r="I23" s="381"/>
    </row>
    <row r="24" spans="1:14" ht="30" customHeight="1" x14ac:dyDescent="0.25">
      <c r="A24" s="10" t="s">
        <v>9</v>
      </c>
      <c r="B24" s="379" t="s">
        <v>10</v>
      </c>
      <c r="C24" s="380"/>
      <c r="D24" s="380"/>
      <c r="E24" s="380"/>
      <c r="F24" s="380"/>
      <c r="G24" s="380"/>
      <c r="H24" s="380"/>
      <c r="I24" s="381"/>
    </row>
    <row r="25" spans="1:14" ht="30" customHeight="1" x14ac:dyDescent="0.25">
      <c r="A25" s="10" t="s">
        <v>11</v>
      </c>
      <c r="B25" s="379" t="s">
        <v>12</v>
      </c>
      <c r="C25" s="380"/>
      <c r="D25" s="380"/>
      <c r="E25" s="380"/>
      <c r="F25" s="380"/>
      <c r="G25" s="380"/>
      <c r="H25" s="380"/>
      <c r="I25" s="381"/>
    </row>
    <row r="26" spans="1:14" ht="30" customHeight="1" x14ac:dyDescent="0.25">
      <c r="A26" s="10" t="s">
        <v>13</v>
      </c>
      <c r="B26" s="379" t="s">
        <v>14</v>
      </c>
      <c r="C26" s="380"/>
      <c r="D26" s="380"/>
      <c r="E26" s="380"/>
      <c r="F26" s="380"/>
      <c r="G26" s="380"/>
      <c r="H26" s="380"/>
      <c r="I26" s="381"/>
    </row>
    <row r="27" spans="1:14" ht="30" customHeight="1" x14ac:dyDescent="0.25">
      <c r="A27" s="10" t="s">
        <v>15</v>
      </c>
      <c r="B27" s="379" t="s">
        <v>16</v>
      </c>
      <c r="C27" s="380"/>
      <c r="D27" s="380"/>
      <c r="E27" s="380"/>
      <c r="F27" s="380"/>
      <c r="G27" s="380"/>
      <c r="H27" s="380"/>
      <c r="I27" s="381"/>
    </row>
    <row r="28" spans="1:14" ht="30" customHeight="1" x14ac:dyDescent="0.25">
      <c r="A28" s="11" t="s">
        <v>17</v>
      </c>
      <c r="B28" s="379" t="s">
        <v>196</v>
      </c>
      <c r="C28" s="380"/>
      <c r="D28" s="380"/>
      <c r="E28" s="380"/>
      <c r="F28" s="380"/>
      <c r="G28" s="380"/>
      <c r="H28" s="380"/>
      <c r="I28" s="381"/>
    </row>
    <row r="29" spans="1:14" ht="60" customHeight="1" x14ac:dyDescent="0.25">
      <c r="A29" s="10" t="s">
        <v>18</v>
      </c>
      <c r="B29" s="379" t="s">
        <v>19</v>
      </c>
      <c r="C29" s="380"/>
      <c r="D29" s="380"/>
      <c r="E29" s="380"/>
      <c r="F29" s="380"/>
      <c r="G29" s="380"/>
      <c r="H29" s="380"/>
      <c r="I29" s="381"/>
    </row>
    <row r="30" spans="1:14" ht="30" customHeight="1" x14ac:dyDescent="0.25">
      <c r="A30" s="10" t="s">
        <v>193</v>
      </c>
      <c r="B30" s="379" t="s">
        <v>20</v>
      </c>
      <c r="C30" s="380"/>
      <c r="D30" s="380"/>
      <c r="E30" s="380"/>
      <c r="F30" s="380"/>
      <c r="G30" s="380"/>
      <c r="H30" s="380"/>
      <c r="I30" s="381"/>
    </row>
    <row r="31" spans="1:14" ht="30" customHeight="1" x14ac:dyDescent="0.25">
      <c r="A31" s="10" t="s">
        <v>186</v>
      </c>
      <c r="B31" s="379" t="s">
        <v>21</v>
      </c>
      <c r="C31" s="380"/>
      <c r="D31" s="380"/>
      <c r="E31" s="380"/>
      <c r="F31" s="380"/>
      <c r="G31" s="380"/>
      <c r="H31" s="380"/>
      <c r="I31" s="381"/>
    </row>
    <row r="32" spans="1:14" ht="42.75" x14ac:dyDescent="0.25">
      <c r="A32" s="10" t="s">
        <v>194</v>
      </c>
      <c r="B32" s="379" t="s">
        <v>199</v>
      </c>
      <c r="C32" s="380"/>
      <c r="D32" s="380"/>
      <c r="E32" s="380"/>
      <c r="F32" s="380"/>
      <c r="G32" s="380"/>
      <c r="H32" s="380"/>
      <c r="I32" s="381"/>
    </row>
    <row r="33" spans="1:14" ht="30" customHeight="1" x14ac:dyDescent="0.25">
      <c r="A33" s="10" t="s">
        <v>22</v>
      </c>
      <c r="B33" s="379" t="s">
        <v>200</v>
      </c>
      <c r="C33" s="380"/>
      <c r="D33" s="380"/>
      <c r="E33" s="380"/>
      <c r="F33" s="380"/>
      <c r="G33" s="380"/>
      <c r="H33" s="380"/>
      <c r="I33" s="381"/>
    </row>
    <row r="34" spans="1:14" ht="30" customHeight="1" x14ac:dyDescent="0.25">
      <c r="A34" s="10" t="s">
        <v>187</v>
      </c>
      <c r="B34" s="379" t="s">
        <v>23</v>
      </c>
      <c r="C34" s="380"/>
      <c r="D34" s="380"/>
      <c r="E34" s="380"/>
      <c r="F34" s="380"/>
      <c r="G34" s="380"/>
      <c r="H34" s="380"/>
      <c r="I34" s="381"/>
    </row>
    <row r="35" spans="1:14" ht="30" customHeight="1" x14ac:dyDescent="0.25">
      <c r="A35" s="10" t="s">
        <v>195</v>
      </c>
      <c r="B35" s="379" t="s">
        <v>201</v>
      </c>
      <c r="C35" s="380"/>
      <c r="D35" s="380"/>
      <c r="E35" s="380"/>
      <c r="F35" s="380"/>
      <c r="G35" s="380"/>
      <c r="H35" s="380"/>
      <c r="I35" s="381"/>
    </row>
    <row r="36" spans="1:14" ht="30" customHeight="1" x14ac:dyDescent="0.25">
      <c r="A36" s="11" t="s">
        <v>24</v>
      </c>
      <c r="B36" s="379" t="s">
        <v>25</v>
      </c>
      <c r="C36" s="380"/>
      <c r="D36" s="380"/>
      <c r="E36" s="380"/>
      <c r="F36" s="380"/>
      <c r="G36" s="380"/>
      <c r="H36" s="380"/>
      <c r="I36" s="381"/>
    </row>
    <row r="37" spans="1:14" ht="30" customHeight="1" x14ac:dyDescent="0.25">
      <c r="A37" s="11" t="s">
        <v>26</v>
      </c>
      <c r="B37" s="379" t="s">
        <v>27</v>
      </c>
      <c r="C37" s="380"/>
      <c r="D37" s="380"/>
      <c r="E37" s="380"/>
      <c r="F37" s="380"/>
      <c r="G37" s="380"/>
      <c r="H37" s="380"/>
      <c r="I37" s="381"/>
    </row>
    <row r="38" spans="1:14" ht="30" customHeight="1" x14ac:dyDescent="0.25">
      <c r="A38" s="11" t="s">
        <v>28</v>
      </c>
      <c r="B38" s="379" t="s">
        <v>29</v>
      </c>
      <c r="C38" s="380"/>
      <c r="D38" s="380"/>
      <c r="E38" s="380"/>
      <c r="F38" s="380"/>
      <c r="G38" s="380"/>
      <c r="H38" s="380"/>
      <c r="I38" s="381"/>
    </row>
    <row r="39" spans="1:14" ht="30" customHeight="1" x14ac:dyDescent="0.25">
      <c r="A39" s="11" t="s">
        <v>30</v>
      </c>
      <c r="B39" s="379" t="s">
        <v>31</v>
      </c>
      <c r="C39" s="380"/>
      <c r="D39" s="380"/>
      <c r="E39" s="380"/>
      <c r="F39" s="380"/>
      <c r="G39" s="380"/>
      <c r="H39" s="380"/>
      <c r="I39" s="381"/>
    </row>
    <row r="40" spans="1:14" ht="30" customHeight="1" x14ac:dyDescent="0.25">
      <c r="A40" s="11" t="s">
        <v>32</v>
      </c>
      <c r="B40" s="379" t="s">
        <v>33</v>
      </c>
      <c r="C40" s="380"/>
      <c r="D40" s="380"/>
      <c r="E40" s="380"/>
      <c r="F40" s="380"/>
      <c r="G40" s="380"/>
      <c r="H40" s="380"/>
      <c r="I40" s="381"/>
    </row>
    <row r="41" spans="1:14" ht="30" customHeight="1" x14ac:dyDescent="0.25">
      <c r="A41" s="11" t="s">
        <v>34</v>
      </c>
      <c r="B41" s="382" t="s">
        <v>35</v>
      </c>
      <c r="C41" s="383"/>
      <c r="D41" s="383"/>
      <c r="E41" s="383"/>
      <c r="F41" s="383"/>
      <c r="G41" s="383"/>
      <c r="H41" s="383"/>
      <c r="I41" s="384"/>
    </row>
    <row r="42" spans="1:14" s="39" customFormat="1" ht="30" customHeight="1" x14ac:dyDescent="0.25">
      <c r="A42" s="41" t="s">
        <v>189</v>
      </c>
      <c r="B42" s="382" t="s">
        <v>191</v>
      </c>
      <c r="C42" s="383"/>
      <c r="D42" s="383"/>
      <c r="E42" s="383"/>
      <c r="F42" s="383"/>
      <c r="G42" s="383"/>
      <c r="H42" s="383"/>
      <c r="I42" s="384"/>
    </row>
    <row r="43" spans="1:14" s="39" customFormat="1" ht="30" customHeight="1" x14ac:dyDescent="0.25">
      <c r="A43" s="41" t="s">
        <v>190</v>
      </c>
      <c r="B43" s="382" t="s">
        <v>192</v>
      </c>
      <c r="C43" s="383"/>
      <c r="D43" s="383"/>
      <c r="E43" s="383"/>
      <c r="F43" s="383"/>
      <c r="G43" s="383"/>
      <c r="H43" s="383"/>
      <c r="I43" s="384"/>
    </row>
    <row r="44" spans="1:14" ht="30" customHeight="1" thickBot="1" x14ac:dyDescent="0.3">
      <c r="A44" s="12" t="s">
        <v>36</v>
      </c>
      <c r="B44" s="373" t="s">
        <v>37</v>
      </c>
      <c r="C44" s="374"/>
      <c r="D44" s="374"/>
      <c r="E44" s="374"/>
      <c r="F44" s="374"/>
      <c r="G44" s="374"/>
      <c r="H44" s="374"/>
      <c r="I44" s="375"/>
    </row>
    <row r="45" spans="1:14" ht="30" customHeight="1" thickTop="1" thickBot="1" x14ac:dyDescent="0.3">
      <c r="A45" s="13"/>
      <c r="B45" s="3"/>
      <c r="I45" s="3"/>
    </row>
    <row r="46" spans="1:14" ht="30" customHeight="1" thickTop="1" thickBot="1" x14ac:dyDescent="0.3">
      <c r="A46" s="376" t="s">
        <v>205</v>
      </c>
      <c r="B46" s="377"/>
      <c r="C46" s="377"/>
      <c r="D46" s="377"/>
      <c r="E46" s="377"/>
      <c r="F46" s="377"/>
      <c r="G46" s="377"/>
      <c r="H46" s="377"/>
      <c r="I46" s="378"/>
      <c r="N46" s="4"/>
    </row>
    <row r="47" spans="1:14" ht="30" customHeight="1" thickTop="1" thickBot="1" x14ac:dyDescent="0.3">
      <c r="A47" s="14"/>
      <c r="I47" s="3"/>
    </row>
    <row r="48" spans="1:14" ht="30" customHeight="1" thickTop="1" x14ac:dyDescent="0.25">
      <c r="A48" s="9" t="s">
        <v>38</v>
      </c>
      <c r="B48" s="16" t="s">
        <v>39</v>
      </c>
      <c r="C48" s="17" t="s">
        <v>40</v>
      </c>
      <c r="D48" s="17" t="s">
        <v>9</v>
      </c>
      <c r="E48" s="17" t="s">
        <v>11</v>
      </c>
      <c r="F48" s="372" t="s">
        <v>41</v>
      </c>
      <c r="G48" s="372"/>
      <c r="H48" s="17" t="s">
        <v>13</v>
      </c>
      <c r="I48" s="18" t="s">
        <v>42</v>
      </c>
    </row>
    <row r="49" spans="1:11" ht="30" customHeight="1" x14ac:dyDescent="0.25">
      <c r="A49" s="10" t="s">
        <v>43</v>
      </c>
      <c r="B49" s="19" t="s">
        <v>44</v>
      </c>
      <c r="C49" s="20" t="s">
        <v>45</v>
      </c>
      <c r="D49" s="20" t="s">
        <v>46</v>
      </c>
      <c r="E49" s="20" t="s">
        <v>46</v>
      </c>
      <c r="F49" s="371" t="s">
        <v>47</v>
      </c>
      <c r="G49" s="371"/>
      <c r="H49" s="20"/>
      <c r="I49" s="21"/>
    </row>
    <row r="50" spans="1:11" ht="30" customHeight="1" x14ac:dyDescent="0.25">
      <c r="A50" s="22">
        <v>73.099999999999994</v>
      </c>
      <c r="B50" s="23" t="s">
        <v>17</v>
      </c>
      <c r="C50" s="24">
        <v>6.2</v>
      </c>
      <c r="D50" s="24">
        <v>265</v>
      </c>
      <c r="E50" s="24">
        <v>76.2</v>
      </c>
      <c r="F50" s="24">
        <v>120</v>
      </c>
      <c r="G50" s="24">
        <v>135</v>
      </c>
      <c r="H50" s="24" t="s">
        <v>48</v>
      </c>
      <c r="I50" s="25" t="s">
        <v>26</v>
      </c>
      <c r="K50" s="3">
        <f t="shared" ref="K50:K113" si="0">(C50*D50*E50)/1000000</f>
        <v>0.12519660000000002</v>
      </c>
    </row>
    <row r="51" spans="1:11" ht="30" customHeight="1" x14ac:dyDescent="0.25">
      <c r="A51" s="22">
        <v>73.199999999999989</v>
      </c>
      <c r="B51" s="23" t="s">
        <v>17</v>
      </c>
      <c r="C51" s="24">
        <v>7.4</v>
      </c>
      <c r="D51" s="24">
        <v>285</v>
      </c>
      <c r="E51" s="24">
        <v>76.2</v>
      </c>
      <c r="F51" s="24">
        <v>135</v>
      </c>
      <c r="G51" s="24">
        <v>156</v>
      </c>
      <c r="H51" s="24" t="s">
        <v>48</v>
      </c>
      <c r="I51" s="25" t="s">
        <v>26</v>
      </c>
      <c r="K51" s="3">
        <f t="shared" si="0"/>
        <v>0.16070580000000001</v>
      </c>
    </row>
    <row r="52" spans="1:11" ht="30" customHeight="1" thickBot="1" x14ac:dyDescent="0.3">
      <c r="A52" s="26">
        <v>73.299999999999983</v>
      </c>
      <c r="B52" s="27" t="s">
        <v>17</v>
      </c>
      <c r="C52" s="28">
        <v>2.8</v>
      </c>
      <c r="D52" s="28">
        <v>310</v>
      </c>
      <c r="E52" s="28">
        <v>76.2</v>
      </c>
      <c r="F52" s="28">
        <v>156</v>
      </c>
      <c r="G52" s="28">
        <v>163</v>
      </c>
      <c r="H52" s="28" t="s">
        <v>48</v>
      </c>
      <c r="I52" s="29" t="s">
        <v>26</v>
      </c>
      <c r="K52" s="3">
        <f t="shared" si="0"/>
        <v>6.6141600000000009E-2</v>
      </c>
    </row>
    <row r="53" spans="1:11" ht="30" customHeight="1" thickTop="1" thickBot="1" x14ac:dyDescent="0.3"/>
    <row r="54" spans="1:11" ht="30" customHeight="1" thickTop="1" x14ac:dyDescent="0.25">
      <c r="A54" s="9" t="s">
        <v>49</v>
      </c>
      <c r="B54" s="16" t="s">
        <v>39</v>
      </c>
      <c r="C54" s="17" t="s">
        <v>40</v>
      </c>
      <c r="D54" s="17" t="s">
        <v>9</v>
      </c>
      <c r="E54" s="17" t="s">
        <v>11</v>
      </c>
      <c r="F54" s="372" t="s">
        <v>41</v>
      </c>
      <c r="G54" s="372"/>
      <c r="H54" s="17" t="s">
        <v>50</v>
      </c>
      <c r="I54" s="18" t="s">
        <v>42</v>
      </c>
    </row>
    <row r="55" spans="1:11" ht="30" customHeight="1" x14ac:dyDescent="0.25">
      <c r="A55" s="10" t="s">
        <v>43</v>
      </c>
      <c r="B55" s="19" t="s">
        <v>44</v>
      </c>
      <c r="C55" s="20" t="s">
        <v>45</v>
      </c>
      <c r="D55" s="20" t="s">
        <v>46</v>
      </c>
      <c r="E55" s="20" t="s">
        <v>46</v>
      </c>
      <c r="F55" s="371" t="s">
        <v>51</v>
      </c>
      <c r="G55" s="371"/>
      <c r="H55" s="20"/>
      <c r="I55" s="21"/>
    </row>
    <row r="56" spans="1:11" ht="30" customHeight="1" x14ac:dyDescent="0.25">
      <c r="A56" s="22">
        <v>72.099999999999994</v>
      </c>
      <c r="B56" s="23" t="s">
        <v>17</v>
      </c>
      <c r="C56" s="24">
        <v>4.3</v>
      </c>
      <c r="D56" s="24">
        <v>285</v>
      </c>
      <c r="E56" s="24">
        <v>76.2</v>
      </c>
      <c r="F56" s="24">
        <v>85</v>
      </c>
      <c r="G56" s="24">
        <v>95</v>
      </c>
      <c r="H56" s="24" t="s">
        <v>48</v>
      </c>
      <c r="I56" s="25" t="s">
        <v>52</v>
      </c>
      <c r="K56" s="3">
        <f t="shared" si="0"/>
        <v>9.3383100000000011E-2</v>
      </c>
    </row>
    <row r="57" spans="1:11" ht="30" customHeight="1" x14ac:dyDescent="0.25">
      <c r="A57" s="22">
        <v>72.199999999999989</v>
      </c>
      <c r="B57" s="23" t="s">
        <v>17</v>
      </c>
      <c r="C57" s="24">
        <v>7.3</v>
      </c>
      <c r="D57" s="24">
        <v>285</v>
      </c>
      <c r="E57" s="24">
        <v>76.2</v>
      </c>
      <c r="F57" s="24">
        <v>95</v>
      </c>
      <c r="G57" s="24">
        <v>112</v>
      </c>
      <c r="H57" s="24" t="s">
        <v>48</v>
      </c>
      <c r="I57" s="25" t="s">
        <v>52</v>
      </c>
      <c r="K57" s="3">
        <f t="shared" si="0"/>
        <v>0.15853410000000001</v>
      </c>
    </row>
    <row r="58" spans="1:11" ht="30" customHeight="1" x14ac:dyDescent="0.25">
      <c r="A58" s="22">
        <v>72.299999999999983</v>
      </c>
      <c r="B58" s="23" t="s">
        <v>17</v>
      </c>
      <c r="C58" s="24">
        <v>7.3</v>
      </c>
      <c r="D58" s="24">
        <v>265</v>
      </c>
      <c r="E58" s="24">
        <v>76.2</v>
      </c>
      <c r="F58" s="24">
        <v>112</v>
      </c>
      <c r="G58" s="24">
        <v>131</v>
      </c>
      <c r="H58" s="24" t="s">
        <v>48</v>
      </c>
      <c r="I58" s="25" t="s">
        <v>26</v>
      </c>
      <c r="K58" s="3">
        <f t="shared" si="0"/>
        <v>0.14740889999999998</v>
      </c>
    </row>
    <row r="59" spans="1:11" ht="30" customHeight="1" x14ac:dyDescent="0.25">
      <c r="A59" s="22">
        <v>72.399999999999977</v>
      </c>
      <c r="B59" s="23" t="s">
        <v>17</v>
      </c>
      <c r="C59" s="24">
        <v>7.4</v>
      </c>
      <c r="D59" s="24">
        <v>280</v>
      </c>
      <c r="E59" s="24">
        <v>76.2</v>
      </c>
      <c r="F59" s="24">
        <v>131</v>
      </c>
      <c r="G59" s="24">
        <v>151</v>
      </c>
      <c r="H59" s="24" t="s">
        <v>48</v>
      </c>
      <c r="I59" s="25" t="s">
        <v>26</v>
      </c>
      <c r="K59" s="3">
        <f t="shared" si="0"/>
        <v>0.15788639999999998</v>
      </c>
    </row>
    <row r="60" spans="1:11" ht="30" customHeight="1" thickBot="1" x14ac:dyDescent="0.3">
      <c r="A60" s="26">
        <v>72.499999999999972</v>
      </c>
      <c r="B60" s="27" t="s">
        <v>17</v>
      </c>
      <c r="C60" s="28">
        <v>4.3</v>
      </c>
      <c r="D60" s="28">
        <v>310</v>
      </c>
      <c r="E60" s="28">
        <v>76.2</v>
      </c>
      <c r="F60" s="28">
        <v>151</v>
      </c>
      <c r="G60" s="28">
        <v>163</v>
      </c>
      <c r="H60" s="28" t="s">
        <v>48</v>
      </c>
      <c r="I60" s="29" t="s">
        <v>53</v>
      </c>
      <c r="K60" s="3">
        <f t="shared" si="0"/>
        <v>0.1015746</v>
      </c>
    </row>
    <row r="61" spans="1:11" ht="30" customHeight="1" thickTop="1" thickBot="1" x14ac:dyDescent="0.3"/>
    <row r="62" spans="1:11" ht="30" customHeight="1" thickTop="1" x14ac:dyDescent="0.25">
      <c r="A62" s="9" t="s">
        <v>54</v>
      </c>
      <c r="B62" s="16" t="s">
        <v>39</v>
      </c>
      <c r="C62" s="17" t="s">
        <v>40</v>
      </c>
      <c r="D62" s="17" t="s">
        <v>9</v>
      </c>
      <c r="E62" s="17" t="s">
        <v>11</v>
      </c>
      <c r="F62" s="372" t="s">
        <v>41</v>
      </c>
      <c r="G62" s="372"/>
      <c r="H62" s="17" t="s">
        <v>50</v>
      </c>
      <c r="I62" s="18" t="s">
        <v>42</v>
      </c>
    </row>
    <row r="63" spans="1:11" ht="30" customHeight="1" x14ac:dyDescent="0.25">
      <c r="A63" s="10" t="s">
        <v>43</v>
      </c>
      <c r="B63" s="19" t="s">
        <v>44</v>
      </c>
      <c r="C63" s="20" t="s">
        <v>45</v>
      </c>
      <c r="D63" s="20" t="s">
        <v>46</v>
      </c>
      <c r="E63" s="20" t="s">
        <v>46</v>
      </c>
      <c r="F63" s="371" t="s">
        <v>51</v>
      </c>
      <c r="G63" s="371"/>
      <c r="H63" s="20"/>
      <c r="I63" s="21"/>
    </row>
    <row r="64" spans="1:11" ht="30" customHeight="1" x14ac:dyDescent="0.25">
      <c r="A64" s="22">
        <v>71.099999999999994</v>
      </c>
      <c r="B64" s="23" t="s">
        <v>17</v>
      </c>
      <c r="C64" s="24">
        <v>2</v>
      </c>
      <c r="D64" s="24">
        <v>285</v>
      </c>
      <c r="E64" s="24">
        <v>76.2</v>
      </c>
      <c r="F64" s="24">
        <v>85</v>
      </c>
      <c r="G64" s="24">
        <v>90</v>
      </c>
      <c r="H64" s="24" t="s">
        <v>48</v>
      </c>
      <c r="I64" s="25" t="s">
        <v>52</v>
      </c>
      <c r="K64" s="3">
        <f t="shared" si="0"/>
        <v>4.3434E-2</v>
      </c>
    </row>
    <row r="65" spans="1:11" ht="30" customHeight="1" x14ac:dyDescent="0.25">
      <c r="A65" s="22">
        <v>71.199999999999989</v>
      </c>
      <c r="B65" s="23" t="s">
        <v>17</v>
      </c>
      <c r="C65" s="24">
        <v>3</v>
      </c>
      <c r="D65" s="24">
        <v>285</v>
      </c>
      <c r="E65" s="24">
        <v>76.2</v>
      </c>
      <c r="F65" s="24">
        <v>94</v>
      </c>
      <c r="G65" s="24">
        <v>100</v>
      </c>
      <c r="H65" s="24" t="s">
        <v>48</v>
      </c>
      <c r="I65" s="25" t="s">
        <v>52</v>
      </c>
      <c r="K65" s="3">
        <f t="shared" si="0"/>
        <v>6.5151000000000001E-2</v>
      </c>
    </row>
    <row r="66" spans="1:11" ht="30" customHeight="1" x14ac:dyDescent="0.25">
      <c r="A66" s="22">
        <v>71.299999999999983</v>
      </c>
      <c r="B66" s="23" t="s">
        <v>17</v>
      </c>
      <c r="C66" s="24">
        <v>2.7</v>
      </c>
      <c r="D66" s="24">
        <v>280</v>
      </c>
      <c r="E66" s="24">
        <v>76.2</v>
      </c>
      <c r="F66" s="24">
        <v>103</v>
      </c>
      <c r="G66" s="24">
        <v>108</v>
      </c>
      <c r="H66" s="24" t="s">
        <v>48</v>
      </c>
      <c r="I66" s="25" t="s">
        <v>52</v>
      </c>
      <c r="K66" s="3">
        <f t="shared" si="0"/>
        <v>5.7607200000000004E-2</v>
      </c>
    </row>
    <row r="67" spans="1:11" ht="30" customHeight="1" x14ac:dyDescent="0.25">
      <c r="A67" s="22">
        <v>71.399999999999977</v>
      </c>
      <c r="B67" s="23" t="s">
        <v>17</v>
      </c>
      <c r="C67" s="24">
        <v>2.4</v>
      </c>
      <c r="D67" s="24">
        <v>275</v>
      </c>
      <c r="E67" s="24">
        <v>76.2</v>
      </c>
      <c r="F67" s="24">
        <v>111</v>
      </c>
      <c r="G67" s="24">
        <v>116</v>
      </c>
      <c r="H67" s="24" t="s">
        <v>48</v>
      </c>
      <c r="I67" s="25" t="s">
        <v>26</v>
      </c>
      <c r="K67" s="3">
        <f t="shared" si="0"/>
        <v>5.0292000000000003E-2</v>
      </c>
    </row>
    <row r="68" spans="1:11" ht="30" customHeight="1" x14ac:dyDescent="0.25">
      <c r="A68" s="22">
        <v>71.499999999999972</v>
      </c>
      <c r="B68" s="23" t="s">
        <v>17</v>
      </c>
      <c r="C68" s="24">
        <v>8.4</v>
      </c>
      <c r="D68" s="24">
        <v>355</v>
      </c>
      <c r="E68" s="24">
        <v>76.2</v>
      </c>
      <c r="F68" s="24">
        <v>119</v>
      </c>
      <c r="G68" s="24">
        <v>141</v>
      </c>
      <c r="H68" s="24" t="s">
        <v>48</v>
      </c>
      <c r="I68" s="25" t="s">
        <v>53</v>
      </c>
      <c r="K68" s="3">
        <f t="shared" si="0"/>
        <v>0.2272284</v>
      </c>
    </row>
    <row r="69" spans="1:11" ht="30" customHeight="1" thickBot="1" x14ac:dyDescent="0.3">
      <c r="A69" s="26">
        <v>71.599999999999966</v>
      </c>
      <c r="B69" s="27" t="s">
        <v>17</v>
      </c>
      <c r="C69" s="28">
        <v>7.9</v>
      </c>
      <c r="D69" s="28">
        <v>410</v>
      </c>
      <c r="E69" s="28">
        <v>76.2</v>
      </c>
      <c r="F69" s="28">
        <v>141</v>
      </c>
      <c r="G69" s="28">
        <v>163</v>
      </c>
      <c r="H69" s="28" t="s">
        <v>48</v>
      </c>
      <c r="I69" s="29" t="s">
        <v>55</v>
      </c>
      <c r="K69" s="3">
        <f t="shared" si="0"/>
        <v>0.24681180000000003</v>
      </c>
    </row>
    <row r="70" spans="1:11" ht="30" customHeight="1" thickTop="1" thickBot="1" x14ac:dyDescent="0.3"/>
    <row r="71" spans="1:11" ht="30" customHeight="1" thickTop="1" x14ac:dyDescent="0.25">
      <c r="A71" s="9" t="s">
        <v>56</v>
      </c>
      <c r="B71" s="16" t="s">
        <v>39</v>
      </c>
      <c r="C71" s="17" t="s">
        <v>40</v>
      </c>
      <c r="D71" s="17" t="s">
        <v>9</v>
      </c>
      <c r="E71" s="17" t="s">
        <v>11</v>
      </c>
      <c r="F71" s="372" t="s">
        <v>41</v>
      </c>
      <c r="G71" s="372"/>
      <c r="H71" s="17" t="s">
        <v>50</v>
      </c>
      <c r="I71" s="18" t="s">
        <v>42</v>
      </c>
    </row>
    <row r="72" spans="1:11" ht="30" customHeight="1" x14ac:dyDescent="0.25">
      <c r="A72" s="10" t="s">
        <v>43</v>
      </c>
      <c r="B72" s="19" t="s">
        <v>44</v>
      </c>
      <c r="C72" s="20" t="s">
        <v>45</v>
      </c>
      <c r="D72" s="20" t="s">
        <v>46</v>
      </c>
      <c r="E72" s="20" t="s">
        <v>46</v>
      </c>
      <c r="F72" s="371" t="s">
        <v>51</v>
      </c>
      <c r="G72" s="371"/>
      <c r="H72" s="20"/>
      <c r="I72" s="21"/>
    </row>
    <row r="73" spans="1:11" ht="30" customHeight="1" x14ac:dyDescent="0.25">
      <c r="A73" s="22">
        <v>70.099999999999994</v>
      </c>
      <c r="B73" s="23" t="s">
        <v>17</v>
      </c>
      <c r="C73" s="24">
        <v>6.6</v>
      </c>
      <c r="D73" s="24">
        <v>285</v>
      </c>
      <c r="E73" s="24">
        <v>76.2</v>
      </c>
      <c r="F73" s="24">
        <v>85</v>
      </c>
      <c r="G73" s="24">
        <v>100</v>
      </c>
      <c r="H73" s="24" t="s">
        <v>48</v>
      </c>
      <c r="I73" s="25" t="s">
        <v>52</v>
      </c>
      <c r="K73" s="3">
        <f t="shared" si="0"/>
        <v>0.14333220000000002</v>
      </c>
    </row>
    <row r="74" spans="1:11" ht="30" customHeight="1" x14ac:dyDescent="0.25">
      <c r="A74" s="22">
        <v>70.199999999999989</v>
      </c>
      <c r="B74" s="23" t="s">
        <v>17</v>
      </c>
      <c r="C74" s="24">
        <v>2.7</v>
      </c>
      <c r="D74" s="24">
        <v>280</v>
      </c>
      <c r="E74" s="24">
        <v>76.2</v>
      </c>
      <c r="F74" s="24">
        <v>103</v>
      </c>
      <c r="G74" s="24">
        <v>108</v>
      </c>
      <c r="H74" s="24" t="s">
        <v>48</v>
      </c>
      <c r="I74" s="25" t="s">
        <v>52</v>
      </c>
      <c r="K74" s="3">
        <f t="shared" si="0"/>
        <v>5.7607200000000004E-2</v>
      </c>
    </row>
    <row r="75" spans="1:11" ht="30" customHeight="1" x14ac:dyDescent="0.25">
      <c r="A75" s="22">
        <v>70.299999999999983</v>
      </c>
      <c r="B75" s="23" t="s">
        <v>17</v>
      </c>
      <c r="C75" s="24">
        <v>2.4</v>
      </c>
      <c r="D75" s="24">
        <v>275</v>
      </c>
      <c r="E75" s="24">
        <v>76.2</v>
      </c>
      <c r="F75" s="24">
        <v>111</v>
      </c>
      <c r="G75" s="24">
        <v>116</v>
      </c>
      <c r="H75" s="24" t="s">
        <v>48</v>
      </c>
      <c r="I75" s="25" t="s">
        <v>26</v>
      </c>
      <c r="K75" s="3">
        <f t="shared" si="0"/>
        <v>5.0292000000000003E-2</v>
      </c>
    </row>
    <row r="76" spans="1:11" ht="30" customHeight="1" x14ac:dyDescent="0.25">
      <c r="A76" s="22">
        <v>70.399999999999977</v>
      </c>
      <c r="B76" s="23" t="s">
        <v>17</v>
      </c>
      <c r="C76" s="24">
        <v>2.5</v>
      </c>
      <c r="D76" s="24">
        <v>265</v>
      </c>
      <c r="E76" s="24">
        <v>76.2</v>
      </c>
      <c r="F76" s="24">
        <v>119</v>
      </c>
      <c r="G76" s="24">
        <v>125</v>
      </c>
      <c r="H76" s="24" t="s">
        <v>48</v>
      </c>
      <c r="I76" s="25" t="s">
        <v>26</v>
      </c>
      <c r="K76" s="3">
        <f t="shared" si="0"/>
        <v>5.04825E-2</v>
      </c>
    </row>
    <row r="77" spans="1:11" ht="30" customHeight="1" x14ac:dyDescent="0.25">
      <c r="A77" s="22">
        <v>70.499999999999972</v>
      </c>
      <c r="B77" s="23" t="s">
        <v>17</v>
      </c>
      <c r="C77" s="24">
        <v>3.3</v>
      </c>
      <c r="D77" s="24">
        <v>270</v>
      </c>
      <c r="E77" s="24">
        <v>76.2</v>
      </c>
      <c r="F77" s="24">
        <v>128</v>
      </c>
      <c r="G77" s="24">
        <v>135</v>
      </c>
      <c r="H77" s="24" t="s">
        <v>48</v>
      </c>
      <c r="I77" s="25" t="s">
        <v>26</v>
      </c>
      <c r="K77" s="3">
        <f t="shared" si="0"/>
        <v>6.7894200000000002E-2</v>
      </c>
    </row>
    <row r="78" spans="1:11" ht="30" customHeight="1" x14ac:dyDescent="0.25">
      <c r="A78" s="22">
        <v>70.599999999999966</v>
      </c>
      <c r="B78" s="23" t="s">
        <v>17</v>
      </c>
      <c r="C78" s="24">
        <v>6</v>
      </c>
      <c r="D78" s="24">
        <v>360</v>
      </c>
      <c r="E78" s="24">
        <v>76.2</v>
      </c>
      <c r="F78" s="24">
        <v>138</v>
      </c>
      <c r="G78" s="24">
        <v>154</v>
      </c>
      <c r="H78" s="24" t="s">
        <v>48</v>
      </c>
      <c r="I78" s="25" t="s">
        <v>57</v>
      </c>
      <c r="K78" s="3">
        <f t="shared" si="0"/>
        <v>0.16459199999999999</v>
      </c>
    </row>
    <row r="79" spans="1:11" ht="30" customHeight="1" thickBot="1" x14ac:dyDescent="0.3">
      <c r="A79" s="26">
        <v>70.69999999999996</v>
      </c>
      <c r="B79" s="27" t="s">
        <v>17</v>
      </c>
      <c r="C79" s="28">
        <v>2.1</v>
      </c>
      <c r="D79" s="28">
        <v>310</v>
      </c>
      <c r="E79" s="28">
        <v>76.2</v>
      </c>
      <c r="F79" s="28">
        <v>157</v>
      </c>
      <c r="G79" s="28">
        <v>162</v>
      </c>
      <c r="H79" s="28" t="s">
        <v>48</v>
      </c>
      <c r="I79" s="29" t="s">
        <v>26</v>
      </c>
      <c r="K79" s="3">
        <f t="shared" si="0"/>
        <v>4.9606200000000003E-2</v>
      </c>
    </row>
    <row r="80" spans="1:11" ht="30" customHeight="1" thickTop="1" thickBot="1" x14ac:dyDescent="0.3"/>
    <row r="81" spans="1:11" ht="30" customHeight="1" thickTop="1" x14ac:dyDescent="0.25">
      <c r="A81" s="9" t="s">
        <v>58</v>
      </c>
      <c r="B81" s="16" t="s">
        <v>39</v>
      </c>
      <c r="C81" s="17" t="s">
        <v>40</v>
      </c>
      <c r="D81" s="17" t="s">
        <v>9</v>
      </c>
      <c r="E81" s="17" t="s">
        <v>11</v>
      </c>
      <c r="F81" s="372" t="s">
        <v>41</v>
      </c>
      <c r="G81" s="372"/>
      <c r="H81" s="17" t="s">
        <v>50</v>
      </c>
      <c r="I81" s="18" t="s">
        <v>42</v>
      </c>
    </row>
    <row r="82" spans="1:11" ht="30" customHeight="1" x14ac:dyDescent="0.25">
      <c r="A82" s="10" t="s">
        <v>43</v>
      </c>
      <c r="B82" s="19" t="s">
        <v>44</v>
      </c>
      <c r="C82" s="20" t="s">
        <v>45</v>
      </c>
      <c r="D82" s="20" t="s">
        <v>46</v>
      </c>
      <c r="E82" s="20" t="s">
        <v>46</v>
      </c>
      <c r="F82" s="371" t="s">
        <v>51</v>
      </c>
      <c r="G82" s="371"/>
      <c r="H82" s="20"/>
      <c r="I82" s="21"/>
    </row>
    <row r="83" spans="1:11" ht="30" customHeight="1" x14ac:dyDescent="0.25">
      <c r="A83" s="22">
        <v>69.099999999999994</v>
      </c>
      <c r="B83" s="23" t="s">
        <v>17</v>
      </c>
      <c r="C83" s="24">
        <v>3.5</v>
      </c>
      <c r="D83" s="24">
        <v>203.2</v>
      </c>
      <c r="E83" s="24">
        <v>76.2</v>
      </c>
      <c r="F83" s="24">
        <v>14</v>
      </c>
      <c r="G83" s="24">
        <v>23</v>
      </c>
      <c r="H83" s="24" t="s">
        <v>48</v>
      </c>
      <c r="I83" s="25" t="s">
        <v>59</v>
      </c>
      <c r="K83" s="3">
        <f t="shared" si="0"/>
        <v>5.4193439999999996E-2</v>
      </c>
    </row>
    <row r="84" spans="1:11" ht="30" customHeight="1" x14ac:dyDescent="0.25">
      <c r="A84" s="22">
        <v>69.199999999999989</v>
      </c>
      <c r="B84" s="23" t="s">
        <v>17</v>
      </c>
      <c r="C84" s="24">
        <v>5.0999999999999996</v>
      </c>
      <c r="D84" s="24">
        <v>203.2</v>
      </c>
      <c r="E84" s="24">
        <v>76.2</v>
      </c>
      <c r="F84" s="24">
        <v>23</v>
      </c>
      <c r="G84" s="24">
        <v>34</v>
      </c>
      <c r="H84" s="24" t="s">
        <v>48</v>
      </c>
      <c r="I84" s="25" t="s">
        <v>26</v>
      </c>
      <c r="K84" s="3">
        <f t="shared" si="0"/>
        <v>7.8967584000000007E-2</v>
      </c>
    </row>
    <row r="85" spans="1:11" ht="30" customHeight="1" x14ac:dyDescent="0.25">
      <c r="A85" s="22">
        <v>69.299999999999983</v>
      </c>
      <c r="B85" s="23" t="s">
        <v>17</v>
      </c>
      <c r="C85" s="24">
        <v>5.8</v>
      </c>
      <c r="D85" s="24">
        <v>203.2</v>
      </c>
      <c r="E85" s="24">
        <v>76.2</v>
      </c>
      <c r="F85" s="24">
        <v>34</v>
      </c>
      <c r="G85" s="24">
        <v>48</v>
      </c>
      <c r="H85" s="24" t="s">
        <v>48</v>
      </c>
      <c r="I85" s="25" t="s">
        <v>52</v>
      </c>
      <c r="K85" s="3">
        <f t="shared" si="0"/>
        <v>8.9806271999999993E-2</v>
      </c>
    </row>
    <row r="86" spans="1:11" ht="30" customHeight="1" x14ac:dyDescent="0.25">
      <c r="A86" s="22">
        <v>69.399999999999977</v>
      </c>
      <c r="B86" s="23" t="s">
        <v>17</v>
      </c>
      <c r="C86" s="24">
        <v>5.8</v>
      </c>
      <c r="D86" s="24">
        <v>285</v>
      </c>
      <c r="E86" s="24">
        <v>76.2</v>
      </c>
      <c r="F86" s="24">
        <v>85</v>
      </c>
      <c r="G86" s="24" t="s">
        <v>60</v>
      </c>
      <c r="H86" s="24" t="s">
        <v>48</v>
      </c>
      <c r="I86" s="25" t="s">
        <v>52</v>
      </c>
      <c r="K86" s="3">
        <f t="shared" si="0"/>
        <v>0.1259586</v>
      </c>
    </row>
    <row r="87" spans="1:11" ht="30" customHeight="1" x14ac:dyDescent="0.25">
      <c r="A87" s="22">
        <v>69.499999999999972</v>
      </c>
      <c r="B87" s="23" t="s">
        <v>17</v>
      </c>
      <c r="C87" s="24">
        <v>7.4</v>
      </c>
      <c r="D87" s="24">
        <v>280</v>
      </c>
      <c r="E87" s="24">
        <v>76.2</v>
      </c>
      <c r="F87" s="24" t="s">
        <v>60</v>
      </c>
      <c r="G87" s="24">
        <v>116</v>
      </c>
      <c r="H87" s="24" t="s">
        <v>48</v>
      </c>
      <c r="I87" s="25" t="s">
        <v>26</v>
      </c>
      <c r="K87" s="3">
        <f t="shared" si="0"/>
        <v>0.15788639999999998</v>
      </c>
    </row>
    <row r="88" spans="1:11" ht="30" customHeight="1" x14ac:dyDescent="0.25">
      <c r="A88" s="22">
        <v>69.599999999999966</v>
      </c>
      <c r="B88" s="23" t="s">
        <v>17</v>
      </c>
      <c r="C88" s="24">
        <v>2.5</v>
      </c>
      <c r="D88" s="24">
        <v>265</v>
      </c>
      <c r="E88" s="24">
        <v>76.2</v>
      </c>
      <c r="F88" s="24">
        <v>119</v>
      </c>
      <c r="G88" s="24">
        <v>125</v>
      </c>
      <c r="H88" s="24" t="s">
        <v>48</v>
      </c>
      <c r="I88" s="25" t="s">
        <v>26</v>
      </c>
      <c r="K88" s="3">
        <f t="shared" si="0"/>
        <v>5.04825E-2</v>
      </c>
    </row>
    <row r="89" spans="1:11" ht="30" customHeight="1" x14ac:dyDescent="0.25">
      <c r="A89" s="22">
        <v>69.69999999999996</v>
      </c>
      <c r="B89" s="23" t="s">
        <v>17</v>
      </c>
      <c r="C89" s="24">
        <v>3.3</v>
      </c>
      <c r="D89" s="24">
        <v>265</v>
      </c>
      <c r="E89" s="24">
        <v>76.2</v>
      </c>
      <c r="F89" s="24">
        <v>128</v>
      </c>
      <c r="G89" s="24">
        <v>135</v>
      </c>
      <c r="H89" s="24" t="s">
        <v>48</v>
      </c>
      <c r="I89" s="25" t="s">
        <v>26</v>
      </c>
      <c r="K89" s="3">
        <f t="shared" si="0"/>
        <v>6.6636900000000013E-2</v>
      </c>
    </row>
    <row r="90" spans="1:11" ht="30" customHeight="1" x14ac:dyDescent="0.25">
      <c r="A90" s="22">
        <v>69.799999999999955</v>
      </c>
      <c r="B90" s="23" t="s">
        <v>17</v>
      </c>
      <c r="C90" s="24">
        <v>3</v>
      </c>
      <c r="D90" s="24">
        <v>270</v>
      </c>
      <c r="E90" s="24">
        <v>76.2</v>
      </c>
      <c r="F90" s="24">
        <v>138</v>
      </c>
      <c r="G90" s="24">
        <v>145</v>
      </c>
      <c r="H90" s="24" t="s">
        <v>48</v>
      </c>
      <c r="I90" s="25" t="s">
        <v>26</v>
      </c>
      <c r="K90" s="3">
        <f t="shared" si="0"/>
        <v>6.1721999999999999E-2</v>
      </c>
    </row>
    <row r="91" spans="1:11" ht="30" customHeight="1" x14ac:dyDescent="0.25">
      <c r="A91" s="22">
        <v>69.899999999999949</v>
      </c>
      <c r="B91" s="23" t="s">
        <v>17</v>
      </c>
      <c r="C91" s="24">
        <v>2.2999999999999998</v>
      </c>
      <c r="D91" s="24">
        <v>290</v>
      </c>
      <c r="E91" s="24">
        <v>76.2</v>
      </c>
      <c r="F91" s="24">
        <v>148</v>
      </c>
      <c r="G91" s="24">
        <v>154</v>
      </c>
      <c r="H91" s="24" t="s">
        <v>48</v>
      </c>
      <c r="I91" s="25" t="s">
        <v>26</v>
      </c>
      <c r="K91" s="3">
        <f t="shared" si="0"/>
        <v>5.08254E-2</v>
      </c>
    </row>
    <row r="92" spans="1:11" ht="30" customHeight="1" thickBot="1" x14ac:dyDescent="0.3">
      <c r="A92" s="31">
        <v>69.099999999999994</v>
      </c>
      <c r="B92" s="27" t="s">
        <v>17</v>
      </c>
      <c r="C92" s="28">
        <v>2</v>
      </c>
      <c r="D92" s="28">
        <v>310</v>
      </c>
      <c r="E92" s="28">
        <v>76.2</v>
      </c>
      <c r="F92" s="28">
        <v>157</v>
      </c>
      <c r="G92" s="28">
        <v>162</v>
      </c>
      <c r="H92" s="28" t="s">
        <v>48</v>
      </c>
      <c r="I92" s="29" t="s">
        <v>26</v>
      </c>
      <c r="K92" s="3">
        <f t="shared" si="0"/>
        <v>4.7244000000000001E-2</v>
      </c>
    </row>
    <row r="93" spans="1:11" ht="30" customHeight="1" thickTop="1" thickBot="1" x14ac:dyDescent="0.3"/>
    <row r="94" spans="1:11" ht="30" customHeight="1" thickTop="1" x14ac:dyDescent="0.25">
      <c r="A94" s="9" t="s">
        <v>61</v>
      </c>
      <c r="B94" s="16" t="s">
        <v>39</v>
      </c>
      <c r="C94" s="17" t="s">
        <v>40</v>
      </c>
      <c r="D94" s="17" t="s">
        <v>9</v>
      </c>
      <c r="E94" s="17" t="s">
        <v>11</v>
      </c>
      <c r="F94" s="372" t="s">
        <v>41</v>
      </c>
      <c r="G94" s="372"/>
      <c r="H94" s="17" t="s">
        <v>50</v>
      </c>
      <c r="I94" s="18" t="s">
        <v>42</v>
      </c>
    </row>
    <row r="95" spans="1:11" ht="30" customHeight="1" x14ac:dyDescent="0.25">
      <c r="A95" s="10" t="s">
        <v>43</v>
      </c>
      <c r="B95" s="19" t="s">
        <v>44</v>
      </c>
      <c r="C95" s="20" t="s">
        <v>45</v>
      </c>
      <c r="D95" s="20" t="s">
        <v>46</v>
      </c>
      <c r="E95" s="20" t="s">
        <v>46</v>
      </c>
      <c r="F95" s="371" t="s">
        <v>51</v>
      </c>
      <c r="G95" s="371"/>
      <c r="H95" s="20"/>
      <c r="I95" s="21"/>
    </row>
    <row r="96" spans="1:11" ht="30" customHeight="1" x14ac:dyDescent="0.25">
      <c r="A96" s="22">
        <v>68.099999999999994</v>
      </c>
      <c r="B96" s="23" t="s">
        <v>17</v>
      </c>
      <c r="C96" s="24">
        <v>4</v>
      </c>
      <c r="D96" s="24">
        <v>203.2</v>
      </c>
      <c r="E96" s="24">
        <v>76.2</v>
      </c>
      <c r="F96" s="24">
        <v>14</v>
      </c>
      <c r="G96" s="24">
        <v>24</v>
      </c>
      <c r="H96" s="24" t="s">
        <v>48</v>
      </c>
      <c r="I96" s="25" t="s">
        <v>59</v>
      </c>
      <c r="K96" s="3">
        <f t="shared" si="0"/>
        <v>6.1935360000000002E-2</v>
      </c>
    </row>
    <row r="97" spans="1:11" ht="30" customHeight="1" x14ac:dyDescent="0.25">
      <c r="A97" s="22">
        <v>68.199999999999989</v>
      </c>
      <c r="B97" s="23" t="s">
        <v>17</v>
      </c>
      <c r="C97" s="24">
        <v>7.3</v>
      </c>
      <c r="D97" s="24">
        <v>203.2</v>
      </c>
      <c r="E97" s="24">
        <v>76.2</v>
      </c>
      <c r="F97" s="24">
        <v>24</v>
      </c>
      <c r="G97" s="24" t="s">
        <v>62</v>
      </c>
      <c r="H97" s="24" t="s">
        <v>48</v>
      </c>
      <c r="I97" s="25" t="s">
        <v>26</v>
      </c>
      <c r="K97" s="3">
        <f t="shared" si="0"/>
        <v>0.11303203199999999</v>
      </c>
    </row>
    <row r="98" spans="1:11" ht="30" customHeight="1" x14ac:dyDescent="0.25">
      <c r="A98" s="22">
        <v>68.3</v>
      </c>
      <c r="B98" s="23" t="s">
        <v>17</v>
      </c>
      <c r="C98" s="24">
        <v>3.5</v>
      </c>
      <c r="D98" s="24">
        <v>203.2</v>
      </c>
      <c r="E98" s="24">
        <v>76.2</v>
      </c>
      <c r="F98" s="24" t="s">
        <v>62</v>
      </c>
      <c r="G98" s="24">
        <v>49</v>
      </c>
      <c r="H98" s="24" t="s">
        <v>48</v>
      </c>
      <c r="I98" s="25" t="s">
        <v>52</v>
      </c>
      <c r="K98" s="3">
        <f t="shared" si="0"/>
        <v>5.4193439999999996E-2</v>
      </c>
    </row>
    <row r="99" spans="1:11" ht="30" customHeight="1" x14ac:dyDescent="0.25">
      <c r="A99" s="22">
        <v>68.399999999999977</v>
      </c>
      <c r="B99" s="23" t="s">
        <v>17</v>
      </c>
      <c r="C99" s="24">
        <v>2.2000000000000002</v>
      </c>
      <c r="D99" s="24">
        <v>285</v>
      </c>
      <c r="E99" s="24">
        <v>76.2</v>
      </c>
      <c r="F99" s="24">
        <v>85</v>
      </c>
      <c r="G99" s="24" t="s">
        <v>63</v>
      </c>
      <c r="H99" s="24" t="s">
        <v>48</v>
      </c>
      <c r="I99" s="25" t="s">
        <v>52</v>
      </c>
      <c r="K99" s="3">
        <f t="shared" si="0"/>
        <v>4.7777400000000005E-2</v>
      </c>
    </row>
    <row r="100" spans="1:11" ht="30" customHeight="1" x14ac:dyDescent="0.25">
      <c r="A100" s="22">
        <v>68.499999999999972</v>
      </c>
      <c r="B100" s="23" t="s">
        <v>17</v>
      </c>
      <c r="C100" s="24">
        <v>7.4</v>
      </c>
      <c r="D100" s="24">
        <v>285</v>
      </c>
      <c r="E100" s="24">
        <v>76.2</v>
      </c>
      <c r="F100" s="24" t="s">
        <v>63</v>
      </c>
      <c r="G100" s="24">
        <v>107</v>
      </c>
      <c r="H100" s="24" t="s">
        <v>48</v>
      </c>
      <c r="I100" s="25" t="s">
        <v>26</v>
      </c>
      <c r="K100" s="3">
        <f t="shared" si="0"/>
        <v>0.16070580000000001</v>
      </c>
    </row>
    <row r="101" spans="1:11" ht="30" customHeight="1" x14ac:dyDescent="0.25">
      <c r="A101" s="22">
        <v>68.599999999999966</v>
      </c>
      <c r="B101" s="23" t="s">
        <v>17</v>
      </c>
      <c r="C101" s="24">
        <v>6.8</v>
      </c>
      <c r="D101" s="24">
        <v>310</v>
      </c>
      <c r="E101" s="24">
        <v>76.2</v>
      </c>
      <c r="F101" s="24">
        <v>107</v>
      </c>
      <c r="G101" s="24">
        <v>125</v>
      </c>
      <c r="H101" s="24" t="s">
        <v>48</v>
      </c>
      <c r="I101" s="25" t="s">
        <v>64</v>
      </c>
      <c r="K101" s="3">
        <f t="shared" si="0"/>
        <v>0.16062960000000001</v>
      </c>
    </row>
    <row r="102" spans="1:11" ht="30" customHeight="1" x14ac:dyDescent="0.25">
      <c r="A102" s="22">
        <v>68.69999999999996</v>
      </c>
      <c r="B102" s="23" t="s">
        <v>17</v>
      </c>
      <c r="C102" s="24">
        <v>4.4000000000000004</v>
      </c>
      <c r="D102" s="24">
        <v>265</v>
      </c>
      <c r="E102" s="24">
        <v>76.2</v>
      </c>
      <c r="F102" s="24">
        <v>125</v>
      </c>
      <c r="G102" s="24">
        <v>135</v>
      </c>
      <c r="H102" s="24" t="s">
        <v>48</v>
      </c>
      <c r="I102" s="25" t="s">
        <v>26</v>
      </c>
      <c r="K102" s="3">
        <f t="shared" si="0"/>
        <v>8.8849200000000003E-2</v>
      </c>
    </row>
    <row r="103" spans="1:11" ht="30" customHeight="1" x14ac:dyDescent="0.25">
      <c r="A103" s="22">
        <v>68.799999999999955</v>
      </c>
      <c r="B103" s="23" t="s">
        <v>17</v>
      </c>
      <c r="C103" s="24">
        <v>3</v>
      </c>
      <c r="D103" s="24">
        <v>270</v>
      </c>
      <c r="E103" s="24">
        <v>76.2</v>
      </c>
      <c r="F103" s="24">
        <v>138</v>
      </c>
      <c r="G103" s="24">
        <v>145</v>
      </c>
      <c r="H103" s="24" t="s">
        <v>48</v>
      </c>
      <c r="I103" s="25" t="s">
        <v>26</v>
      </c>
      <c r="K103" s="3">
        <f t="shared" si="0"/>
        <v>6.1721999999999999E-2</v>
      </c>
    </row>
    <row r="104" spans="1:11" ht="30" customHeight="1" x14ac:dyDescent="0.25">
      <c r="A104" s="22">
        <v>68.899999999999949</v>
      </c>
      <c r="B104" s="23" t="s">
        <v>17</v>
      </c>
      <c r="C104" s="24">
        <v>2.2999999999999998</v>
      </c>
      <c r="D104" s="24">
        <v>290</v>
      </c>
      <c r="E104" s="24">
        <v>76.2</v>
      </c>
      <c r="F104" s="24">
        <v>148</v>
      </c>
      <c r="G104" s="24">
        <v>154</v>
      </c>
      <c r="H104" s="24" t="s">
        <v>48</v>
      </c>
      <c r="I104" s="25" t="s">
        <v>26</v>
      </c>
      <c r="K104" s="3">
        <f t="shared" si="0"/>
        <v>5.08254E-2</v>
      </c>
    </row>
    <row r="105" spans="1:11" ht="30" customHeight="1" thickBot="1" x14ac:dyDescent="0.3">
      <c r="A105" s="31">
        <v>68.099999999999994</v>
      </c>
      <c r="B105" s="27" t="s">
        <v>17</v>
      </c>
      <c r="C105" s="28">
        <v>1.8</v>
      </c>
      <c r="D105" s="28">
        <v>310</v>
      </c>
      <c r="E105" s="28">
        <v>76.2</v>
      </c>
      <c r="F105" s="28">
        <v>157</v>
      </c>
      <c r="G105" s="28">
        <v>162</v>
      </c>
      <c r="H105" s="28" t="s">
        <v>48</v>
      </c>
      <c r="I105" s="29" t="s">
        <v>26</v>
      </c>
      <c r="K105" s="3">
        <f t="shared" si="0"/>
        <v>4.2519599999999998E-2</v>
      </c>
    </row>
    <row r="106" spans="1:11" ht="30" customHeight="1" thickTop="1" thickBot="1" x14ac:dyDescent="0.3"/>
    <row r="107" spans="1:11" ht="30" customHeight="1" thickTop="1" x14ac:dyDescent="0.25">
      <c r="A107" s="9" t="s">
        <v>65</v>
      </c>
      <c r="B107" s="16" t="s">
        <v>66</v>
      </c>
      <c r="C107" s="17" t="s">
        <v>40</v>
      </c>
      <c r="D107" s="17" t="s">
        <v>9</v>
      </c>
      <c r="E107" s="17" t="s">
        <v>11</v>
      </c>
      <c r="F107" s="372" t="s">
        <v>41</v>
      </c>
      <c r="G107" s="372"/>
      <c r="H107" s="17" t="s">
        <v>50</v>
      </c>
      <c r="I107" s="18" t="s">
        <v>42</v>
      </c>
    </row>
    <row r="108" spans="1:11" ht="30" customHeight="1" x14ac:dyDescent="0.25">
      <c r="A108" s="10" t="s">
        <v>43</v>
      </c>
      <c r="B108" s="19" t="s">
        <v>44</v>
      </c>
      <c r="C108" s="20" t="s">
        <v>45</v>
      </c>
      <c r="D108" s="20" t="s">
        <v>46</v>
      </c>
      <c r="E108" s="20" t="s">
        <v>46</v>
      </c>
      <c r="F108" s="371" t="s">
        <v>51</v>
      </c>
      <c r="G108" s="371"/>
      <c r="H108" s="20"/>
      <c r="I108" s="21" t="s">
        <v>67</v>
      </c>
    </row>
    <row r="109" spans="1:11" ht="30" customHeight="1" x14ac:dyDescent="0.25">
      <c r="A109" s="22">
        <v>67.099999999999994</v>
      </c>
      <c r="B109" s="23" t="s">
        <v>18</v>
      </c>
      <c r="C109" s="24">
        <v>7.6</v>
      </c>
      <c r="D109" s="24">
        <v>355</v>
      </c>
      <c r="E109" s="24">
        <v>101.6</v>
      </c>
      <c r="F109" s="24">
        <v>14</v>
      </c>
      <c r="G109" s="24">
        <v>33</v>
      </c>
      <c r="H109" s="24" t="s">
        <v>48</v>
      </c>
      <c r="I109" s="25" t="s">
        <v>59</v>
      </c>
      <c r="K109" s="3">
        <f t="shared" si="0"/>
        <v>0.27411679999999999</v>
      </c>
    </row>
    <row r="110" spans="1:11" ht="30" customHeight="1" x14ac:dyDescent="0.25">
      <c r="A110" s="22">
        <v>67.199999999999989</v>
      </c>
      <c r="B110" s="23" t="s">
        <v>18</v>
      </c>
      <c r="C110" s="24">
        <v>9.1999999999999993</v>
      </c>
      <c r="D110" s="24">
        <v>355</v>
      </c>
      <c r="E110" s="24">
        <v>101.6</v>
      </c>
      <c r="F110" s="24">
        <v>33</v>
      </c>
      <c r="G110" s="24">
        <v>54</v>
      </c>
      <c r="H110" s="24" t="s">
        <v>48</v>
      </c>
      <c r="I110" s="25" t="s">
        <v>26</v>
      </c>
      <c r="K110" s="3">
        <f t="shared" si="0"/>
        <v>0.33182559999999994</v>
      </c>
    </row>
    <row r="111" spans="1:11" ht="30" customHeight="1" x14ac:dyDescent="0.25">
      <c r="A111" s="22">
        <v>67.299999999999983</v>
      </c>
      <c r="B111" s="23" t="s">
        <v>18</v>
      </c>
      <c r="C111" s="24">
        <v>8.6999999999999993</v>
      </c>
      <c r="D111" s="24">
        <v>355</v>
      </c>
      <c r="E111" s="24">
        <v>101.6</v>
      </c>
      <c r="F111" s="24">
        <v>52</v>
      </c>
      <c r="G111" s="24">
        <v>71</v>
      </c>
      <c r="H111" s="24" t="s">
        <v>48</v>
      </c>
      <c r="I111" s="25" t="s">
        <v>52</v>
      </c>
      <c r="K111" s="3">
        <f t="shared" si="0"/>
        <v>0.31379159999999989</v>
      </c>
    </row>
    <row r="112" spans="1:11" ht="30" customHeight="1" x14ac:dyDescent="0.25">
      <c r="A112" s="22">
        <v>67.399999999999977</v>
      </c>
      <c r="B112" s="23" t="s">
        <v>18</v>
      </c>
      <c r="C112" s="24">
        <v>11.1</v>
      </c>
      <c r="D112" s="24">
        <v>355</v>
      </c>
      <c r="E112" s="24">
        <v>101.6</v>
      </c>
      <c r="F112" s="24">
        <v>68</v>
      </c>
      <c r="G112" s="24">
        <v>94</v>
      </c>
      <c r="H112" s="24" t="s">
        <v>48</v>
      </c>
      <c r="I112" s="25" t="s">
        <v>52</v>
      </c>
      <c r="K112" s="3">
        <f t="shared" si="0"/>
        <v>0.40035480000000001</v>
      </c>
    </row>
    <row r="113" spans="1:11" ht="30" customHeight="1" x14ac:dyDescent="0.25">
      <c r="A113" s="22">
        <v>67.499999999999972</v>
      </c>
      <c r="B113" s="23" t="s">
        <v>18</v>
      </c>
      <c r="C113" s="24">
        <v>8.5</v>
      </c>
      <c r="D113" s="24">
        <v>355</v>
      </c>
      <c r="E113" s="24">
        <v>101.6</v>
      </c>
      <c r="F113" s="24">
        <v>94</v>
      </c>
      <c r="G113" s="24">
        <v>112</v>
      </c>
      <c r="H113" s="24" t="s">
        <v>48</v>
      </c>
      <c r="I113" s="25" t="s">
        <v>26</v>
      </c>
      <c r="K113" s="3">
        <f t="shared" si="0"/>
        <v>0.30657800000000002</v>
      </c>
    </row>
    <row r="114" spans="1:11" ht="30" customHeight="1" x14ac:dyDescent="0.25">
      <c r="A114" s="22">
        <v>67.599999999999966</v>
      </c>
      <c r="B114" s="23" t="s">
        <v>18</v>
      </c>
      <c r="C114" s="24">
        <v>7.4</v>
      </c>
      <c r="D114" s="24">
        <v>355</v>
      </c>
      <c r="E114" s="24">
        <v>101.6</v>
      </c>
      <c r="F114" s="24">
        <v>112</v>
      </c>
      <c r="G114" s="24">
        <v>131</v>
      </c>
      <c r="H114" s="24" t="s">
        <v>48</v>
      </c>
      <c r="I114" s="25" t="s">
        <v>26</v>
      </c>
      <c r="K114" s="3">
        <f t="shared" ref="K114:K177" si="1">(C114*D114*E114)/1000000</f>
        <v>0.26690320000000001</v>
      </c>
    </row>
    <row r="115" spans="1:11" ht="30" customHeight="1" x14ac:dyDescent="0.25">
      <c r="A115" s="22">
        <v>67.69999999999996</v>
      </c>
      <c r="B115" s="23" t="s">
        <v>18</v>
      </c>
      <c r="C115" s="24">
        <v>5.6</v>
      </c>
      <c r="D115" s="24">
        <v>355</v>
      </c>
      <c r="E115" s="24">
        <v>101.6</v>
      </c>
      <c r="F115" s="24">
        <v>131</v>
      </c>
      <c r="G115" s="24">
        <v>145</v>
      </c>
      <c r="H115" s="24" t="s">
        <v>48</v>
      </c>
      <c r="I115" s="25" t="s">
        <v>26</v>
      </c>
      <c r="K115" s="3">
        <f t="shared" si="1"/>
        <v>0.20198079999999996</v>
      </c>
    </row>
    <row r="116" spans="1:11" ht="30" customHeight="1" x14ac:dyDescent="0.25">
      <c r="A116" s="22">
        <v>67.799999999999955</v>
      </c>
      <c r="B116" s="23" t="s">
        <v>18</v>
      </c>
      <c r="C116" s="24">
        <v>2.2999999999999998</v>
      </c>
      <c r="D116" s="24">
        <v>355</v>
      </c>
      <c r="E116" s="24">
        <v>101.6</v>
      </c>
      <c r="F116" s="24">
        <v>148</v>
      </c>
      <c r="G116" s="24">
        <v>154</v>
      </c>
      <c r="H116" s="24" t="s">
        <v>48</v>
      </c>
      <c r="I116" s="25" t="s">
        <v>26</v>
      </c>
      <c r="K116" s="3">
        <f t="shared" si="1"/>
        <v>8.2956399999999986E-2</v>
      </c>
    </row>
    <row r="117" spans="1:11" ht="30" customHeight="1" thickBot="1" x14ac:dyDescent="0.3">
      <c r="A117" s="26">
        <v>67.899999999999949</v>
      </c>
      <c r="B117" s="27" t="s">
        <v>18</v>
      </c>
      <c r="C117" s="28">
        <v>1.7</v>
      </c>
      <c r="D117" s="28">
        <v>355</v>
      </c>
      <c r="E117" s="28">
        <v>101.6</v>
      </c>
      <c r="F117" s="28">
        <v>157</v>
      </c>
      <c r="G117" s="28">
        <v>161</v>
      </c>
      <c r="H117" s="28" t="s">
        <v>48</v>
      </c>
      <c r="I117" s="29" t="s">
        <v>26</v>
      </c>
      <c r="K117" s="3">
        <f t="shared" si="1"/>
        <v>6.1315599999999998E-2</v>
      </c>
    </row>
    <row r="118" spans="1:11" ht="30" customHeight="1" thickTop="1" thickBot="1" x14ac:dyDescent="0.3"/>
    <row r="119" spans="1:11" ht="30" customHeight="1" thickTop="1" x14ac:dyDescent="0.25">
      <c r="A119" s="9" t="s">
        <v>68</v>
      </c>
      <c r="B119" s="16" t="s">
        <v>66</v>
      </c>
      <c r="C119" s="17" t="s">
        <v>40</v>
      </c>
      <c r="D119" s="17" t="s">
        <v>9</v>
      </c>
      <c r="E119" s="17" t="s">
        <v>11</v>
      </c>
      <c r="F119" s="372" t="s">
        <v>41</v>
      </c>
      <c r="G119" s="372"/>
      <c r="H119" s="17" t="s">
        <v>50</v>
      </c>
      <c r="I119" s="18" t="s">
        <v>42</v>
      </c>
    </row>
    <row r="120" spans="1:11" ht="30" customHeight="1" x14ac:dyDescent="0.25">
      <c r="A120" s="10" t="s">
        <v>43</v>
      </c>
      <c r="B120" s="19" t="s">
        <v>44</v>
      </c>
      <c r="C120" s="20" t="s">
        <v>45</v>
      </c>
      <c r="D120" s="20" t="s">
        <v>46</v>
      </c>
      <c r="E120" s="20" t="s">
        <v>46</v>
      </c>
      <c r="F120" s="371" t="s">
        <v>51</v>
      </c>
      <c r="G120" s="371"/>
      <c r="H120" s="20"/>
      <c r="I120" s="21" t="s">
        <v>69</v>
      </c>
    </row>
    <row r="121" spans="1:11" ht="30" customHeight="1" x14ac:dyDescent="0.25">
      <c r="A121" s="22">
        <v>66.099999999999994</v>
      </c>
      <c r="B121" s="23" t="s">
        <v>18</v>
      </c>
      <c r="C121" s="24">
        <v>5.7</v>
      </c>
      <c r="D121" s="24">
        <v>355</v>
      </c>
      <c r="E121" s="24">
        <v>101.6</v>
      </c>
      <c r="F121" s="24">
        <v>14</v>
      </c>
      <c r="G121" s="24">
        <v>28</v>
      </c>
      <c r="H121" s="24" t="s">
        <v>48</v>
      </c>
      <c r="I121" s="25" t="s">
        <v>59</v>
      </c>
      <c r="K121" s="3">
        <f t="shared" si="1"/>
        <v>0.20558759999999998</v>
      </c>
    </row>
    <row r="122" spans="1:11" ht="30" customHeight="1" x14ac:dyDescent="0.25">
      <c r="A122" s="22">
        <v>66.199999999999989</v>
      </c>
      <c r="B122" s="23" t="s">
        <v>18</v>
      </c>
      <c r="C122" s="24">
        <v>7.4</v>
      </c>
      <c r="D122" s="24">
        <v>355</v>
      </c>
      <c r="E122" s="24">
        <v>101.6</v>
      </c>
      <c r="F122" s="24">
        <v>28</v>
      </c>
      <c r="G122" s="24">
        <v>45</v>
      </c>
      <c r="H122" s="24" t="s">
        <v>48</v>
      </c>
      <c r="I122" s="25" t="s">
        <v>26</v>
      </c>
      <c r="K122" s="3">
        <f t="shared" si="1"/>
        <v>0.26690320000000001</v>
      </c>
    </row>
    <row r="123" spans="1:11" ht="30" customHeight="1" x14ac:dyDescent="0.25">
      <c r="A123" s="22">
        <v>66.299999999999983</v>
      </c>
      <c r="B123" s="23" t="s">
        <v>18</v>
      </c>
      <c r="C123" s="24">
        <v>7.4</v>
      </c>
      <c r="D123" s="24">
        <v>400</v>
      </c>
      <c r="E123" s="24">
        <v>101.6</v>
      </c>
      <c r="F123" s="24">
        <v>45</v>
      </c>
      <c r="G123" s="24">
        <v>62</v>
      </c>
      <c r="H123" s="24" t="s">
        <v>48</v>
      </c>
      <c r="I123" s="25" t="s">
        <v>70</v>
      </c>
      <c r="K123" s="3">
        <f t="shared" si="1"/>
        <v>0.300736</v>
      </c>
    </row>
    <row r="124" spans="1:11" ht="30" customHeight="1" x14ac:dyDescent="0.25">
      <c r="A124" s="22">
        <v>66.399999999999977</v>
      </c>
      <c r="B124" s="23" t="s">
        <v>18</v>
      </c>
      <c r="C124" s="24">
        <v>8.1999999999999993</v>
      </c>
      <c r="D124" s="24">
        <v>370</v>
      </c>
      <c r="E124" s="24">
        <v>101.6</v>
      </c>
      <c r="F124" s="24">
        <v>59</v>
      </c>
      <c r="G124" s="24">
        <v>79</v>
      </c>
      <c r="H124" s="24" t="s">
        <v>48</v>
      </c>
      <c r="I124" s="25" t="s">
        <v>71</v>
      </c>
      <c r="K124" s="3">
        <f t="shared" si="1"/>
        <v>0.30825439999999998</v>
      </c>
    </row>
    <row r="125" spans="1:11" ht="30" customHeight="1" x14ac:dyDescent="0.25">
      <c r="A125" s="22">
        <v>66.499999999999972</v>
      </c>
      <c r="B125" s="23" t="s">
        <v>18</v>
      </c>
      <c r="C125" s="24">
        <v>11.1</v>
      </c>
      <c r="D125" s="24">
        <v>475</v>
      </c>
      <c r="E125" s="24">
        <v>101.6</v>
      </c>
      <c r="F125" s="24">
        <v>76</v>
      </c>
      <c r="G125" s="24">
        <v>102</v>
      </c>
      <c r="H125" s="24" t="s">
        <v>48</v>
      </c>
      <c r="I125" s="25" t="s">
        <v>72</v>
      </c>
      <c r="K125" s="3">
        <f t="shared" si="1"/>
        <v>0.535686</v>
      </c>
    </row>
    <row r="126" spans="1:11" ht="30" customHeight="1" x14ac:dyDescent="0.25">
      <c r="A126" s="22">
        <v>66.599999999999966</v>
      </c>
      <c r="B126" s="23" t="s">
        <v>18</v>
      </c>
      <c r="C126" s="24">
        <v>8</v>
      </c>
      <c r="D126" s="24">
        <v>355</v>
      </c>
      <c r="E126" s="24">
        <v>101.6</v>
      </c>
      <c r="F126" s="24">
        <v>102</v>
      </c>
      <c r="G126" s="24">
        <v>121</v>
      </c>
      <c r="H126" s="24" t="s">
        <v>48</v>
      </c>
      <c r="I126" s="25" t="s">
        <v>26</v>
      </c>
      <c r="K126" s="3">
        <f t="shared" si="1"/>
        <v>0.28854400000000002</v>
      </c>
    </row>
    <row r="127" spans="1:11" ht="30" customHeight="1" x14ac:dyDescent="0.25">
      <c r="A127" s="22">
        <v>66.69999999999996</v>
      </c>
      <c r="B127" s="23" t="s">
        <v>18</v>
      </c>
      <c r="C127" s="24">
        <v>7.4</v>
      </c>
      <c r="D127" s="24">
        <v>355</v>
      </c>
      <c r="E127" s="24">
        <v>101.6</v>
      </c>
      <c r="F127" s="24">
        <v>121</v>
      </c>
      <c r="G127" s="24">
        <v>141</v>
      </c>
      <c r="H127" s="24" t="s">
        <v>48</v>
      </c>
      <c r="I127" s="25" t="s">
        <v>26</v>
      </c>
      <c r="K127" s="3">
        <f t="shared" si="1"/>
        <v>0.26690320000000001</v>
      </c>
    </row>
    <row r="128" spans="1:11" ht="30" customHeight="1" x14ac:dyDescent="0.25">
      <c r="A128" s="22">
        <v>66.799999999999955</v>
      </c>
      <c r="B128" s="23" t="s">
        <v>18</v>
      </c>
      <c r="C128" s="24">
        <v>4.8</v>
      </c>
      <c r="D128" s="24">
        <v>441</v>
      </c>
      <c r="E128" s="24">
        <v>101.6</v>
      </c>
      <c r="F128" s="24">
        <v>141</v>
      </c>
      <c r="G128" s="24">
        <v>154</v>
      </c>
      <c r="H128" s="24" t="s">
        <v>48</v>
      </c>
      <c r="I128" s="25" t="s">
        <v>73</v>
      </c>
      <c r="K128" s="3">
        <f t="shared" si="1"/>
        <v>0.21506687999999996</v>
      </c>
    </row>
    <row r="129" spans="1:11" ht="30" customHeight="1" thickBot="1" x14ac:dyDescent="0.3">
      <c r="A129" s="26">
        <v>66.899999999999949</v>
      </c>
      <c r="B129" s="27" t="s">
        <v>18</v>
      </c>
      <c r="C129" s="28">
        <v>1.6</v>
      </c>
      <c r="D129" s="28">
        <v>355</v>
      </c>
      <c r="E129" s="28">
        <v>101.6</v>
      </c>
      <c r="F129" s="28">
        <v>157</v>
      </c>
      <c r="G129" s="28">
        <v>161</v>
      </c>
      <c r="H129" s="28" t="s">
        <v>48</v>
      </c>
      <c r="I129" s="29" t="s">
        <v>74</v>
      </c>
      <c r="K129" s="3">
        <f t="shared" si="1"/>
        <v>5.7708799999999998E-2</v>
      </c>
    </row>
    <row r="130" spans="1:11" ht="30" customHeight="1" thickTop="1" thickBot="1" x14ac:dyDescent="0.3"/>
    <row r="131" spans="1:11" ht="30" customHeight="1" thickTop="1" x14ac:dyDescent="0.25">
      <c r="A131" s="9" t="s">
        <v>75</v>
      </c>
      <c r="B131" s="16" t="s">
        <v>39</v>
      </c>
      <c r="C131" s="17" t="s">
        <v>40</v>
      </c>
      <c r="D131" s="17" t="s">
        <v>9</v>
      </c>
      <c r="E131" s="17" t="s">
        <v>11</v>
      </c>
      <c r="F131" s="372" t="s">
        <v>41</v>
      </c>
      <c r="G131" s="372"/>
      <c r="H131" s="17" t="s">
        <v>50</v>
      </c>
      <c r="I131" s="18" t="s">
        <v>42</v>
      </c>
    </row>
    <row r="132" spans="1:11" ht="30" customHeight="1" x14ac:dyDescent="0.25">
      <c r="A132" s="10" t="s">
        <v>43</v>
      </c>
      <c r="B132" s="19" t="s">
        <v>44</v>
      </c>
      <c r="C132" s="20" t="s">
        <v>45</v>
      </c>
      <c r="D132" s="20" t="s">
        <v>46</v>
      </c>
      <c r="E132" s="20" t="s">
        <v>46</v>
      </c>
      <c r="F132" s="371" t="s">
        <v>51</v>
      </c>
      <c r="G132" s="371"/>
      <c r="H132" s="20"/>
      <c r="I132" s="21"/>
    </row>
    <row r="133" spans="1:11" ht="30" customHeight="1" x14ac:dyDescent="0.25">
      <c r="A133" s="22">
        <v>65.099999999999994</v>
      </c>
      <c r="B133" s="23" t="s">
        <v>17</v>
      </c>
      <c r="C133" s="24">
        <v>2.1</v>
      </c>
      <c r="D133" s="24">
        <v>267</v>
      </c>
      <c r="E133" s="24">
        <v>76.2</v>
      </c>
      <c r="F133" s="24">
        <v>14</v>
      </c>
      <c r="G133" s="24">
        <v>19</v>
      </c>
      <c r="H133" s="24" t="s">
        <v>48</v>
      </c>
      <c r="I133" s="25" t="s">
        <v>59</v>
      </c>
      <c r="K133" s="3">
        <f t="shared" si="1"/>
        <v>4.2725340000000001E-2</v>
      </c>
    </row>
    <row r="134" spans="1:11" ht="30" customHeight="1" x14ac:dyDescent="0.25">
      <c r="A134" s="22">
        <v>65.199999999999989</v>
      </c>
      <c r="B134" s="23" t="s">
        <v>17</v>
      </c>
      <c r="C134" s="24">
        <v>7.4</v>
      </c>
      <c r="D134" s="24">
        <v>392</v>
      </c>
      <c r="E134" s="24">
        <v>76.2</v>
      </c>
      <c r="F134" s="24">
        <v>19</v>
      </c>
      <c r="G134" s="24">
        <v>36</v>
      </c>
      <c r="H134" s="24" t="s">
        <v>48</v>
      </c>
      <c r="I134" s="25" t="s">
        <v>76</v>
      </c>
      <c r="K134" s="3">
        <f t="shared" si="1"/>
        <v>0.22104096000000001</v>
      </c>
    </row>
    <row r="135" spans="1:11" ht="30" customHeight="1" x14ac:dyDescent="0.25">
      <c r="A135" s="22">
        <v>65.299999999999983</v>
      </c>
      <c r="B135" s="23" t="s">
        <v>17</v>
      </c>
      <c r="C135" s="24">
        <v>5</v>
      </c>
      <c r="D135" s="24">
        <v>267</v>
      </c>
      <c r="E135" s="24">
        <v>76.2</v>
      </c>
      <c r="F135" s="24">
        <v>36</v>
      </c>
      <c r="G135" s="24">
        <v>48</v>
      </c>
      <c r="H135" s="24"/>
      <c r="I135" s="25" t="s">
        <v>26</v>
      </c>
      <c r="K135" s="3">
        <f t="shared" si="1"/>
        <v>0.101727</v>
      </c>
    </row>
    <row r="136" spans="1:11" ht="30" customHeight="1" x14ac:dyDescent="0.25">
      <c r="A136" s="22">
        <v>65.399999999999977</v>
      </c>
      <c r="B136" s="23" t="s">
        <v>17</v>
      </c>
      <c r="C136" s="24">
        <v>2.6</v>
      </c>
      <c r="D136" s="24">
        <v>267</v>
      </c>
      <c r="E136" s="24">
        <v>76.2</v>
      </c>
      <c r="F136" s="24">
        <v>51</v>
      </c>
      <c r="G136" s="24">
        <v>57</v>
      </c>
      <c r="H136" s="24" t="s">
        <v>48</v>
      </c>
      <c r="I136" s="25" t="s">
        <v>52</v>
      </c>
      <c r="K136" s="3">
        <f t="shared" si="1"/>
        <v>5.2898040000000007E-2</v>
      </c>
    </row>
    <row r="137" spans="1:11" ht="30" customHeight="1" x14ac:dyDescent="0.25">
      <c r="A137" s="22">
        <v>65.499999999999972</v>
      </c>
      <c r="B137" s="23" t="s">
        <v>17</v>
      </c>
      <c r="C137" s="24">
        <v>2.6</v>
      </c>
      <c r="D137" s="24">
        <v>267</v>
      </c>
      <c r="E137" s="24">
        <v>76.2</v>
      </c>
      <c r="F137" s="24">
        <v>58</v>
      </c>
      <c r="G137" s="24">
        <v>64</v>
      </c>
      <c r="H137" s="24" t="s">
        <v>48</v>
      </c>
      <c r="I137" s="25" t="s">
        <v>52</v>
      </c>
      <c r="K137" s="3">
        <f t="shared" si="1"/>
        <v>5.2898040000000007E-2</v>
      </c>
    </row>
    <row r="138" spans="1:11" ht="30" customHeight="1" x14ac:dyDescent="0.25">
      <c r="A138" s="22">
        <v>65.599999999999966</v>
      </c>
      <c r="B138" s="23" t="s">
        <v>17</v>
      </c>
      <c r="C138" s="24">
        <v>2.6</v>
      </c>
      <c r="D138" s="24">
        <v>267</v>
      </c>
      <c r="E138" s="24">
        <v>76.2</v>
      </c>
      <c r="F138" s="24">
        <v>66</v>
      </c>
      <c r="G138" s="24">
        <v>72</v>
      </c>
      <c r="H138" s="24" t="s">
        <v>48</v>
      </c>
      <c r="I138" s="25" t="s">
        <v>52</v>
      </c>
      <c r="K138" s="3">
        <f t="shared" si="1"/>
        <v>5.2898040000000007E-2</v>
      </c>
    </row>
    <row r="139" spans="1:11" ht="30" customHeight="1" x14ac:dyDescent="0.25">
      <c r="A139" s="22">
        <v>65.69999999999996</v>
      </c>
      <c r="B139" s="23" t="s">
        <v>17</v>
      </c>
      <c r="C139" s="24">
        <v>2.6</v>
      </c>
      <c r="D139" s="24">
        <v>267</v>
      </c>
      <c r="E139" s="24">
        <v>76.2</v>
      </c>
      <c r="F139" s="24">
        <v>74</v>
      </c>
      <c r="G139" s="24">
        <v>80</v>
      </c>
      <c r="H139" s="24" t="s">
        <v>48</v>
      </c>
      <c r="I139" s="25" t="s">
        <v>52</v>
      </c>
      <c r="K139" s="3">
        <f t="shared" si="1"/>
        <v>5.2898040000000007E-2</v>
      </c>
    </row>
    <row r="140" spans="1:11" ht="30" customHeight="1" x14ac:dyDescent="0.25">
      <c r="A140" s="22">
        <v>65.799999999999955</v>
      </c>
      <c r="B140" s="23" t="s">
        <v>17</v>
      </c>
      <c r="C140" s="24">
        <v>2.9</v>
      </c>
      <c r="D140" s="24">
        <v>267</v>
      </c>
      <c r="E140" s="24">
        <v>76.2</v>
      </c>
      <c r="F140" s="24">
        <v>82</v>
      </c>
      <c r="G140" s="24">
        <v>89</v>
      </c>
      <c r="H140" s="24" t="s">
        <v>48</v>
      </c>
      <c r="I140" s="25" t="s">
        <v>52</v>
      </c>
      <c r="K140" s="3">
        <f t="shared" si="1"/>
        <v>5.9001659999999997E-2</v>
      </c>
    </row>
    <row r="141" spans="1:11" ht="30" customHeight="1" x14ac:dyDescent="0.25">
      <c r="A141" s="22">
        <v>65.899999999999949</v>
      </c>
      <c r="B141" s="23" t="s">
        <v>17</v>
      </c>
      <c r="C141" s="24">
        <v>2.6</v>
      </c>
      <c r="D141" s="24">
        <v>267</v>
      </c>
      <c r="E141" s="24">
        <v>76.2</v>
      </c>
      <c r="F141" s="24">
        <v>92</v>
      </c>
      <c r="G141" s="24">
        <v>97</v>
      </c>
      <c r="H141" s="24" t="s">
        <v>48</v>
      </c>
      <c r="I141" s="25" t="s">
        <v>52</v>
      </c>
      <c r="K141" s="3">
        <f t="shared" si="1"/>
        <v>5.2898040000000007E-2</v>
      </c>
    </row>
    <row r="142" spans="1:11" ht="30" customHeight="1" x14ac:dyDescent="0.25">
      <c r="A142" s="32">
        <v>65.099999999999994</v>
      </c>
      <c r="B142" s="23" t="s">
        <v>17</v>
      </c>
      <c r="C142" s="24">
        <v>7.1</v>
      </c>
      <c r="D142" s="24">
        <v>267</v>
      </c>
      <c r="E142" s="24">
        <v>76.2</v>
      </c>
      <c r="F142" s="24">
        <v>100</v>
      </c>
      <c r="G142" s="24">
        <v>116</v>
      </c>
      <c r="H142" s="24" t="s">
        <v>48</v>
      </c>
      <c r="I142" s="25" t="s">
        <v>26</v>
      </c>
      <c r="K142" s="3">
        <f t="shared" si="1"/>
        <v>0.14445233999999998</v>
      </c>
    </row>
    <row r="143" spans="1:11" ht="30" customHeight="1" x14ac:dyDescent="0.25">
      <c r="A143" s="32">
        <v>65.11</v>
      </c>
      <c r="B143" s="23" t="s">
        <v>17</v>
      </c>
      <c r="C143" s="24">
        <v>7.4</v>
      </c>
      <c r="D143" s="24">
        <v>267</v>
      </c>
      <c r="E143" s="24">
        <v>76.2</v>
      </c>
      <c r="F143" s="24">
        <v>116</v>
      </c>
      <c r="G143" s="24">
        <v>136</v>
      </c>
      <c r="H143" s="24" t="s">
        <v>48</v>
      </c>
      <c r="I143" s="25" t="s">
        <v>26</v>
      </c>
      <c r="K143" s="3">
        <f t="shared" si="1"/>
        <v>0.15055596000000002</v>
      </c>
    </row>
    <row r="144" spans="1:11" ht="30" customHeight="1" x14ac:dyDescent="0.25">
      <c r="A144" s="32">
        <v>65.12</v>
      </c>
      <c r="B144" s="23" t="s">
        <v>17</v>
      </c>
      <c r="C144" s="24">
        <v>6.8</v>
      </c>
      <c r="D144" s="24">
        <v>267</v>
      </c>
      <c r="E144" s="24">
        <v>76.2</v>
      </c>
      <c r="F144" s="24">
        <v>136</v>
      </c>
      <c r="G144" s="24">
        <v>154</v>
      </c>
      <c r="H144" s="24" t="s">
        <v>48</v>
      </c>
      <c r="I144" s="25" t="s">
        <v>26</v>
      </c>
      <c r="K144" s="3">
        <f t="shared" si="1"/>
        <v>0.13834872000000001</v>
      </c>
    </row>
    <row r="145" spans="1:11" ht="30" customHeight="1" thickBot="1" x14ac:dyDescent="0.3">
      <c r="A145" s="31">
        <v>65.13</v>
      </c>
      <c r="B145" s="27" t="s">
        <v>17</v>
      </c>
      <c r="C145" s="28">
        <v>1.4</v>
      </c>
      <c r="D145" s="28">
        <v>267</v>
      </c>
      <c r="E145" s="28">
        <v>76.2</v>
      </c>
      <c r="F145" s="28">
        <v>157</v>
      </c>
      <c r="G145" s="28">
        <v>161</v>
      </c>
      <c r="H145" s="28" t="s">
        <v>48</v>
      </c>
      <c r="I145" s="29" t="s">
        <v>74</v>
      </c>
      <c r="K145" s="3">
        <f t="shared" si="1"/>
        <v>2.8483559999999998E-2</v>
      </c>
    </row>
    <row r="146" spans="1:11" ht="30" customHeight="1" thickTop="1" thickBot="1" x14ac:dyDescent="0.3">
      <c r="A146" s="33"/>
    </row>
    <row r="147" spans="1:11" ht="27.95" customHeight="1" thickTop="1" x14ac:dyDescent="0.25">
      <c r="A147" s="9" t="s">
        <v>77</v>
      </c>
      <c r="B147" s="16" t="s">
        <v>39</v>
      </c>
      <c r="C147" s="17" t="s">
        <v>40</v>
      </c>
      <c r="D147" s="17" t="s">
        <v>9</v>
      </c>
      <c r="E147" s="17" t="s">
        <v>11</v>
      </c>
      <c r="F147" s="372" t="s">
        <v>41</v>
      </c>
      <c r="G147" s="372"/>
      <c r="H147" s="17" t="s">
        <v>50</v>
      </c>
      <c r="I147" s="18" t="s">
        <v>42</v>
      </c>
    </row>
    <row r="148" spans="1:11" ht="27.95" customHeight="1" x14ac:dyDescent="0.25">
      <c r="A148" s="10" t="s">
        <v>43</v>
      </c>
      <c r="B148" s="19" t="s">
        <v>44</v>
      </c>
      <c r="C148" s="20" t="s">
        <v>45</v>
      </c>
      <c r="D148" s="20" t="s">
        <v>46</v>
      </c>
      <c r="E148" s="20" t="s">
        <v>46</v>
      </c>
      <c r="F148" s="371" t="s">
        <v>51</v>
      </c>
      <c r="G148" s="371"/>
      <c r="H148" s="20"/>
      <c r="I148" s="21" t="s">
        <v>78</v>
      </c>
    </row>
    <row r="149" spans="1:11" ht="27.95" customHeight="1" x14ac:dyDescent="0.25">
      <c r="A149" s="22">
        <v>64.099999999999994</v>
      </c>
      <c r="B149" s="23" t="s">
        <v>17</v>
      </c>
      <c r="C149" s="24">
        <v>7.4</v>
      </c>
      <c r="D149" s="24">
        <v>267</v>
      </c>
      <c r="E149" s="24">
        <v>76.2</v>
      </c>
      <c r="F149" s="24">
        <v>14</v>
      </c>
      <c r="G149" s="24">
        <v>32</v>
      </c>
      <c r="H149" s="24" t="s">
        <v>48</v>
      </c>
      <c r="I149" s="25" t="s">
        <v>59</v>
      </c>
      <c r="K149" s="3">
        <f t="shared" si="1"/>
        <v>0.15055596000000002</v>
      </c>
    </row>
    <row r="150" spans="1:11" ht="27.95" customHeight="1" x14ac:dyDescent="0.25">
      <c r="A150" s="22">
        <v>64.199999999999989</v>
      </c>
      <c r="B150" s="23" t="s">
        <v>17</v>
      </c>
      <c r="C150" s="24">
        <v>2.6</v>
      </c>
      <c r="D150" s="24">
        <v>267</v>
      </c>
      <c r="E150" s="24">
        <v>76.2</v>
      </c>
      <c r="F150" s="24">
        <v>34</v>
      </c>
      <c r="G150" s="24">
        <v>36</v>
      </c>
      <c r="H150" s="24" t="s">
        <v>48</v>
      </c>
      <c r="I150" s="25" t="s">
        <v>26</v>
      </c>
      <c r="K150" s="3">
        <f t="shared" si="1"/>
        <v>5.2898040000000007E-2</v>
      </c>
    </row>
    <row r="151" spans="1:11" ht="27.95" customHeight="1" x14ac:dyDescent="0.25">
      <c r="A151" s="22">
        <v>64.299999999999983</v>
      </c>
      <c r="B151" s="23" t="s">
        <v>17</v>
      </c>
      <c r="C151" s="24">
        <v>2.6</v>
      </c>
      <c r="D151" s="24">
        <v>267</v>
      </c>
      <c r="E151" s="24">
        <v>76.2</v>
      </c>
      <c r="F151" s="24">
        <v>42</v>
      </c>
      <c r="G151" s="24">
        <v>48</v>
      </c>
      <c r="H151" s="24" t="s">
        <v>48</v>
      </c>
      <c r="I151" s="25" t="s">
        <v>52</v>
      </c>
      <c r="K151" s="3">
        <f t="shared" si="1"/>
        <v>5.2898040000000007E-2</v>
      </c>
    </row>
    <row r="152" spans="1:11" ht="27.95" customHeight="1" x14ac:dyDescent="0.25">
      <c r="A152" s="22">
        <v>64.399999999999977</v>
      </c>
      <c r="B152" s="23" t="s">
        <v>17</v>
      </c>
      <c r="C152" s="24">
        <v>2.6</v>
      </c>
      <c r="D152" s="24">
        <v>267</v>
      </c>
      <c r="E152" s="24">
        <v>76.2</v>
      </c>
      <c r="F152" s="24">
        <v>51</v>
      </c>
      <c r="G152" s="24">
        <v>57</v>
      </c>
      <c r="H152" s="24" t="s">
        <v>48</v>
      </c>
      <c r="I152" s="25" t="s">
        <v>52</v>
      </c>
      <c r="K152" s="3">
        <f t="shared" si="1"/>
        <v>5.2898040000000007E-2</v>
      </c>
    </row>
    <row r="153" spans="1:11" ht="27.95" customHeight="1" x14ac:dyDescent="0.25">
      <c r="A153" s="22">
        <v>64.499999999999972</v>
      </c>
      <c r="B153" s="23" t="s">
        <v>17</v>
      </c>
      <c r="C153" s="24">
        <v>2.6</v>
      </c>
      <c r="D153" s="24">
        <v>267</v>
      </c>
      <c r="E153" s="24">
        <v>76.2</v>
      </c>
      <c r="F153" s="24">
        <v>58</v>
      </c>
      <c r="G153" s="24">
        <v>64</v>
      </c>
      <c r="H153" s="24" t="s">
        <v>48</v>
      </c>
      <c r="I153" s="25" t="s">
        <v>52</v>
      </c>
      <c r="K153" s="3">
        <f t="shared" si="1"/>
        <v>5.2898040000000007E-2</v>
      </c>
    </row>
    <row r="154" spans="1:11" ht="27.95" customHeight="1" x14ac:dyDescent="0.25">
      <c r="A154" s="22">
        <v>64.599999999999966</v>
      </c>
      <c r="B154" s="23" t="s">
        <v>17</v>
      </c>
      <c r="C154" s="24">
        <v>2.6</v>
      </c>
      <c r="D154" s="24">
        <v>267</v>
      </c>
      <c r="E154" s="24">
        <v>76.2</v>
      </c>
      <c r="F154" s="24">
        <v>66</v>
      </c>
      <c r="G154" s="24">
        <v>72</v>
      </c>
      <c r="H154" s="24" t="s">
        <v>48</v>
      </c>
      <c r="I154" s="25" t="s">
        <v>52</v>
      </c>
      <c r="K154" s="3">
        <f t="shared" si="1"/>
        <v>5.2898040000000007E-2</v>
      </c>
    </row>
    <row r="155" spans="1:11" ht="27.95" customHeight="1" x14ac:dyDescent="0.25">
      <c r="A155" s="22">
        <v>64.69999999999996</v>
      </c>
      <c r="B155" s="23" t="s">
        <v>17</v>
      </c>
      <c r="C155" s="24">
        <v>2.6</v>
      </c>
      <c r="D155" s="24">
        <v>267</v>
      </c>
      <c r="E155" s="24">
        <v>76.2</v>
      </c>
      <c r="F155" s="24">
        <v>74</v>
      </c>
      <c r="G155" s="24">
        <v>80</v>
      </c>
      <c r="H155" s="24" t="s">
        <v>48</v>
      </c>
      <c r="I155" s="25" t="s">
        <v>52</v>
      </c>
      <c r="K155" s="3">
        <f t="shared" si="1"/>
        <v>5.2898040000000007E-2</v>
      </c>
    </row>
    <row r="156" spans="1:11" ht="27.95" customHeight="1" x14ac:dyDescent="0.25">
      <c r="A156" s="22">
        <v>64.799999999999955</v>
      </c>
      <c r="B156" s="23" t="s">
        <v>17</v>
      </c>
      <c r="C156" s="24">
        <v>2.9</v>
      </c>
      <c r="D156" s="24">
        <v>267</v>
      </c>
      <c r="E156" s="24">
        <v>76.2</v>
      </c>
      <c r="F156" s="24">
        <v>82</v>
      </c>
      <c r="G156" s="24">
        <v>89</v>
      </c>
      <c r="H156" s="24" t="s">
        <v>48</v>
      </c>
      <c r="I156" s="25" t="s">
        <v>52</v>
      </c>
      <c r="K156" s="3">
        <f t="shared" si="1"/>
        <v>5.9001659999999997E-2</v>
      </c>
    </row>
    <row r="157" spans="1:11" ht="27.95" customHeight="1" x14ac:dyDescent="0.25">
      <c r="A157" s="22">
        <v>64.899999999999949</v>
      </c>
      <c r="B157" s="23" t="s">
        <v>17</v>
      </c>
      <c r="C157" s="24">
        <v>2.6</v>
      </c>
      <c r="D157" s="24">
        <v>267</v>
      </c>
      <c r="E157" s="24">
        <v>76.2</v>
      </c>
      <c r="F157" s="24">
        <v>92</v>
      </c>
      <c r="G157" s="24">
        <v>97</v>
      </c>
      <c r="H157" s="24" t="s">
        <v>48</v>
      </c>
      <c r="I157" s="25" t="s">
        <v>52</v>
      </c>
      <c r="K157" s="3">
        <f t="shared" si="1"/>
        <v>5.2898040000000007E-2</v>
      </c>
    </row>
    <row r="158" spans="1:11" ht="27.95" customHeight="1" x14ac:dyDescent="0.25">
      <c r="A158" s="32">
        <v>64.099999999999994</v>
      </c>
      <c r="B158" s="23" t="s">
        <v>17</v>
      </c>
      <c r="C158" s="24">
        <v>2.5</v>
      </c>
      <c r="D158" s="24">
        <v>267</v>
      </c>
      <c r="E158" s="24">
        <v>76.2</v>
      </c>
      <c r="F158" s="24">
        <v>100</v>
      </c>
      <c r="G158" s="24">
        <v>105</v>
      </c>
      <c r="H158" s="24" t="s">
        <v>48</v>
      </c>
      <c r="I158" s="25" t="s">
        <v>52</v>
      </c>
      <c r="K158" s="3">
        <f t="shared" si="1"/>
        <v>5.0863499999999999E-2</v>
      </c>
    </row>
    <row r="159" spans="1:11" ht="27.95" customHeight="1" x14ac:dyDescent="0.25">
      <c r="A159" s="32">
        <v>64.11</v>
      </c>
      <c r="B159" s="23" t="s">
        <v>17</v>
      </c>
      <c r="C159" s="24">
        <v>2.6</v>
      </c>
      <c r="D159" s="24">
        <v>267</v>
      </c>
      <c r="E159" s="24">
        <v>76.2</v>
      </c>
      <c r="F159" s="24">
        <v>107</v>
      </c>
      <c r="G159" s="24">
        <v>113</v>
      </c>
      <c r="H159" s="24" t="s">
        <v>48</v>
      </c>
      <c r="I159" s="25" t="s">
        <v>26</v>
      </c>
      <c r="K159" s="3">
        <f t="shared" si="1"/>
        <v>5.2898040000000007E-2</v>
      </c>
    </row>
    <row r="160" spans="1:11" ht="27.95" customHeight="1" x14ac:dyDescent="0.25">
      <c r="A160" s="32">
        <v>64.12</v>
      </c>
      <c r="B160" s="23" t="s">
        <v>17</v>
      </c>
      <c r="C160" s="24">
        <v>4.3</v>
      </c>
      <c r="D160" s="24">
        <v>267</v>
      </c>
      <c r="E160" s="24">
        <v>76.2</v>
      </c>
      <c r="F160" s="24">
        <v>116</v>
      </c>
      <c r="G160" s="24">
        <v>127</v>
      </c>
      <c r="H160" s="24" t="s">
        <v>48</v>
      </c>
      <c r="I160" s="25" t="s">
        <v>26</v>
      </c>
      <c r="K160" s="3">
        <f t="shared" si="1"/>
        <v>8.7485220000000002E-2</v>
      </c>
    </row>
    <row r="161" spans="1:11" ht="27.95" customHeight="1" x14ac:dyDescent="0.25">
      <c r="A161" s="32">
        <v>64.13000000000001</v>
      </c>
      <c r="B161" s="23" t="s">
        <v>17</v>
      </c>
      <c r="C161" s="24">
        <v>7.4</v>
      </c>
      <c r="D161" s="24">
        <v>344</v>
      </c>
      <c r="E161" s="24">
        <v>76.2</v>
      </c>
      <c r="F161" s="24">
        <v>127</v>
      </c>
      <c r="G161" s="24">
        <v>146</v>
      </c>
      <c r="H161" s="24" t="s">
        <v>48</v>
      </c>
      <c r="I161" s="25" t="s">
        <v>79</v>
      </c>
      <c r="K161" s="3">
        <f t="shared" si="1"/>
        <v>0.19397471999999999</v>
      </c>
    </row>
    <row r="162" spans="1:11" ht="27.95" customHeight="1" thickBot="1" x14ac:dyDescent="0.3">
      <c r="A162" s="31">
        <v>64.140000000000015</v>
      </c>
      <c r="B162" s="27" t="s">
        <v>17</v>
      </c>
      <c r="C162" s="28">
        <v>4.9000000000000004</v>
      </c>
      <c r="D162" s="28">
        <v>417</v>
      </c>
      <c r="E162" s="28">
        <v>76.2</v>
      </c>
      <c r="F162" s="28">
        <v>146</v>
      </c>
      <c r="G162" s="28">
        <v>160</v>
      </c>
      <c r="H162" s="28" t="s">
        <v>48</v>
      </c>
      <c r="I162" s="29" t="s">
        <v>80</v>
      </c>
      <c r="K162" s="3">
        <f t="shared" si="1"/>
        <v>0.15569946000000001</v>
      </c>
    </row>
    <row r="163" spans="1:11" ht="30" customHeight="1" thickTop="1" thickBot="1" x14ac:dyDescent="0.3"/>
    <row r="164" spans="1:11" ht="27.95" customHeight="1" thickTop="1" x14ac:dyDescent="0.25">
      <c r="A164" s="9" t="s">
        <v>81</v>
      </c>
      <c r="B164" s="16" t="s">
        <v>39</v>
      </c>
      <c r="C164" s="17" t="s">
        <v>40</v>
      </c>
      <c r="D164" s="17" t="s">
        <v>9</v>
      </c>
      <c r="E164" s="17" t="s">
        <v>11</v>
      </c>
      <c r="F164" s="372" t="s">
        <v>41</v>
      </c>
      <c r="G164" s="372"/>
      <c r="H164" s="17" t="s">
        <v>50</v>
      </c>
      <c r="I164" s="18" t="s">
        <v>42</v>
      </c>
    </row>
    <row r="165" spans="1:11" ht="27.95" customHeight="1" x14ac:dyDescent="0.25">
      <c r="A165" s="10" t="s">
        <v>43</v>
      </c>
      <c r="B165" s="19" t="s">
        <v>44</v>
      </c>
      <c r="C165" s="20" t="s">
        <v>45</v>
      </c>
      <c r="D165" s="20" t="s">
        <v>46</v>
      </c>
      <c r="E165" s="20" t="s">
        <v>46</v>
      </c>
      <c r="F165" s="371" t="s">
        <v>51</v>
      </c>
      <c r="G165" s="371"/>
      <c r="H165" s="20"/>
      <c r="I165" s="21"/>
    </row>
    <row r="166" spans="1:11" ht="27.95" customHeight="1" x14ac:dyDescent="0.25">
      <c r="A166" s="22">
        <v>63.1</v>
      </c>
      <c r="B166" s="23" t="s">
        <v>17</v>
      </c>
      <c r="C166" s="24">
        <v>3.8</v>
      </c>
      <c r="D166" s="24">
        <v>267</v>
      </c>
      <c r="E166" s="24">
        <v>76.2</v>
      </c>
      <c r="F166" s="24">
        <v>14</v>
      </c>
      <c r="G166" s="24">
        <v>23</v>
      </c>
      <c r="H166" s="24" t="s">
        <v>48</v>
      </c>
      <c r="I166" s="25" t="s">
        <v>59</v>
      </c>
      <c r="K166" s="3">
        <f t="shared" si="1"/>
        <v>7.7312519999999996E-2</v>
      </c>
    </row>
    <row r="167" spans="1:11" ht="27.95" customHeight="1" x14ac:dyDescent="0.25">
      <c r="A167" s="22">
        <v>63.2</v>
      </c>
      <c r="B167" s="23" t="s">
        <v>17</v>
      </c>
      <c r="C167" s="24">
        <v>3</v>
      </c>
      <c r="D167" s="24">
        <v>267</v>
      </c>
      <c r="E167" s="24">
        <v>76.2</v>
      </c>
      <c r="F167" s="24">
        <v>23</v>
      </c>
      <c r="G167" s="24">
        <v>32</v>
      </c>
      <c r="H167" s="24" t="s">
        <v>48</v>
      </c>
      <c r="I167" s="25" t="s">
        <v>28</v>
      </c>
      <c r="K167" s="3">
        <f t="shared" si="1"/>
        <v>6.1036200000000006E-2</v>
      </c>
    </row>
    <row r="168" spans="1:11" ht="27.95" customHeight="1" x14ac:dyDescent="0.25">
      <c r="A168" s="22">
        <v>63.300000000000004</v>
      </c>
      <c r="B168" s="23" t="s">
        <v>17</v>
      </c>
      <c r="C168" s="24">
        <v>2.6</v>
      </c>
      <c r="D168" s="24">
        <v>267</v>
      </c>
      <c r="E168" s="24">
        <v>76.2</v>
      </c>
      <c r="F168" s="24">
        <v>34</v>
      </c>
      <c r="G168" s="24">
        <v>36</v>
      </c>
      <c r="H168" s="24" t="s">
        <v>48</v>
      </c>
      <c r="I168" s="25" t="s">
        <v>26</v>
      </c>
      <c r="K168" s="3">
        <f t="shared" si="1"/>
        <v>5.2898040000000007E-2</v>
      </c>
    </row>
    <row r="169" spans="1:11" ht="27.95" customHeight="1" x14ac:dyDescent="0.25">
      <c r="A169" s="22">
        <v>63.400000000000006</v>
      </c>
      <c r="B169" s="23" t="s">
        <v>17</v>
      </c>
      <c r="C169" s="24">
        <v>2.6</v>
      </c>
      <c r="D169" s="24">
        <v>267</v>
      </c>
      <c r="E169" s="24">
        <v>76.2</v>
      </c>
      <c r="F169" s="24">
        <v>42</v>
      </c>
      <c r="G169" s="24">
        <v>48</v>
      </c>
      <c r="H169" s="24" t="s">
        <v>48</v>
      </c>
      <c r="I169" s="25" t="s">
        <v>52</v>
      </c>
      <c r="K169" s="3">
        <f t="shared" si="1"/>
        <v>5.2898040000000007E-2</v>
      </c>
    </row>
    <row r="170" spans="1:11" ht="27.95" customHeight="1" x14ac:dyDescent="0.25">
      <c r="A170" s="22">
        <v>63.500000000000007</v>
      </c>
      <c r="B170" s="23" t="s">
        <v>17</v>
      </c>
      <c r="C170" s="24">
        <v>2.6</v>
      </c>
      <c r="D170" s="24">
        <v>267</v>
      </c>
      <c r="E170" s="24">
        <v>76.2</v>
      </c>
      <c r="F170" s="24">
        <v>51</v>
      </c>
      <c r="G170" s="24">
        <v>57</v>
      </c>
      <c r="H170" s="24" t="s">
        <v>48</v>
      </c>
      <c r="I170" s="25" t="s">
        <v>52</v>
      </c>
      <c r="K170" s="3">
        <f t="shared" si="1"/>
        <v>5.2898040000000007E-2</v>
      </c>
    </row>
    <row r="171" spans="1:11" ht="27.95" customHeight="1" x14ac:dyDescent="0.25">
      <c r="A171" s="22">
        <v>63.600000000000009</v>
      </c>
      <c r="B171" s="23" t="s">
        <v>17</v>
      </c>
      <c r="C171" s="24">
        <v>2.6</v>
      </c>
      <c r="D171" s="24">
        <v>267</v>
      </c>
      <c r="E171" s="24">
        <v>76.2</v>
      </c>
      <c r="F171" s="24">
        <v>58</v>
      </c>
      <c r="G171" s="24">
        <v>64</v>
      </c>
      <c r="H171" s="24" t="s">
        <v>48</v>
      </c>
      <c r="I171" s="25" t="s">
        <v>52</v>
      </c>
      <c r="K171" s="3">
        <f t="shared" si="1"/>
        <v>5.2898040000000007E-2</v>
      </c>
    </row>
    <row r="172" spans="1:11" ht="27.95" customHeight="1" x14ac:dyDescent="0.25">
      <c r="A172" s="22">
        <v>63.70000000000001</v>
      </c>
      <c r="B172" s="23" t="s">
        <v>17</v>
      </c>
      <c r="C172" s="24">
        <v>2.6</v>
      </c>
      <c r="D172" s="24">
        <v>267</v>
      </c>
      <c r="E172" s="24">
        <v>76.2</v>
      </c>
      <c r="F172" s="24">
        <v>66</v>
      </c>
      <c r="G172" s="24">
        <v>72</v>
      </c>
      <c r="H172" s="24" t="s">
        <v>48</v>
      </c>
      <c r="I172" s="25" t="s">
        <v>52</v>
      </c>
      <c r="K172" s="3">
        <f t="shared" si="1"/>
        <v>5.2898040000000007E-2</v>
      </c>
    </row>
    <row r="173" spans="1:11" ht="27.95" customHeight="1" x14ac:dyDescent="0.25">
      <c r="A173" s="22">
        <v>63.800000000000011</v>
      </c>
      <c r="B173" s="23" t="s">
        <v>17</v>
      </c>
      <c r="C173" s="24">
        <v>2.6</v>
      </c>
      <c r="D173" s="24">
        <v>267</v>
      </c>
      <c r="E173" s="24">
        <v>76.2</v>
      </c>
      <c r="F173" s="24">
        <v>74</v>
      </c>
      <c r="G173" s="24">
        <v>80</v>
      </c>
      <c r="H173" s="24" t="s">
        <v>48</v>
      </c>
      <c r="I173" s="25" t="s">
        <v>52</v>
      </c>
      <c r="K173" s="3">
        <f t="shared" si="1"/>
        <v>5.2898040000000007E-2</v>
      </c>
    </row>
    <row r="174" spans="1:11" ht="27.95" customHeight="1" x14ac:dyDescent="0.25">
      <c r="A174" s="22">
        <v>63.900000000000013</v>
      </c>
      <c r="B174" s="23" t="s">
        <v>17</v>
      </c>
      <c r="C174" s="24">
        <v>2.9</v>
      </c>
      <c r="D174" s="24">
        <v>267</v>
      </c>
      <c r="E174" s="24">
        <v>76.2</v>
      </c>
      <c r="F174" s="24">
        <v>82</v>
      </c>
      <c r="G174" s="24">
        <v>89</v>
      </c>
      <c r="H174" s="24" t="s">
        <v>48</v>
      </c>
      <c r="I174" s="25" t="s">
        <v>52</v>
      </c>
      <c r="K174" s="3">
        <f t="shared" si="1"/>
        <v>5.9001659999999997E-2</v>
      </c>
    </row>
    <row r="175" spans="1:11" ht="27.95" customHeight="1" x14ac:dyDescent="0.25">
      <c r="A175" s="32">
        <v>63.1</v>
      </c>
      <c r="B175" s="23" t="s">
        <v>17</v>
      </c>
      <c r="C175" s="24">
        <v>2.6</v>
      </c>
      <c r="D175" s="24">
        <v>267</v>
      </c>
      <c r="E175" s="24">
        <v>76.2</v>
      </c>
      <c r="F175" s="24">
        <v>92</v>
      </c>
      <c r="G175" s="24">
        <v>97</v>
      </c>
      <c r="H175" s="24" t="s">
        <v>48</v>
      </c>
      <c r="I175" s="25" t="s">
        <v>52</v>
      </c>
      <c r="K175" s="3">
        <f t="shared" si="1"/>
        <v>5.2898040000000007E-2</v>
      </c>
    </row>
    <row r="176" spans="1:11" ht="27.95" customHeight="1" x14ac:dyDescent="0.25">
      <c r="A176" s="32">
        <v>63.11</v>
      </c>
      <c r="B176" s="23" t="s">
        <v>17</v>
      </c>
      <c r="C176" s="24">
        <v>2.5</v>
      </c>
      <c r="D176" s="24">
        <v>267</v>
      </c>
      <c r="E176" s="24">
        <v>76.2</v>
      </c>
      <c r="F176" s="24">
        <v>100</v>
      </c>
      <c r="G176" s="24">
        <v>105</v>
      </c>
      <c r="H176" s="24" t="s">
        <v>48</v>
      </c>
      <c r="I176" s="25" t="s">
        <v>52</v>
      </c>
      <c r="K176" s="3">
        <f t="shared" si="1"/>
        <v>5.0863499999999999E-2</v>
      </c>
    </row>
    <row r="177" spans="1:11" ht="27.95" customHeight="1" x14ac:dyDescent="0.25">
      <c r="A177" s="32">
        <v>63.12</v>
      </c>
      <c r="B177" s="23" t="s">
        <v>17</v>
      </c>
      <c r="C177" s="24">
        <v>2.6</v>
      </c>
      <c r="D177" s="24">
        <v>267</v>
      </c>
      <c r="E177" s="24">
        <v>76.2</v>
      </c>
      <c r="F177" s="24">
        <v>107</v>
      </c>
      <c r="G177" s="24">
        <v>113</v>
      </c>
      <c r="H177" s="24" t="s">
        <v>48</v>
      </c>
      <c r="I177" s="25" t="s">
        <v>26</v>
      </c>
      <c r="K177" s="3">
        <f t="shared" si="1"/>
        <v>5.2898040000000007E-2</v>
      </c>
    </row>
    <row r="178" spans="1:11" ht="27.95" customHeight="1" x14ac:dyDescent="0.25">
      <c r="A178" s="32">
        <v>63.129999999999995</v>
      </c>
      <c r="B178" s="23" t="s">
        <v>17</v>
      </c>
      <c r="C178" s="24">
        <v>2.7</v>
      </c>
      <c r="D178" s="24">
        <v>267</v>
      </c>
      <c r="E178" s="24">
        <v>76.2</v>
      </c>
      <c r="F178" s="24">
        <v>116</v>
      </c>
      <c r="G178" s="24">
        <v>122</v>
      </c>
      <c r="H178" s="24" t="s">
        <v>48</v>
      </c>
      <c r="I178" s="25" t="s">
        <v>26</v>
      </c>
      <c r="K178" s="3">
        <f t="shared" ref="K178:K237" si="2">(C178*D178*E178)/1000000</f>
        <v>5.4932580000000009E-2</v>
      </c>
    </row>
    <row r="179" spans="1:11" ht="27.95" customHeight="1" x14ac:dyDescent="0.25">
      <c r="A179" s="32">
        <v>63.139999999999993</v>
      </c>
      <c r="B179" s="23" t="s">
        <v>17</v>
      </c>
      <c r="C179" s="24">
        <v>2.2999999999999998</v>
      </c>
      <c r="D179" s="24">
        <v>267</v>
      </c>
      <c r="E179" s="24">
        <v>76.2</v>
      </c>
      <c r="F179" s="24">
        <v>126</v>
      </c>
      <c r="G179" s="24">
        <v>131</v>
      </c>
      <c r="H179" s="24" t="s">
        <v>48</v>
      </c>
      <c r="I179" s="25" t="s">
        <v>26</v>
      </c>
      <c r="K179" s="3">
        <f t="shared" si="2"/>
        <v>4.6794419999999996E-2</v>
      </c>
    </row>
    <row r="180" spans="1:11" ht="27.95" customHeight="1" thickBot="1" x14ac:dyDescent="0.3">
      <c r="A180" s="31">
        <v>63.15</v>
      </c>
      <c r="B180" s="27" t="s">
        <v>17</v>
      </c>
      <c r="C180" s="28">
        <v>9.6999999999999993</v>
      </c>
      <c r="D180" s="28">
        <v>267</v>
      </c>
      <c r="E180" s="28">
        <v>76.2</v>
      </c>
      <c r="F180" s="28">
        <v>134</v>
      </c>
      <c r="G180" s="28">
        <v>160</v>
      </c>
      <c r="H180" s="28" t="s">
        <v>48</v>
      </c>
      <c r="I180" s="29" t="s">
        <v>74</v>
      </c>
      <c r="K180" s="3">
        <f t="shared" si="2"/>
        <v>0.19735037999999996</v>
      </c>
    </row>
    <row r="181" spans="1:11" ht="20.25" customHeight="1" thickTop="1" thickBot="1" x14ac:dyDescent="0.3"/>
    <row r="182" spans="1:11" ht="30" customHeight="1" thickTop="1" x14ac:dyDescent="0.25">
      <c r="A182" s="9" t="s">
        <v>82</v>
      </c>
      <c r="B182" s="16" t="s">
        <v>39</v>
      </c>
      <c r="C182" s="17" t="s">
        <v>40</v>
      </c>
      <c r="D182" s="17" t="s">
        <v>9</v>
      </c>
      <c r="E182" s="17" t="s">
        <v>11</v>
      </c>
      <c r="F182" s="372" t="s">
        <v>41</v>
      </c>
      <c r="G182" s="372"/>
      <c r="H182" s="17" t="s">
        <v>50</v>
      </c>
      <c r="I182" s="18" t="s">
        <v>42</v>
      </c>
    </row>
    <row r="183" spans="1:11" ht="30" customHeight="1" x14ac:dyDescent="0.25">
      <c r="A183" s="10" t="s">
        <v>43</v>
      </c>
      <c r="B183" s="19" t="s">
        <v>44</v>
      </c>
      <c r="C183" s="20" t="s">
        <v>45</v>
      </c>
      <c r="D183" s="20" t="s">
        <v>46</v>
      </c>
      <c r="E183" s="20" t="s">
        <v>46</v>
      </c>
      <c r="F183" s="371" t="s">
        <v>51</v>
      </c>
      <c r="G183" s="371"/>
      <c r="H183" s="20"/>
      <c r="I183" s="21"/>
    </row>
    <row r="184" spans="1:11" ht="30" customHeight="1" x14ac:dyDescent="0.25">
      <c r="A184" s="22">
        <v>62.1</v>
      </c>
      <c r="B184" s="23" t="s">
        <v>17</v>
      </c>
      <c r="C184" s="24">
        <v>3.8</v>
      </c>
      <c r="D184" s="24">
        <v>267</v>
      </c>
      <c r="E184" s="24">
        <v>76.2</v>
      </c>
      <c r="F184" s="24">
        <v>14</v>
      </c>
      <c r="G184" s="24">
        <v>23</v>
      </c>
      <c r="H184" s="24" t="s">
        <v>48</v>
      </c>
      <c r="I184" s="25" t="s">
        <v>59</v>
      </c>
      <c r="K184" s="3">
        <f t="shared" si="2"/>
        <v>7.7312519999999996E-2</v>
      </c>
    </row>
    <row r="185" spans="1:11" ht="30" customHeight="1" x14ac:dyDescent="0.25">
      <c r="A185" s="22">
        <v>62.2</v>
      </c>
      <c r="B185" s="23" t="s">
        <v>17</v>
      </c>
      <c r="C185" s="24">
        <v>3</v>
      </c>
      <c r="D185" s="24">
        <v>267</v>
      </c>
      <c r="E185" s="24">
        <v>76.2</v>
      </c>
      <c r="F185" s="24">
        <v>23</v>
      </c>
      <c r="G185" s="24">
        <v>32</v>
      </c>
      <c r="H185" s="24" t="s">
        <v>48</v>
      </c>
      <c r="I185" s="25" t="s">
        <v>28</v>
      </c>
      <c r="K185" s="3">
        <f t="shared" si="2"/>
        <v>6.1036200000000006E-2</v>
      </c>
    </row>
    <row r="186" spans="1:11" ht="30" customHeight="1" x14ac:dyDescent="0.25">
      <c r="A186" s="22">
        <v>62.300000000000004</v>
      </c>
      <c r="B186" s="23" t="s">
        <v>17</v>
      </c>
      <c r="C186" s="24">
        <v>2.6</v>
      </c>
      <c r="D186" s="24">
        <v>267</v>
      </c>
      <c r="E186" s="24">
        <v>76.2</v>
      </c>
      <c r="F186" s="24">
        <v>34</v>
      </c>
      <c r="G186" s="24">
        <v>36</v>
      </c>
      <c r="H186" s="24" t="s">
        <v>48</v>
      </c>
      <c r="I186" s="25" t="s">
        <v>26</v>
      </c>
      <c r="K186" s="3">
        <f t="shared" si="2"/>
        <v>5.2898040000000007E-2</v>
      </c>
    </row>
    <row r="187" spans="1:11" ht="30" customHeight="1" x14ac:dyDescent="0.25">
      <c r="A187" s="22">
        <v>62.400000000000006</v>
      </c>
      <c r="B187" s="23" t="s">
        <v>17</v>
      </c>
      <c r="C187" s="24">
        <v>2.6</v>
      </c>
      <c r="D187" s="24">
        <v>267</v>
      </c>
      <c r="E187" s="24">
        <v>76.2</v>
      </c>
      <c r="F187" s="24">
        <v>42</v>
      </c>
      <c r="G187" s="24">
        <v>48</v>
      </c>
      <c r="H187" s="24" t="s">
        <v>48</v>
      </c>
      <c r="I187" s="25" t="s">
        <v>52</v>
      </c>
      <c r="K187" s="3">
        <f t="shared" si="2"/>
        <v>5.2898040000000007E-2</v>
      </c>
    </row>
    <row r="188" spans="1:11" ht="30" customHeight="1" x14ac:dyDescent="0.25">
      <c r="A188" s="22">
        <v>62.500000000000007</v>
      </c>
      <c r="B188" s="23" t="s">
        <v>17</v>
      </c>
      <c r="C188" s="24">
        <v>8.4</v>
      </c>
      <c r="D188" s="24">
        <v>267</v>
      </c>
      <c r="E188" s="24">
        <v>76.2</v>
      </c>
      <c r="F188" s="24">
        <v>51</v>
      </c>
      <c r="G188" s="24">
        <v>70</v>
      </c>
      <c r="H188" s="24" t="s">
        <v>48</v>
      </c>
      <c r="I188" s="25" t="s">
        <v>52</v>
      </c>
      <c r="K188" s="3">
        <f t="shared" si="2"/>
        <v>0.17090136</v>
      </c>
    </row>
    <row r="189" spans="1:11" ht="30" customHeight="1" x14ac:dyDescent="0.25">
      <c r="A189" s="22">
        <v>62.600000000000009</v>
      </c>
      <c r="B189" s="23" t="s">
        <v>17</v>
      </c>
      <c r="C189" s="24">
        <v>7</v>
      </c>
      <c r="D189" s="24">
        <v>267</v>
      </c>
      <c r="E189" s="24">
        <v>76.2</v>
      </c>
      <c r="F189" s="24">
        <v>70</v>
      </c>
      <c r="G189" s="24">
        <v>86</v>
      </c>
      <c r="H189" s="24" t="s">
        <v>48</v>
      </c>
      <c r="I189" s="25" t="s">
        <v>52</v>
      </c>
      <c r="K189" s="3">
        <f t="shared" si="2"/>
        <v>0.14241780000000001</v>
      </c>
    </row>
    <row r="190" spans="1:11" ht="30" customHeight="1" x14ac:dyDescent="0.25">
      <c r="A190" s="22">
        <v>62.70000000000001</v>
      </c>
      <c r="B190" s="23" t="s">
        <v>17</v>
      </c>
      <c r="C190" s="24">
        <v>4.8</v>
      </c>
      <c r="D190" s="24">
        <v>267</v>
      </c>
      <c r="E190" s="24">
        <v>76.2</v>
      </c>
      <c r="F190" s="24">
        <v>86</v>
      </c>
      <c r="G190" s="24">
        <v>97</v>
      </c>
      <c r="H190" s="24" t="s">
        <v>48</v>
      </c>
      <c r="I190" s="25" t="s">
        <v>52</v>
      </c>
      <c r="K190" s="3">
        <f t="shared" si="2"/>
        <v>9.7657919999999995E-2</v>
      </c>
    </row>
    <row r="191" spans="1:11" ht="30" customHeight="1" x14ac:dyDescent="0.25">
      <c r="A191" s="22">
        <v>62.800000000000011</v>
      </c>
      <c r="B191" s="23" t="s">
        <v>17</v>
      </c>
      <c r="C191" s="24">
        <v>2.5</v>
      </c>
      <c r="D191" s="24">
        <v>267</v>
      </c>
      <c r="E191" s="24">
        <v>76.2</v>
      </c>
      <c r="F191" s="24">
        <v>100</v>
      </c>
      <c r="G191" s="24">
        <v>105</v>
      </c>
      <c r="H191" s="24" t="s">
        <v>48</v>
      </c>
      <c r="I191" s="25" t="s">
        <v>52</v>
      </c>
      <c r="K191" s="3">
        <f t="shared" si="2"/>
        <v>5.0863499999999999E-2</v>
      </c>
    </row>
    <row r="192" spans="1:11" ht="30" customHeight="1" x14ac:dyDescent="0.25">
      <c r="A192" s="22">
        <v>62.900000000000013</v>
      </c>
      <c r="B192" s="23" t="s">
        <v>17</v>
      </c>
      <c r="C192" s="24">
        <v>2.6</v>
      </c>
      <c r="D192" s="24">
        <v>267</v>
      </c>
      <c r="E192" s="24">
        <v>76.2</v>
      </c>
      <c r="F192" s="24">
        <v>107</v>
      </c>
      <c r="G192" s="24">
        <v>113</v>
      </c>
      <c r="H192" s="24" t="s">
        <v>48</v>
      </c>
      <c r="I192" s="25" t="s">
        <v>52</v>
      </c>
      <c r="K192" s="3">
        <f t="shared" si="2"/>
        <v>5.2898040000000007E-2</v>
      </c>
    </row>
    <row r="193" spans="1:11" ht="30" customHeight="1" x14ac:dyDescent="0.25">
      <c r="A193" s="32">
        <v>62.1</v>
      </c>
      <c r="B193" s="23" t="s">
        <v>17</v>
      </c>
      <c r="C193" s="24">
        <v>2.7</v>
      </c>
      <c r="D193" s="24">
        <v>267</v>
      </c>
      <c r="E193" s="24">
        <v>76.2</v>
      </c>
      <c r="F193" s="24">
        <v>116</v>
      </c>
      <c r="G193" s="24">
        <v>122</v>
      </c>
      <c r="H193" s="24" t="s">
        <v>48</v>
      </c>
      <c r="I193" s="25" t="s">
        <v>26</v>
      </c>
      <c r="K193" s="3">
        <f t="shared" si="2"/>
        <v>5.4932580000000009E-2</v>
      </c>
    </row>
    <row r="194" spans="1:11" ht="30" customHeight="1" x14ac:dyDescent="0.25">
      <c r="A194" s="32">
        <v>62.11</v>
      </c>
      <c r="B194" s="23" t="s">
        <v>17</v>
      </c>
      <c r="C194" s="24">
        <v>2.2999999999999998</v>
      </c>
      <c r="D194" s="24">
        <v>267</v>
      </c>
      <c r="E194" s="24">
        <v>76.2</v>
      </c>
      <c r="F194" s="24">
        <v>126</v>
      </c>
      <c r="G194" s="24">
        <v>131</v>
      </c>
      <c r="H194" s="24" t="s">
        <v>48</v>
      </c>
      <c r="I194" s="25" t="s">
        <v>26</v>
      </c>
      <c r="K194" s="3">
        <f t="shared" si="2"/>
        <v>4.6794419999999996E-2</v>
      </c>
    </row>
    <row r="195" spans="1:11" ht="30" customHeight="1" x14ac:dyDescent="0.25">
      <c r="A195" s="32">
        <v>62.12</v>
      </c>
      <c r="B195" s="23" t="s">
        <v>17</v>
      </c>
      <c r="C195" s="24">
        <v>2.2999999999999998</v>
      </c>
      <c r="D195" s="24">
        <v>267</v>
      </c>
      <c r="E195" s="24">
        <v>76.2</v>
      </c>
      <c r="F195" s="24">
        <v>134</v>
      </c>
      <c r="G195" s="24">
        <v>139</v>
      </c>
      <c r="H195" s="24" t="s">
        <v>48</v>
      </c>
      <c r="I195" s="25" t="s">
        <v>26</v>
      </c>
      <c r="K195" s="3">
        <f t="shared" si="2"/>
        <v>4.6794419999999996E-2</v>
      </c>
    </row>
    <row r="196" spans="1:11" ht="30" customHeight="1" x14ac:dyDescent="0.25">
      <c r="A196" s="32">
        <v>62.129999999999995</v>
      </c>
      <c r="B196" s="23" t="s">
        <v>17</v>
      </c>
      <c r="C196" s="24">
        <v>3.4</v>
      </c>
      <c r="D196" s="24">
        <v>267</v>
      </c>
      <c r="E196" s="24">
        <v>76.2</v>
      </c>
      <c r="F196" s="24">
        <v>142</v>
      </c>
      <c r="G196" s="24">
        <v>151</v>
      </c>
      <c r="H196" s="24" t="s">
        <v>48</v>
      </c>
      <c r="I196" s="25" t="s">
        <v>74</v>
      </c>
      <c r="K196" s="3">
        <f t="shared" si="2"/>
        <v>6.9174360000000004E-2</v>
      </c>
    </row>
    <row r="197" spans="1:11" ht="30" customHeight="1" thickBot="1" x14ac:dyDescent="0.3">
      <c r="A197" s="31">
        <v>62.139999999999993</v>
      </c>
      <c r="B197" s="27" t="s">
        <v>17</v>
      </c>
      <c r="C197" s="28">
        <v>2.2000000000000002</v>
      </c>
      <c r="D197" s="28">
        <v>267</v>
      </c>
      <c r="E197" s="28">
        <v>76.2</v>
      </c>
      <c r="F197" s="28">
        <v>154</v>
      </c>
      <c r="G197" s="28">
        <v>160</v>
      </c>
      <c r="H197" s="28" t="s">
        <v>48</v>
      </c>
      <c r="I197" s="29" t="s">
        <v>74</v>
      </c>
      <c r="K197" s="3">
        <f t="shared" si="2"/>
        <v>4.4759880000000009E-2</v>
      </c>
    </row>
    <row r="198" spans="1:11" ht="20.25" customHeight="1" thickTop="1" thickBot="1" x14ac:dyDescent="0.3"/>
    <row r="199" spans="1:11" ht="30" customHeight="1" thickTop="1" x14ac:dyDescent="0.25">
      <c r="A199" s="9" t="s">
        <v>83</v>
      </c>
      <c r="B199" s="16" t="s">
        <v>39</v>
      </c>
      <c r="C199" s="17" t="s">
        <v>40</v>
      </c>
      <c r="D199" s="17" t="s">
        <v>9</v>
      </c>
      <c r="E199" s="17" t="s">
        <v>11</v>
      </c>
      <c r="F199" s="372" t="s">
        <v>41</v>
      </c>
      <c r="G199" s="372"/>
      <c r="H199" s="17" t="s">
        <v>50</v>
      </c>
      <c r="I199" s="18" t="s">
        <v>42</v>
      </c>
    </row>
    <row r="200" spans="1:11" ht="30" customHeight="1" x14ac:dyDescent="0.25">
      <c r="A200" s="10" t="s">
        <v>43</v>
      </c>
      <c r="B200" s="19" t="s">
        <v>44</v>
      </c>
      <c r="C200" s="20" t="s">
        <v>45</v>
      </c>
      <c r="D200" s="20" t="s">
        <v>46</v>
      </c>
      <c r="E200" s="20" t="s">
        <v>46</v>
      </c>
      <c r="F200" s="371" t="s">
        <v>51</v>
      </c>
      <c r="G200" s="371"/>
      <c r="H200" s="20"/>
      <c r="I200" s="21"/>
    </row>
    <row r="201" spans="1:11" ht="30" customHeight="1" x14ac:dyDescent="0.25">
      <c r="A201" s="22">
        <v>61.1</v>
      </c>
      <c r="B201" s="23" t="s">
        <v>17</v>
      </c>
      <c r="C201" s="24">
        <v>3.8</v>
      </c>
      <c r="D201" s="24">
        <v>267</v>
      </c>
      <c r="E201" s="24">
        <v>76.2</v>
      </c>
      <c r="F201" s="24">
        <v>14</v>
      </c>
      <c r="G201" s="24">
        <v>23</v>
      </c>
      <c r="H201" s="24" t="s">
        <v>48</v>
      </c>
      <c r="I201" s="25" t="s">
        <v>59</v>
      </c>
      <c r="K201" s="3">
        <f t="shared" si="2"/>
        <v>7.7312519999999996E-2</v>
      </c>
    </row>
    <row r="202" spans="1:11" ht="30" customHeight="1" x14ac:dyDescent="0.25">
      <c r="A202" s="22">
        <v>61.2</v>
      </c>
      <c r="B202" s="23" t="s">
        <v>17</v>
      </c>
      <c r="C202" s="24">
        <v>4.5</v>
      </c>
      <c r="D202" s="24">
        <v>267</v>
      </c>
      <c r="E202" s="24">
        <v>76.2</v>
      </c>
      <c r="F202" s="24">
        <v>26</v>
      </c>
      <c r="G202" s="24">
        <v>35</v>
      </c>
      <c r="H202" s="24" t="s">
        <v>48</v>
      </c>
      <c r="I202" s="25" t="s">
        <v>28</v>
      </c>
      <c r="K202" s="3">
        <f t="shared" si="2"/>
        <v>9.1554300000000005E-2</v>
      </c>
    </row>
    <row r="203" spans="1:11" ht="30" customHeight="1" x14ac:dyDescent="0.25">
      <c r="A203" s="22">
        <v>61.300000000000004</v>
      </c>
      <c r="B203" s="23" t="s">
        <v>17</v>
      </c>
      <c r="C203" s="24">
        <v>7.3</v>
      </c>
      <c r="D203" s="24">
        <v>422</v>
      </c>
      <c r="E203" s="24">
        <v>76.2</v>
      </c>
      <c r="F203" s="24">
        <v>35</v>
      </c>
      <c r="G203" s="24">
        <v>53</v>
      </c>
      <c r="H203" s="24" t="s">
        <v>48</v>
      </c>
      <c r="I203" s="25" t="s">
        <v>84</v>
      </c>
      <c r="K203" s="3">
        <f t="shared" si="2"/>
        <v>0.23474172000000001</v>
      </c>
    </row>
    <row r="204" spans="1:11" ht="30" customHeight="1" x14ac:dyDescent="0.25">
      <c r="A204" s="22">
        <v>61.400000000000006</v>
      </c>
      <c r="B204" s="23" t="s">
        <v>17</v>
      </c>
      <c r="C204" s="24">
        <v>10.6</v>
      </c>
      <c r="D204" s="24">
        <v>267</v>
      </c>
      <c r="E204" s="24">
        <v>76.2</v>
      </c>
      <c r="F204" s="24">
        <v>53</v>
      </c>
      <c r="G204" s="24">
        <v>77</v>
      </c>
      <c r="H204" s="24" t="s">
        <v>48</v>
      </c>
      <c r="I204" s="25" t="s">
        <v>52</v>
      </c>
      <c r="K204" s="3">
        <f t="shared" si="2"/>
        <v>0.21566124</v>
      </c>
    </row>
    <row r="205" spans="1:11" ht="30" customHeight="1" x14ac:dyDescent="0.25">
      <c r="A205" s="22">
        <v>61.500000000000007</v>
      </c>
      <c r="B205" s="23" t="s">
        <v>17</v>
      </c>
      <c r="C205" s="24">
        <v>7.3</v>
      </c>
      <c r="D205" s="24">
        <v>267</v>
      </c>
      <c r="E205" s="24">
        <v>76.2</v>
      </c>
      <c r="F205" s="24">
        <v>77</v>
      </c>
      <c r="G205" s="24">
        <v>94</v>
      </c>
      <c r="H205" s="24" t="s">
        <v>48</v>
      </c>
      <c r="I205" s="25" t="s">
        <v>52</v>
      </c>
      <c r="K205" s="3">
        <f t="shared" si="2"/>
        <v>0.14852142000000002</v>
      </c>
    </row>
    <row r="206" spans="1:11" ht="30" customHeight="1" x14ac:dyDescent="0.25">
      <c r="A206" s="22">
        <v>61.600000000000009</v>
      </c>
      <c r="B206" s="23" t="s">
        <v>17</v>
      </c>
      <c r="C206" s="24">
        <v>7.4</v>
      </c>
      <c r="D206" s="24">
        <v>267</v>
      </c>
      <c r="E206" s="24">
        <v>76.2</v>
      </c>
      <c r="F206" s="24">
        <v>94</v>
      </c>
      <c r="G206" s="24">
        <v>112</v>
      </c>
      <c r="H206" s="24" t="s">
        <v>48</v>
      </c>
      <c r="I206" s="25" t="s">
        <v>52</v>
      </c>
      <c r="K206" s="3">
        <f t="shared" si="2"/>
        <v>0.15055596000000002</v>
      </c>
    </row>
    <row r="207" spans="1:11" ht="30" customHeight="1" x14ac:dyDescent="0.25">
      <c r="A207" s="22">
        <v>61.70000000000001</v>
      </c>
      <c r="B207" s="23" t="s">
        <v>17</v>
      </c>
      <c r="C207" s="24">
        <v>4.3</v>
      </c>
      <c r="D207" s="24">
        <v>341</v>
      </c>
      <c r="E207" s="24">
        <v>76.2</v>
      </c>
      <c r="F207" s="24">
        <v>112</v>
      </c>
      <c r="G207" s="24">
        <v>122</v>
      </c>
      <c r="H207" s="24" t="s">
        <v>48</v>
      </c>
      <c r="I207" s="25" t="s">
        <v>85</v>
      </c>
      <c r="K207" s="3">
        <f t="shared" si="2"/>
        <v>0.11173205999999999</v>
      </c>
    </row>
    <row r="208" spans="1:11" ht="30" customHeight="1" x14ac:dyDescent="0.25">
      <c r="A208" s="22">
        <v>61.800000000000011</v>
      </c>
      <c r="B208" s="23" t="s">
        <v>17</v>
      </c>
      <c r="C208" s="24">
        <v>2.2999999999999998</v>
      </c>
      <c r="D208" s="24">
        <v>267</v>
      </c>
      <c r="E208" s="24">
        <v>76.2</v>
      </c>
      <c r="F208" s="24">
        <v>126</v>
      </c>
      <c r="G208" s="24">
        <v>131</v>
      </c>
      <c r="H208" s="24" t="s">
        <v>48</v>
      </c>
      <c r="I208" s="25" t="s">
        <v>26</v>
      </c>
      <c r="K208" s="3">
        <f t="shared" si="2"/>
        <v>4.6794419999999996E-2</v>
      </c>
    </row>
    <row r="209" spans="1:11" ht="30" customHeight="1" x14ac:dyDescent="0.25">
      <c r="A209" s="22">
        <v>61.900000000000013</v>
      </c>
      <c r="B209" s="23" t="s">
        <v>17</v>
      </c>
      <c r="C209" s="24">
        <v>2.2999999999999998</v>
      </c>
      <c r="D209" s="24">
        <v>267</v>
      </c>
      <c r="E209" s="24">
        <v>76.2</v>
      </c>
      <c r="F209" s="24">
        <v>134</v>
      </c>
      <c r="G209" s="24">
        <v>139</v>
      </c>
      <c r="H209" s="24" t="s">
        <v>48</v>
      </c>
      <c r="I209" s="25" t="s">
        <v>26</v>
      </c>
      <c r="K209" s="3">
        <f t="shared" si="2"/>
        <v>4.6794419999999996E-2</v>
      </c>
    </row>
    <row r="210" spans="1:11" ht="30" customHeight="1" x14ac:dyDescent="0.25">
      <c r="A210" s="32">
        <v>61.1</v>
      </c>
      <c r="B210" s="23" t="s">
        <v>17</v>
      </c>
      <c r="C210" s="24">
        <v>3.4</v>
      </c>
      <c r="D210" s="24">
        <v>267</v>
      </c>
      <c r="E210" s="24">
        <v>76.2</v>
      </c>
      <c r="F210" s="24">
        <v>142</v>
      </c>
      <c r="G210" s="24">
        <v>151</v>
      </c>
      <c r="H210" s="24" t="s">
        <v>48</v>
      </c>
      <c r="I210" s="25" t="s">
        <v>74</v>
      </c>
      <c r="K210" s="3">
        <f t="shared" si="2"/>
        <v>6.9174360000000004E-2</v>
      </c>
    </row>
    <row r="211" spans="1:11" ht="30" customHeight="1" thickBot="1" x14ac:dyDescent="0.3">
      <c r="A211" s="31">
        <v>61.11</v>
      </c>
      <c r="B211" s="27" t="s">
        <v>17</v>
      </c>
      <c r="C211" s="28">
        <v>2.1</v>
      </c>
      <c r="D211" s="28">
        <v>267</v>
      </c>
      <c r="E211" s="28">
        <v>76.2</v>
      </c>
      <c r="F211" s="28">
        <v>154</v>
      </c>
      <c r="G211" s="28">
        <v>159</v>
      </c>
      <c r="H211" s="28" t="s">
        <v>48</v>
      </c>
      <c r="I211" s="29" t="s">
        <v>74</v>
      </c>
      <c r="K211" s="3">
        <f t="shared" si="2"/>
        <v>4.2725340000000001E-2</v>
      </c>
    </row>
    <row r="212" spans="1:11" ht="24" customHeight="1" thickTop="1" thickBot="1" x14ac:dyDescent="0.3"/>
    <row r="213" spans="1:11" ht="30" customHeight="1" thickTop="1" x14ac:dyDescent="0.25">
      <c r="A213" s="9" t="s">
        <v>86</v>
      </c>
      <c r="B213" s="16" t="s">
        <v>66</v>
      </c>
      <c r="C213" s="17" t="s">
        <v>40</v>
      </c>
      <c r="D213" s="17" t="s">
        <v>9</v>
      </c>
      <c r="E213" s="17" t="s">
        <v>11</v>
      </c>
      <c r="F213" s="372" t="s">
        <v>41</v>
      </c>
      <c r="G213" s="372"/>
      <c r="H213" s="17" t="s">
        <v>50</v>
      </c>
      <c r="I213" s="18" t="s">
        <v>42</v>
      </c>
    </row>
    <row r="214" spans="1:11" ht="30" customHeight="1" x14ac:dyDescent="0.25">
      <c r="A214" s="10" t="s">
        <v>43</v>
      </c>
      <c r="B214" s="19" t="s">
        <v>44</v>
      </c>
      <c r="C214" s="20" t="s">
        <v>45</v>
      </c>
      <c r="D214" s="20" t="s">
        <v>46</v>
      </c>
      <c r="E214" s="20" t="s">
        <v>46</v>
      </c>
      <c r="F214" s="371" t="s">
        <v>51</v>
      </c>
      <c r="G214" s="371"/>
      <c r="H214" s="20"/>
      <c r="I214" s="21"/>
    </row>
    <row r="215" spans="1:11" ht="30" customHeight="1" x14ac:dyDescent="0.25">
      <c r="A215" s="22">
        <v>60.1</v>
      </c>
      <c r="B215" s="23" t="s">
        <v>87</v>
      </c>
      <c r="C215" s="24">
        <v>3.2</v>
      </c>
      <c r="D215" s="24">
        <v>299</v>
      </c>
      <c r="E215" s="24">
        <v>101.6</v>
      </c>
      <c r="F215" s="24" t="s">
        <v>88</v>
      </c>
      <c r="G215" s="24">
        <v>8</v>
      </c>
      <c r="H215" s="24" t="s">
        <v>48</v>
      </c>
      <c r="I215" s="25" t="s">
        <v>89</v>
      </c>
      <c r="K215" s="3">
        <f t="shared" si="2"/>
        <v>9.721088E-2</v>
      </c>
    </row>
    <row r="216" spans="1:11" ht="30" customHeight="1" x14ac:dyDescent="0.25">
      <c r="A216" s="22">
        <v>60.2</v>
      </c>
      <c r="B216" s="23" t="s">
        <v>87</v>
      </c>
      <c r="C216" s="24">
        <v>7.3</v>
      </c>
      <c r="D216" s="24">
        <v>376</v>
      </c>
      <c r="E216" s="24">
        <v>101.6</v>
      </c>
      <c r="F216" s="24">
        <f>G215</f>
        <v>8</v>
      </c>
      <c r="G216" s="24">
        <v>27</v>
      </c>
      <c r="H216" s="24" t="s">
        <v>48</v>
      </c>
      <c r="I216" s="25" t="s">
        <v>90</v>
      </c>
      <c r="K216" s="3">
        <f t="shared" si="2"/>
        <v>0.27887167999999996</v>
      </c>
    </row>
    <row r="217" spans="1:11" ht="30" customHeight="1" x14ac:dyDescent="0.25">
      <c r="A217" s="22">
        <v>60.300000000000004</v>
      </c>
      <c r="B217" s="23" t="s">
        <v>87</v>
      </c>
      <c r="C217" s="24">
        <v>7.4</v>
      </c>
      <c r="D217" s="24">
        <v>299</v>
      </c>
      <c r="E217" s="24">
        <v>101.6</v>
      </c>
      <c r="F217" s="24">
        <f t="shared" ref="F217:F222" si="3">G216</f>
        <v>27</v>
      </c>
      <c r="G217" s="24">
        <v>44</v>
      </c>
      <c r="H217" s="24" t="s">
        <v>48</v>
      </c>
      <c r="I217" s="25" t="s">
        <v>26</v>
      </c>
      <c r="K217" s="3">
        <f t="shared" si="2"/>
        <v>0.22480015999999997</v>
      </c>
    </row>
    <row r="218" spans="1:11" ht="30" customHeight="1" x14ac:dyDescent="0.25">
      <c r="A218" s="22">
        <v>60.400000000000006</v>
      </c>
      <c r="B218" s="23" t="s">
        <v>87</v>
      </c>
      <c r="C218" s="24">
        <v>7.4</v>
      </c>
      <c r="D218" s="24">
        <v>299</v>
      </c>
      <c r="E218" s="24">
        <v>101.6</v>
      </c>
      <c r="F218" s="24">
        <f t="shared" si="3"/>
        <v>44</v>
      </c>
      <c r="G218" s="24">
        <v>61</v>
      </c>
      <c r="H218" s="24" t="s">
        <v>48</v>
      </c>
      <c r="I218" s="25" t="s">
        <v>52</v>
      </c>
      <c r="K218" s="3">
        <f t="shared" si="2"/>
        <v>0.22480015999999997</v>
      </c>
    </row>
    <row r="219" spans="1:11" ht="30" customHeight="1" x14ac:dyDescent="0.25">
      <c r="A219" s="22">
        <v>60.500000000000007</v>
      </c>
      <c r="B219" s="23" t="s">
        <v>87</v>
      </c>
      <c r="C219" s="24">
        <v>9</v>
      </c>
      <c r="D219" s="24">
        <v>299</v>
      </c>
      <c r="E219" s="24">
        <v>101.6</v>
      </c>
      <c r="F219" s="24">
        <f t="shared" si="3"/>
        <v>61</v>
      </c>
      <c r="G219" s="24" t="s">
        <v>91</v>
      </c>
      <c r="H219" s="24" t="s">
        <v>48</v>
      </c>
      <c r="I219" s="25" t="s">
        <v>52</v>
      </c>
      <c r="K219" s="3">
        <f t="shared" si="2"/>
        <v>0.27340559999999997</v>
      </c>
    </row>
    <row r="220" spans="1:11" ht="30" customHeight="1" x14ac:dyDescent="0.25">
      <c r="A220" s="22">
        <v>60.600000000000009</v>
      </c>
      <c r="B220" s="23" t="s">
        <v>87</v>
      </c>
      <c r="C220" s="24">
        <v>9</v>
      </c>
      <c r="D220" s="24">
        <v>299</v>
      </c>
      <c r="E220" s="24">
        <v>101.6</v>
      </c>
      <c r="F220" s="24" t="str">
        <f t="shared" si="3"/>
        <v>83B</v>
      </c>
      <c r="G220" s="24">
        <v>103</v>
      </c>
      <c r="H220" s="24" t="s">
        <v>48</v>
      </c>
      <c r="I220" s="25" t="s">
        <v>52</v>
      </c>
      <c r="K220" s="3">
        <f t="shared" si="2"/>
        <v>0.27340559999999997</v>
      </c>
    </row>
    <row r="221" spans="1:11" ht="30" customHeight="1" x14ac:dyDescent="0.25">
      <c r="A221" s="22">
        <v>60.70000000000001</v>
      </c>
      <c r="B221" s="23" t="s">
        <v>87</v>
      </c>
      <c r="C221" s="24">
        <v>7.4</v>
      </c>
      <c r="D221" s="24">
        <v>299</v>
      </c>
      <c r="E221" s="24">
        <v>101.6</v>
      </c>
      <c r="F221" s="24">
        <f t="shared" si="3"/>
        <v>103</v>
      </c>
      <c r="G221" s="24">
        <v>121</v>
      </c>
      <c r="H221" s="24" t="s">
        <v>48</v>
      </c>
      <c r="I221" s="25" t="s">
        <v>26</v>
      </c>
      <c r="K221" s="3">
        <f t="shared" si="2"/>
        <v>0.22480015999999997</v>
      </c>
    </row>
    <row r="222" spans="1:11" ht="30" customHeight="1" x14ac:dyDescent="0.25">
      <c r="A222" s="22">
        <v>60.800000000000011</v>
      </c>
      <c r="B222" s="23" t="s">
        <v>87</v>
      </c>
      <c r="C222" s="24">
        <v>7.1</v>
      </c>
      <c r="D222" s="24">
        <v>341</v>
      </c>
      <c r="E222" s="24">
        <v>101.6</v>
      </c>
      <c r="F222" s="24">
        <f t="shared" si="3"/>
        <v>121</v>
      </c>
      <c r="G222" s="24">
        <v>139</v>
      </c>
      <c r="H222" s="24" t="s">
        <v>48</v>
      </c>
      <c r="I222" s="25" t="s">
        <v>92</v>
      </c>
      <c r="K222" s="3">
        <f t="shared" si="2"/>
        <v>0.24598375999999997</v>
      </c>
    </row>
    <row r="223" spans="1:11" ht="30" customHeight="1" x14ac:dyDescent="0.25">
      <c r="A223" s="22">
        <v>60.900000000000013</v>
      </c>
      <c r="B223" s="23" t="s">
        <v>87</v>
      </c>
      <c r="C223" s="24">
        <v>3.4</v>
      </c>
      <c r="D223" s="24">
        <v>299</v>
      </c>
      <c r="E223" s="24">
        <v>101.6</v>
      </c>
      <c r="F223" s="24">
        <v>142</v>
      </c>
      <c r="G223" s="24">
        <v>151</v>
      </c>
      <c r="H223" s="24" t="s">
        <v>48</v>
      </c>
      <c r="I223" s="25" t="s">
        <v>26</v>
      </c>
      <c r="K223" s="3">
        <f t="shared" si="2"/>
        <v>0.10328656</v>
      </c>
    </row>
    <row r="224" spans="1:11" ht="30" customHeight="1" thickBot="1" x14ac:dyDescent="0.3">
      <c r="A224" s="31">
        <v>60.1</v>
      </c>
      <c r="B224" s="27" t="s">
        <v>87</v>
      </c>
      <c r="C224" s="28">
        <v>2</v>
      </c>
      <c r="D224" s="28">
        <v>299</v>
      </c>
      <c r="E224" s="28">
        <v>101.6</v>
      </c>
      <c r="F224" s="28">
        <v>154</v>
      </c>
      <c r="G224" s="28">
        <v>159</v>
      </c>
      <c r="H224" s="28" t="s">
        <v>48</v>
      </c>
      <c r="I224" s="29" t="s">
        <v>74</v>
      </c>
      <c r="K224" s="3">
        <f t="shared" si="2"/>
        <v>6.0756799999999993E-2</v>
      </c>
    </row>
    <row r="225" spans="1:11" ht="30" customHeight="1" thickTop="1" thickBot="1" x14ac:dyDescent="0.3"/>
    <row r="226" spans="1:11" ht="30" customHeight="1" thickTop="1" x14ac:dyDescent="0.25">
      <c r="A226" s="9" t="s">
        <v>93</v>
      </c>
      <c r="B226" s="16" t="s">
        <v>66</v>
      </c>
      <c r="C226" s="17" t="s">
        <v>40</v>
      </c>
      <c r="D226" s="17" t="s">
        <v>9</v>
      </c>
      <c r="E226" s="17" t="s">
        <v>11</v>
      </c>
      <c r="F226" s="372" t="s">
        <v>41</v>
      </c>
      <c r="G226" s="372"/>
      <c r="H226" s="17" t="s">
        <v>50</v>
      </c>
      <c r="I226" s="18" t="s">
        <v>42</v>
      </c>
    </row>
    <row r="227" spans="1:11" ht="30" customHeight="1" x14ac:dyDescent="0.25">
      <c r="A227" s="10" t="s">
        <v>43</v>
      </c>
      <c r="B227" s="19" t="s">
        <v>44</v>
      </c>
      <c r="C227" s="20" t="s">
        <v>45</v>
      </c>
      <c r="D227" s="20" t="s">
        <v>46</v>
      </c>
      <c r="E227" s="20" t="s">
        <v>46</v>
      </c>
      <c r="F227" s="371" t="s">
        <v>51</v>
      </c>
      <c r="G227" s="371"/>
      <c r="H227" s="20"/>
      <c r="I227" s="21"/>
    </row>
    <row r="228" spans="1:11" ht="30" customHeight="1" x14ac:dyDescent="0.25">
      <c r="A228" s="22">
        <v>59.1</v>
      </c>
      <c r="B228" s="23" t="s">
        <v>87</v>
      </c>
      <c r="C228" s="24">
        <v>1.4</v>
      </c>
      <c r="D228" s="24">
        <v>299</v>
      </c>
      <c r="E228" s="24">
        <v>101.6</v>
      </c>
      <c r="F228" s="24" t="s">
        <v>88</v>
      </c>
      <c r="G228" s="24">
        <v>3</v>
      </c>
      <c r="H228" s="24" t="s">
        <v>48</v>
      </c>
      <c r="I228" s="25" t="s">
        <v>89</v>
      </c>
      <c r="K228" s="3">
        <f t="shared" si="2"/>
        <v>4.2529759999999993E-2</v>
      </c>
    </row>
    <row r="229" spans="1:11" ht="30" customHeight="1" x14ac:dyDescent="0.25">
      <c r="A229" s="22">
        <v>59.2</v>
      </c>
      <c r="B229" s="23" t="s">
        <v>87</v>
      </c>
      <c r="C229" s="24">
        <v>7.3</v>
      </c>
      <c r="D229" s="24">
        <v>299</v>
      </c>
      <c r="E229" s="24">
        <v>101.6</v>
      </c>
      <c r="F229" s="24">
        <f>G228</f>
        <v>3</v>
      </c>
      <c r="G229" s="24">
        <v>23</v>
      </c>
      <c r="H229" s="24" t="s">
        <v>48</v>
      </c>
      <c r="I229" s="25" t="s">
        <v>89</v>
      </c>
      <c r="K229" s="3">
        <f t="shared" si="2"/>
        <v>0.22176231999999999</v>
      </c>
    </row>
    <row r="230" spans="1:11" ht="30" customHeight="1" x14ac:dyDescent="0.25">
      <c r="A230" s="22">
        <v>59.300000000000004</v>
      </c>
      <c r="B230" s="23" t="s">
        <v>87</v>
      </c>
      <c r="C230" s="24">
        <v>7.3</v>
      </c>
      <c r="D230" s="24">
        <v>299</v>
      </c>
      <c r="E230" s="24">
        <v>101.6</v>
      </c>
      <c r="F230" s="24">
        <f t="shared" ref="F230:F236" si="4">G229</f>
        <v>23</v>
      </c>
      <c r="G230" s="24">
        <v>40</v>
      </c>
      <c r="H230" s="24" t="s">
        <v>48</v>
      </c>
      <c r="I230" s="25" t="s">
        <v>26</v>
      </c>
      <c r="K230" s="3">
        <f t="shared" si="2"/>
        <v>0.22176231999999999</v>
      </c>
    </row>
    <row r="231" spans="1:11" ht="30" customHeight="1" x14ac:dyDescent="0.25">
      <c r="A231" s="22">
        <v>59.400000000000006</v>
      </c>
      <c r="B231" s="23" t="s">
        <v>87</v>
      </c>
      <c r="C231" s="24">
        <v>7.4</v>
      </c>
      <c r="D231" s="24">
        <v>299</v>
      </c>
      <c r="E231" s="24">
        <v>101.6</v>
      </c>
      <c r="F231" s="24">
        <f t="shared" si="4"/>
        <v>40</v>
      </c>
      <c r="G231" s="24">
        <v>58</v>
      </c>
      <c r="H231" s="24" t="s">
        <v>48</v>
      </c>
      <c r="I231" s="25" t="s">
        <v>52</v>
      </c>
      <c r="K231" s="3">
        <f t="shared" si="2"/>
        <v>0.22480015999999997</v>
      </c>
    </row>
    <row r="232" spans="1:11" ht="30" customHeight="1" x14ac:dyDescent="0.25">
      <c r="A232" s="22">
        <v>59.500000000000007</v>
      </c>
      <c r="B232" s="23" t="s">
        <v>87</v>
      </c>
      <c r="C232" s="24">
        <v>7.4</v>
      </c>
      <c r="D232" s="24">
        <v>299</v>
      </c>
      <c r="E232" s="24">
        <v>101.6</v>
      </c>
      <c r="F232" s="24">
        <f t="shared" si="4"/>
        <v>58</v>
      </c>
      <c r="G232" s="24">
        <v>74</v>
      </c>
      <c r="H232" s="24" t="s">
        <v>48</v>
      </c>
      <c r="I232" s="25" t="s">
        <v>52</v>
      </c>
      <c r="K232" s="3">
        <f t="shared" si="2"/>
        <v>0.22480015999999997</v>
      </c>
    </row>
    <row r="233" spans="1:11" ht="30" customHeight="1" x14ac:dyDescent="0.25">
      <c r="A233" s="22">
        <v>59.600000000000009</v>
      </c>
      <c r="B233" s="23" t="s">
        <v>87</v>
      </c>
      <c r="C233" s="24">
        <v>10.8</v>
      </c>
      <c r="D233" s="24">
        <v>299</v>
      </c>
      <c r="E233" s="24">
        <v>101.6</v>
      </c>
      <c r="F233" s="24">
        <f t="shared" si="4"/>
        <v>74</v>
      </c>
      <c r="G233" s="24" t="s">
        <v>60</v>
      </c>
      <c r="H233" s="24" t="s">
        <v>48</v>
      </c>
      <c r="I233" s="25" t="s">
        <v>52</v>
      </c>
      <c r="K233" s="3">
        <f t="shared" si="2"/>
        <v>0.32808672000000005</v>
      </c>
    </row>
    <row r="234" spans="1:11" ht="30" customHeight="1" x14ac:dyDescent="0.25">
      <c r="A234" s="22">
        <v>59.70000000000001</v>
      </c>
      <c r="B234" s="23" t="s">
        <v>87</v>
      </c>
      <c r="C234" s="24">
        <v>7.4</v>
      </c>
      <c r="D234" s="24">
        <v>299</v>
      </c>
      <c r="E234" s="24">
        <v>101.6</v>
      </c>
      <c r="F234" s="24" t="str">
        <f t="shared" si="4"/>
        <v>99B</v>
      </c>
      <c r="G234" s="24">
        <v>116</v>
      </c>
      <c r="H234" s="24" t="s">
        <v>48</v>
      </c>
      <c r="I234" s="25" t="s">
        <v>26</v>
      </c>
      <c r="K234" s="3">
        <f t="shared" si="2"/>
        <v>0.22480015999999997</v>
      </c>
    </row>
    <row r="235" spans="1:11" ht="30" customHeight="1" x14ac:dyDescent="0.25">
      <c r="A235" s="22">
        <v>59.800000000000011</v>
      </c>
      <c r="B235" s="23" t="s">
        <v>87</v>
      </c>
      <c r="C235" s="24">
        <v>7.4</v>
      </c>
      <c r="D235" s="24">
        <v>299</v>
      </c>
      <c r="E235" s="24">
        <v>101.6</v>
      </c>
      <c r="F235" s="24">
        <f t="shared" si="4"/>
        <v>116</v>
      </c>
      <c r="G235" s="24">
        <v>136</v>
      </c>
      <c r="H235" s="24" t="s">
        <v>48</v>
      </c>
      <c r="I235" s="25" t="s">
        <v>26</v>
      </c>
      <c r="K235" s="3">
        <f t="shared" si="2"/>
        <v>0.22480015999999997</v>
      </c>
    </row>
    <row r="236" spans="1:11" ht="30" customHeight="1" x14ac:dyDescent="0.25">
      <c r="A236" s="22">
        <v>59.900000000000013</v>
      </c>
      <c r="B236" s="23" t="s">
        <v>87</v>
      </c>
      <c r="C236" s="24">
        <v>5.9</v>
      </c>
      <c r="D236" s="24">
        <v>340</v>
      </c>
      <c r="E236" s="24">
        <v>101.6</v>
      </c>
      <c r="F236" s="24">
        <f t="shared" si="4"/>
        <v>136</v>
      </c>
      <c r="G236" s="24">
        <v>151</v>
      </c>
      <c r="H236" s="24" t="s">
        <v>48</v>
      </c>
      <c r="I236" s="25" t="s">
        <v>94</v>
      </c>
      <c r="K236" s="3">
        <f t="shared" si="2"/>
        <v>0.20380960000000001</v>
      </c>
    </row>
    <row r="237" spans="1:11" ht="30" customHeight="1" thickBot="1" x14ac:dyDescent="0.3">
      <c r="A237" s="31">
        <v>59.1</v>
      </c>
      <c r="B237" s="27" t="s">
        <v>87</v>
      </c>
      <c r="C237" s="28">
        <v>1.9</v>
      </c>
      <c r="D237" s="28">
        <v>299</v>
      </c>
      <c r="E237" s="28">
        <v>101.6</v>
      </c>
      <c r="F237" s="28">
        <v>154</v>
      </c>
      <c r="G237" s="28">
        <v>159</v>
      </c>
      <c r="H237" s="28" t="s">
        <v>48</v>
      </c>
      <c r="I237" s="29" t="s">
        <v>74</v>
      </c>
      <c r="K237" s="3">
        <f t="shared" si="2"/>
        <v>5.771896E-2</v>
      </c>
    </row>
    <row r="238" spans="1:11" ht="30" customHeight="1" thickTop="1" thickBot="1" x14ac:dyDescent="0.3"/>
    <row r="239" spans="1:11" ht="30" customHeight="1" thickTop="1" x14ac:dyDescent="0.25">
      <c r="A239" s="9" t="s">
        <v>95</v>
      </c>
      <c r="B239" s="16" t="s">
        <v>66</v>
      </c>
      <c r="C239" s="17" t="s">
        <v>40</v>
      </c>
      <c r="D239" s="17" t="s">
        <v>9</v>
      </c>
      <c r="E239" s="17" t="s">
        <v>11</v>
      </c>
      <c r="F239" s="372" t="s">
        <v>41</v>
      </c>
      <c r="G239" s="372"/>
      <c r="H239" s="17" t="s">
        <v>50</v>
      </c>
      <c r="I239" s="18" t="s">
        <v>42</v>
      </c>
    </row>
    <row r="240" spans="1:11" ht="30" customHeight="1" x14ac:dyDescent="0.25">
      <c r="A240" s="10" t="s">
        <v>43</v>
      </c>
      <c r="B240" s="19" t="s">
        <v>44</v>
      </c>
      <c r="C240" s="20" t="s">
        <v>45</v>
      </c>
      <c r="D240" s="20" t="s">
        <v>46</v>
      </c>
      <c r="E240" s="20" t="s">
        <v>46</v>
      </c>
      <c r="F240" s="371" t="s">
        <v>51</v>
      </c>
      <c r="G240" s="371"/>
      <c r="H240" s="20"/>
      <c r="I240" s="21"/>
    </row>
    <row r="241" spans="1:12" ht="30" customHeight="1" x14ac:dyDescent="0.25">
      <c r="A241" s="22">
        <v>58.1</v>
      </c>
      <c r="B241" s="23" t="s">
        <v>87</v>
      </c>
      <c r="C241" s="24">
        <v>5</v>
      </c>
      <c r="D241" s="24">
        <v>299</v>
      </c>
      <c r="E241" s="24">
        <v>101.6</v>
      </c>
      <c r="F241" s="24" t="s">
        <v>88</v>
      </c>
      <c r="G241" s="24">
        <v>12</v>
      </c>
      <c r="H241" s="24" t="s">
        <v>48</v>
      </c>
      <c r="I241" s="25" t="s">
        <v>89</v>
      </c>
      <c r="K241" s="3">
        <f t="shared" ref="K241:K303" si="5">(C241*D241*E241)/1000000</f>
        <v>0.151892</v>
      </c>
    </row>
    <row r="242" spans="1:12" ht="30" customHeight="1" x14ac:dyDescent="0.25">
      <c r="A242" s="22">
        <v>58.2</v>
      </c>
      <c r="B242" s="23" t="s">
        <v>87</v>
      </c>
      <c r="C242" s="24">
        <v>7.4</v>
      </c>
      <c r="D242" s="24">
        <v>299</v>
      </c>
      <c r="E242" s="24">
        <v>101.6</v>
      </c>
      <c r="F242" s="24">
        <v>12</v>
      </c>
      <c r="G242" s="24">
        <v>31</v>
      </c>
      <c r="H242" s="24" t="s">
        <v>48</v>
      </c>
      <c r="I242" s="25" t="s">
        <v>89</v>
      </c>
      <c r="K242" s="3">
        <f t="shared" si="5"/>
        <v>0.22480015999999997</v>
      </c>
    </row>
    <row r="243" spans="1:12" ht="30" customHeight="1" x14ac:dyDescent="0.25">
      <c r="A243" s="22">
        <v>58.300000000000004</v>
      </c>
      <c r="B243" s="23" t="s">
        <v>87</v>
      </c>
      <c r="C243" s="24">
        <v>7.4</v>
      </c>
      <c r="D243" s="24">
        <v>464</v>
      </c>
      <c r="E243" s="24">
        <v>101.6</v>
      </c>
      <c r="F243" s="24">
        <v>31</v>
      </c>
      <c r="G243" s="24">
        <v>49</v>
      </c>
      <c r="H243" s="24" t="s">
        <v>48</v>
      </c>
      <c r="I243" s="25" t="s">
        <v>96</v>
      </c>
      <c r="K243" s="3">
        <f t="shared" si="5"/>
        <v>0.34885376000000001</v>
      </c>
    </row>
    <row r="244" spans="1:12" ht="30" customHeight="1" x14ac:dyDescent="0.25">
      <c r="A244" s="22">
        <v>58.400000000000006</v>
      </c>
      <c r="B244" s="23" t="s">
        <v>87</v>
      </c>
      <c r="C244" s="24">
        <v>7.4</v>
      </c>
      <c r="D244" s="24">
        <v>359</v>
      </c>
      <c r="E244" s="24">
        <v>101.6</v>
      </c>
      <c r="F244" s="24">
        <v>49</v>
      </c>
      <c r="G244" s="24">
        <v>66</v>
      </c>
      <c r="H244" s="24" t="s">
        <v>48</v>
      </c>
      <c r="I244" s="25" t="s">
        <v>97</v>
      </c>
      <c r="K244" s="3">
        <f t="shared" si="5"/>
        <v>0.26991056000000002</v>
      </c>
    </row>
    <row r="245" spans="1:12" ht="30" customHeight="1" x14ac:dyDescent="0.25">
      <c r="A245" s="22">
        <v>58.500000000000007</v>
      </c>
      <c r="B245" s="23" t="s">
        <v>87</v>
      </c>
      <c r="C245" s="24">
        <v>10.3</v>
      </c>
      <c r="D245" s="24">
        <v>407</v>
      </c>
      <c r="E245" s="24">
        <v>101.6</v>
      </c>
      <c r="F245" s="24">
        <v>66</v>
      </c>
      <c r="G245" s="24">
        <v>90</v>
      </c>
      <c r="H245" s="24" t="s">
        <v>48</v>
      </c>
      <c r="I245" s="25" t="s">
        <v>98</v>
      </c>
      <c r="K245" s="3">
        <f t="shared" si="5"/>
        <v>0.42591735999999997</v>
      </c>
    </row>
    <row r="246" spans="1:12" ht="30" customHeight="1" x14ac:dyDescent="0.25">
      <c r="A246" s="22">
        <v>58.600000000000009</v>
      </c>
      <c r="B246" s="23" t="s">
        <v>87</v>
      </c>
      <c r="C246" s="24">
        <v>7.4</v>
      </c>
      <c r="D246" s="24">
        <v>427</v>
      </c>
      <c r="E246" s="24">
        <v>101.6</v>
      </c>
      <c r="F246" s="24">
        <v>90</v>
      </c>
      <c r="G246" s="24" t="s">
        <v>99</v>
      </c>
      <c r="H246" s="24" t="s">
        <v>48</v>
      </c>
      <c r="I246" s="25" t="s">
        <v>100</v>
      </c>
      <c r="K246" s="3">
        <f t="shared" si="5"/>
        <v>0.32103567999999999</v>
      </c>
    </row>
    <row r="247" spans="1:12" ht="30" customHeight="1" x14ac:dyDescent="0.25">
      <c r="A247" s="22">
        <v>58.70000000000001</v>
      </c>
      <c r="B247" s="23" t="s">
        <v>87</v>
      </c>
      <c r="C247" s="24">
        <v>7.4</v>
      </c>
      <c r="D247" s="24">
        <v>299</v>
      </c>
      <c r="E247" s="24">
        <v>101.6</v>
      </c>
      <c r="F247" s="24" t="s">
        <v>99</v>
      </c>
      <c r="G247" s="24">
        <v>126</v>
      </c>
      <c r="H247" s="24" t="s">
        <v>48</v>
      </c>
      <c r="I247" s="25" t="s">
        <v>26</v>
      </c>
      <c r="K247" s="3">
        <f t="shared" si="5"/>
        <v>0.22480015999999997</v>
      </c>
    </row>
    <row r="248" spans="1:12" ht="30" customHeight="1" x14ac:dyDescent="0.25">
      <c r="A248" s="22">
        <v>58.800000000000011</v>
      </c>
      <c r="B248" s="23" t="s">
        <v>87</v>
      </c>
      <c r="C248" s="24">
        <v>7.4</v>
      </c>
      <c r="D248" s="24">
        <v>299</v>
      </c>
      <c r="E248" s="24">
        <v>101.6</v>
      </c>
      <c r="F248" s="24">
        <v>126</v>
      </c>
      <c r="G248" s="24">
        <v>145</v>
      </c>
      <c r="H248" s="24" t="s">
        <v>48</v>
      </c>
      <c r="I248" s="25" t="s">
        <v>26</v>
      </c>
      <c r="K248" s="3">
        <f t="shared" si="5"/>
        <v>0.22480015999999997</v>
      </c>
    </row>
    <row r="249" spans="1:12" ht="30" customHeight="1" thickBot="1" x14ac:dyDescent="0.3">
      <c r="A249" s="26">
        <v>58.900000000000013</v>
      </c>
      <c r="B249" s="27" t="s">
        <v>87</v>
      </c>
      <c r="C249" s="28">
        <v>4.8</v>
      </c>
      <c r="D249" s="28">
        <v>299</v>
      </c>
      <c r="E249" s="28">
        <v>101.6</v>
      </c>
      <c r="F249" s="28">
        <v>145</v>
      </c>
      <c r="G249" s="28">
        <v>158</v>
      </c>
      <c r="H249" s="28" t="s">
        <v>48</v>
      </c>
      <c r="I249" s="29" t="s">
        <v>74</v>
      </c>
      <c r="K249" s="3">
        <f t="shared" si="5"/>
        <v>0.14581632</v>
      </c>
    </row>
    <row r="250" spans="1:12" ht="30" customHeight="1" thickTop="1" thickBot="1" x14ac:dyDescent="0.3"/>
    <row r="251" spans="1:12" ht="30" customHeight="1" thickTop="1" x14ac:dyDescent="0.25">
      <c r="A251" s="9" t="s">
        <v>101</v>
      </c>
      <c r="B251" s="16" t="s">
        <v>102</v>
      </c>
      <c r="C251" s="17" t="s">
        <v>40</v>
      </c>
      <c r="D251" s="17" t="s">
        <v>9</v>
      </c>
      <c r="E251" s="17" t="s">
        <v>11</v>
      </c>
      <c r="F251" s="372" t="s">
        <v>41</v>
      </c>
      <c r="G251" s="372"/>
      <c r="H251" s="17" t="s">
        <v>50</v>
      </c>
      <c r="I251" s="18" t="s">
        <v>42</v>
      </c>
    </row>
    <row r="252" spans="1:12" ht="30" customHeight="1" x14ac:dyDescent="0.25">
      <c r="A252" s="10" t="s">
        <v>43</v>
      </c>
      <c r="B252" s="19" t="s">
        <v>44</v>
      </c>
      <c r="C252" s="20" t="s">
        <v>45</v>
      </c>
      <c r="D252" s="20" t="s">
        <v>46</v>
      </c>
      <c r="E252" s="20" t="s">
        <v>46</v>
      </c>
      <c r="F252" s="371" t="s">
        <v>51</v>
      </c>
      <c r="G252" s="371"/>
      <c r="H252" s="20"/>
      <c r="I252" s="21" t="s">
        <v>103</v>
      </c>
    </row>
    <row r="253" spans="1:12" ht="30" customHeight="1" x14ac:dyDescent="0.25">
      <c r="A253" s="22">
        <v>57.1</v>
      </c>
      <c r="B253" s="23" t="s">
        <v>17</v>
      </c>
      <c r="C253" s="24">
        <v>7</v>
      </c>
      <c r="D253" s="24">
        <v>288</v>
      </c>
      <c r="E253" s="24">
        <v>89</v>
      </c>
      <c r="F253" s="24" t="s">
        <v>88</v>
      </c>
      <c r="G253" s="24">
        <v>18</v>
      </c>
      <c r="H253" s="24" t="s">
        <v>48</v>
      </c>
      <c r="I253" s="25" t="s">
        <v>89</v>
      </c>
      <c r="K253" s="3">
        <f t="shared" si="5"/>
        <v>0.179424</v>
      </c>
    </row>
    <row r="254" spans="1:12" ht="30" customHeight="1" x14ac:dyDescent="0.25">
      <c r="A254" s="22">
        <v>57.2</v>
      </c>
      <c r="B254" s="23" t="s">
        <v>17</v>
      </c>
      <c r="C254" s="24">
        <v>7.3</v>
      </c>
      <c r="D254" s="24">
        <v>343</v>
      </c>
      <c r="E254" s="24">
        <v>89</v>
      </c>
      <c r="F254" s="24">
        <v>18</v>
      </c>
      <c r="G254" s="24">
        <v>35</v>
      </c>
      <c r="H254" s="24" t="s">
        <v>48</v>
      </c>
      <c r="I254" s="25" t="s">
        <v>104</v>
      </c>
      <c r="K254" s="3">
        <f t="shared" si="5"/>
        <v>0.22284709999999999</v>
      </c>
      <c r="L254" s="34"/>
    </row>
    <row r="255" spans="1:12" ht="30" customHeight="1" x14ac:dyDescent="0.25">
      <c r="A255" s="22">
        <v>57.300000000000004</v>
      </c>
      <c r="B255" s="23" t="s">
        <v>17</v>
      </c>
      <c r="C255" s="24">
        <v>2.5</v>
      </c>
      <c r="D255" s="24">
        <v>288</v>
      </c>
      <c r="E255" s="24">
        <v>89</v>
      </c>
      <c r="F255" s="24">
        <v>38</v>
      </c>
      <c r="G255" s="24">
        <v>43</v>
      </c>
      <c r="H255" s="24" t="s">
        <v>48</v>
      </c>
      <c r="I255" s="25" t="s">
        <v>26</v>
      </c>
      <c r="K255" s="3">
        <f t="shared" si="5"/>
        <v>6.4079999999999998E-2</v>
      </c>
    </row>
    <row r="256" spans="1:12" ht="30" customHeight="1" x14ac:dyDescent="0.25">
      <c r="A256" s="22">
        <v>57.400000000000006</v>
      </c>
      <c r="B256" s="23" t="s">
        <v>17</v>
      </c>
      <c r="C256" s="24">
        <v>2.5</v>
      </c>
      <c r="D256" s="24">
        <v>288</v>
      </c>
      <c r="E256" s="24">
        <v>89</v>
      </c>
      <c r="F256" s="24">
        <v>46</v>
      </c>
      <c r="G256" s="24">
        <v>52</v>
      </c>
      <c r="H256" s="24" t="s">
        <v>48</v>
      </c>
      <c r="I256" s="25" t="s">
        <v>52</v>
      </c>
      <c r="K256" s="3">
        <f t="shared" si="5"/>
        <v>6.4079999999999998E-2</v>
      </c>
    </row>
    <row r="257" spans="1:12" ht="30" customHeight="1" x14ac:dyDescent="0.25">
      <c r="A257" s="22">
        <v>57.500000000000007</v>
      </c>
      <c r="B257" s="23" t="s">
        <v>17</v>
      </c>
      <c r="C257" s="24">
        <v>2.5</v>
      </c>
      <c r="D257" s="24">
        <v>288</v>
      </c>
      <c r="E257" s="24">
        <v>89</v>
      </c>
      <c r="F257" s="24">
        <v>55</v>
      </c>
      <c r="G257" s="24">
        <v>59</v>
      </c>
      <c r="H257" s="24" t="s">
        <v>48</v>
      </c>
      <c r="I257" s="25" t="s">
        <v>52</v>
      </c>
      <c r="K257" s="3">
        <f t="shared" si="5"/>
        <v>6.4079999999999998E-2</v>
      </c>
    </row>
    <row r="258" spans="1:12" ht="30" customHeight="1" x14ac:dyDescent="0.25">
      <c r="A258" s="22">
        <v>57.600000000000009</v>
      </c>
      <c r="B258" s="23" t="s">
        <v>17</v>
      </c>
      <c r="C258" s="24">
        <v>2.5</v>
      </c>
      <c r="D258" s="24">
        <v>288</v>
      </c>
      <c r="E258" s="24">
        <v>89</v>
      </c>
      <c r="F258" s="24">
        <v>62</v>
      </c>
      <c r="G258" s="24">
        <v>67</v>
      </c>
      <c r="H258" s="24" t="s">
        <v>48</v>
      </c>
      <c r="I258" s="25" t="s">
        <v>52</v>
      </c>
      <c r="K258" s="3">
        <f t="shared" si="5"/>
        <v>6.4079999999999998E-2</v>
      </c>
    </row>
    <row r="259" spans="1:12" ht="30" customHeight="1" x14ac:dyDescent="0.25">
      <c r="A259" s="22">
        <v>57.70000000000001</v>
      </c>
      <c r="B259" s="23" t="s">
        <v>17</v>
      </c>
      <c r="C259" s="24">
        <v>2.5</v>
      </c>
      <c r="D259" s="24">
        <v>288</v>
      </c>
      <c r="E259" s="24">
        <v>89</v>
      </c>
      <c r="F259" s="24">
        <v>70</v>
      </c>
      <c r="G259" s="24">
        <v>75</v>
      </c>
      <c r="H259" s="24" t="s">
        <v>48</v>
      </c>
      <c r="I259" s="25" t="s">
        <v>52</v>
      </c>
      <c r="K259" s="3">
        <f t="shared" si="5"/>
        <v>6.4079999999999998E-2</v>
      </c>
    </row>
    <row r="260" spans="1:12" ht="30" customHeight="1" x14ac:dyDescent="0.25">
      <c r="A260" s="22">
        <v>57.800000000000011</v>
      </c>
      <c r="B260" s="23" t="s">
        <v>17</v>
      </c>
      <c r="C260" s="24">
        <v>2.8</v>
      </c>
      <c r="D260" s="24">
        <v>288</v>
      </c>
      <c r="E260" s="24">
        <v>89</v>
      </c>
      <c r="F260" s="24">
        <v>78</v>
      </c>
      <c r="G260" s="24">
        <v>84</v>
      </c>
      <c r="H260" s="24" t="s">
        <v>48</v>
      </c>
      <c r="I260" s="25" t="s">
        <v>52</v>
      </c>
      <c r="K260" s="3">
        <f t="shared" si="5"/>
        <v>7.1769599999999989E-2</v>
      </c>
    </row>
    <row r="261" spans="1:12" ht="30" customHeight="1" x14ac:dyDescent="0.25">
      <c r="A261" s="22">
        <v>57.900000000000013</v>
      </c>
      <c r="B261" s="23" t="s">
        <v>17</v>
      </c>
      <c r="C261" s="24">
        <v>3</v>
      </c>
      <c r="D261" s="24">
        <v>288</v>
      </c>
      <c r="E261" s="24">
        <v>89</v>
      </c>
      <c r="F261" s="24">
        <v>87</v>
      </c>
      <c r="G261" s="24">
        <v>93</v>
      </c>
      <c r="H261" s="24" t="s">
        <v>48</v>
      </c>
      <c r="I261" s="25" t="s">
        <v>52</v>
      </c>
      <c r="K261" s="3">
        <f t="shared" si="5"/>
        <v>7.6896000000000006E-2</v>
      </c>
    </row>
    <row r="262" spans="1:12" ht="30" customHeight="1" x14ac:dyDescent="0.25">
      <c r="A262" s="32">
        <v>57.1</v>
      </c>
      <c r="B262" s="23" t="s">
        <v>17</v>
      </c>
      <c r="C262" s="24">
        <v>7.3</v>
      </c>
      <c r="D262" s="24">
        <v>288</v>
      </c>
      <c r="E262" s="24">
        <v>89</v>
      </c>
      <c r="F262" s="24">
        <v>96</v>
      </c>
      <c r="G262" s="24">
        <v>112</v>
      </c>
      <c r="H262" s="24" t="s">
        <v>48</v>
      </c>
      <c r="I262" s="25" t="s">
        <v>52</v>
      </c>
      <c r="K262" s="3">
        <f t="shared" si="5"/>
        <v>0.18711360000000002</v>
      </c>
    </row>
    <row r="263" spans="1:12" ht="30" customHeight="1" x14ac:dyDescent="0.25">
      <c r="A263" s="32">
        <v>57.11</v>
      </c>
      <c r="B263" s="23" t="s">
        <v>17</v>
      </c>
      <c r="C263" s="24">
        <v>7.3</v>
      </c>
      <c r="D263" s="24">
        <v>380</v>
      </c>
      <c r="E263" s="24">
        <v>89</v>
      </c>
      <c r="F263" s="24">
        <v>112</v>
      </c>
      <c r="G263" s="24">
        <v>132</v>
      </c>
      <c r="H263" s="24" t="s">
        <v>48</v>
      </c>
      <c r="I263" s="25" t="s">
        <v>105</v>
      </c>
      <c r="K263" s="3">
        <f t="shared" si="5"/>
        <v>0.24688599999999999</v>
      </c>
    </row>
    <row r="264" spans="1:12" ht="30" customHeight="1" x14ac:dyDescent="0.25">
      <c r="A264" s="32">
        <v>57.12</v>
      </c>
      <c r="B264" s="23" t="s">
        <v>17</v>
      </c>
      <c r="C264" s="24">
        <v>7.2</v>
      </c>
      <c r="D264" s="24">
        <v>288</v>
      </c>
      <c r="E264" s="24">
        <v>89</v>
      </c>
      <c r="F264" s="24">
        <v>132</v>
      </c>
      <c r="G264" s="24">
        <v>150</v>
      </c>
      <c r="H264" s="24" t="s">
        <v>48</v>
      </c>
      <c r="I264" s="25" t="s">
        <v>26</v>
      </c>
      <c r="K264" s="3">
        <f t="shared" si="5"/>
        <v>0.1845504</v>
      </c>
    </row>
    <row r="265" spans="1:12" ht="30" customHeight="1" thickBot="1" x14ac:dyDescent="0.3">
      <c r="A265" s="31">
        <v>57.129999999999995</v>
      </c>
      <c r="B265" s="27" t="s">
        <v>17</v>
      </c>
      <c r="C265" s="28">
        <v>2.9</v>
      </c>
      <c r="D265" s="28">
        <v>288</v>
      </c>
      <c r="E265" s="28">
        <v>89</v>
      </c>
      <c r="F265" s="28">
        <v>150</v>
      </c>
      <c r="G265" s="28">
        <v>158</v>
      </c>
      <c r="H265" s="28" t="s">
        <v>48</v>
      </c>
      <c r="I265" s="29" t="s">
        <v>74</v>
      </c>
      <c r="K265" s="3">
        <f t="shared" si="5"/>
        <v>7.4332799999999991E-2</v>
      </c>
    </row>
    <row r="266" spans="1:12" ht="30" customHeight="1" thickTop="1" thickBot="1" x14ac:dyDescent="0.3"/>
    <row r="267" spans="1:12" ht="27.95" customHeight="1" thickTop="1" x14ac:dyDescent="0.25">
      <c r="A267" s="9" t="s">
        <v>106</v>
      </c>
      <c r="B267" s="16" t="s">
        <v>66</v>
      </c>
      <c r="C267" s="17" t="s">
        <v>40</v>
      </c>
      <c r="D267" s="17" t="s">
        <v>9</v>
      </c>
      <c r="E267" s="17" t="s">
        <v>11</v>
      </c>
      <c r="F267" s="372" t="s">
        <v>41</v>
      </c>
      <c r="G267" s="372"/>
      <c r="H267" s="17" t="s">
        <v>50</v>
      </c>
      <c r="I267" s="18" t="s">
        <v>42</v>
      </c>
    </row>
    <row r="268" spans="1:12" ht="27.95" customHeight="1" x14ac:dyDescent="0.25">
      <c r="A268" s="10" t="s">
        <v>43</v>
      </c>
      <c r="B268" s="19" t="s">
        <v>44</v>
      </c>
      <c r="C268" s="20" t="s">
        <v>45</v>
      </c>
      <c r="D268" s="20" t="s">
        <v>46</v>
      </c>
      <c r="E268" s="20" t="s">
        <v>46</v>
      </c>
      <c r="F268" s="371" t="s">
        <v>51</v>
      </c>
      <c r="G268" s="371"/>
      <c r="H268" s="20"/>
      <c r="I268" s="21" t="s">
        <v>107</v>
      </c>
    </row>
    <row r="269" spans="1:12" ht="27.95" customHeight="1" x14ac:dyDescent="0.25">
      <c r="A269" s="22">
        <v>56.1</v>
      </c>
      <c r="B269" s="23" t="s">
        <v>17</v>
      </c>
      <c r="C269" s="24">
        <v>3.3</v>
      </c>
      <c r="D269" s="24">
        <v>288</v>
      </c>
      <c r="E269" s="24">
        <v>101.6</v>
      </c>
      <c r="F269" s="24" t="s">
        <v>88</v>
      </c>
      <c r="G269" s="24">
        <v>8</v>
      </c>
      <c r="H269" s="24" t="s">
        <v>48</v>
      </c>
      <c r="I269" s="25" t="s">
        <v>89</v>
      </c>
      <c r="K269" s="3">
        <f t="shared" si="5"/>
        <v>9.6560640000000003E-2</v>
      </c>
      <c r="L269" s="34"/>
    </row>
    <row r="270" spans="1:12" ht="27.95" customHeight="1" x14ac:dyDescent="0.25">
      <c r="A270" s="22">
        <v>56.2</v>
      </c>
      <c r="B270" s="23" t="s">
        <v>17</v>
      </c>
      <c r="C270" s="24">
        <v>7.4</v>
      </c>
      <c r="D270" s="24">
        <v>338</v>
      </c>
      <c r="E270" s="24">
        <v>101.6</v>
      </c>
      <c r="F270" s="24">
        <v>8</v>
      </c>
      <c r="G270" s="24">
        <v>27</v>
      </c>
      <c r="H270" s="24" t="s">
        <v>48</v>
      </c>
      <c r="I270" s="25" t="s">
        <v>108</v>
      </c>
      <c r="K270" s="3">
        <f t="shared" si="5"/>
        <v>0.25412192</v>
      </c>
    </row>
    <row r="271" spans="1:12" ht="27.95" customHeight="1" x14ac:dyDescent="0.25">
      <c r="A271" s="22">
        <v>56.300000000000004</v>
      </c>
      <c r="B271" s="23" t="s">
        <v>17</v>
      </c>
      <c r="C271" s="24">
        <v>2.6</v>
      </c>
      <c r="D271" s="24">
        <v>288</v>
      </c>
      <c r="E271" s="24">
        <v>101.6</v>
      </c>
      <c r="F271" s="24">
        <v>30</v>
      </c>
      <c r="G271" s="24">
        <v>35</v>
      </c>
      <c r="H271" s="24" t="s">
        <v>48</v>
      </c>
      <c r="I271" s="25" t="s">
        <v>26</v>
      </c>
      <c r="K271" s="3">
        <f t="shared" si="5"/>
        <v>7.6078080000000006E-2</v>
      </c>
    </row>
    <row r="272" spans="1:12" ht="27.95" customHeight="1" x14ac:dyDescent="0.25">
      <c r="A272" s="22">
        <v>56.400000000000006</v>
      </c>
      <c r="B272" s="23" t="s">
        <v>17</v>
      </c>
      <c r="C272" s="24">
        <v>2.5</v>
      </c>
      <c r="D272" s="24">
        <v>288</v>
      </c>
      <c r="E272" s="24">
        <v>101.6</v>
      </c>
      <c r="F272" s="24">
        <v>38</v>
      </c>
      <c r="G272" s="24">
        <v>43</v>
      </c>
      <c r="H272" s="24" t="s">
        <v>48</v>
      </c>
      <c r="I272" s="25" t="s">
        <v>52</v>
      </c>
      <c r="K272" s="3">
        <f t="shared" si="5"/>
        <v>7.3151999999999995E-2</v>
      </c>
    </row>
    <row r="273" spans="1:11" ht="27.95" customHeight="1" x14ac:dyDescent="0.25">
      <c r="A273" s="22">
        <v>56.500000000000007</v>
      </c>
      <c r="B273" s="23" t="s">
        <v>17</v>
      </c>
      <c r="C273" s="24">
        <v>2.5</v>
      </c>
      <c r="D273" s="24">
        <v>288</v>
      </c>
      <c r="E273" s="24">
        <v>101.6</v>
      </c>
      <c r="F273" s="24">
        <v>46</v>
      </c>
      <c r="G273" s="24">
        <v>52</v>
      </c>
      <c r="H273" s="24" t="s">
        <v>48</v>
      </c>
      <c r="I273" s="25" t="s">
        <v>52</v>
      </c>
      <c r="K273" s="3">
        <f t="shared" si="5"/>
        <v>7.3151999999999995E-2</v>
      </c>
    </row>
    <row r="274" spans="1:11" ht="27.95" customHeight="1" x14ac:dyDescent="0.25">
      <c r="A274" s="22">
        <v>56.600000000000009</v>
      </c>
      <c r="B274" s="23" t="s">
        <v>17</v>
      </c>
      <c r="C274" s="24">
        <v>2.5</v>
      </c>
      <c r="D274" s="24">
        <v>288</v>
      </c>
      <c r="E274" s="24">
        <v>101.6</v>
      </c>
      <c r="F274" s="24">
        <v>55</v>
      </c>
      <c r="G274" s="24">
        <v>59</v>
      </c>
      <c r="H274" s="24" t="s">
        <v>48</v>
      </c>
      <c r="I274" s="25" t="s">
        <v>52</v>
      </c>
      <c r="K274" s="3">
        <f t="shared" si="5"/>
        <v>7.3151999999999995E-2</v>
      </c>
    </row>
    <row r="275" spans="1:11" ht="27.95" customHeight="1" x14ac:dyDescent="0.25">
      <c r="A275" s="22">
        <v>56.70000000000001</v>
      </c>
      <c r="B275" s="23" t="s">
        <v>17</v>
      </c>
      <c r="C275" s="24">
        <v>2.5</v>
      </c>
      <c r="D275" s="24">
        <v>288</v>
      </c>
      <c r="E275" s="24">
        <v>101.6</v>
      </c>
      <c r="F275" s="24">
        <v>62</v>
      </c>
      <c r="G275" s="24">
        <v>67</v>
      </c>
      <c r="H275" s="24" t="s">
        <v>48</v>
      </c>
      <c r="I275" s="25" t="s">
        <v>52</v>
      </c>
      <c r="K275" s="3">
        <f t="shared" si="5"/>
        <v>7.3151999999999995E-2</v>
      </c>
    </row>
    <row r="276" spans="1:11" ht="27.95" customHeight="1" x14ac:dyDescent="0.25">
      <c r="A276" s="22">
        <v>56.800000000000011</v>
      </c>
      <c r="B276" s="23" t="s">
        <v>17</v>
      </c>
      <c r="C276" s="24">
        <v>2.5</v>
      </c>
      <c r="D276" s="24">
        <v>288</v>
      </c>
      <c r="E276" s="24">
        <v>101.6</v>
      </c>
      <c r="F276" s="24">
        <v>70</v>
      </c>
      <c r="G276" s="24">
        <v>75</v>
      </c>
      <c r="H276" s="24" t="s">
        <v>48</v>
      </c>
      <c r="I276" s="25" t="s">
        <v>52</v>
      </c>
      <c r="K276" s="3">
        <f t="shared" si="5"/>
        <v>7.3151999999999995E-2</v>
      </c>
    </row>
    <row r="277" spans="1:11" ht="27.95" customHeight="1" x14ac:dyDescent="0.25">
      <c r="A277" s="22">
        <v>56.900000000000013</v>
      </c>
      <c r="B277" s="23" t="s">
        <v>17</v>
      </c>
      <c r="C277" s="24">
        <v>2.8</v>
      </c>
      <c r="D277" s="24">
        <v>288</v>
      </c>
      <c r="E277" s="24">
        <v>101.6</v>
      </c>
      <c r="F277" s="24">
        <v>78</v>
      </c>
      <c r="G277" s="24">
        <v>84</v>
      </c>
      <c r="H277" s="24" t="s">
        <v>48</v>
      </c>
      <c r="I277" s="25" t="s">
        <v>52</v>
      </c>
      <c r="K277" s="3">
        <f t="shared" si="5"/>
        <v>8.1930239999999988E-2</v>
      </c>
    </row>
    <row r="278" spans="1:11" ht="27.95" customHeight="1" x14ac:dyDescent="0.25">
      <c r="A278" s="32">
        <v>56.1</v>
      </c>
      <c r="B278" s="23" t="s">
        <v>17</v>
      </c>
      <c r="C278" s="24">
        <v>3</v>
      </c>
      <c r="D278" s="24">
        <v>288</v>
      </c>
      <c r="E278" s="24">
        <v>101.6</v>
      </c>
      <c r="F278" s="24">
        <v>87</v>
      </c>
      <c r="G278" s="24">
        <v>93</v>
      </c>
      <c r="H278" s="24" t="s">
        <v>48</v>
      </c>
      <c r="I278" s="25" t="s">
        <v>52</v>
      </c>
      <c r="K278" s="3">
        <f t="shared" si="5"/>
        <v>8.7782399999999997E-2</v>
      </c>
    </row>
    <row r="279" spans="1:11" ht="27.95" customHeight="1" x14ac:dyDescent="0.25">
      <c r="A279" s="32">
        <v>56.11</v>
      </c>
      <c r="B279" s="23" t="s">
        <v>17</v>
      </c>
      <c r="C279" s="24">
        <v>2.5</v>
      </c>
      <c r="D279" s="24">
        <v>288</v>
      </c>
      <c r="E279" s="24">
        <v>101.6</v>
      </c>
      <c r="F279" s="24">
        <v>96</v>
      </c>
      <c r="G279" s="24">
        <v>101</v>
      </c>
      <c r="H279" s="24" t="s">
        <v>48</v>
      </c>
      <c r="I279" s="25" t="s">
        <v>52</v>
      </c>
      <c r="K279" s="3">
        <f t="shared" si="5"/>
        <v>7.3151999999999995E-2</v>
      </c>
    </row>
    <row r="280" spans="1:11" ht="27.95" customHeight="1" x14ac:dyDescent="0.25">
      <c r="A280" s="32">
        <v>56.12</v>
      </c>
      <c r="B280" s="23" t="s">
        <v>17</v>
      </c>
      <c r="C280" s="24">
        <v>2.6</v>
      </c>
      <c r="D280" s="24">
        <v>288</v>
      </c>
      <c r="E280" s="24">
        <v>101.6</v>
      </c>
      <c r="F280" s="24">
        <v>104</v>
      </c>
      <c r="G280" s="24">
        <v>109</v>
      </c>
      <c r="H280" s="24" t="s">
        <v>48</v>
      </c>
      <c r="I280" s="25" t="s">
        <v>52</v>
      </c>
      <c r="K280" s="3">
        <f t="shared" si="5"/>
        <v>7.6078080000000006E-2</v>
      </c>
    </row>
    <row r="281" spans="1:11" ht="27.95" customHeight="1" x14ac:dyDescent="0.25">
      <c r="A281" s="32">
        <v>56.129999999999995</v>
      </c>
      <c r="B281" s="23" t="s">
        <v>17</v>
      </c>
      <c r="C281" s="24">
        <v>2.5</v>
      </c>
      <c r="D281" s="24">
        <v>288</v>
      </c>
      <c r="E281" s="24">
        <v>101.6</v>
      </c>
      <c r="F281" s="24">
        <v>112</v>
      </c>
      <c r="G281" s="24">
        <v>117</v>
      </c>
      <c r="H281" s="24" t="s">
        <v>48</v>
      </c>
      <c r="I281" s="25" t="s">
        <v>26</v>
      </c>
      <c r="K281" s="3">
        <f t="shared" si="5"/>
        <v>7.3151999999999995E-2</v>
      </c>
    </row>
    <row r="282" spans="1:11" ht="27.95" customHeight="1" x14ac:dyDescent="0.25">
      <c r="A282" s="32">
        <v>56.139999999999993</v>
      </c>
      <c r="B282" s="23" t="s">
        <v>17</v>
      </c>
      <c r="C282" s="24">
        <v>7.4</v>
      </c>
      <c r="D282" s="24">
        <v>410</v>
      </c>
      <c r="E282" s="24">
        <v>101.6</v>
      </c>
      <c r="F282" s="24">
        <v>121</v>
      </c>
      <c r="G282" s="24">
        <v>140</v>
      </c>
      <c r="H282" s="24" t="s">
        <v>48</v>
      </c>
      <c r="I282" s="25" t="s">
        <v>109</v>
      </c>
      <c r="K282" s="3">
        <f t="shared" si="5"/>
        <v>0.30825439999999998</v>
      </c>
    </row>
    <row r="283" spans="1:11" ht="30" customHeight="1" thickBot="1" x14ac:dyDescent="0.3">
      <c r="A283" s="31">
        <v>56.149999999999991</v>
      </c>
      <c r="B283" s="27" t="s">
        <v>17</v>
      </c>
      <c r="C283" s="28">
        <v>6.6</v>
      </c>
      <c r="D283" s="28">
        <v>288</v>
      </c>
      <c r="E283" s="28">
        <v>101.6</v>
      </c>
      <c r="F283" s="28">
        <v>140</v>
      </c>
      <c r="G283" s="28">
        <v>158</v>
      </c>
      <c r="H283" s="28" t="s">
        <v>48</v>
      </c>
      <c r="I283" s="29" t="s">
        <v>74</v>
      </c>
      <c r="K283" s="3">
        <f t="shared" si="5"/>
        <v>0.19312128000000001</v>
      </c>
    </row>
    <row r="284" spans="1:11" ht="18.75" customHeight="1" thickTop="1" thickBot="1" x14ac:dyDescent="0.3"/>
    <row r="285" spans="1:11" ht="24.95" customHeight="1" thickTop="1" x14ac:dyDescent="0.25">
      <c r="A285" s="9" t="s">
        <v>110</v>
      </c>
      <c r="B285" s="16" t="s">
        <v>111</v>
      </c>
      <c r="C285" s="17" t="s">
        <v>40</v>
      </c>
      <c r="D285" s="17" t="s">
        <v>9</v>
      </c>
      <c r="E285" s="17" t="s">
        <v>11</v>
      </c>
      <c r="F285" s="372" t="s">
        <v>41</v>
      </c>
      <c r="G285" s="372"/>
      <c r="H285" s="17" t="s">
        <v>50</v>
      </c>
      <c r="I285" s="18" t="s">
        <v>42</v>
      </c>
    </row>
    <row r="286" spans="1:11" ht="24.95" customHeight="1" x14ac:dyDescent="0.25">
      <c r="A286" s="10" t="s">
        <v>43</v>
      </c>
      <c r="B286" s="19" t="s">
        <v>44</v>
      </c>
      <c r="C286" s="20" t="s">
        <v>45</v>
      </c>
      <c r="D286" s="20" t="s">
        <v>46</v>
      </c>
      <c r="E286" s="20" t="s">
        <v>46</v>
      </c>
      <c r="F286" s="371" t="s">
        <v>51</v>
      </c>
      <c r="G286" s="371"/>
      <c r="H286" s="20"/>
      <c r="I286" s="21" t="s">
        <v>112</v>
      </c>
    </row>
    <row r="287" spans="1:11" ht="24.95" customHeight="1" x14ac:dyDescent="0.25">
      <c r="A287" s="22">
        <v>55.1</v>
      </c>
      <c r="B287" s="23" t="s">
        <v>17</v>
      </c>
      <c r="C287" s="24">
        <v>3.7</v>
      </c>
      <c r="D287" s="24">
        <v>288</v>
      </c>
      <c r="E287" s="24">
        <v>108</v>
      </c>
      <c r="F287" s="24" t="s">
        <v>88</v>
      </c>
      <c r="G287" s="24">
        <v>10</v>
      </c>
      <c r="H287" s="24" t="s">
        <v>48</v>
      </c>
      <c r="I287" s="25" t="s">
        <v>89</v>
      </c>
      <c r="K287" s="3">
        <f t="shared" si="5"/>
        <v>0.11508480000000001</v>
      </c>
    </row>
    <row r="288" spans="1:11" ht="24.95" customHeight="1" x14ac:dyDescent="0.25">
      <c r="A288" s="22">
        <v>55.2</v>
      </c>
      <c r="B288" s="23" t="s">
        <v>17</v>
      </c>
      <c r="C288" s="24">
        <v>2.8</v>
      </c>
      <c r="D288" s="24">
        <v>288</v>
      </c>
      <c r="E288" s="24">
        <v>108</v>
      </c>
      <c r="F288" s="24">
        <v>13</v>
      </c>
      <c r="G288" s="24">
        <v>19</v>
      </c>
      <c r="H288" s="24" t="s">
        <v>48</v>
      </c>
      <c r="I288" s="25" t="s">
        <v>89</v>
      </c>
      <c r="K288" s="3">
        <f t="shared" si="5"/>
        <v>8.7091199999999994E-2</v>
      </c>
    </row>
    <row r="289" spans="1:11" ht="24.95" customHeight="1" x14ac:dyDescent="0.25">
      <c r="A289" s="22">
        <v>55.300000000000004</v>
      </c>
      <c r="B289" s="23" t="s">
        <v>17</v>
      </c>
      <c r="C289" s="24">
        <v>2.5</v>
      </c>
      <c r="D289" s="24">
        <v>288</v>
      </c>
      <c r="E289" s="24">
        <v>108</v>
      </c>
      <c r="F289" s="24">
        <v>22</v>
      </c>
      <c r="G289" s="24">
        <v>27</v>
      </c>
      <c r="H289" s="24" t="s">
        <v>48</v>
      </c>
      <c r="I289" s="25" t="s">
        <v>26</v>
      </c>
      <c r="K289" s="3">
        <f t="shared" si="5"/>
        <v>7.7759999999999996E-2</v>
      </c>
    </row>
    <row r="290" spans="1:11" ht="24.95" customHeight="1" x14ac:dyDescent="0.25">
      <c r="A290" s="22">
        <v>55.400000000000006</v>
      </c>
      <c r="B290" s="23" t="s">
        <v>17</v>
      </c>
      <c r="C290" s="24">
        <v>2.6</v>
      </c>
      <c r="D290" s="24">
        <v>288</v>
      </c>
      <c r="E290" s="24">
        <v>108</v>
      </c>
      <c r="F290" s="24">
        <v>30</v>
      </c>
      <c r="G290" s="24">
        <v>35</v>
      </c>
      <c r="H290" s="24" t="s">
        <v>48</v>
      </c>
      <c r="I290" s="25" t="s">
        <v>26</v>
      </c>
      <c r="K290" s="3">
        <f t="shared" si="5"/>
        <v>8.0870400000000009E-2</v>
      </c>
    </row>
    <row r="291" spans="1:11" ht="24.95" customHeight="1" x14ac:dyDescent="0.25">
      <c r="A291" s="22">
        <v>55.500000000000007</v>
      </c>
      <c r="B291" s="23" t="s">
        <v>17</v>
      </c>
      <c r="C291" s="24">
        <v>2.5</v>
      </c>
      <c r="D291" s="24">
        <v>288</v>
      </c>
      <c r="E291" s="24">
        <v>108</v>
      </c>
      <c r="F291" s="24">
        <v>38</v>
      </c>
      <c r="G291" s="24">
        <v>43</v>
      </c>
      <c r="H291" s="24" t="s">
        <v>48</v>
      </c>
      <c r="I291" s="25" t="s">
        <v>52</v>
      </c>
      <c r="K291" s="3">
        <f t="shared" si="5"/>
        <v>7.7759999999999996E-2</v>
      </c>
    </row>
    <row r="292" spans="1:11" ht="24.95" customHeight="1" x14ac:dyDescent="0.25">
      <c r="A292" s="22">
        <v>55.600000000000009</v>
      </c>
      <c r="B292" s="23" t="s">
        <v>17</v>
      </c>
      <c r="C292" s="24">
        <v>2.5</v>
      </c>
      <c r="D292" s="24">
        <v>288</v>
      </c>
      <c r="E292" s="24">
        <v>108</v>
      </c>
      <c r="F292" s="24">
        <v>46</v>
      </c>
      <c r="G292" s="24">
        <v>52</v>
      </c>
      <c r="H292" s="24" t="s">
        <v>48</v>
      </c>
      <c r="I292" s="25" t="s">
        <v>52</v>
      </c>
      <c r="K292" s="3">
        <f t="shared" si="5"/>
        <v>7.7759999999999996E-2</v>
      </c>
    </row>
    <row r="293" spans="1:11" ht="24.95" customHeight="1" x14ac:dyDescent="0.25">
      <c r="A293" s="22">
        <v>55.70000000000001</v>
      </c>
      <c r="B293" s="23" t="s">
        <v>17</v>
      </c>
      <c r="C293" s="24">
        <v>2.5</v>
      </c>
      <c r="D293" s="24">
        <v>288</v>
      </c>
      <c r="E293" s="24">
        <v>108</v>
      </c>
      <c r="F293" s="24">
        <v>55</v>
      </c>
      <c r="G293" s="24">
        <v>59</v>
      </c>
      <c r="H293" s="24" t="s">
        <v>48</v>
      </c>
      <c r="I293" s="25" t="s">
        <v>52</v>
      </c>
      <c r="K293" s="3">
        <f t="shared" si="5"/>
        <v>7.7759999999999996E-2</v>
      </c>
    </row>
    <row r="294" spans="1:11" ht="24.95" customHeight="1" x14ac:dyDescent="0.25">
      <c r="A294" s="22">
        <v>55.800000000000011</v>
      </c>
      <c r="B294" s="23" t="s">
        <v>17</v>
      </c>
      <c r="C294" s="24">
        <v>2.5</v>
      </c>
      <c r="D294" s="24">
        <v>288</v>
      </c>
      <c r="E294" s="24">
        <v>108</v>
      </c>
      <c r="F294" s="24">
        <v>62</v>
      </c>
      <c r="G294" s="24">
        <v>67</v>
      </c>
      <c r="H294" s="24" t="s">
        <v>48</v>
      </c>
      <c r="I294" s="25" t="s">
        <v>52</v>
      </c>
      <c r="K294" s="3">
        <f t="shared" si="5"/>
        <v>7.7759999999999996E-2</v>
      </c>
    </row>
    <row r="295" spans="1:11" ht="24.95" customHeight="1" x14ac:dyDescent="0.25">
      <c r="A295" s="22">
        <v>55.900000000000013</v>
      </c>
      <c r="B295" s="23" t="s">
        <v>17</v>
      </c>
      <c r="C295" s="24">
        <v>2.5</v>
      </c>
      <c r="D295" s="24">
        <v>288</v>
      </c>
      <c r="E295" s="24">
        <v>108</v>
      </c>
      <c r="F295" s="24">
        <v>70</v>
      </c>
      <c r="G295" s="24">
        <v>75</v>
      </c>
      <c r="H295" s="24" t="s">
        <v>48</v>
      </c>
      <c r="I295" s="25" t="s">
        <v>52</v>
      </c>
      <c r="K295" s="3">
        <f t="shared" si="5"/>
        <v>7.7759999999999996E-2</v>
      </c>
    </row>
    <row r="296" spans="1:11" ht="24.95" customHeight="1" x14ac:dyDescent="0.25">
      <c r="A296" s="32">
        <v>55.1</v>
      </c>
      <c r="B296" s="23" t="s">
        <v>17</v>
      </c>
      <c r="C296" s="24">
        <v>2.8</v>
      </c>
      <c r="D296" s="24">
        <v>288</v>
      </c>
      <c r="E296" s="24">
        <v>108</v>
      </c>
      <c r="F296" s="24">
        <v>78</v>
      </c>
      <c r="G296" s="24">
        <v>84</v>
      </c>
      <c r="H296" s="24" t="s">
        <v>48</v>
      </c>
      <c r="I296" s="25" t="s">
        <v>52</v>
      </c>
      <c r="K296" s="3">
        <f t="shared" si="5"/>
        <v>8.7091199999999994E-2</v>
      </c>
    </row>
    <row r="297" spans="1:11" ht="24.95" customHeight="1" x14ac:dyDescent="0.25">
      <c r="A297" s="32">
        <v>55.11</v>
      </c>
      <c r="B297" s="23" t="s">
        <v>17</v>
      </c>
      <c r="C297" s="24">
        <v>3</v>
      </c>
      <c r="D297" s="24">
        <v>288</v>
      </c>
      <c r="E297" s="24">
        <v>108</v>
      </c>
      <c r="F297" s="24">
        <v>87</v>
      </c>
      <c r="G297" s="24">
        <v>93</v>
      </c>
      <c r="H297" s="24" t="s">
        <v>48</v>
      </c>
      <c r="I297" s="25" t="s">
        <v>52</v>
      </c>
      <c r="K297" s="3">
        <f t="shared" si="5"/>
        <v>9.3312000000000006E-2</v>
      </c>
    </row>
    <row r="298" spans="1:11" ht="24.95" customHeight="1" x14ac:dyDescent="0.25">
      <c r="A298" s="32">
        <v>55.12</v>
      </c>
      <c r="B298" s="23" t="s">
        <v>17</v>
      </c>
      <c r="C298" s="24">
        <v>2.5</v>
      </c>
      <c r="D298" s="24">
        <v>288</v>
      </c>
      <c r="E298" s="24">
        <v>108</v>
      </c>
      <c r="F298" s="24">
        <v>96</v>
      </c>
      <c r="G298" s="24">
        <v>101</v>
      </c>
      <c r="H298" s="24" t="s">
        <v>48</v>
      </c>
      <c r="I298" s="25" t="s">
        <v>52</v>
      </c>
      <c r="K298" s="3">
        <f t="shared" si="5"/>
        <v>7.7759999999999996E-2</v>
      </c>
    </row>
    <row r="299" spans="1:11" ht="24.95" customHeight="1" x14ac:dyDescent="0.25">
      <c r="A299" s="32">
        <v>55.129999999999995</v>
      </c>
      <c r="B299" s="23" t="s">
        <v>17</v>
      </c>
      <c r="C299" s="24">
        <v>2.6</v>
      </c>
      <c r="D299" s="24">
        <v>288</v>
      </c>
      <c r="E299" s="24">
        <v>108</v>
      </c>
      <c r="F299" s="24">
        <v>104</v>
      </c>
      <c r="G299" s="24">
        <v>109</v>
      </c>
      <c r="H299" s="24" t="s">
        <v>48</v>
      </c>
      <c r="I299" s="25" t="s">
        <v>52</v>
      </c>
      <c r="K299" s="3">
        <f t="shared" si="5"/>
        <v>8.0870400000000009E-2</v>
      </c>
    </row>
    <row r="300" spans="1:11" ht="24.95" customHeight="1" x14ac:dyDescent="0.25">
      <c r="A300" s="32">
        <v>55.139999999999993</v>
      </c>
      <c r="B300" s="23" t="s">
        <v>17</v>
      </c>
      <c r="C300" s="24">
        <v>2.5</v>
      </c>
      <c r="D300" s="24">
        <v>288</v>
      </c>
      <c r="E300" s="24">
        <v>108</v>
      </c>
      <c r="F300" s="24">
        <v>112</v>
      </c>
      <c r="G300" s="24">
        <v>117</v>
      </c>
      <c r="H300" s="24" t="s">
        <v>48</v>
      </c>
      <c r="I300" s="25" t="s">
        <v>26</v>
      </c>
      <c r="K300" s="3">
        <f t="shared" si="5"/>
        <v>7.7759999999999996E-2</v>
      </c>
    </row>
    <row r="301" spans="1:11" ht="24.95" customHeight="1" x14ac:dyDescent="0.25">
      <c r="A301" s="32">
        <v>55.149999999999991</v>
      </c>
      <c r="B301" s="23" t="s">
        <v>17</v>
      </c>
      <c r="C301" s="24">
        <v>2.5</v>
      </c>
      <c r="D301" s="24">
        <v>288</v>
      </c>
      <c r="E301" s="24">
        <v>108</v>
      </c>
      <c r="F301" s="24">
        <v>121</v>
      </c>
      <c r="G301" s="24">
        <v>127</v>
      </c>
      <c r="H301" s="24" t="s">
        <v>48</v>
      </c>
      <c r="I301" s="25" t="s">
        <v>26</v>
      </c>
      <c r="K301" s="3">
        <f t="shared" si="5"/>
        <v>7.7759999999999996E-2</v>
      </c>
    </row>
    <row r="302" spans="1:11" ht="24.95" customHeight="1" x14ac:dyDescent="0.25">
      <c r="A302" s="32">
        <v>55.159999999999989</v>
      </c>
      <c r="B302" s="23" t="s">
        <v>17</v>
      </c>
      <c r="C302" s="24">
        <v>2.5</v>
      </c>
      <c r="D302" s="24">
        <v>288</v>
      </c>
      <c r="E302" s="24">
        <v>108</v>
      </c>
      <c r="F302" s="24">
        <v>130</v>
      </c>
      <c r="G302" s="24">
        <v>135</v>
      </c>
      <c r="H302" s="24" t="s">
        <v>48</v>
      </c>
      <c r="I302" s="25" t="s">
        <v>26</v>
      </c>
      <c r="K302" s="3">
        <f t="shared" si="5"/>
        <v>7.7759999999999996E-2</v>
      </c>
    </row>
    <row r="303" spans="1:11" ht="24.95" customHeight="1" thickBot="1" x14ac:dyDescent="0.3">
      <c r="A303" s="31">
        <v>55.169999999999987</v>
      </c>
      <c r="B303" s="27" t="s">
        <v>17</v>
      </c>
      <c r="C303" s="28">
        <v>7</v>
      </c>
      <c r="D303" s="28">
        <v>288</v>
      </c>
      <c r="E303" s="28">
        <v>108</v>
      </c>
      <c r="F303" s="28">
        <v>139</v>
      </c>
      <c r="G303" s="28">
        <v>158</v>
      </c>
      <c r="H303" s="28" t="s">
        <v>48</v>
      </c>
      <c r="I303" s="29" t="s">
        <v>113</v>
      </c>
      <c r="K303" s="3">
        <f t="shared" si="5"/>
        <v>0.217728</v>
      </c>
    </row>
    <row r="304" spans="1:11" ht="12.75" customHeight="1" thickTop="1" thickBot="1" x14ac:dyDescent="0.3"/>
    <row r="305" spans="1:11" ht="24.95" customHeight="1" thickTop="1" x14ac:dyDescent="0.25">
      <c r="A305" s="9" t="s">
        <v>114</v>
      </c>
      <c r="B305" s="16" t="s">
        <v>115</v>
      </c>
      <c r="C305" s="17" t="s">
        <v>40</v>
      </c>
      <c r="D305" s="17" t="s">
        <v>9</v>
      </c>
      <c r="E305" s="17" t="s">
        <v>11</v>
      </c>
      <c r="F305" s="372" t="s">
        <v>41</v>
      </c>
      <c r="G305" s="372"/>
      <c r="H305" s="17" t="s">
        <v>50</v>
      </c>
      <c r="I305" s="18" t="s">
        <v>42</v>
      </c>
    </row>
    <row r="306" spans="1:11" ht="24.95" customHeight="1" x14ac:dyDescent="0.25">
      <c r="A306" s="10" t="s">
        <v>43</v>
      </c>
      <c r="B306" s="19" t="s">
        <v>44</v>
      </c>
      <c r="C306" s="20" t="s">
        <v>45</v>
      </c>
      <c r="D306" s="20" t="s">
        <v>46</v>
      </c>
      <c r="E306" s="20" t="s">
        <v>46</v>
      </c>
      <c r="F306" s="371" t="s">
        <v>51</v>
      </c>
      <c r="G306" s="371"/>
      <c r="H306" s="20"/>
      <c r="I306" s="21" t="s">
        <v>116</v>
      </c>
    </row>
    <row r="307" spans="1:11" ht="24.95" customHeight="1" x14ac:dyDescent="0.25">
      <c r="A307" s="22">
        <v>54.1</v>
      </c>
      <c r="B307" s="23" t="s">
        <v>17</v>
      </c>
      <c r="C307" s="24">
        <v>3.7</v>
      </c>
      <c r="D307" s="24">
        <v>288</v>
      </c>
      <c r="E307" s="24">
        <v>112</v>
      </c>
      <c r="F307" s="24" t="s">
        <v>88</v>
      </c>
      <c r="G307" s="24">
        <v>10</v>
      </c>
      <c r="H307" s="24" t="s">
        <v>48</v>
      </c>
      <c r="I307" s="25" t="s">
        <v>89</v>
      </c>
      <c r="K307" s="3">
        <f t="shared" ref="K307:K364" si="6">(C307*D307*E307)/1000000</f>
        <v>0.11934720000000001</v>
      </c>
    </row>
    <row r="308" spans="1:11" ht="24.95" customHeight="1" x14ac:dyDescent="0.25">
      <c r="A308" s="22">
        <v>54.2</v>
      </c>
      <c r="B308" s="23" t="s">
        <v>17</v>
      </c>
      <c r="C308" s="24">
        <v>2.8</v>
      </c>
      <c r="D308" s="24">
        <v>288</v>
      </c>
      <c r="E308" s="24">
        <v>112</v>
      </c>
      <c r="F308" s="24">
        <v>13</v>
      </c>
      <c r="G308" s="24">
        <v>19</v>
      </c>
      <c r="H308" s="24" t="s">
        <v>48</v>
      </c>
      <c r="I308" s="25" t="s">
        <v>89</v>
      </c>
      <c r="K308" s="3">
        <f t="shared" si="6"/>
        <v>9.0316800000000003E-2</v>
      </c>
    </row>
    <row r="309" spans="1:11" ht="24.95" customHeight="1" x14ac:dyDescent="0.25">
      <c r="A309" s="22">
        <v>54.300000000000004</v>
      </c>
      <c r="B309" s="23" t="s">
        <v>17</v>
      </c>
      <c r="C309" s="24">
        <v>2.5</v>
      </c>
      <c r="D309" s="24">
        <v>288</v>
      </c>
      <c r="E309" s="24">
        <v>112</v>
      </c>
      <c r="F309" s="24">
        <v>22</v>
      </c>
      <c r="G309" s="24">
        <v>27</v>
      </c>
      <c r="H309" s="24" t="s">
        <v>48</v>
      </c>
      <c r="I309" s="25" t="s">
        <v>26</v>
      </c>
      <c r="K309" s="3">
        <f t="shared" si="6"/>
        <v>8.0640000000000003E-2</v>
      </c>
    </row>
    <row r="310" spans="1:11" ht="24.95" customHeight="1" x14ac:dyDescent="0.25">
      <c r="A310" s="22">
        <v>54.400000000000006</v>
      </c>
      <c r="B310" s="23" t="s">
        <v>17</v>
      </c>
      <c r="C310" s="24">
        <v>2.6</v>
      </c>
      <c r="D310" s="24">
        <v>288</v>
      </c>
      <c r="E310" s="24">
        <v>112</v>
      </c>
      <c r="F310" s="24">
        <v>30</v>
      </c>
      <c r="G310" s="24">
        <v>35</v>
      </c>
      <c r="H310" s="24" t="s">
        <v>48</v>
      </c>
      <c r="I310" s="25" t="s">
        <v>26</v>
      </c>
      <c r="K310" s="3">
        <f t="shared" si="6"/>
        <v>8.3865600000000012E-2</v>
      </c>
    </row>
    <row r="311" spans="1:11" ht="24.95" customHeight="1" x14ac:dyDescent="0.25">
      <c r="A311" s="22">
        <v>54.500000000000007</v>
      </c>
      <c r="B311" s="23" t="s">
        <v>17</v>
      </c>
      <c r="C311" s="24">
        <v>2.5</v>
      </c>
      <c r="D311" s="24">
        <v>288</v>
      </c>
      <c r="E311" s="24">
        <v>112</v>
      </c>
      <c r="F311" s="24">
        <v>38</v>
      </c>
      <c r="G311" s="24">
        <v>43</v>
      </c>
      <c r="H311" s="24" t="s">
        <v>48</v>
      </c>
      <c r="I311" s="25" t="s">
        <v>26</v>
      </c>
      <c r="K311" s="3">
        <f t="shared" si="6"/>
        <v>8.0640000000000003E-2</v>
      </c>
    </row>
    <row r="312" spans="1:11" ht="24.95" customHeight="1" x14ac:dyDescent="0.25">
      <c r="A312" s="22">
        <v>54.600000000000009</v>
      </c>
      <c r="B312" s="23" t="s">
        <v>17</v>
      </c>
      <c r="C312" s="24">
        <v>2.5</v>
      </c>
      <c r="D312" s="24">
        <v>288</v>
      </c>
      <c r="E312" s="24">
        <v>112</v>
      </c>
      <c r="F312" s="24">
        <v>46</v>
      </c>
      <c r="G312" s="24">
        <v>52</v>
      </c>
      <c r="H312" s="24" t="s">
        <v>48</v>
      </c>
      <c r="I312" s="25" t="s">
        <v>52</v>
      </c>
      <c r="K312" s="3">
        <f t="shared" si="6"/>
        <v>8.0640000000000003E-2</v>
      </c>
    </row>
    <row r="313" spans="1:11" ht="24.95" customHeight="1" x14ac:dyDescent="0.25">
      <c r="A313" s="22">
        <v>54.70000000000001</v>
      </c>
      <c r="B313" s="23" t="s">
        <v>17</v>
      </c>
      <c r="C313" s="24">
        <v>2.5</v>
      </c>
      <c r="D313" s="24">
        <v>288</v>
      </c>
      <c r="E313" s="24">
        <v>112</v>
      </c>
      <c r="F313" s="24">
        <v>55</v>
      </c>
      <c r="G313" s="24">
        <v>59</v>
      </c>
      <c r="H313" s="24" t="s">
        <v>48</v>
      </c>
      <c r="I313" s="25" t="s">
        <v>52</v>
      </c>
      <c r="K313" s="3">
        <f t="shared" si="6"/>
        <v>8.0640000000000003E-2</v>
      </c>
    </row>
    <row r="314" spans="1:11" ht="24.95" customHeight="1" x14ac:dyDescent="0.25">
      <c r="A314" s="22">
        <v>54.800000000000011</v>
      </c>
      <c r="B314" s="23" t="s">
        <v>17</v>
      </c>
      <c r="C314" s="24">
        <v>2.5</v>
      </c>
      <c r="D314" s="24">
        <v>288</v>
      </c>
      <c r="E314" s="24">
        <v>112</v>
      </c>
      <c r="F314" s="24">
        <v>62</v>
      </c>
      <c r="G314" s="24">
        <v>67</v>
      </c>
      <c r="H314" s="24" t="s">
        <v>48</v>
      </c>
      <c r="I314" s="25" t="s">
        <v>52</v>
      </c>
      <c r="K314" s="3">
        <f t="shared" si="6"/>
        <v>8.0640000000000003E-2</v>
      </c>
    </row>
    <row r="315" spans="1:11" ht="24.95" customHeight="1" x14ac:dyDescent="0.25">
      <c r="A315" s="22">
        <v>54.900000000000013</v>
      </c>
      <c r="B315" s="23" t="s">
        <v>17</v>
      </c>
      <c r="C315" s="24">
        <v>2.5</v>
      </c>
      <c r="D315" s="24">
        <v>288</v>
      </c>
      <c r="E315" s="24">
        <v>112</v>
      </c>
      <c r="F315" s="24">
        <v>70</v>
      </c>
      <c r="G315" s="24">
        <v>75</v>
      </c>
      <c r="H315" s="24" t="s">
        <v>48</v>
      </c>
      <c r="I315" s="25" t="s">
        <v>52</v>
      </c>
      <c r="K315" s="3">
        <f t="shared" si="6"/>
        <v>8.0640000000000003E-2</v>
      </c>
    </row>
    <row r="316" spans="1:11" ht="24.95" customHeight="1" x14ac:dyDescent="0.25">
      <c r="A316" s="32">
        <v>54.1</v>
      </c>
      <c r="B316" s="23" t="s">
        <v>17</v>
      </c>
      <c r="C316" s="24">
        <v>2.8</v>
      </c>
      <c r="D316" s="24">
        <v>288</v>
      </c>
      <c r="E316" s="24">
        <v>112</v>
      </c>
      <c r="F316" s="24">
        <v>78</v>
      </c>
      <c r="G316" s="24">
        <v>84</v>
      </c>
      <c r="H316" s="24" t="s">
        <v>48</v>
      </c>
      <c r="I316" s="25" t="s">
        <v>52</v>
      </c>
      <c r="K316" s="3">
        <f t="shared" si="6"/>
        <v>9.0316800000000003E-2</v>
      </c>
    </row>
    <row r="317" spans="1:11" ht="24.95" customHeight="1" x14ac:dyDescent="0.25">
      <c r="A317" s="32">
        <v>54.11</v>
      </c>
      <c r="B317" s="23" t="s">
        <v>17</v>
      </c>
      <c r="C317" s="24">
        <v>3</v>
      </c>
      <c r="D317" s="24">
        <v>288</v>
      </c>
      <c r="E317" s="24">
        <v>112</v>
      </c>
      <c r="F317" s="24">
        <v>87</v>
      </c>
      <c r="G317" s="24">
        <v>93</v>
      </c>
      <c r="H317" s="24" t="s">
        <v>48</v>
      </c>
      <c r="I317" s="25" t="s">
        <v>52</v>
      </c>
      <c r="K317" s="3">
        <f t="shared" si="6"/>
        <v>9.6768000000000007E-2</v>
      </c>
    </row>
    <row r="318" spans="1:11" ht="24.95" customHeight="1" x14ac:dyDescent="0.25">
      <c r="A318" s="32">
        <v>54.12</v>
      </c>
      <c r="B318" s="23" t="s">
        <v>17</v>
      </c>
      <c r="C318" s="24">
        <v>2.5</v>
      </c>
      <c r="D318" s="24">
        <v>288</v>
      </c>
      <c r="E318" s="24">
        <v>112</v>
      </c>
      <c r="F318" s="24">
        <v>96</v>
      </c>
      <c r="G318" s="24">
        <v>101</v>
      </c>
      <c r="H318" s="24" t="s">
        <v>48</v>
      </c>
      <c r="I318" s="25" t="s">
        <v>52</v>
      </c>
      <c r="K318" s="3">
        <f t="shared" si="6"/>
        <v>8.0640000000000003E-2</v>
      </c>
    </row>
    <row r="319" spans="1:11" ht="24.95" customHeight="1" x14ac:dyDescent="0.25">
      <c r="A319" s="32">
        <v>54.13</v>
      </c>
      <c r="B319" s="23" t="s">
        <v>17</v>
      </c>
      <c r="C319" s="24">
        <v>2.6</v>
      </c>
      <c r="D319" s="24">
        <v>288</v>
      </c>
      <c r="E319" s="24">
        <v>112</v>
      </c>
      <c r="F319" s="24">
        <v>104</v>
      </c>
      <c r="G319" s="24">
        <v>109</v>
      </c>
      <c r="H319" s="24" t="s">
        <v>48</v>
      </c>
      <c r="I319" s="25" t="s">
        <v>52</v>
      </c>
      <c r="K319" s="3">
        <f t="shared" si="6"/>
        <v>8.3865600000000012E-2</v>
      </c>
    </row>
    <row r="320" spans="1:11" ht="24.95" customHeight="1" x14ac:dyDescent="0.25">
      <c r="A320" s="32">
        <v>54.14</v>
      </c>
      <c r="B320" s="23" t="s">
        <v>17</v>
      </c>
      <c r="C320" s="24">
        <v>2.5</v>
      </c>
      <c r="D320" s="24">
        <v>288</v>
      </c>
      <c r="E320" s="24">
        <v>112</v>
      </c>
      <c r="F320" s="24">
        <v>112</v>
      </c>
      <c r="G320" s="24">
        <v>117</v>
      </c>
      <c r="H320" s="24" t="s">
        <v>48</v>
      </c>
      <c r="I320" s="25" t="s">
        <v>26</v>
      </c>
      <c r="K320" s="3">
        <f t="shared" si="6"/>
        <v>8.0640000000000003E-2</v>
      </c>
    </row>
    <row r="321" spans="1:11" ht="24.95" customHeight="1" x14ac:dyDescent="0.25">
      <c r="A321" s="32">
        <v>54.15</v>
      </c>
      <c r="B321" s="23" t="s">
        <v>17</v>
      </c>
      <c r="C321" s="24">
        <v>2.5</v>
      </c>
      <c r="D321" s="24">
        <v>288</v>
      </c>
      <c r="E321" s="24">
        <v>112</v>
      </c>
      <c r="F321" s="24">
        <v>121</v>
      </c>
      <c r="G321" s="24">
        <v>127</v>
      </c>
      <c r="H321" s="24" t="s">
        <v>48</v>
      </c>
      <c r="I321" s="25" t="s">
        <v>26</v>
      </c>
      <c r="K321" s="3">
        <f t="shared" si="6"/>
        <v>8.0640000000000003E-2</v>
      </c>
    </row>
    <row r="322" spans="1:11" ht="24.95" customHeight="1" x14ac:dyDescent="0.25">
      <c r="A322" s="32">
        <v>54.16</v>
      </c>
      <c r="B322" s="23" t="s">
        <v>17</v>
      </c>
      <c r="C322" s="24">
        <v>2.5</v>
      </c>
      <c r="D322" s="24">
        <v>288</v>
      </c>
      <c r="E322" s="24">
        <v>112</v>
      </c>
      <c r="F322" s="24">
        <v>130</v>
      </c>
      <c r="G322" s="24">
        <v>135</v>
      </c>
      <c r="H322" s="24" t="s">
        <v>48</v>
      </c>
      <c r="I322" s="25" t="s">
        <v>26</v>
      </c>
      <c r="K322" s="3">
        <f t="shared" si="6"/>
        <v>8.0640000000000003E-2</v>
      </c>
    </row>
    <row r="323" spans="1:11" ht="24.95" customHeight="1" thickBot="1" x14ac:dyDescent="0.3">
      <c r="A323" s="31">
        <v>54.17</v>
      </c>
      <c r="B323" s="27" t="s">
        <v>17</v>
      </c>
      <c r="C323" s="28">
        <v>6.9</v>
      </c>
      <c r="D323" s="28">
        <v>288</v>
      </c>
      <c r="E323" s="28">
        <v>112</v>
      </c>
      <c r="F323" s="28">
        <v>139</v>
      </c>
      <c r="G323" s="28">
        <v>157</v>
      </c>
      <c r="H323" s="28" t="s">
        <v>48</v>
      </c>
      <c r="I323" s="29" t="s">
        <v>113</v>
      </c>
      <c r="K323" s="3">
        <f t="shared" si="6"/>
        <v>0.2225664</v>
      </c>
    </row>
    <row r="324" spans="1:11" ht="18" customHeight="1" thickTop="1" thickBot="1" x14ac:dyDescent="0.3">
      <c r="A324" s="33"/>
    </row>
    <row r="325" spans="1:11" ht="30" customHeight="1" thickTop="1" x14ac:dyDescent="0.25">
      <c r="A325" s="9" t="s">
        <v>117</v>
      </c>
      <c r="B325" s="16" t="s">
        <v>118</v>
      </c>
      <c r="C325" s="17" t="s">
        <v>40</v>
      </c>
      <c r="D325" s="17" t="s">
        <v>9</v>
      </c>
      <c r="E325" s="17" t="s">
        <v>11</v>
      </c>
      <c r="F325" s="372" t="s">
        <v>41</v>
      </c>
      <c r="G325" s="372"/>
      <c r="H325" s="17" t="s">
        <v>50</v>
      </c>
      <c r="I325" s="18" t="s">
        <v>42</v>
      </c>
    </row>
    <row r="326" spans="1:11" ht="30" customHeight="1" x14ac:dyDescent="0.25">
      <c r="A326" s="10" t="s">
        <v>43</v>
      </c>
      <c r="B326" s="19" t="s">
        <v>44</v>
      </c>
      <c r="C326" s="20" t="s">
        <v>45</v>
      </c>
      <c r="D326" s="20" t="s">
        <v>46</v>
      </c>
      <c r="E326" s="20" t="s">
        <v>46</v>
      </c>
      <c r="F326" s="371" t="s">
        <v>51</v>
      </c>
      <c r="G326" s="371"/>
      <c r="H326" s="20"/>
      <c r="I326" s="21" t="s">
        <v>119</v>
      </c>
    </row>
    <row r="327" spans="1:11" ht="30" customHeight="1" x14ac:dyDescent="0.25">
      <c r="A327" s="22">
        <v>53.1</v>
      </c>
      <c r="B327" s="23" t="s">
        <v>17</v>
      </c>
      <c r="C327" s="24">
        <v>3.7</v>
      </c>
      <c r="D327" s="24">
        <v>288</v>
      </c>
      <c r="E327" s="24">
        <v>114.3</v>
      </c>
      <c r="F327" s="24" t="s">
        <v>88</v>
      </c>
      <c r="G327" s="24">
        <v>10</v>
      </c>
      <c r="H327" s="24" t="s">
        <v>48</v>
      </c>
      <c r="I327" s="25" t="s">
        <v>89</v>
      </c>
      <c r="K327" s="3">
        <f t="shared" si="6"/>
        <v>0.12179808000000002</v>
      </c>
    </row>
    <row r="328" spans="1:11" ht="30" customHeight="1" x14ac:dyDescent="0.25">
      <c r="A328" s="22">
        <v>53.2</v>
      </c>
      <c r="B328" s="23" t="s">
        <v>17</v>
      </c>
      <c r="C328" s="24">
        <v>2.8</v>
      </c>
      <c r="D328" s="24">
        <v>288</v>
      </c>
      <c r="E328" s="24">
        <v>114.3</v>
      </c>
      <c r="F328" s="24">
        <v>13</v>
      </c>
      <c r="G328" s="24">
        <v>19</v>
      </c>
      <c r="H328" s="24" t="s">
        <v>48</v>
      </c>
      <c r="I328" s="25" t="s">
        <v>89</v>
      </c>
      <c r="K328" s="3">
        <f t="shared" si="6"/>
        <v>9.2171519999999993E-2</v>
      </c>
    </row>
    <row r="329" spans="1:11" ht="30" customHeight="1" x14ac:dyDescent="0.25">
      <c r="A329" s="22">
        <v>53.300000000000004</v>
      </c>
      <c r="B329" s="23" t="s">
        <v>17</v>
      </c>
      <c r="C329" s="24">
        <v>7.4</v>
      </c>
      <c r="D329" s="24">
        <v>350</v>
      </c>
      <c r="E329" s="24">
        <v>114.3</v>
      </c>
      <c r="F329" s="24">
        <v>22</v>
      </c>
      <c r="G329" s="24">
        <v>39</v>
      </c>
      <c r="H329" s="24" t="s">
        <v>48</v>
      </c>
      <c r="I329" s="25" t="s">
        <v>120</v>
      </c>
      <c r="K329" s="3">
        <f t="shared" si="6"/>
        <v>0.29603699999999999</v>
      </c>
    </row>
    <row r="330" spans="1:11" ht="30" customHeight="1" x14ac:dyDescent="0.25">
      <c r="A330" s="22">
        <v>53.400000000000006</v>
      </c>
      <c r="B330" s="23" t="s">
        <v>17</v>
      </c>
      <c r="C330" s="24">
        <v>7.4</v>
      </c>
      <c r="D330" s="24">
        <v>420</v>
      </c>
      <c r="E330" s="24">
        <v>114.3</v>
      </c>
      <c r="F330" s="24">
        <v>39</v>
      </c>
      <c r="G330" s="24">
        <v>57</v>
      </c>
      <c r="H330" s="24" t="s">
        <v>48</v>
      </c>
      <c r="I330" s="25" t="s">
        <v>121</v>
      </c>
      <c r="K330" s="3">
        <f t="shared" si="6"/>
        <v>0.35524439999999996</v>
      </c>
    </row>
    <row r="331" spans="1:11" ht="30" customHeight="1" x14ac:dyDescent="0.25">
      <c r="A331" s="22">
        <v>53.500000000000007</v>
      </c>
      <c r="B331" s="23" t="s">
        <v>17</v>
      </c>
      <c r="C331" s="24">
        <v>7.4</v>
      </c>
      <c r="D331" s="24">
        <v>412</v>
      </c>
      <c r="E331" s="24">
        <v>114.3</v>
      </c>
      <c r="F331" s="24">
        <v>57</v>
      </c>
      <c r="G331" s="24">
        <v>73</v>
      </c>
      <c r="H331" s="24" t="s">
        <v>48</v>
      </c>
      <c r="I331" s="25" t="s">
        <v>122</v>
      </c>
      <c r="K331" s="3">
        <f t="shared" si="6"/>
        <v>0.34847784000000004</v>
      </c>
    </row>
    <row r="332" spans="1:11" ht="30" customHeight="1" x14ac:dyDescent="0.25">
      <c r="A332" s="22">
        <v>53.600000000000009</v>
      </c>
      <c r="B332" s="23" t="s">
        <v>17</v>
      </c>
      <c r="C332" s="24">
        <v>4.8</v>
      </c>
      <c r="D332" s="24">
        <v>344</v>
      </c>
      <c r="E332" s="24">
        <v>114.3</v>
      </c>
      <c r="F332" s="24">
        <v>73</v>
      </c>
      <c r="G332" s="24">
        <v>84</v>
      </c>
      <c r="H332" s="24" t="s">
        <v>48</v>
      </c>
      <c r="I332" s="25" t="s">
        <v>123</v>
      </c>
      <c r="K332" s="3">
        <f t="shared" si="6"/>
        <v>0.18873216000000001</v>
      </c>
    </row>
    <row r="333" spans="1:11" ht="30" customHeight="1" x14ac:dyDescent="0.25">
      <c r="A333" s="22">
        <v>53.70000000000001</v>
      </c>
      <c r="B333" s="23" t="s">
        <v>17</v>
      </c>
      <c r="C333" s="24">
        <v>4.9000000000000004</v>
      </c>
      <c r="D333" s="24">
        <v>381</v>
      </c>
      <c r="E333" s="24">
        <v>114.3</v>
      </c>
      <c r="F333" s="24">
        <v>87</v>
      </c>
      <c r="G333" s="24">
        <v>98</v>
      </c>
      <c r="H333" s="24" t="s">
        <v>48</v>
      </c>
      <c r="I333" s="25" t="s">
        <v>124</v>
      </c>
      <c r="K333" s="3">
        <f t="shared" si="6"/>
        <v>0.21338667</v>
      </c>
    </row>
    <row r="334" spans="1:11" ht="30" customHeight="1" x14ac:dyDescent="0.25">
      <c r="A334" s="22">
        <v>53.800000000000011</v>
      </c>
      <c r="B334" s="23" t="s">
        <v>17</v>
      </c>
      <c r="C334" s="24">
        <v>7.4</v>
      </c>
      <c r="D334" s="24">
        <v>347</v>
      </c>
      <c r="E334" s="24">
        <v>114.3</v>
      </c>
      <c r="F334" s="24">
        <v>98</v>
      </c>
      <c r="G334" s="24">
        <v>115</v>
      </c>
      <c r="H334" s="24" t="s">
        <v>48</v>
      </c>
      <c r="I334" s="25" t="s">
        <v>125</v>
      </c>
      <c r="K334" s="3">
        <f t="shared" si="6"/>
        <v>0.29349954000000006</v>
      </c>
    </row>
    <row r="335" spans="1:11" ht="30" customHeight="1" x14ac:dyDescent="0.25">
      <c r="A335" s="22">
        <v>53.900000000000013</v>
      </c>
      <c r="B335" s="23" t="s">
        <v>17</v>
      </c>
      <c r="C335" s="24">
        <v>4.5</v>
      </c>
      <c r="D335" s="24">
        <v>288</v>
      </c>
      <c r="E335" s="24">
        <v>114.3</v>
      </c>
      <c r="F335" s="24">
        <v>115</v>
      </c>
      <c r="G335" s="24">
        <v>127</v>
      </c>
      <c r="H335" s="24" t="s">
        <v>48</v>
      </c>
      <c r="I335" s="25" t="s">
        <v>126</v>
      </c>
      <c r="K335" s="3">
        <f t="shared" si="6"/>
        <v>0.14813279999999998</v>
      </c>
    </row>
    <row r="336" spans="1:11" ht="30" customHeight="1" x14ac:dyDescent="0.25">
      <c r="A336" s="32">
        <v>53.1</v>
      </c>
      <c r="B336" s="23" t="s">
        <v>17</v>
      </c>
      <c r="C336" s="24">
        <v>2.5</v>
      </c>
      <c r="D336" s="24">
        <v>288</v>
      </c>
      <c r="E336" s="24">
        <v>114.3</v>
      </c>
      <c r="F336" s="24">
        <v>130</v>
      </c>
      <c r="G336" s="24">
        <v>135</v>
      </c>
      <c r="H336" s="24" t="s">
        <v>48</v>
      </c>
      <c r="I336" s="25" t="s">
        <v>126</v>
      </c>
      <c r="K336" s="3">
        <f t="shared" si="6"/>
        <v>8.2295999999999994E-2</v>
      </c>
    </row>
    <row r="337" spans="1:11" ht="30" customHeight="1" x14ac:dyDescent="0.25">
      <c r="A337" s="32">
        <v>53.11</v>
      </c>
      <c r="B337" s="23" t="s">
        <v>17</v>
      </c>
      <c r="C337" s="24">
        <v>4.5</v>
      </c>
      <c r="D337" s="24">
        <v>288</v>
      </c>
      <c r="E337" s="24">
        <v>114.3</v>
      </c>
      <c r="F337" s="24">
        <v>139</v>
      </c>
      <c r="G337" s="24">
        <v>150</v>
      </c>
      <c r="H337" s="24" t="s">
        <v>48</v>
      </c>
      <c r="I337" s="25" t="s">
        <v>113</v>
      </c>
      <c r="K337" s="3">
        <f t="shared" si="6"/>
        <v>0.14813279999999998</v>
      </c>
    </row>
    <row r="338" spans="1:11" ht="30" customHeight="1" thickBot="1" x14ac:dyDescent="0.3">
      <c r="A338" s="31">
        <v>53.12</v>
      </c>
      <c r="B338" s="27" t="s">
        <v>17</v>
      </c>
      <c r="C338" s="28">
        <v>1.7</v>
      </c>
      <c r="D338" s="28">
        <v>288</v>
      </c>
      <c r="E338" s="28">
        <v>114.3</v>
      </c>
      <c r="F338" s="28">
        <v>153</v>
      </c>
      <c r="G338" s="28">
        <v>157</v>
      </c>
      <c r="H338" s="28" t="s">
        <v>48</v>
      </c>
      <c r="I338" s="29" t="s">
        <v>113</v>
      </c>
      <c r="K338" s="3">
        <f t="shared" si="6"/>
        <v>5.5961279999999988E-2</v>
      </c>
    </row>
    <row r="339" spans="1:11" ht="31.5" customHeight="1" thickTop="1" thickBot="1" x14ac:dyDescent="0.3"/>
    <row r="340" spans="1:11" ht="30" customHeight="1" thickTop="1" x14ac:dyDescent="0.25">
      <c r="A340" s="9" t="s">
        <v>127</v>
      </c>
      <c r="B340" s="16" t="s">
        <v>128</v>
      </c>
      <c r="C340" s="17" t="s">
        <v>40</v>
      </c>
      <c r="D340" s="17" t="s">
        <v>9</v>
      </c>
      <c r="E340" s="17" t="s">
        <v>11</v>
      </c>
      <c r="F340" s="372" t="s">
        <v>41</v>
      </c>
      <c r="G340" s="372"/>
      <c r="H340" s="17" t="s">
        <v>50</v>
      </c>
      <c r="I340" s="18" t="s">
        <v>42</v>
      </c>
    </row>
    <row r="341" spans="1:11" ht="30" customHeight="1" x14ac:dyDescent="0.25">
      <c r="A341" s="10" t="s">
        <v>43</v>
      </c>
      <c r="B341" s="19" t="s">
        <v>44</v>
      </c>
      <c r="C341" s="20" t="s">
        <v>45</v>
      </c>
      <c r="D341" s="20" t="s">
        <v>46</v>
      </c>
      <c r="E341" s="20" t="s">
        <v>46</v>
      </c>
      <c r="F341" s="371" t="s">
        <v>51</v>
      </c>
      <c r="G341" s="371"/>
      <c r="H341" s="20"/>
      <c r="I341" s="21"/>
    </row>
    <row r="342" spans="1:11" ht="30" customHeight="1" x14ac:dyDescent="0.25">
      <c r="A342" s="22">
        <v>52.1</v>
      </c>
      <c r="B342" s="23" t="s">
        <v>197</v>
      </c>
      <c r="C342" s="24">
        <v>4.8</v>
      </c>
      <c r="D342" s="24">
        <v>431</v>
      </c>
      <c r="E342" s="24">
        <v>140</v>
      </c>
      <c r="F342" s="24" t="s">
        <v>88</v>
      </c>
      <c r="G342" s="24">
        <v>13</v>
      </c>
      <c r="H342" s="24" t="s">
        <v>48</v>
      </c>
      <c r="I342" s="25" t="s">
        <v>89</v>
      </c>
      <c r="K342" s="3">
        <f t="shared" si="6"/>
        <v>0.28963199999999995</v>
      </c>
    </row>
    <row r="343" spans="1:11" ht="30" customHeight="1" x14ac:dyDescent="0.25">
      <c r="A343" s="22">
        <v>52.2</v>
      </c>
      <c r="B343" s="23" t="s">
        <v>197</v>
      </c>
      <c r="C343" s="24">
        <v>7.4</v>
      </c>
      <c r="D343" s="24">
        <v>431</v>
      </c>
      <c r="E343" s="24">
        <v>140</v>
      </c>
      <c r="F343" s="24">
        <f>G342</f>
        <v>13</v>
      </c>
      <c r="G343" s="24">
        <v>31</v>
      </c>
      <c r="H343" s="24" t="s">
        <v>48</v>
      </c>
      <c r="I343" s="25" t="s">
        <v>89</v>
      </c>
      <c r="K343" s="3">
        <f t="shared" si="6"/>
        <v>0.44651600000000002</v>
      </c>
    </row>
    <row r="344" spans="1:11" ht="30" customHeight="1" x14ac:dyDescent="0.25">
      <c r="A344" s="22">
        <v>52.300000000000004</v>
      </c>
      <c r="B344" s="23" t="s">
        <v>197</v>
      </c>
      <c r="C344" s="24">
        <v>7.4</v>
      </c>
      <c r="D344" s="24">
        <v>431</v>
      </c>
      <c r="E344" s="24">
        <v>140</v>
      </c>
      <c r="F344" s="24">
        <f t="shared" ref="F344:F350" si="7">G343</f>
        <v>31</v>
      </c>
      <c r="G344" s="24">
        <v>49</v>
      </c>
      <c r="H344" s="24" t="s">
        <v>48</v>
      </c>
      <c r="I344" s="25" t="s">
        <v>126</v>
      </c>
      <c r="K344" s="3">
        <f t="shared" si="6"/>
        <v>0.44651600000000002</v>
      </c>
    </row>
    <row r="345" spans="1:11" ht="30" customHeight="1" x14ac:dyDescent="0.25">
      <c r="A345" s="22">
        <v>52.400000000000006</v>
      </c>
      <c r="B345" s="23" t="s">
        <v>197</v>
      </c>
      <c r="C345" s="24">
        <v>7.4</v>
      </c>
      <c r="D345" s="24">
        <v>431</v>
      </c>
      <c r="E345" s="24">
        <v>140</v>
      </c>
      <c r="F345" s="24">
        <f t="shared" si="7"/>
        <v>49</v>
      </c>
      <c r="G345" s="24">
        <v>65</v>
      </c>
      <c r="H345" s="24" t="s">
        <v>48</v>
      </c>
      <c r="I345" s="25" t="s">
        <v>52</v>
      </c>
      <c r="K345" s="3">
        <f t="shared" si="6"/>
        <v>0.44651600000000002</v>
      </c>
    </row>
    <row r="346" spans="1:11" ht="30" customHeight="1" x14ac:dyDescent="0.25">
      <c r="A346" s="22">
        <v>52.500000000000007</v>
      </c>
      <c r="B346" s="23" t="s">
        <v>197</v>
      </c>
      <c r="C346" s="24">
        <v>7.4</v>
      </c>
      <c r="D346" s="24">
        <v>431</v>
      </c>
      <c r="E346" s="24">
        <v>140</v>
      </c>
      <c r="F346" s="24">
        <f t="shared" si="7"/>
        <v>65</v>
      </c>
      <c r="G346" s="24">
        <v>83</v>
      </c>
      <c r="H346" s="24" t="s">
        <v>48</v>
      </c>
      <c r="I346" s="25" t="s">
        <v>52</v>
      </c>
      <c r="K346" s="3">
        <f t="shared" si="6"/>
        <v>0.44651600000000002</v>
      </c>
    </row>
    <row r="347" spans="1:11" ht="30" customHeight="1" x14ac:dyDescent="0.25">
      <c r="A347" s="22">
        <v>52.600000000000009</v>
      </c>
      <c r="B347" s="23" t="s">
        <v>197</v>
      </c>
      <c r="C347" s="24">
        <v>10.3</v>
      </c>
      <c r="D347" s="24">
        <v>431</v>
      </c>
      <c r="E347" s="24">
        <v>140</v>
      </c>
      <c r="F347" s="24">
        <f t="shared" si="7"/>
        <v>83</v>
      </c>
      <c r="G347" s="24">
        <v>108</v>
      </c>
      <c r="H347" s="24" t="s">
        <v>48</v>
      </c>
      <c r="I347" s="25" t="s">
        <v>52</v>
      </c>
      <c r="K347" s="3">
        <f t="shared" si="6"/>
        <v>0.621502</v>
      </c>
    </row>
    <row r="348" spans="1:11" ht="30" customHeight="1" x14ac:dyDescent="0.25">
      <c r="A348" s="22">
        <v>52.70000000000001</v>
      </c>
      <c r="B348" s="23" t="s">
        <v>197</v>
      </c>
      <c r="C348" s="24">
        <v>7.4</v>
      </c>
      <c r="D348" s="24">
        <v>431</v>
      </c>
      <c r="E348" s="24">
        <v>140</v>
      </c>
      <c r="F348" s="24">
        <f t="shared" si="7"/>
        <v>108</v>
      </c>
      <c r="G348" s="24">
        <v>126</v>
      </c>
      <c r="H348" s="24" t="s">
        <v>48</v>
      </c>
      <c r="I348" s="25" t="s">
        <v>126</v>
      </c>
      <c r="K348" s="3">
        <f t="shared" si="6"/>
        <v>0.44651600000000002</v>
      </c>
    </row>
    <row r="349" spans="1:11" ht="30" customHeight="1" x14ac:dyDescent="0.25">
      <c r="A349" s="22">
        <v>52.800000000000011</v>
      </c>
      <c r="B349" s="23" t="s">
        <v>197</v>
      </c>
      <c r="C349" s="24">
        <v>7.4</v>
      </c>
      <c r="D349" s="24">
        <v>431</v>
      </c>
      <c r="E349" s="24">
        <v>140</v>
      </c>
      <c r="F349" s="24">
        <f t="shared" si="7"/>
        <v>126</v>
      </c>
      <c r="G349" s="24">
        <v>145</v>
      </c>
      <c r="H349" s="24" t="s">
        <v>48</v>
      </c>
      <c r="I349" s="25" t="s">
        <v>126</v>
      </c>
      <c r="K349" s="3">
        <f t="shared" si="6"/>
        <v>0.44651600000000002</v>
      </c>
    </row>
    <row r="350" spans="1:11" ht="30" customHeight="1" x14ac:dyDescent="0.25">
      <c r="A350" s="22">
        <v>52.900000000000013</v>
      </c>
      <c r="B350" s="23" t="s">
        <v>197</v>
      </c>
      <c r="C350" s="24">
        <v>2.1</v>
      </c>
      <c r="D350" s="24">
        <v>431</v>
      </c>
      <c r="E350" s="24">
        <v>140</v>
      </c>
      <c r="F350" s="24">
        <f t="shared" si="7"/>
        <v>145</v>
      </c>
      <c r="G350" s="24">
        <v>150</v>
      </c>
      <c r="H350" s="24" t="s">
        <v>48</v>
      </c>
      <c r="I350" s="25" t="s">
        <v>113</v>
      </c>
      <c r="K350" s="3">
        <f t="shared" si="6"/>
        <v>0.12671399999999999</v>
      </c>
    </row>
    <row r="351" spans="1:11" ht="30" customHeight="1" thickBot="1" x14ac:dyDescent="0.3">
      <c r="A351" s="31">
        <v>52.1</v>
      </c>
      <c r="B351" s="27" t="s">
        <v>197</v>
      </c>
      <c r="C351" s="28">
        <v>1.6</v>
      </c>
      <c r="D351" s="28">
        <v>431</v>
      </c>
      <c r="E351" s="28">
        <v>140</v>
      </c>
      <c r="F351" s="28">
        <v>153</v>
      </c>
      <c r="G351" s="28">
        <v>157</v>
      </c>
      <c r="H351" s="28" t="s">
        <v>48</v>
      </c>
      <c r="I351" s="29" t="s">
        <v>113</v>
      </c>
      <c r="K351" s="3">
        <f t="shared" si="6"/>
        <v>9.6544000000000005E-2</v>
      </c>
    </row>
    <row r="352" spans="1:11" ht="30" customHeight="1" thickTop="1" thickBot="1" x14ac:dyDescent="0.3"/>
    <row r="353" spans="1:11" ht="30" customHeight="1" thickTop="1" x14ac:dyDescent="0.25">
      <c r="A353" s="9" t="s">
        <v>129</v>
      </c>
      <c r="B353" s="16" t="s">
        <v>128</v>
      </c>
      <c r="C353" s="17" t="s">
        <v>40</v>
      </c>
      <c r="D353" s="17" t="s">
        <v>9</v>
      </c>
      <c r="E353" s="17" t="s">
        <v>11</v>
      </c>
      <c r="F353" s="372" t="s">
        <v>41</v>
      </c>
      <c r="G353" s="372"/>
      <c r="H353" s="17" t="s">
        <v>50</v>
      </c>
      <c r="I353" s="18" t="s">
        <v>42</v>
      </c>
    </row>
    <row r="354" spans="1:11" ht="30" customHeight="1" x14ac:dyDescent="0.25">
      <c r="A354" s="10" t="s">
        <v>43</v>
      </c>
      <c r="B354" s="19" t="s">
        <v>44</v>
      </c>
      <c r="C354" s="20" t="s">
        <v>45</v>
      </c>
      <c r="D354" s="20" t="s">
        <v>46</v>
      </c>
      <c r="E354" s="20" t="s">
        <v>46</v>
      </c>
      <c r="F354" s="371" t="s">
        <v>51</v>
      </c>
      <c r="G354" s="371"/>
      <c r="H354" s="20"/>
      <c r="I354" s="21"/>
    </row>
    <row r="355" spans="1:11" ht="30" customHeight="1" x14ac:dyDescent="0.25">
      <c r="A355" s="22">
        <v>51.1</v>
      </c>
      <c r="B355" s="23" t="s">
        <v>197</v>
      </c>
      <c r="C355" s="24">
        <v>3</v>
      </c>
      <c r="D355" s="24">
        <v>431</v>
      </c>
      <c r="E355" s="24">
        <v>140</v>
      </c>
      <c r="F355" s="24" t="s">
        <v>88</v>
      </c>
      <c r="G355" s="24">
        <v>8</v>
      </c>
      <c r="H355" s="24" t="s">
        <v>130</v>
      </c>
      <c r="I355" s="25" t="s">
        <v>89</v>
      </c>
      <c r="K355" s="3">
        <f t="shared" si="6"/>
        <v>0.18101999999999999</v>
      </c>
    </row>
    <row r="356" spans="1:11" ht="30" customHeight="1" x14ac:dyDescent="0.25">
      <c r="A356" s="22">
        <v>51.2</v>
      </c>
      <c r="B356" s="23" t="s">
        <v>197</v>
      </c>
      <c r="C356" s="24">
        <v>7.4</v>
      </c>
      <c r="D356" s="24">
        <v>431</v>
      </c>
      <c r="E356" s="24">
        <v>140</v>
      </c>
      <c r="F356" s="24">
        <f>G355</f>
        <v>8</v>
      </c>
      <c r="G356" s="24">
        <v>27</v>
      </c>
      <c r="H356" s="24" t="s">
        <v>130</v>
      </c>
      <c r="I356" s="25" t="s">
        <v>89</v>
      </c>
      <c r="K356" s="3">
        <f t="shared" si="6"/>
        <v>0.44651600000000002</v>
      </c>
    </row>
    <row r="357" spans="1:11" ht="30" customHeight="1" x14ac:dyDescent="0.25">
      <c r="A357" s="22">
        <v>51.300000000000004</v>
      </c>
      <c r="B357" s="23" t="s">
        <v>197</v>
      </c>
      <c r="C357" s="24">
        <v>7.4</v>
      </c>
      <c r="D357" s="24">
        <v>431</v>
      </c>
      <c r="E357" s="24">
        <v>140</v>
      </c>
      <c r="F357" s="24">
        <f t="shared" ref="F357:F363" si="8">G356</f>
        <v>27</v>
      </c>
      <c r="G357" s="24">
        <v>44</v>
      </c>
      <c r="H357" s="24" t="s">
        <v>130</v>
      </c>
      <c r="I357" s="25" t="s">
        <v>126</v>
      </c>
      <c r="K357" s="3">
        <f t="shared" si="6"/>
        <v>0.44651600000000002</v>
      </c>
    </row>
    <row r="358" spans="1:11" ht="30" customHeight="1" x14ac:dyDescent="0.25">
      <c r="A358" s="22">
        <v>51.400000000000006</v>
      </c>
      <c r="B358" s="23" t="s">
        <v>197</v>
      </c>
      <c r="C358" s="24">
        <v>7.4</v>
      </c>
      <c r="D358" s="24">
        <v>431</v>
      </c>
      <c r="E358" s="24">
        <v>140</v>
      </c>
      <c r="F358" s="24">
        <f t="shared" si="8"/>
        <v>44</v>
      </c>
      <c r="G358" s="24">
        <v>61</v>
      </c>
      <c r="H358" s="24" t="s">
        <v>130</v>
      </c>
      <c r="I358" s="25" t="s">
        <v>52</v>
      </c>
      <c r="K358" s="3">
        <f t="shared" si="6"/>
        <v>0.44651600000000002</v>
      </c>
    </row>
    <row r="359" spans="1:11" ht="30" customHeight="1" x14ac:dyDescent="0.25">
      <c r="A359" s="22">
        <v>51.500000000000007</v>
      </c>
      <c r="B359" s="23" t="s">
        <v>197</v>
      </c>
      <c r="C359" s="24">
        <v>7.4</v>
      </c>
      <c r="D359" s="24">
        <v>431</v>
      </c>
      <c r="E359" s="24">
        <v>140</v>
      </c>
      <c r="F359" s="24">
        <f t="shared" si="8"/>
        <v>61</v>
      </c>
      <c r="G359" s="24">
        <v>78</v>
      </c>
      <c r="H359" s="24" t="s">
        <v>130</v>
      </c>
      <c r="I359" s="25" t="s">
        <v>52</v>
      </c>
      <c r="K359" s="3">
        <f t="shared" si="6"/>
        <v>0.44651600000000002</v>
      </c>
    </row>
    <row r="360" spans="1:11" ht="30" customHeight="1" x14ac:dyDescent="0.25">
      <c r="A360" s="22">
        <v>51.600000000000009</v>
      </c>
      <c r="B360" s="23" t="s">
        <v>197</v>
      </c>
      <c r="C360" s="24">
        <v>10.3</v>
      </c>
      <c r="D360" s="24">
        <v>431</v>
      </c>
      <c r="E360" s="24">
        <v>140</v>
      </c>
      <c r="F360" s="24">
        <f t="shared" si="8"/>
        <v>78</v>
      </c>
      <c r="G360" s="24">
        <v>103</v>
      </c>
      <c r="H360" s="24" t="s">
        <v>130</v>
      </c>
      <c r="I360" s="25" t="s">
        <v>52</v>
      </c>
      <c r="K360" s="3">
        <f t="shared" si="6"/>
        <v>0.621502</v>
      </c>
    </row>
    <row r="361" spans="1:11" ht="30" customHeight="1" x14ac:dyDescent="0.25">
      <c r="A361" s="22">
        <v>51.70000000000001</v>
      </c>
      <c r="B361" s="23" t="s">
        <v>197</v>
      </c>
      <c r="C361" s="24">
        <v>7.4</v>
      </c>
      <c r="D361" s="24">
        <v>431</v>
      </c>
      <c r="E361" s="24">
        <v>140</v>
      </c>
      <c r="F361" s="24">
        <f t="shared" si="8"/>
        <v>103</v>
      </c>
      <c r="G361" s="24">
        <v>121</v>
      </c>
      <c r="H361" s="24" t="s">
        <v>130</v>
      </c>
      <c r="I361" s="25" t="s">
        <v>126</v>
      </c>
      <c r="K361" s="3">
        <f t="shared" si="6"/>
        <v>0.44651600000000002</v>
      </c>
    </row>
    <row r="362" spans="1:11" ht="30" customHeight="1" x14ac:dyDescent="0.25">
      <c r="A362" s="22">
        <v>51.800000000000011</v>
      </c>
      <c r="B362" s="23" t="s">
        <v>197</v>
      </c>
      <c r="C362" s="24">
        <v>7.4</v>
      </c>
      <c r="D362" s="24">
        <v>431</v>
      </c>
      <c r="E362" s="24">
        <v>140</v>
      </c>
      <c r="F362" s="24">
        <f t="shared" si="8"/>
        <v>121</v>
      </c>
      <c r="G362" s="24">
        <v>140</v>
      </c>
      <c r="H362" s="24" t="s">
        <v>130</v>
      </c>
      <c r="I362" s="25" t="s">
        <v>126</v>
      </c>
      <c r="K362" s="3">
        <f t="shared" si="6"/>
        <v>0.44651600000000002</v>
      </c>
    </row>
    <row r="363" spans="1:11" ht="30" customHeight="1" x14ac:dyDescent="0.25">
      <c r="A363" s="22">
        <v>51.900000000000013</v>
      </c>
      <c r="B363" s="23" t="s">
        <v>197</v>
      </c>
      <c r="C363" s="24">
        <v>3.9</v>
      </c>
      <c r="D363" s="24">
        <v>431</v>
      </c>
      <c r="E363" s="24">
        <v>140</v>
      </c>
      <c r="F363" s="24">
        <f t="shared" si="8"/>
        <v>140</v>
      </c>
      <c r="G363" s="24">
        <v>150</v>
      </c>
      <c r="H363" s="24" t="s">
        <v>130</v>
      </c>
      <c r="I363" s="25" t="s">
        <v>113</v>
      </c>
      <c r="K363" s="3">
        <f t="shared" si="6"/>
        <v>0.23532599999999998</v>
      </c>
    </row>
    <row r="364" spans="1:11" ht="30" customHeight="1" thickBot="1" x14ac:dyDescent="0.3">
      <c r="A364" s="31">
        <v>51.1</v>
      </c>
      <c r="B364" s="27" t="s">
        <v>197</v>
      </c>
      <c r="C364" s="28">
        <v>1.5</v>
      </c>
      <c r="D364" s="28">
        <v>431</v>
      </c>
      <c r="E364" s="28">
        <v>140</v>
      </c>
      <c r="F364" s="28">
        <v>153</v>
      </c>
      <c r="G364" s="28">
        <v>156</v>
      </c>
      <c r="H364" s="28" t="s">
        <v>130</v>
      </c>
      <c r="I364" s="29" t="s">
        <v>113</v>
      </c>
      <c r="K364" s="3">
        <f t="shared" si="6"/>
        <v>9.0509999999999993E-2</v>
      </c>
    </row>
    <row r="365" spans="1:11" ht="30" customHeight="1" thickTop="1" thickBot="1" x14ac:dyDescent="0.3"/>
    <row r="366" spans="1:11" ht="30" customHeight="1" thickTop="1" x14ac:dyDescent="0.25">
      <c r="A366" s="9" t="s">
        <v>131</v>
      </c>
      <c r="B366" s="16" t="s">
        <v>128</v>
      </c>
      <c r="C366" s="17" t="s">
        <v>40</v>
      </c>
      <c r="D366" s="17" t="s">
        <v>9</v>
      </c>
      <c r="E366" s="17" t="s">
        <v>11</v>
      </c>
      <c r="F366" s="372" t="s">
        <v>41</v>
      </c>
      <c r="G366" s="372"/>
      <c r="H366" s="17" t="s">
        <v>50</v>
      </c>
      <c r="I366" s="18" t="s">
        <v>42</v>
      </c>
    </row>
    <row r="367" spans="1:11" ht="30" customHeight="1" x14ac:dyDescent="0.25">
      <c r="A367" s="10" t="s">
        <v>43</v>
      </c>
      <c r="B367" s="19" t="s">
        <v>44</v>
      </c>
      <c r="C367" s="20" t="s">
        <v>45</v>
      </c>
      <c r="D367" s="20" t="s">
        <v>46</v>
      </c>
      <c r="E367" s="20" t="s">
        <v>46</v>
      </c>
      <c r="F367" s="371" t="s">
        <v>51</v>
      </c>
      <c r="G367" s="371"/>
      <c r="H367" s="20"/>
      <c r="I367" s="21"/>
    </row>
    <row r="368" spans="1:11" ht="30" customHeight="1" x14ac:dyDescent="0.25">
      <c r="A368" s="22">
        <v>50.1</v>
      </c>
      <c r="B368" s="23" t="s">
        <v>197</v>
      </c>
      <c r="C368" s="24">
        <v>6.6</v>
      </c>
      <c r="D368" s="24">
        <v>431</v>
      </c>
      <c r="E368" s="24">
        <v>140</v>
      </c>
      <c r="F368" s="24" t="s">
        <v>88</v>
      </c>
      <c r="G368" s="24">
        <v>18</v>
      </c>
      <c r="H368" s="24" t="s">
        <v>130</v>
      </c>
      <c r="I368" s="25" t="s">
        <v>89</v>
      </c>
      <c r="K368" s="3">
        <f t="shared" ref="K368:K428" si="9">(C368*D368*E368)/1000000</f>
        <v>0.39824399999999999</v>
      </c>
    </row>
    <row r="369" spans="1:11" ht="30" customHeight="1" x14ac:dyDescent="0.25">
      <c r="A369" s="22">
        <v>50.2</v>
      </c>
      <c r="B369" s="23" t="s">
        <v>197</v>
      </c>
      <c r="C369" s="24">
        <v>7.4</v>
      </c>
      <c r="D369" s="24">
        <v>431</v>
      </c>
      <c r="E369" s="24">
        <v>140</v>
      </c>
      <c r="F369" s="24">
        <v>18</v>
      </c>
      <c r="G369" s="24">
        <v>35</v>
      </c>
      <c r="H369" s="24" t="s">
        <v>130</v>
      </c>
      <c r="I369" s="25" t="s">
        <v>89</v>
      </c>
      <c r="K369" s="3">
        <f t="shared" si="9"/>
        <v>0.44651600000000002</v>
      </c>
    </row>
    <row r="370" spans="1:11" ht="30" customHeight="1" x14ac:dyDescent="0.25">
      <c r="A370" s="22">
        <v>50.300000000000004</v>
      </c>
      <c r="B370" s="23" t="s">
        <v>197</v>
      </c>
      <c r="C370" s="24">
        <v>7.4</v>
      </c>
      <c r="D370" s="24">
        <v>536</v>
      </c>
      <c r="E370" s="24">
        <v>140</v>
      </c>
      <c r="F370" s="24">
        <v>35</v>
      </c>
      <c r="G370" s="24">
        <v>54</v>
      </c>
      <c r="H370" s="24" t="s">
        <v>130</v>
      </c>
      <c r="I370" s="25" t="s">
        <v>132</v>
      </c>
      <c r="K370" s="3">
        <f t="shared" si="9"/>
        <v>0.55529600000000001</v>
      </c>
    </row>
    <row r="371" spans="1:11" ht="30" customHeight="1" x14ac:dyDescent="0.25">
      <c r="A371" s="22">
        <v>50.400000000000006</v>
      </c>
      <c r="B371" s="23" t="s">
        <v>197</v>
      </c>
      <c r="C371" s="24">
        <v>7.4</v>
      </c>
      <c r="D371" s="24">
        <v>508</v>
      </c>
      <c r="E371" s="24">
        <v>140</v>
      </c>
      <c r="F371" s="24">
        <v>54</v>
      </c>
      <c r="G371" s="24">
        <v>70</v>
      </c>
      <c r="H371" s="24" t="s">
        <v>130</v>
      </c>
      <c r="I371" s="25" t="s">
        <v>133</v>
      </c>
      <c r="K371" s="3">
        <f t="shared" si="9"/>
        <v>0.52628799999999998</v>
      </c>
    </row>
    <row r="372" spans="1:11" ht="30" customHeight="1" x14ac:dyDescent="0.25">
      <c r="A372" s="22">
        <v>50.500000000000007</v>
      </c>
      <c r="B372" s="23" t="s">
        <v>197</v>
      </c>
      <c r="C372" s="24">
        <v>10.199999999999999</v>
      </c>
      <c r="D372" s="24">
        <v>531</v>
      </c>
      <c r="E372" s="24">
        <v>140</v>
      </c>
      <c r="F372" s="24">
        <v>70</v>
      </c>
      <c r="G372" s="24">
        <v>94</v>
      </c>
      <c r="H372" s="24" t="s">
        <v>130</v>
      </c>
      <c r="I372" s="25" t="s">
        <v>134</v>
      </c>
      <c r="K372" s="3">
        <f t="shared" si="9"/>
        <v>0.75826800000000005</v>
      </c>
    </row>
    <row r="373" spans="1:11" ht="30" customHeight="1" x14ac:dyDescent="0.25">
      <c r="A373" s="22">
        <v>50.600000000000009</v>
      </c>
      <c r="B373" s="23" t="s">
        <v>197</v>
      </c>
      <c r="C373" s="24">
        <v>7.4</v>
      </c>
      <c r="D373" s="24">
        <v>431</v>
      </c>
      <c r="E373" s="24">
        <v>140</v>
      </c>
      <c r="F373" s="24">
        <v>94</v>
      </c>
      <c r="G373" s="24">
        <v>111</v>
      </c>
      <c r="H373" s="24" t="s">
        <v>130</v>
      </c>
      <c r="I373" s="25" t="s">
        <v>52</v>
      </c>
      <c r="K373" s="3">
        <f t="shared" si="9"/>
        <v>0.44651600000000002</v>
      </c>
    </row>
    <row r="374" spans="1:11" ht="30" customHeight="1" x14ac:dyDescent="0.25">
      <c r="A374" s="22">
        <v>50.70000000000001</v>
      </c>
      <c r="B374" s="23" t="s">
        <v>197</v>
      </c>
      <c r="C374" s="24">
        <v>7.4</v>
      </c>
      <c r="D374" s="24">
        <v>431</v>
      </c>
      <c r="E374" s="24">
        <v>140</v>
      </c>
      <c r="F374" s="24">
        <v>111</v>
      </c>
      <c r="G374" s="24">
        <v>130</v>
      </c>
      <c r="H374" s="24" t="s">
        <v>130</v>
      </c>
      <c r="I374" s="25" t="s">
        <v>126</v>
      </c>
      <c r="K374" s="3">
        <f t="shared" si="9"/>
        <v>0.44651600000000002</v>
      </c>
    </row>
    <row r="375" spans="1:11" ht="30" customHeight="1" x14ac:dyDescent="0.25">
      <c r="A375" s="22">
        <v>50.800000000000011</v>
      </c>
      <c r="B375" s="23" t="s">
        <v>197</v>
      </c>
      <c r="C375" s="24">
        <v>7.7</v>
      </c>
      <c r="D375" s="24">
        <v>431</v>
      </c>
      <c r="E375" s="24">
        <v>140</v>
      </c>
      <c r="F375" s="24">
        <v>130</v>
      </c>
      <c r="G375" s="24">
        <v>150</v>
      </c>
      <c r="H375" s="24" t="s">
        <v>130</v>
      </c>
      <c r="I375" s="25" t="s">
        <v>126</v>
      </c>
      <c r="K375" s="3">
        <f t="shared" si="9"/>
        <v>0.46461800000000003</v>
      </c>
    </row>
    <row r="376" spans="1:11" ht="30" customHeight="1" thickBot="1" x14ac:dyDescent="0.3">
      <c r="A376" s="26">
        <v>50.900000000000013</v>
      </c>
      <c r="B376" s="27" t="s">
        <v>197</v>
      </c>
      <c r="C376" s="28">
        <v>1.3</v>
      </c>
      <c r="D376" s="28">
        <v>431</v>
      </c>
      <c r="E376" s="28">
        <v>140</v>
      </c>
      <c r="F376" s="28">
        <v>153</v>
      </c>
      <c r="G376" s="28">
        <v>156</v>
      </c>
      <c r="H376" s="28" t="s">
        <v>130</v>
      </c>
      <c r="I376" s="29" t="s">
        <v>113</v>
      </c>
      <c r="K376" s="3">
        <f t="shared" si="9"/>
        <v>7.8442000000000012E-2</v>
      </c>
    </row>
    <row r="377" spans="1:11" ht="30" customHeight="1" thickTop="1" thickBot="1" x14ac:dyDescent="0.3"/>
    <row r="378" spans="1:11" ht="30" customHeight="1" thickTop="1" x14ac:dyDescent="0.25">
      <c r="A378" s="9" t="s">
        <v>135</v>
      </c>
      <c r="B378" s="16" t="s">
        <v>136</v>
      </c>
      <c r="C378" s="17" t="s">
        <v>40</v>
      </c>
      <c r="D378" s="17" t="s">
        <v>9</v>
      </c>
      <c r="E378" s="17" t="s">
        <v>11</v>
      </c>
      <c r="F378" s="372" t="s">
        <v>41</v>
      </c>
      <c r="G378" s="372"/>
      <c r="H378" s="17" t="s">
        <v>50</v>
      </c>
      <c r="I378" s="18" t="s">
        <v>42</v>
      </c>
    </row>
    <row r="379" spans="1:11" ht="30" customHeight="1" x14ac:dyDescent="0.25">
      <c r="A379" s="10" t="s">
        <v>43</v>
      </c>
      <c r="B379" s="19" t="s">
        <v>44</v>
      </c>
      <c r="C379" s="20" t="s">
        <v>45</v>
      </c>
      <c r="D379" s="20" t="s">
        <v>46</v>
      </c>
      <c r="E379" s="20" t="s">
        <v>46</v>
      </c>
      <c r="F379" s="371" t="s">
        <v>51</v>
      </c>
      <c r="G379" s="371"/>
      <c r="H379" s="20"/>
      <c r="I379" s="21" t="s">
        <v>137</v>
      </c>
    </row>
    <row r="380" spans="1:11" ht="30" customHeight="1" x14ac:dyDescent="0.25">
      <c r="A380" s="22">
        <v>49.1</v>
      </c>
      <c r="B380" s="23" t="s">
        <v>198</v>
      </c>
      <c r="C380" s="24">
        <v>1.6</v>
      </c>
      <c r="D380" s="24">
        <v>260</v>
      </c>
      <c r="E380" s="24">
        <v>127</v>
      </c>
      <c r="F380" s="24" t="s">
        <v>88</v>
      </c>
      <c r="G380" s="24">
        <v>6</v>
      </c>
      <c r="H380" s="24" t="s">
        <v>48</v>
      </c>
      <c r="I380" s="25" t="s">
        <v>138</v>
      </c>
      <c r="K380" s="3">
        <f t="shared" si="9"/>
        <v>5.2831999999999997E-2</v>
      </c>
    </row>
    <row r="381" spans="1:11" ht="30" customHeight="1" x14ac:dyDescent="0.25">
      <c r="A381" s="22">
        <v>49.2</v>
      </c>
      <c r="B381" s="23" t="s">
        <v>198</v>
      </c>
      <c r="C381" s="24">
        <v>7.4</v>
      </c>
      <c r="D381" s="24">
        <v>260</v>
      </c>
      <c r="E381" s="24">
        <v>127</v>
      </c>
      <c r="F381" s="24">
        <v>6</v>
      </c>
      <c r="G381" s="24">
        <v>22</v>
      </c>
      <c r="H381" s="24" t="s">
        <v>48</v>
      </c>
      <c r="I381" s="25" t="s">
        <v>138</v>
      </c>
      <c r="K381" s="3">
        <f t="shared" si="9"/>
        <v>0.24434800000000001</v>
      </c>
    </row>
    <row r="382" spans="1:11" ht="30" customHeight="1" x14ac:dyDescent="0.25">
      <c r="A382" s="22">
        <v>49.300000000000004</v>
      </c>
      <c r="B382" s="23" t="s">
        <v>198</v>
      </c>
      <c r="C382" s="24">
        <v>7.4</v>
      </c>
      <c r="D382" s="24">
        <v>260</v>
      </c>
      <c r="E382" s="24">
        <v>127</v>
      </c>
      <c r="F382" s="24">
        <v>22</v>
      </c>
      <c r="G382" s="24">
        <v>39</v>
      </c>
      <c r="H382" s="24" t="s">
        <v>48</v>
      </c>
      <c r="I382" s="25" t="s">
        <v>26</v>
      </c>
      <c r="K382" s="3">
        <f t="shared" si="9"/>
        <v>0.24434800000000001</v>
      </c>
    </row>
    <row r="383" spans="1:11" ht="30" customHeight="1" x14ac:dyDescent="0.25">
      <c r="A383" s="22">
        <v>49.400000000000006</v>
      </c>
      <c r="B383" s="23" t="s">
        <v>198</v>
      </c>
      <c r="C383" s="24">
        <v>2.4</v>
      </c>
      <c r="D383" s="24">
        <v>260</v>
      </c>
      <c r="E383" s="24">
        <v>127</v>
      </c>
      <c r="F383" s="24">
        <v>42</v>
      </c>
      <c r="G383" s="24">
        <v>47</v>
      </c>
      <c r="H383" s="24" t="s">
        <v>48</v>
      </c>
      <c r="I383" s="25" t="s">
        <v>26</v>
      </c>
      <c r="K383" s="3">
        <f t="shared" si="9"/>
        <v>7.9247999999999999E-2</v>
      </c>
    </row>
    <row r="384" spans="1:11" ht="30" customHeight="1" x14ac:dyDescent="0.25">
      <c r="A384" s="22">
        <v>49.500000000000007</v>
      </c>
      <c r="B384" s="23" t="s">
        <v>198</v>
      </c>
      <c r="C384" s="24">
        <v>2.2999999999999998</v>
      </c>
      <c r="D384" s="24">
        <v>260</v>
      </c>
      <c r="E384" s="24">
        <v>127</v>
      </c>
      <c r="F384" s="24">
        <v>51</v>
      </c>
      <c r="G384" s="24">
        <v>56</v>
      </c>
      <c r="H384" s="24" t="s">
        <v>48</v>
      </c>
      <c r="I384" s="25" t="s">
        <v>52</v>
      </c>
      <c r="K384" s="3">
        <f t="shared" si="9"/>
        <v>7.5946E-2</v>
      </c>
    </row>
    <row r="385" spans="1:13" ht="30" customHeight="1" x14ac:dyDescent="0.25">
      <c r="A385" s="22">
        <v>49.600000000000009</v>
      </c>
      <c r="B385" s="23" t="s">
        <v>198</v>
      </c>
      <c r="C385" s="24">
        <v>2.4</v>
      </c>
      <c r="D385" s="24">
        <v>260</v>
      </c>
      <c r="E385" s="24">
        <v>127</v>
      </c>
      <c r="F385" s="24">
        <v>58</v>
      </c>
      <c r="G385" s="24">
        <v>63</v>
      </c>
      <c r="H385" s="24" t="s">
        <v>48</v>
      </c>
      <c r="I385" s="25" t="s">
        <v>52</v>
      </c>
      <c r="K385" s="3">
        <f t="shared" si="9"/>
        <v>7.9247999999999999E-2</v>
      </c>
    </row>
    <row r="386" spans="1:13" ht="30" customHeight="1" x14ac:dyDescent="0.25">
      <c r="A386" s="22">
        <v>49.70000000000001</v>
      </c>
      <c r="B386" s="23" t="s">
        <v>198</v>
      </c>
      <c r="C386" s="24">
        <v>2.4</v>
      </c>
      <c r="D386" s="24">
        <v>260</v>
      </c>
      <c r="E386" s="24">
        <v>127</v>
      </c>
      <c r="F386" s="24">
        <v>66</v>
      </c>
      <c r="G386" s="24">
        <v>71</v>
      </c>
      <c r="H386" s="24" t="s">
        <v>48</v>
      </c>
      <c r="I386" s="25" t="s">
        <v>52</v>
      </c>
      <c r="K386" s="3">
        <f t="shared" si="9"/>
        <v>7.9247999999999999E-2</v>
      </c>
    </row>
    <row r="387" spans="1:13" ht="30" customHeight="1" x14ac:dyDescent="0.25">
      <c r="A387" s="22">
        <v>49.800000000000011</v>
      </c>
      <c r="B387" s="23" t="s">
        <v>198</v>
      </c>
      <c r="C387" s="24">
        <v>2.4</v>
      </c>
      <c r="D387" s="24">
        <v>260</v>
      </c>
      <c r="E387" s="24">
        <v>127</v>
      </c>
      <c r="F387" s="24">
        <v>74</v>
      </c>
      <c r="G387" s="24">
        <v>79</v>
      </c>
      <c r="H387" s="24" t="s">
        <v>48</v>
      </c>
      <c r="I387" s="25" t="s">
        <v>52</v>
      </c>
      <c r="K387" s="3">
        <f t="shared" si="9"/>
        <v>7.9247999999999999E-2</v>
      </c>
    </row>
    <row r="388" spans="1:13" ht="30" customHeight="1" x14ac:dyDescent="0.25">
      <c r="A388" s="22">
        <v>49.900000000000013</v>
      </c>
      <c r="B388" s="23" t="s">
        <v>198</v>
      </c>
      <c r="C388" s="24">
        <v>3.1</v>
      </c>
      <c r="D388" s="24">
        <v>260</v>
      </c>
      <c r="E388" s="24">
        <v>127</v>
      </c>
      <c r="F388" s="24">
        <v>82</v>
      </c>
      <c r="G388" s="24">
        <v>89</v>
      </c>
      <c r="H388" s="24" t="s">
        <v>48</v>
      </c>
      <c r="I388" s="25" t="s">
        <v>52</v>
      </c>
      <c r="K388" s="3">
        <f t="shared" si="9"/>
        <v>0.10236199999999999</v>
      </c>
    </row>
    <row r="389" spans="1:13" ht="30" customHeight="1" x14ac:dyDescent="0.25">
      <c r="A389" s="32">
        <v>49.1</v>
      </c>
      <c r="B389" s="23" t="s">
        <v>198</v>
      </c>
      <c r="C389" s="24">
        <v>10.7</v>
      </c>
      <c r="D389" s="24">
        <v>300</v>
      </c>
      <c r="E389" s="24">
        <v>127</v>
      </c>
      <c r="F389" s="24">
        <v>92</v>
      </c>
      <c r="G389" s="24">
        <v>117</v>
      </c>
      <c r="H389" s="24" t="s">
        <v>48</v>
      </c>
      <c r="I389" s="25" t="s">
        <v>139</v>
      </c>
      <c r="K389" s="3">
        <f t="shared" si="9"/>
        <v>0.40766999999999998</v>
      </c>
    </row>
    <row r="390" spans="1:13" ht="30" customHeight="1" x14ac:dyDescent="0.25">
      <c r="A390" s="32">
        <v>49.11</v>
      </c>
      <c r="B390" s="23" t="s">
        <v>198</v>
      </c>
      <c r="C390" s="24">
        <v>7</v>
      </c>
      <c r="D390" s="24">
        <v>260</v>
      </c>
      <c r="E390" s="24">
        <v>127</v>
      </c>
      <c r="F390" s="24">
        <v>117</v>
      </c>
      <c r="G390" s="24">
        <v>135</v>
      </c>
      <c r="H390" s="24" t="s">
        <v>48</v>
      </c>
      <c r="I390" s="25" t="s">
        <v>126</v>
      </c>
      <c r="K390" s="3">
        <f t="shared" si="9"/>
        <v>0.23114000000000001</v>
      </c>
    </row>
    <row r="391" spans="1:13" ht="30" customHeight="1" thickBot="1" x14ac:dyDescent="0.3">
      <c r="A391" s="31">
        <v>49.12</v>
      </c>
      <c r="B391" s="27" t="s">
        <v>198</v>
      </c>
      <c r="C391" s="28">
        <v>7.6</v>
      </c>
      <c r="D391" s="28">
        <v>260</v>
      </c>
      <c r="E391" s="28">
        <v>127</v>
      </c>
      <c r="F391" s="28">
        <v>135</v>
      </c>
      <c r="G391" s="28">
        <v>156</v>
      </c>
      <c r="H391" s="28" t="s">
        <v>48</v>
      </c>
      <c r="I391" s="29" t="s">
        <v>113</v>
      </c>
      <c r="K391" s="3">
        <f t="shared" si="9"/>
        <v>0.25095200000000001</v>
      </c>
    </row>
    <row r="392" spans="1:13" ht="30" customHeight="1" thickTop="1" thickBot="1" x14ac:dyDescent="0.3"/>
    <row r="393" spans="1:13" ht="27.95" customHeight="1" thickTop="1" x14ac:dyDescent="0.25">
      <c r="A393" s="9" t="s">
        <v>140</v>
      </c>
      <c r="B393" s="16" t="s">
        <v>141</v>
      </c>
      <c r="C393" s="17" t="s">
        <v>40</v>
      </c>
      <c r="D393" s="17" t="s">
        <v>9</v>
      </c>
      <c r="E393" s="17" t="s">
        <v>11</v>
      </c>
      <c r="F393" s="372" t="s">
        <v>41</v>
      </c>
      <c r="G393" s="372"/>
      <c r="H393" s="17" t="s">
        <v>50</v>
      </c>
      <c r="I393" s="18" t="s">
        <v>42</v>
      </c>
    </row>
    <row r="394" spans="1:13" ht="27.95" customHeight="1" x14ac:dyDescent="0.25">
      <c r="A394" s="10" t="s">
        <v>43</v>
      </c>
      <c r="B394" s="19" t="s">
        <v>44</v>
      </c>
      <c r="C394" s="20" t="s">
        <v>45</v>
      </c>
      <c r="D394" s="20" t="s">
        <v>46</v>
      </c>
      <c r="E394" s="20" t="s">
        <v>46</v>
      </c>
      <c r="F394" s="371" t="s">
        <v>51</v>
      </c>
      <c r="G394" s="371"/>
      <c r="H394" s="20"/>
      <c r="I394" s="21" t="s">
        <v>142</v>
      </c>
    </row>
    <row r="395" spans="1:13" ht="27.95" customHeight="1" x14ac:dyDescent="0.25">
      <c r="A395" s="22">
        <v>48.1</v>
      </c>
      <c r="B395" s="23" t="s">
        <v>198</v>
      </c>
      <c r="C395" s="24">
        <v>4.8</v>
      </c>
      <c r="D395" s="24">
        <v>260</v>
      </c>
      <c r="E395" s="24">
        <v>142</v>
      </c>
      <c r="F395" s="24" t="s">
        <v>88</v>
      </c>
      <c r="G395" s="24">
        <v>13</v>
      </c>
      <c r="H395" s="24" t="s">
        <v>48</v>
      </c>
      <c r="I395" s="25" t="s">
        <v>143</v>
      </c>
      <c r="K395" s="3">
        <f t="shared" si="9"/>
        <v>0.17721600000000001</v>
      </c>
      <c r="M395" s="34"/>
    </row>
    <row r="396" spans="1:13" ht="27.95" customHeight="1" x14ac:dyDescent="0.25">
      <c r="A396" s="22">
        <v>48.2</v>
      </c>
      <c r="B396" s="23" t="s">
        <v>198</v>
      </c>
      <c r="C396" s="24">
        <v>7.4</v>
      </c>
      <c r="D396" s="24">
        <v>260</v>
      </c>
      <c r="E396" s="24">
        <v>142</v>
      </c>
      <c r="F396" s="24">
        <v>13</v>
      </c>
      <c r="G396" s="24">
        <v>31</v>
      </c>
      <c r="H396" s="24" t="s">
        <v>48</v>
      </c>
      <c r="I396" s="25" t="s">
        <v>143</v>
      </c>
      <c r="K396" s="3">
        <f t="shared" si="9"/>
        <v>0.27320800000000001</v>
      </c>
    </row>
    <row r="397" spans="1:13" ht="27.95" customHeight="1" x14ac:dyDescent="0.25">
      <c r="A397" s="22">
        <v>48.300000000000004</v>
      </c>
      <c r="B397" s="23" t="s">
        <v>198</v>
      </c>
      <c r="C397" s="24">
        <v>2.4</v>
      </c>
      <c r="D397" s="24">
        <v>260</v>
      </c>
      <c r="E397" s="24">
        <v>142</v>
      </c>
      <c r="F397" s="24">
        <v>34</v>
      </c>
      <c r="G397" s="24">
        <v>39</v>
      </c>
      <c r="H397" s="24" t="s">
        <v>48</v>
      </c>
      <c r="I397" s="25" t="s">
        <v>26</v>
      </c>
      <c r="K397" s="3">
        <f t="shared" si="9"/>
        <v>8.8608000000000006E-2</v>
      </c>
    </row>
    <row r="398" spans="1:13" ht="27.95" customHeight="1" x14ac:dyDescent="0.25">
      <c r="A398" s="22">
        <v>48.400000000000006</v>
      </c>
      <c r="B398" s="23" t="s">
        <v>198</v>
      </c>
      <c r="C398" s="24">
        <v>2.4</v>
      </c>
      <c r="D398" s="24">
        <v>260</v>
      </c>
      <c r="E398" s="24">
        <v>142</v>
      </c>
      <c r="F398" s="24">
        <v>42</v>
      </c>
      <c r="G398" s="24">
        <v>47</v>
      </c>
      <c r="H398" s="24" t="s">
        <v>48</v>
      </c>
      <c r="I398" s="25" t="s">
        <v>26</v>
      </c>
      <c r="K398" s="3">
        <f t="shared" si="9"/>
        <v>8.8608000000000006E-2</v>
      </c>
    </row>
    <row r="399" spans="1:13" ht="27.95" customHeight="1" x14ac:dyDescent="0.25">
      <c r="A399" s="22">
        <v>48.500000000000007</v>
      </c>
      <c r="B399" s="23" t="s">
        <v>198</v>
      </c>
      <c r="C399" s="24">
        <v>2.2999999999999998</v>
      </c>
      <c r="D399" s="24">
        <v>260</v>
      </c>
      <c r="E399" s="24">
        <v>142</v>
      </c>
      <c r="F399" s="24">
        <v>51</v>
      </c>
      <c r="G399" s="24">
        <v>56</v>
      </c>
      <c r="H399" s="24" t="s">
        <v>48</v>
      </c>
      <c r="I399" s="25" t="s">
        <v>52</v>
      </c>
      <c r="K399" s="3">
        <f t="shared" si="9"/>
        <v>8.4916000000000005E-2</v>
      </c>
    </row>
    <row r="400" spans="1:13" ht="27.95" customHeight="1" x14ac:dyDescent="0.25">
      <c r="A400" s="22">
        <v>48.600000000000009</v>
      </c>
      <c r="B400" s="23" t="s">
        <v>198</v>
      </c>
      <c r="C400" s="24">
        <v>2.4</v>
      </c>
      <c r="D400" s="24">
        <v>260</v>
      </c>
      <c r="E400" s="24">
        <v>142</v>
      </c>
      <c r="F400" s="24">
        <v>58</v>
      </c>
      <c r="G400" s="24">
        <v>63</v>
      </c>
      <c r="H400" s="24" t="s">
        <v>48</v>
      </c>
      <c r="I400" s="25" t="s">
        <v>52</v>
      </c>
      <c r="K400" s="3">
        <f t="shared" si="9"/>
        <v>8.8608000000000006E-2</v>
      </c>
    </row>
    <row r="401" spans="1:11" ht="27.95" customHeight="1" x14ac:dyDescent="0.25">
      <c r="A401" s="22">
        <v>48.70000000000001</v>
      </c>
      <c r="B401" s="23" t="s">
        <v>198</v>
      </c>
      <c r="C401" s="24">
        <v>2.4</v>
      </c>
      <c r="D401" s="24">
        <v>260</v>
      </c>
      <c r="E401" s="24">
        <v>142</v>
      </c>
      <c r="F401" s="24">
        <v>66</v>
      </c>
      <c r="G401" s="24">
        <v>71</v>
      </c>
      <c r="H401" s="24" t="s">
        <v>48</v>
      </c>
      <c r="I401" s="25" t="s">
        <v>52</v>
      </c>
      <c r="K401" s="3">
        <f t="shared" si="9"/>
        <v>8.8608000000000006E-2</v>
      </c>
    </row>
    <row r="402" spans="1:11" ht="27.95" customHeight="1" x14ac:dyDescent="0.25">
      <c r="A402" s="22">
        <v>48.800000000000011</v>
      </c>
      <c r="B402" s="23" t="s">
        <v>198</v>
      </c>
      <c r="C402" s="24">
        <v>2.4</v>
      </c>
      <c r="D402" s="24">
        <v>260</v>
      </c>
      <c r="E402" s="24">
        <v>142</v>
      </c>
      <c r="F402" s="24">
        <v>74</v>
      </c>
      <c r="G402" s="24">
        <v>79</v>
      </c>
      <c r="H402" s="24" t="s">
        <v>48</v>
      </c>
      <c r="I402" s="25" t="s">
        <v>52</v>
      </c>
      <c r="K402" s="3">
        <f t="shared" si="9"/>
        <v>8.8608000000000006E-2</v>
      </c>
    </row>
    <row r="403" spans="1:11" ht="27.95" customHeight="1" x14ac:dyDescent="0.25">
      <c r="A403" s="22">
        <v>48.900000000000013</v>
      </c>
      <c r="B403" s="23" t="s">
        <v>198</v>
      </c>
      <c r="C403" s="24">
        <v>3.1</v>
      </c>
      <c r="D403" s="24">
        <v>260</v>
      </c>
      <c r="E403" s="24">
        <v>142</v>
      </c>
      <c r="F403" s="24">
        <v>82</v>
      </c>
      <c r="G403" s="24">
        <v>89</v>
      </c>
      <c r="H403" s="24" t="s">
        <v>48</v>
      </c>
      <c r="I403" s="25" t="s">
        <v>52</v>
      </c>
      <c r="K403" s="3">
        <f t="shared" si="9"/>
        <v>0.114452</v>
      </c>
    </row>
    <row r="404" spans="1:11" ht="27.95" customHeight="1" x14ac:dyDescent="0.25">
      <c r="A404" s="32">
        <v>48.1</v>
      </c>
      <c r="B404" s="23" t="s">
        <v>198</v>
      </c>
      <c r="C404" s="24">
        <v>2.4</v>
      </c>
      <c r="D404" s="24">
        <v>260</v>
      </c>
      <c r="E404" s="24">
        <v>142</v>
      </c>
      <c r="F404" s="24">
        <v>92</v>
      </c>
      <c r="G404" s="24">
        <v>97</v>
      </c>
      <c r="H404" s="24" t="s">
        <v>48</v>
      </c>
      <c r="I404" s="25" t="s">
        <v>52</v>
      </c>
      <c r="K404" s="3">
        <f t="shared" si="9"/>
        <v>8.8608000000000006E-2</v>
      </c>
    </row>
    <row r="405" spans="1:11" ht="27.95" customHeight="1" x14ac:dyDescent="0.25">
      <c r="A405" s="32">
        <v>48.11</v>
      </c>
      <c r="B405" s="23" t="s">
        <v>198</v>
      </c>
      <c r="C405" s="24">
        <v>2.5</v>
      </c>
      <c r="D405" s="24">
        <v>260</v>
      </c>
      <c r="E405" s="24">
        <v>142</v>
      </c>
      <c r="F405" s="24">
        <v>100</v>
      </c>
      <c r="G405" s="24">
        <v>105</v>
      </c>
      <c r="H405" s="24" t="s">
        <v>48</v>
      </c>
      <c r="I405" s="25" t="s">
        <v>52</v>
      </c>
      <c r="K405" s="3">
        <f t="shared" si="9"/>
        <v>9.2299999999999993E-2</v>
      </c>
    </row>
    <row r="406" spans="1:11" ht="27.95" customHeight="1" x14ac:dyDescent="0.25">
      <c r="A406" s="32">
        <v>48.12</v>
      </c>
      <c r="B406" s="23" t="s">
        <v>198</v>
      </c>
      <c r="C406" s="24">
        <v>2.4</v>
      </c>
      <c r="D406" s="24">
        <v>260</v>
      </c>
      <c r="E406" s="24">
        <v>142</v>
      </c>
      <c r="F406" s="24">
        <v>108</v>
      </c>
      <c r="G406" s="24">
        <v>113</v>
      </c>
      <c r="H406" s="24" t="s">
        <v>48</v>
      </c>
      <c r="I406" s="25" t="s">
        <v>126</v>
      </c>
      <c r="K406" s="3">
        <f t="shared" si="9"/>
        <v>8.8608000000000006E-2</v>
      </c>
    </row>
    <row r="407" spans="1:11" ht="27.95" customHeight="1" x14ac:dyDescent="0.25">
      <c r="A407" s="32">
        <v>48.129999999999995</v>
      </c>
      <c r="B407" s="23" t="s">
        <v>198</v>
      </c>
      <c r="C407" s="24">
        <v>4</v>
      </c>
      <c r="D407" s="24">
        <v>260</v>
      </c>
      <c r="E407" s="24">
        <v>142</v>
      </c>
      <c r="F407" s="24">
        <v>116</v>
      </c>
      <c r="G407" s="24">
        <v>127</v>
      </c>
      <c r="H407" s="24" t="s">
        <v>48</v>
      </c>
      <c r="I407" s="25" t="s">
        <v>126</v>
      </c>
      <c r="K407" s="3">
        <f t="shared" si="9"/>
        <v>0.14768000000000001</v>
      </c>
    </row>
    <row r="408" spans="1:11" ht="27.95" customHeight="1" x14ac:dyDescent="0.25">
      <c r="A408" s="32">
        <v>48.139999999999993</v>
      </c>
      <c r="B408" s="23" t="s">
        <v>198</v>
      </c>
      <c r="C408" s="24">
        <v>7.4</v>
      </c>
      <c r="D408" s="24">
        <v>260</v>
      </c>
      <c r="E408" s="24">
        <v>142</v>
      </c>
      <c r="F408" s="24">
        <v>127</v>
      </c>
      <c r="G408" s="24">
        <v>145</v>
      </c>
      <c r="H408" s="24" t="s">
        <v>48</v>
      </c>
      <c r="I408" s="25" t="s">
        <v>126</v>
      </c>
      <c r="K408" s="3">
        <f t="shared" si="9"/>
        <v>0.27320800000000001</v>
      </c>
    </row>
    <row r="409" spans="1:11" ht="30" customHeight="1" thickBot="1" x14ac:dyDescent="0.3">
      <c r="A409" s="31">
        <v>48.149999999999991</v>
      </c>
      <c r="B409" s="27" t="s">
        <v>198</v>
      </c>
      <c r="C409" s="28">
        <v>3.6</v>
      </c>
      <c r="D409" s="28">
        <v>260</v>
      </c>
      <c r="E409" s="28">
        <v>142</v>
      </c>
      <c r="F409" s="28">
        <v>145</v>
      </c>
      <c r="G409" s="28">
        <v>155</v>
      </c>
      <c r="H409" s="28" t="s">
        <v>48</v>
      </c>
      <c r="I409" s="29" t="s">
        <v>113</v>
      </c>
      <c r="K409" s="3">
        <f t="shared" si="9"/>
        <v>0.132912</v>
      </c>
    </row>
    <row r="410" spans="1:11" ht="16.5" customHeight="1" thickTop="1" thickBot="1" x14ac:dyDescent="0.3"/>
    <row r="411" spans="1:11" ht="27" customHeight="1" thickTop="1" x14ac:dyDescent="0.25">
      <c r="A411" s="9" t="s">
        <v>144</v>
      </c>
      <c r="B411" s="16" t="s">
        <v>145</v>
      </c>
      <c r="C411" s="17" t="s">
        <v>40</v>
      </c>
      <c r="D411" s="17" t="s">
        <v>9</v>
      </c>
      <c r="E411" s="17" t="s">
        <v>11</v>
      </c>
      <c r="F411" s="372" t="s">
        <v>41</v>
      </c>
      <c r="G411" s="372"/>
      <c r="H411" s="17" t="s">
        <v>50</v>
      </c>
      <c r="I411" s="18" t="s">
        <v>42</v>
      </c>
    </row>
    <row r="412" spans="1:11" ht="27" customHeight="1" x14ac:dyDescent="0.25">
      <c r="A412" s="10" t="s">
        <v>43</v>
      </c>
      <c r="B412" s="19" t="s">
        <v>44</v>
      </c>
      <c r="C412" s="20" t="s">
        <v>45</v>
      </c>
      <c r="D412" s="20" t="s">
        <v>46</v>
      </c>
      <c r="E412" s="20" t="s">
        <v>46</v>
      </c>
      <c r="F412" s="371" t="s">
        <v>51</v>
      </c>
      <c r="G412" s="371"/>
      <c r="H412" s="20"/>
      <c r="I412" s="21" t="s">
        <v>146</v>
      </c>
    </row>
    <row r="413" spans="1:11" ht="27" customHeight="1" x14ac:dyDescent="0.25">
      <c r="A413" s="22">
        <v>47.1</v>
      </c>
      <c r="B413" s="23" t="s">
        <v>198</v>
      </c>
      <c r="C413" s="24">
        <v>5.4</v>
      </c>
      <c r="D413" s="24">
        <v>260</v>
      </c>
      <c r="E413" s="24">
        <v>159</v>
      </c>
      <c r="F413" s="24" t="s">
        <v>88</v>
      </c>
      <c r="G413" s="24">
        <v>14</v>
      </c>
      <c r="H413" s="24" t="s">
        <v>48</v>
      </c>
      <c r="I413" s="25" t="s">
        <v>143</v>
      </c>
      <c r="K413" s="3">
        <f t="shared" si="9"/>
        <v>0.22323599999999999</v>
      </c>
    </row>
    <row r="414" spans="1:11" ht="27" customHeight="1" x14ac:dyDescent="0.25">
      <c r="A414" s="22">
        <v>47.2</v>
      </c>
      <c r="B414" s="23" t="s">
        <v>198</v>
      </c>
      <c r="C414" s="24">
        <v>3.1</v>
      </c>
      <c r="D414" s="24">
        <v>260</v>
      </c>
      <c r="E414" s="24">
        <v>159</v>
      </c>
      <c r="F414" s="24">
        <v>17</v>
      </c>
      <c r="G414" s="24">
        <v>23</v>
      </c>
      <c r="H414" s="24" t="s">
        <v>48</v>
      </c>
      <c r="I414" s="25" t="s">
        <v>143</v>
      </c>
      <c r="K414" s="3">
        <f t="shared" si="9"/>
        <v>0.12815399999999999</v>
      </c>
    </row>
    <row r="415" spans="1:11" ht="27" customHeight="1" x14ac:dyDescent="0.25">
      <c r="A415" s="22">
        <v>47.300000000000004</v>
      </c>
      <c r="B415" s="23" t="s">
        <v>198</v>
      </c>
      <c r="C415" s="24">
        <v>2.7</v>
      </c>
      <c r="D415" s="24">
        <v>260</v>
      </c>
      <c r="E415" s="24">
        <v>159</v>
      </c>
      <c r="F415" s="24">
        <v>26</v>
      </c>
      <c r="G415" s="24">
        <v>31</v>
      </c>
      <c r="H415" s="24" t="s">
        <v>48</v>
      </c>
      <c r="I415" s="25" t="s">
        <v>147</v>
      </c>
      <c r="K415" s="3">
        <f t="shared" si="9"/>
        <v>0.11161799999999999</v>
      </c>
    </row>
    <row r="416" spans="1:11" ht="27" customHeight="1" x14ac:dyDescent="0.25">
      <c r="A416" s="22">
        <v>47.400000000000006</v>
      </c>
      <c r="B416" s="23" t="s">
        <v>198</v>
      </c>
      <c r="C416" s="24">
        <v>2.4</v>
      </c>
      <c r="D416" s="24">
        <v>260</v>
      </c>
      <c r="E416" s="24">
        <v>159</v>
      </c>
      <c r="F416" s="24">
        <v>34</v>
      </c>
      <c r="G416" s="24">
        <v>39</v>
      </c>
      <c r="H416" s="24" t="s">
        <v>48</v>
      </c>
      <c r="I416" s="25" t="s">
        <v>26</v>
      </c>
      <c r="K416" s="3">
        <f t="shared" si="9"/>
        <v>9.9215999999999999E-2</v>
      </c>
    </row>
    <row r="417" spans="1:11" ht="27" customHeight="1" x14ac:dyDescent="0.25">
      <c r="A417" s="22">
        <v>47.500000000000007</v>
      </c>
      <c r="B417" s="23" t="s">
        <v>198</v>
      </c>
      <c r="C417" s="24">
        <v>2.4</v>
      </c>
      <c r="D417" s="24">
        <v>260</v>
      </c>
      <c r="E417" s="24">
        <v>159</v>
      </c>
      <c r="F417" s="24">
        <v>42</v>
      </c>
      <c r="G417" s="24">
        <v>47</v>
      </c>
      <c r="H417" s="24" t="s">
        <v>48</v>
      </c>
      <c r="I417" s="25" t="s">
        <v>26</v>
      </c>
      <c r="K417" s="3">
        <f t="shared" si="9"/>
        <v>9.9215999999999999E-2</v>
      </c>
    </row>
    <row r="418" spans="1:11" ht="27" customHeight="1" x14ac:dyDescent="0.25">
      <c r="A418" s="22">
        <v>47.600000000000009</v>
      </c>
      <c r="B418" s="23" t="s">
        <v>198</v>
      </c>
      <c r="C418" s="24">
        <v>2.2999999999999998</v>
      </c>
      <c r="D418" s="24">
        <v>260</v>
      </c>
      <c r="E418" s="24">
        <v>159</v>
      </c>
      <c r="F418" s="24">
        <v>51</v>
      </c>
      <c r="G418" s="24">
        <v>56</v>
      </c>
      <c r="H418" s="24" t="s">
        <v>48</v>
      </c>
      <c r="I418" s="25" t="s">
        <v>52</v>
      </c>
      <c r="K418" s="3">
        <f t="shared" si="9"/>
        <v>9.5082E-2</v>
      </c>
    </row>
    <row r="419" spans="1:11" ht="27" customHeight="1" x14ac:dyDescent="0.25">
      <c r="A419" s="22">
        <v>47.70000000000001</v>
      </c>
      <c r="B419" s="23" t="s">
        <v>198</v>
      </c>
      <c r="C419" s="24">
        <v>2.4</v>
      </c>
      <c r="D419" s="24">
        <v>260</v>
      </c>
      <c r="E419" s="24">
        <v>159</v>
      </c>
      <c r="F419" s="24">
        <v>58</v>
      </c>
      <c r="G419" s="24">
        <v>63</v>
      </c>
      <c r="H419" s="24" t="s">
        <v>48</v>
      </c>
      <c r="I419" s="25" t="s">
        <v>52</v>
      </c>
      <c r="K419" s="3">
        <f t="shared" si="9"/>
        <v>9.9215999999999999E-2</v>
      </c>
    </row>
    <row r="420" spans="1:11" ht="27" customHeight="1" x14ac:dyDescent="0.25">
      <c r="A420" s="22">
        <v>47.800000000000011</v>
      </c>
      <c r="B420" s="23" t="s">
        <v>198</v>
      </c>
      <c r="C420" s="24">
        <v>2.4</v>
      </c>
      <c r="D420" s="24">
        <v>260</v>
      </c>
      <c r="E420" s="24">
        <v>159</v>
      </c>
      <c r="F420" s="24">
        <v>66</v>
      </c>
      <c r="G420" s="24">
        <v>71</v>
      </c>
      <c r="H420" s="24" t="s">
        <v>48</v>
      </c>
      <c r="I420" s="25" t="s">
        <v>52</v>
      </c>
      <c r="K420" s="3">
        <f t="shared" si="9"/>
        <v>9.9215999999999999E-2</v>
      </c>
    </row>
    <row r="421" spans="1:11" ht="27" customHeight="1" x14ac:dyDescent="0.25">
      <c r="A421" s="22">
        <v>47.900000000000013</v>
      </c>
      <c r="B421" s="23" t="s">
        <v>198</v>
      </c>
      <c r="C421" s="24">
        <v>2.4</v>
      </c>
      <c r="D421" s="24">
        <v>260</v>
      </c>
      <c r="E421" s="24">
        <v>159</v>
      </c>
      <c r="F421" s="24">
        <v>74</v>
      </c>
      <c r="G421" s="24">
        <v>79</v>
      </c>
      <c r="H421" s="24" t="s">
        <v>48</v>
      </c>
      <c r="I421" s="25" t="s">
        <v>52</v>
      </c>
      <c r="K421" s="3">
        <f t="shared" si="9"/>
        <v>9.9215999999999999E-2</v>
      </c>
    </row>
    <row r="422" spans="1:11" ht="27" customHeight="1" x14ac:dyDescent="0.25">
      <c r="A422" s="32">
        <v>47.1</v>
      </c>
      <c r="B422" s="23" t="s">
        <v>198</v>
      </c>
      <c r="C422" s="24">
        <v>3.1</v>
      </c>
      <c r="D422" s="24">
        <v>260</v>
      </c>
      <c r="E422" s="24">
        <v>159</v>
      </c>
      <c r="F422" s="24">
        <v>82</v>
      </c>
      <c r="G422" s="24">
        <v>89</v>
      </c>
      <c r="H422" s="24" t="s">
        <v>48</v>
      </c>
      <c r="I422" s="25" t="s">
        <v>52</v>
      </c>
      <c r="K422" s="3">
        <f t="shared" si="9"/>
        <v>0.12815399999999999</v>
      </c>
    </row>
    <row r="423" spans="1:11" ht="27" customHeight="1" x14ac:dyDescent="0.25">
      <c r="A423" s="32">
        <v>47.11</v>
      </c>
      <c r="B423" s="23" t="s">
        <v>198</v>
      </c>
      <c r="C423" s="24">
        <v>2.4</v>
      </c>
      <c r="D423" s="24">
        <v>260</v>
      </c>
      <c r="E423" s="24">
        <v>159</v>
      </c>
      <c r="F423" s="24">
        <v>92</v>
      </c>
      <c r="G423" s="24">
        <v>97</v>
      </c>
      <c r="H423" s="24" t="s">
        <v>48</v>
      </c>
      <c r="I423" s="25" t="s">
        <v>52</v>
      </c>
      <c r="K423" s="3">
        <f t="shared" si="9"/>
        <v>9.9215999999999999E-2</v>
      </c>
    </row>
    <row r="424" spans="1:11" ht="27" customHeight="1" x14ac:dyDescent="0.25">
      <c r="A424" s="32">
        <v>47.12</v>
      </c>
      <c r="B424" s="23" t="s">
        <v>198</v>
      </c>
      <c r="C424" s="24">
        <v>2.5</v>
      </c>
      <c r="D424" s="24">
        <v>260</v>
      </c>
      <c r="E424" s="24">
        <v>159</v>
      </c>
      <c r="F424" s="24">
        <v>100</v>
      </c>
      <c r="G424" s="24">
        <v>105</v>
      </c>
      <c r="H424" s="24" t="s">
        <v>48</v>
      </c>
      <c r="I424" s="25" t="s">
        <v>52</v>
      </c>
      <c r="K424" s="3">
        <f t="shared" si="9"/>
        <v>0.10335</v>
      </c>
    </row>
    <row r="425" spans="1:11" ht="27" customHeight="1" x14ac:dyDescent="0.25">
      <c r="A425" s="32">
        <v>47.13</v>
      </c>
      <c r="B425" s="23" t="s">
        <v>198</v>
      </c>
      <c r="C425" s="24">
        <v>2.4</v>
      </c>
      <c r="D425" s="24">
        <v>260</v>
      </c>
      <c r="E425" s="24">
        <v>159</v>
      </c>
      <c r="F425" s="24">
        <v>108</v>
      </c>
      <c r="G425" s="24">
        <v>113</v>
      </c>
      <c r="H425" s="24" t="s">
        <v>48</v>
      </c>
      <c r="I425" s="25" t="s">
        <v>126</v>
      </c>
      <c r="K425" s="3">
        <f t="shared" si="9"/>
        <v>9.9215999999999999E-2</v>
      </c>
    </row>
    <row r="426" spans="1:11" ht="27" customHeight="1" x14ac:dyDescent="0.25">
      <c r="A426" s="32">
        <v>47.14</v>
      </c>
      <c r="B426" s="23" t="s">
        <v>198</v>
      </c>
      <c r="C426" s="24">
        <v>2.5</v>
      </c>
      <c r="D426" s="24">
        <v>260</v>
      </c>
      <c r="E426" s="24">
        <v>159</v>
      </c>
      <c r="F426" s="24">
        <v>116</v>
      </c>
      <c r="G426" s="24">
        <v>122</v>
      </c>
      <c r="H426" s="24" t="s">
        <v>48</v>
      </c>
      <c r="I426" s="25" t="s">
        <v>126</v>
      </c>
      <c r="K426" s="3">
        <f t="shared" si="9"/>
        <v>0.10335</v>
      </c>
    </row>
    <row r="427" spans="1:11" ht="27" customHeight="1" x14ac:dyDescent="0.25">
      <c r="A427" s="32">
        <v>47.15</v>
      </c>
      <c r="B427" s="23" t="s">
        <v>198</v>
      </c>
      <c r="C427" s="24">
        <v>5.4</v>
      </c>
      <c r="D427" s="24">
        <v>260</v>
      </c>
      <c r="E427" s="24">
        <v>159</v>
      </c>
      <c r="F427" s="24">
        <v>126</v>
      </c>
      <c r="G427" s="24">
        <v>139</v>
      </c>
      <c r="H427" s="24" t="s">
        <v>48</v>
      </c>
      <c r="I427" s="25" t="s">
        <v>126</v>
      </c>
      <c r="K427" s="3">
        <f t="shared" si="9"/>
        <v>0.22323599999999999</v>
      </c>
    </row>
    <row r="428" spans="1:11" ht="27" customHeight="1" thickBot="1" x14ac:dyDescent="0.3">
      <c r="A428" s="31">
        <v>47.16</v>
      </c>
      <c r="B428" s="27" t="s">
        <v>198</v>
      </c>
      <c r="C428" s="28">
        <v>5.8</v>
      </c>
      <c r="D428" s="28">
        <v>300</v>
      </c>
      <c r="E428" s="28">
        <v>159</v>
      </c>
      <c r="F428" s="28">
        <v>139</v>
      </c>
      <c r="G428" s="28">
        <v>154</v>
      </c>
      <c r="H428" s="28" t="s">
        <v>48</v>
      </c>
      <c r="I428" s="29" t="s">
        <v>148</v>
      </c>
      <c r="K428" s="3">
        <f t="shared" si="9"/>
        <v>0.27666000000000002</v>
      </c>
    </row>
    <row r="429" spans="1:11" ht="9" customHeight="1" thickTop="1" thickBot="1" x14ac:dyDescent="0.3"/>
    <row r="430" spans="1:11" ht="24.95" customHeight="1" thickTop="1" x14ac:dyDescent="0.25">
      <c r="A430" s="9" t="s">
        <v>149</v>
      </c>
      <c r="B430" s="16" t="s">
        <v>150</v>
      </c>
      <c r="C430" s="17" t="s">
        <v>40</v>
      </c>
      <c r="D430" s="17" t="s">
        <v>9</v>
      </c>
      <c r="E430" s="17" t="s">
        <v>11</v>
      </c>
      <c r="F430" s="372" t="s">
        <v>41</v>
      </c>
      <c r="G430" s="372"/>
      <c r="H430" s="17" t="s">
        <v>50</v>
      </c>
      <c r="I430" s="18" t="s">
        <v>42</v>
      </c>
    </row>
    <row r="431" spans="1:11" ht="24.95" customHeight="1" x14ac:dyDescent="0.25">
      <c r="A431" s="10" t="s">
        <v>43</v>
      </c>
      <c r="B431" s="19" t="s">
        <v>44</v>
      </c>
      <c r="C431" s="20" t="s">
        <v>45</v>
      </c>
      <c r="D431" s="20" t="s">
        <v>46</v>
      </c>
      <c r="E431" s="20" t="s">
        <v>46</v>
      </c>
      <c r="F431" s="371" t="s">
        <v>51</v>
      </c>
      <c r="G431" s="371"/>
      <c r="H431" s="20"/>
      <c r="I431" s="21" t="s">
        <v>151</v>
      </c>
    </row>
    <row r="432" spans="1:11" ht="24.95" customHeight="1" x14ac:dyDescent="0.25">
      <c r="A432" s="22">
        <v>46.1</v>
      </c>
      <c r="B432" s="23" t="s">
        <v>198</v>
      </c>
      <c r="C432" s="24">
        <v>5.4</v>
      </c>
      <c r="D432" s="24">
        <v>260</v>
      </c>
      <c r="E432" s="24">
        <v>178</v>
      </c>
      <c r="F432" s="24" t="s">
        <v>88</v>
      </c>
      <c r="G432" s="24">
        <v>14</v>
      </c>
      <c r="H432" s="24" t="s">
        <v>48</v>
      </c>
      <c r="I432" s="25" t="s">
        <v>143</v>
      </c>
      <c r="K432" s="3">
        <f t="shared" ref="K432:K495" si="10">(C432*D432*E432)/1000000</f>
        <v>0.249912</v>
      </c>
    </row>
    <row r="433" spans="1:11" ht="24.95" customHeight="1" x14ac:dyDescent="0.25">
      <c r="A433" s="22">
        <v>46.2</v>
      </c>
      <c r="B433" s="23" t="s">
        <v>198</v>
      </c>
      <c r="C433" s="24">
        <v>3.1</v>
      </c>
      <c r="D433" s="24">
        <v>260</v>
      </c>
      <c r="E433" s="24">
        <v>178</v>
      </c>
      <c r="F433" s="24">
        <v>17</v>
      </c>
      <c r="G433" s="24">
        <v>23</v>
      </c>
      <c r="H433" s="24" t="s">
        <v>48</v>
      </c>
      <c r="I433" s="25" t="s">
        <v>143</v>
      </c>
      <c r="K433" s="3">
        <f t="shared" si="10"/>
        <v>0.14346800000000001</v>
      </c>
    </row>
    <row r="434" spans="1:11" ht="24.95" customHeight="1" x14ac:dyDescent="0.25">
      <c r="A434" s="22">
        <v>46.300000000000004</v>
      </c>
      <c r="B434" s="23" t="s">
        <v>198</v>
      </c>
      <c r="C434" s="24">
        <v>2.7</v>
      </c>
      <c r="D434" s="24">
        <v>260</v>
      </c>
      <c r="E434" s="24">
        <v>178</v>
      </c>
      <c r="F434" s="24">
        <v>26</v>
      </c>
      <c r="G434" s="24">
        <v>31</v>
      </c>
      <c r="H434" s="24" t="s">
        <v>48</v>
      </c>
      <c r="I434" s="25" t="s">
        <v>147</v>
      </c>
      <c r="K434" s="3">
        <f t="shared" si="10"/>
        <v>0.124956</v>
      </c>
    </row>
    <row r="435" spans="1:11" ht="24.95" customHeight="1" x14ac:dyDescent="0.25">
      <c r="A435" s="22">
        <v>46.400000000000006</v>
      </c>
      <c r="B435" s="23" t="s">
        <v>198</v>
      </c>
      <c r="C435" s="24">
        <v>2.4</v>
      </c>
      <c r="D435" s="24">
        <v>260</v>
      </c>
      <c r="E435" s="24">
        <v>178</v>
      </c>
      <c r="F435" s="24">
        <v>34</v>
      </c>
      <c r="G435" s="24">
        <v>39</v>
      </c>
      <c r="H435" s="24" t="s">
        <v>48</v>
      </c>
      <c r="I435" s="25" t="s">
        <v>26</v>
      </c>
      <c r="K435" s="3">
        <f t="shared" si="10"/>
        <v>0.111072</v>
      </c>
    </row>
    <row r="436" spans="1:11" ht="24.95" customHeight="1" x14ac:dyDescent="0.25">
      <c r="A436" s="22">
        <v>46.500000000000007</v>
      </c>
      <c r="B436" s="23" t="s">
        <v>198</v>
      </c>
      <c r="C436" s="24">
        <v>2.4</v>
      </c>
      <c r="D436" s="24">
        <v>260</v>
      </c>
      <c r="E436" s="24">
        <v>178</v>
      </c>
      <c r="F436" s="24">
        <v>42</v>
      </c>
      <c r="G436" s="24">
        <v>47</v>
      </c>
      <c r="H436" s="24" t="s">
        <v>48</v>
      </c>
      <c r="I436" s="25" t="s">
        <v>26</v>
      </c>
      <c r="K436" s="3">
        <f t="shared" si="10"/>
        <v>0.111072</v>
      </c>
    </row>
    <row r="437" spans="1:11" ht="24.95" customHeight="1" x14ac:dyDescent="0.25">
      <c r="A437" s="22">
        <v>46.600000000000009</v>
      </c>
      <c r="B437" s="23" t="s">
        <v>198</v>
      </c>
      <c r="C437" s="24">
        <v>2.2999999999999998</v>
      </c>
      <c r="D437" s="24">
        <v>260</v>
      </c>
      <c r="E437" s="24">
        <v>178</v>
      </c>
      <c r="F437" s="24">
        <v>51</v>
      </c>
      <c r="G437" s="24">
        <v>56</v>
      </c>
      <c r="H437" s="24" t="s">
        <v>48</v>
      </c>
      <c r="I437" s="25" t="s">
        <v>52</v>
      </c>
      <c r="K437" s="3">
        <f t="shared" si="10"/>
        <v>0.106444</v>
      </c>
    </row>
    <row r="438" spans="1:11" ht="24.95" customHeight="1" x14ac:dyDescent="0.25">
      <c r="A438" s="22">
        <v>46.70000000000001</v>
      </c>
      <c r="B438" s="23" t="s">
        <v>198</v>
      </c>
      <c r="C438" s="24">
        <v>2.4</v>
      </c>
      <c r="D438" s="24">
        <v>260</v>
      </c>
      <c r="E438" s="24">
        <v>178</v>
      </c>
      <c r="F438" s="24">
        <v>58</v>
      </c>
      <c r="G438" s="24">
        <v>63</v>
      </c>
      <c r="H438" s="24" t="s">
        <v>48</v>
      </c>
      <c r="I438" s="25" t="s">
        <v>52</v>
      </c>
      <c r="K438" s="3">
        <f t="shared" si="10"/>
        <v>0.111072</v>
      </c>
    </row>
    <row r="439" spans="1:11" ht="24.95" customHeight="1" x14ac:dyDescent="0.25">
      <c r="A439" s="22">
        <v>46.800000000000011</v>
      </c>
      <c r="B439" s="23" t="s">
        <v>198</v>
      </c>
      <c r="C439" s="24">
        <v>2.4</v>
      </c>
      <c r="D439" s="24">
        <v>260</v>
      </c>
      <c r="E439" s="24">
        <v>178</v>
      </c>
      <c r="F439" s="24">
        <v>66</v>
      </c>
      <c r="G439" s="24">
        <v>71</v>
      </c>
      <c r="H439" s="24" t="s">
        <v>48</v>
      </c>
      <c r="I439" s="25" t="s">
        <v>52</v>
      </c>
      <c r="K439" s="3">
        <f t="shared" si="10"/>
        <v>0.111072</v>
      </c>
    </row>
    <row r="440" spans="1:11" ht="24.95" customHeight="1" x14ac:dyDescent="0.25">
      <c r="A440" s="22">
        <v>46.900000000000013</v>
      </c>
      <c r="B440" s="23" t="s">
        <v>198</v>
      </c>
      <c r="C440" s="24">
        <v>2.4</v>
      </c>
      <c r="D440" s="24">
        <v>260</v>
      </c>
      <c r="E440" s="24">
        <v>178</v>
      </c>
      <c r="F440" s="24">
        <v>74</v>
      </c>
      <c r="G440" s="24">
        <v>79</v>
      </c>
      <c r="H440" s="24" t="s">
        <v>48</v>
      </c>
      <c r="I440" s="25" t="s">
        <v>52</v>
      </c>
      <c r="K440" s="3">
        <f t="shared" si="10"/>
        <v>0.111072</v>
      </c>
    </row>
    <row r="441" spans="1:11" ht="24.95" customHeight="1" x14ac:dyDescent="0.25">
      <c r="A441" s="32">
        <v>46.1</v>
      </c>
      <c r="B441" s="23" t="s">
        <v>198</v>
      </c>
      <c r="C441" s="24">
        <v>3.1</v>
      </c>
      <c r="D441" s="24">
        <v>260</v>
      </c>
      <c r="E441" s="24">
        <v>178</v>
      </c>
      <c r="F441" s="24">
        <v>82</v>
      </c>
      <c r="G441" s="24">
        <v>89</v>
      </c>
      <c r="H441" s="24" t="s">
        <v>48</v>
      </c>
      <c r="I441" s="25" t="s">
        <v>52</v>
      </c>
      <c r="K441" s="3">
        <f t="shared" si="10"/>
        <v>0.14346800000000001</v>
      </c>
    </row>
    <row r="442" spans="1:11" ht="24.95" customHeight="1" x14ac:dyDescent="0.25">
      <c r="A442" s="32">
        <v>46.11</v>
      </c>
      <c r="B442" s="23" t="s">
        <v>198</v>
      </c>
      <c r="C442" s="24">
        <v>2.4</v>
      </c>
      <c r="D442" s="24">
        <v>260</v>
      </c>
      <c r="E442" s="24">
        <v>178</v>
      </c>
      <c r="F442" s="24">
        <v>92</v>
      </c>
      <c r="G442" s="24">
        <v>97</v>
      </c>
      <c r="H442" s="24" t="s">
        <v>48</v>
      </c>
      <c r="I442" s="25" t="s">
        <v>52</v>
      </c>
      <c r="K442" s="3">
        <f t="shared" si="10"/>
        <v>0.111072</v>
      </c>
    </row>
    <row r="443" spans="1:11" ht="24.95" customHeight="1" x14ac:dyDescent="0.25">
      <c r="A443" s="32">
        <v>46.12</v>
      </c>
      <c r="B443" s="23" t="s">
        <v>198</v>
      </c>
      <c r="C443" s="24">
        <v>2.5</v>
      </c>
      <c r="D443" s="24">
        <v>260</v>
      </c>
      <c r="E443" s="24">
        <v>178</v>
      </c>
      <c r="F443" s="24">
        <v>100</v>
      </c>
      <c r="G443" s="24">
        <v>105</v>
      </c>
      <c r="H443" s="24" t="s">
        <v>48</v>
      </c>
      <c r="I443" s="25" t="s">
        <v>52</v>
      </c>
      <c r="K443" s="3">
        <f t="shared" si="10"/>
        <v>0.1157</v>
      </c>
    </row>
    <row r="444" spans="1:11" ht="24.95" customHeight="1" x14ac:dyDescent="0.25">
      <c r="A444" s="32">
        <v>46.13</v>
      </c>
      <c r="B444" s="23" t="s">
        <v>198</v>
      </c>
      <c r="C444" s="24">
        <v>2.4</v>
      </c>
      <c r="D444" s="24">
        <v>260</v>
      </c>
      <c r="E444" s="24">
        <v>178</v>
      </c>
      <c r="F444" s="24">
        <v>108</v>
      </c>
      <c r="G444" s="24">
        <v>113</v>
      </c>
      <c r="H444" s="24" t="s">
        <v>48</v>
      </c>
      <c r="I444" s="25" t="s">
        <v>126</v>
      </c>
      <c r="K444" s="3">
        <f t="shared" si="10"/>
        <v>0.111072</v>
      </c>
    </row>
    <row r="445" spans="1:11" ht="24.95" customHeight="1" x14ac:dyDescent="0.25">
      <c r="A445" s="32">
        <v>46.14</v>
      </c>
      <c r="B445" s="23" t="s">
        <v>198</v>
      </c>
      <c r="C445" s="24">
        <v>2.5</v>
      </c>
      <c r="D445" s="24">
        <v>260</v>
      </c>
      <c r="E445" s="24">
        <v>178</v>
      </c>
      <c r="F445" s="24">
        <v>116</v>
      </c>
      <c r="G445" s="24">
        <v>122</v>
      </c>
      <c r="H445" s="24" t="s">
        <v>48</v>
      </c>
      <c r="I445" s="25" t="s">
        <v>126</v>
      </c>
      <c r="K445" s="3">
        <f t="shared" si="10"/>
        <v>0.1157</v>
      </c>
    </row>
    <row r="446" spans="1:11" ht="24.95" customHeight="1" x14ac:dyDescent="0.25">
      <c r="A446" s="32">
        <v>46.15</v>
      </c>
      <c r="B446" s="23" t="s">
        <v>198</v>
      </c>
      <c r="C446" s="24">
        <v>2.4</v>
      </c>
      <c r="D446" s="24">
        <v>260</v>
      </c>
      <c r="E446" s="24">
        <v>178</v>
      </c>
      <c r="F446" s="24">
        <v>126</v>
      </c>
      <c r="G446" s="24">
        <v>131</v>
      </c>
      <c r="H446" s="24" t="s">
        <v>48</v>
      </c>
      <c r="I446" s="25" t="s">
        <v>126</v>
      </c>
      <c r="K446" s="3">
        <f t="shared" si="10"/>
        <v>0.111072</v>
      </c>
    </row>
    <row r="447" spans="1:11" ht="24.95" customHeight="1" x14ac:dyDescent="0.25">
      <c r="A447" s="32">
        <v>46.16</v>
      </c>
      <c r="B447" s="23" t="s">
        <v>198</v>
      </c>
      <c r="C447" s="24">
        <v>2.4</v>
      </c>
      <c r="D447" s="24">
        <v>260</v>
      </c>
      <c r="E447" s="24">
        <v>178</v>
      </c>
      <c r="F447" s="24">
        <v>134</v>
      </c>
      <c r="G447" s="24">
        <v>140</v>
      </c>
      <c r="H447" s="24" t="s">
        <v>48</v>
      </c>
      <c r="I447" s="25" t="s">
        <v>126</v>
      </c>
      <c r="K447" s="3">
        <f t="shared" si="10"/>
        <v>0.111072</v>
      </c>
    </row>
    <row r="448" spans="1:11" ht="24.95" customHeight="1" thickBot="1" x14ac:dyDescent="0.3">
      <c r="A448" s="31">
        <v>46.17</v>
      </c>
      <c r="B448" s="27" t="s">
        <v>198</v>
      </c>
      <c r="C448" s="28">
        <v>4.2</v>
      </c>
      <c r="D448" s="28">
        <v>260</v>
      </c>
      <c r="E448" s="28">
        <v>178</v>
      </c>
      <c r="F448" s="28">
        <v>143</v>
      </c>
      <c r="G448" s="28">
        <v>154</v>
      </c>
      <c r="H448" s="28" t="s">
        <v>48</v>
      </c>
      <c r="I448" s="29" t="s">
        <v>113</v>
      </c>
      <c r="K448" s="3">
        <f t="shared" si="10"/>
        <v>0.19437599999999999</v>
      </c>
    </row>
    <row r="449" spans="1:11" ht="24" customHeight="1" thickTop="1" thickBot="1" x14ac:dyDescent="0.3"/>
    <row r="450" spans="1:11" ht="30" customHeight="1" thickTop="1" x14ac:dyDescent="0.25">
      <c r="A450" s="9" t="s">
        <v>152</v>
      </c>
      <c r="B450" s="16" t="s">
        <v>153</v>
      </c>
      <c r="C450" s="17" t="s">
        <v>40</v>
      </c>
      <c r="D450" s="17" t="s">
        <v>9</v>
      </c>
      <c r="E450" s="17" t="s">
        <v>11</v>
      </c>
      <c r="F450" s="372" t="s">
        <v>41</v>
      </c>
      <c r="G450" s="372"/>
      <c r="H450" s="17" t="s">
        <v>50</v>
      </c>
      <c r="I450" s="18" t="s">
        <v>42</v>
      </c>
    </row>
    <row r="451" spans="1:11" ht="30" customHeight="1" x14ac:dyDescent="0.25">
      <c r="A451" s="10" t="s">
        <v>43</v>
      </c>
      <c r="B451" s="19" t="s">
        <v>44</v>
      </c>
      <c r="C451" s="20" t="s">
        <v>45</v>
      </c>
      <c r="D451" s="20" t="s">
        <v>46</v>
      </c>
      <c r="E451" s="20" t="s">
        <v>46</v>
      </c>
      <c r="F451" s="371" t="s">
        <v>51</v>
      </c>
      <c r="G451" s="371"/>
      <c r="H451" s="20"/>
      <c r="I451" s="21" t="s">
        <v>154</v>
      </c>
    </row>
    <row r="452" spans="1:11" ht="30" customHeight="1" x14ac:dyDescent="0.25">
      <c r="A452" s="22">
        <v>45.1</v>
      </c>
      <c r="B452" s="23" t="s">
        <v>22</v>
      </c>
      <c r="C452" s="24">
        <v>5.4</v>
      </c>
      <c r="D452" s="24">
        <v>330</v>
      </c>
      <c r="E452" s="24">
        <v>203</v>
      </c>
      <c r="F452" s="24" t="s">
        <v>88</v>
      </c>
      <c r="G452" s="24">
        <v>14</v>
      </c>
      <c r="H452" s="24" t="s">
        <v>48</v>
      </c>
      <c r="I452" s="25" t="s">
        <v>138</v>
      </c>
      <c r="K452" s="3">
        <f t="shared" si="10"/>
        <v>0.36174600000000007</v>
      </c>
    </row>
    <row r="453" spans="1:11" ht="30" customHeight="1" x14ac:dyDescent="0.25">
      <c r="A453" s="22">
        <v>45.2</v>
      </c>
      <c r="B453" s="23" t="s">
        <v>22</v>
      </c>
      <c r="C453" s="24">
        <v>3.1</v>
      </c>
      <c r="D453" s="24">
        <v>330</v>
      </c>
      <c r="E453" s="24">
        <v>203</v>
      </c>
      <c r="F453" s="24">
        <v>17</v>
      </c>
      <c r="G453" s="24">
        <v>23</v>
      </c>
      <c r="H453" s="24" t="s">
        <v>48</v>
      </c>
      <c r="I453" s="25" t="s">
        <v>143</v>
      </c>
      <c r="K453" s="3">
        <f t="shared" si="10"/>
        <v>0.20766899999999999</v>
      </c>
    </row>
    <row r="454" spans="1:11" ht="30" customHeight="1" x14ac:dyDescent="0.25">
      <c r="A454" s="22">
        <v>45.300000000000004</v>
      </c>
      <c r="B454" s="23" t="s">
        <v>22</v>
      </c>
      <c r="C454" s="24">
        <v>4.5</v>
      </c>
      <c r="D454" s="24">
        <v>330</v>
      </c>
      <c r="E454" s="24">
        <v>203</v>
      </c>
      <c r="F454" s="24">
        <v>26</v>
      </c>
      <c r="G454" s="24">
        <v>36</v>
      </c>
      <c r="H454" s="24" t="s">
        <v>48</v>
      </c>
      <c r="I454" s="25" t="s">
        <v>147</v>
      </c>
      <c r="K454" s="3">
        <f t="shared" si="10"/>
        <v>0.30145499999999997</v>
      </c>
    </row>
    <row r="455" spans="1:11" ht="30" customHeight="1" x14ac:dyDescent="0.25">
      <c r="A455" s="22">
        <v>45.400000000000006</v>
      </c>
      <c r="B455" s="23" t="s">
        <v>22</v>
      </c>
      <c r="C455" s="24">
        <v>7.4</v>
      </c>
      <c r="D455" s="24">
        <v>361</v>
      </c>
      <c r="E455" s="24">
        <v>203</v>
      </c>
      <c r="F455" s="24">
        <f>G454</f>
        <v>36</v>
      </c>
      <c r="G455" s="24">
        <v>54</v>
      </c>
      <c r="H455" s="24" t="s">
        <v>48</v>
      </c>
      <c r="I455" s="25" t="s">
        <v>155</v>
      </c>
      <c r="K455" s="3">
        <f t="shared" si="10"/>
        <v>0.54229420000000006</v>
      </c>
    </row>
    <row r="456" spans="1:11" ht="30" customHeight="1" x14ac:dyDescent="0.25">
      <c r="A456" s="22">
        <v>45.500000000000007</v>
      </c>
      <c r="B456" s="23" t="s">
        <v>22</v>
      </c>
      <c r="C456" s="24">
        <v>7.1</v>
      </c>
      <c r="D456" s="24">
        <v>374</v>
      </c>
      <c r="E456" s="24">
        <v>203</v>
      </c>
      <c r="F456" s="24">
        <f>G455</f>
        <v>54</v>
      </c>
      <c r="G456" s="24">
        <v>70</v>
      </c>
      <c r="H456" s="24" t="s">
        <v>48</v>
      </c>
      <c r="I456" s="25" t="s">
        <v>156</v>
      </c>
      <c r="K456" s="3">
        <f t="shared" si="10"/>
        <v>0.53904620000000003</v>
      </c>
    </row>
    <row r="457" spans="1:11" ht="30" customHeight="1" x14ac:dyDescent="0.25">
      <c r="A457" s="22">
        <v>45.600000000000009</v>
      </c>
      <c r="B457" s="23" t="s">
        <v>22</v>
      </c>
      <c r="C457" s="24">
        <v>9.6999999999999993</v>
      </c>
      <c r="D457" s="24">
        <v>330</v>
      </c>
      <c r="E457" s="24">
        <v>203</v>
      </c>
      <c r="F457" s="24">
        <f>G456</f>
        <v>70</v>
      </c>
      <c r="G457" s="24">
        <v>93</v>
      </c>
      <c r="H457" s="24" t="s">
        <v>48</v>
      </c>
      <c r="I457" s="25" t="s">
        <v>52</v>
      </c>
      <c r="K457" s="3">
        <f t="shared" si="10"/>
        <v>0.64980299999999991</v>
      </c>
    </row>
    <row r="458" spans="1:11" ht="30" customHeight="1" x14ac:dyDescent="0.25">
      <c r="A458" s="22">
        <v>45.70000000000001</v>
      </c>
      <c r="B458" s="23" t="s">
        <v>22</v>
      </c>
      <c r="C458" s="24">
        <v>7.4</v>
      </c>
      <c r="D458" s="24">
        <v>330</v>
      </c>
      <c r="E458" s="24">
        <v>203</v>
      </c>
      <c r="F458" s="24">
        <f>G457</f>
        <v>93</v>
      </c>
      <c r="G458" s="24">
        <v>110</v>
      </c>
      <c r="H458" s="24" t="s">
        <v>48</v>
      </c>
      <c r="I458" s="25" t="s">
        <v>52</v>
      </c>
      <c r="K458" s="3">
        <f t="shared" si="10"/>
        <v>0.495726</v>
      </c>
    </row>
    <row r="459" spans="1:11" ht="30" customHeight="1" x14ac:dyDescent="0.25">
      <c r="A459" s="22">
        <v>45.800000000000011</v>
      </c>
      <c r="B459" s="23" t="s">
        <v>22</v>
      </c>
      <c r="C459" s="24">
        <v>5</v>
      </c>
      <c r="D459" s="24">
        <v>330</v>
      </c>
      <c r="E459" s="24">
        <v>203</v>
      </c>
      <c r="F459" s="24">
        <f>G458</f>
        <v>110</v>
      </c>
      <c r="G459" s="24">
        <v>122</v>
      </c>
      <c r="H459" s="24" t="s">
        <v>48</v>
      </c>
      <c r="I459" s="25" t="s">
        <v>126</v>
      </c>
      <c r="K459" s="3">
        <f t="shared" si="10"/>
        <v>0.33495000000000003</v>
      </c>
    </row>
    <row r="460" spans="1:11" ht="30" customHeight="1" x14ac:dyDescent="0.25">
      <c r="A460" s="22">
        <v>45.900000000000013</v>
      </c>
      <c r="B460" s="23" t="s">
        <v>22</v>
      </c>
      <c r="C460" s="24">
        <v>2.5</v>
      </c>
      <c r="D460" s="24">
        <v>330</v>
      </c>
      <c r="E460" s="24">
        <v>203</v>
      </c>
      <c r="F460" s="24">
        <v>126</v>
      </c>
      <c r="G460" s="24">
        <v>131</v>
      </c>
      <c r="H460" s="24" t="s">
        <v>48</v>
      </c>
      <c r="I460" s="25" t="s">
        <v>126</v>
      </c>
      <c r="K460" s="3">
        <f t="shared" si="10"/>
        <v>0.16747500000000001</v>
      </c>
    </row>
    <row r="461" spans="1:11" ht="30" customHeight="1" x14ac:dyDescent="0.25">
      <c r="A461" s="32">
        <v>45.1</v>
      </c>
      <c r="B461" s="23" t="s">
        <v>22</v>
      </c>
      <c r="C461" s="24">
        <v>2.4</v>
      </c>
      <c r="D461" s="24">
        <v>330</v>
      </c>
      <c r="E461" s="24">
        <v>203</v>
      </c>
      <c r="F461" s="24">
        <v>134</v>
      </c>
      <c r="G461" s="24">
        <v>140</v>
      </c>
      <c r="H461" s="24" t="s">
        <v>48</v>
      </c>
      <c r="I461" s="25" t="s">
        <v>126</v>
      </c>
      <c r="K461" s="3">
        <f t="shared" si="10"/>
        <v>0.160776</v>
      </c>
    </row>
    <row r="462" spans="1:11" ht="30" customHeight="1" thickBot="1" x14ac:dyDescent="0.3">
      <c r="A462" s="31">
        <v>45.11</v>
      </c>
      <c r="B462" s="27" t="s">
        <v>22</v>
      </c>
      <c r="C462" s="28">
        <v>3.9</v>
      </c>
      <c r="D462" s="28">
        <v>330</v>
      </c>
      <c r="E462" s="28">
        <v>203</v>
      </c>
      <c r="F462" s="28">
        <v>143</v>
      </c>
      <c r="G462" s="28" t="s">
        <v>157</v>
      </c>
      <c r="H462" s="28" t="s">
        <v>48</v>
      </c>
      <c r="I462" s="29" t="s">
        <v>126</v>
      </c>
      <c r="K462" s="3">
        <f t="shared" si="10"/>
        <v>0.26126100000000002</v>
      </c>
    </row>
    <row r="463" spans="1:11" ht="30" customHeight="1" thickTop="1" thickBot="1" x14ac:dyDescent="0.3"/>
    <row r="464" spans="1:11" ht="30" customHeight="1" thickTop="1" x14ac:dyDescent="0.25">
      <c r="A464" s="9" t="s">
        <v>158</v>
      </c>
      <c r="B464" s="16" t="s">
        <v>159</v>
      </c>
      <c r="C464" s="17" t="s">
        <v>40</v>
      </c>
      <c r="D464" s="17" t="s">
        <v>9</v>
      </c>
      <c r="E464" s="17" t="s">
        <v>11</v>
      </c>
      <c r="F464" s="372" t="s">
        <v>41</v>
      </c>
      <c r="G464" s="372"/>
      <c r="H464" s="17" t="s">
        <v>50</v>
      </c>
      <c r="I464" s="18" t="s">
        <v>42</v>
      </c>
    </row>
    <row r="465" spans="1:11" ht="30" customHeight="1" x14ac:dyDescent="0.25">
      <c r="A465" s="10" t="s">
        <v>43</v>
      </c>
      <c r="B465" s="19" t="s">
        <v>44</v>
      </c>
      <c r="C465" s="20" t="s">
        <v>45</v>
      </c>
      <c r="D465" s="20" t="s">
        <v>46</v>
      </c>
      <c r="E465" s="20" t="s">
        <v>46</v>
      </c>
      <c r="F465" s="371" t="s">
        <v>51</v>
      </c>
      <c r="G465" s="371"/>
      <c r="H465" s="20"/>
      <c r="I465" s="21"/>
    </row>
    <row r="466" spans="1:11" ht="30" customHeight="1" x14ac:dyDescent="0.25">
      <c r="A466" s="22">
        <v>44.1</v>
      </c>
      <c r="B466" s="23" t="s">
        <v>202</v>
      </c>
      <c r="C466" s="24">
        <v>3.8</v>
      </c>
      <c r="D466" s="24">
        <v>474</v>
      </c>
      <c r="E466" s="24">
        <v>254</v>
      </c>
      <c r="F466" s="24" t="s">
        <v>88</v>
      </c>
      <c r="G466" s="24">
        <v>14</v>
      </c>
      <c r="H466" s="24" t="s">
        <v>160</v>
      </c>
      <c r="I466" s="25" t="s">
        <v>138</v>
      </c>
      <c r="K466" s="3">
        <f t="shared" si="10"/>
        <v>0.45750479999999993</v>
      </c>
    </row>
    <row r="467" spans="1:11" ht="30" customHeight="1" x14ac:dyDescent="0.25">
      <c r="A467" s="22">
        <v>44.2</v>
      </c>
      <c r="B467" s="23" t="s">
        <v>202</v>
      </c>
      <c r="C467" s="24">
        <v>7.4</v>
      </c>
      <c r="D467" s="24">
        <v>496</v>
      </c>
      <c r="E467" s="24">
        <v>254</v>
      </c>
      <c r="F467" s="24">
        <f t="shared" ref="F467:F474" si="11">G466</f>
        <v>14</v>
      </c>
      <c r="G467" s="24">
        <v>27</v>
      </c>
      <c r="H467" s="24" t="s">
        <v>160</v>
      </c>
      <c r="I467" s="25" t="s">
        <v>161</v>
      </c>
      <c r="K467" s="3">
        <f t="shared" si="10"/>
        <v>0.93228159999999993</v>
      </c>
    </row>
    <row r="468" spans="1:11" ht="30" customHeight="1" x14ac:dyDescent="0.25">
      <c r="A468" s="22">
        <v>44.300000000000004</v>
      </c>
      <c r="B468" s="23" t="s">
        <v>202</v>
      </c>
      <c r="C468" s="24">
        <v>7.4</v>
      </c>
      <c r="D468" s="24">
        <v>474</v>
      </c>
      <c r="E468" s="24">
        <v>254</v>
      </c>
      <c r="F468" s="24">
        <f t="shared" si="11"/>
        <v>27</v>
      </c>
      <c r="G468" s="24">
        <v>45</v>
      </c>
      <c r="H468" s="24" t="s">
        <v>160</v>
      </c>
      <c r="I468" s="25" t="s">
        <v>147</v>
      </c>
      <c r="K468" s="3">
        <f t="shared" si="10"/>
        <v>0.89093040000000012</v>
      </c>
    </row>
    <row r="469" spans="1:11" ht="30" customHeight="1" x14ac:dyDescent="0.25">
      <c r="A469" s="22">
        <v>44.400000000000006</v>
      </c>
      <c r="B469" s="23" t="s">
        <v>202</v>
      </c>
      <c r="C469" s="24">
        <v>7.4</v>
      </c>
      <c r="D469" s="24">
        <v>474</v>
      </c>
      <c r="E469" s="24">
        <v>254</v>
      </c>
      <c r="F469" s="24">
        <f t="shared" si="11"/>
        <v>45</v>
      </c>
      <c r="G469" s="24">
        <v>62</v>
      </c>
      <c r="H469" s="24" t="s">
        <v>160</v>
      </c>
      <c r="I469" s="25" t="s">
        <v>52</v>
      </c>
      <c r="K469" s="3">
        <f t="shared" si="10"/>
        <v>0.89093040000000012</v>
      </c>
    </row>
    <row r="470" spans="1:11" ht="30" customHeight="1" x14ac:dyDescent="0.25">
      <c r="A470" s="22">
        <v>44.500000000000007</v>
      </c>
      <c r="B470" s="23" t="s">
        <v>202</v>
      </c>
      <c r="C470" s="24">
        <v>9.1999999999999993</v>
      </c>
      <c r="D470" s="24">
        <v>474</v>
      </c>
      <c r="E470" s="24">
        <v>254</v>
      </c>
      <c r="F470" s="24">
        <f t="shared" si="11"/>
        <v>62</v>
      </c>
      <c r="G470" s="24">
        <v>84</v>
      </c>
      <c r="H470" s="24" t="s">
        <v>160</v>
      </c>
      <c r="I470" s="25" t="s">
        <v>52</v>
      </c>
      <c r="K470" s="3">
        <f t="shared" si="10"/>
        <v>1.1076431999999998</v>
      </c>
    </row>
    <row r="471" spans="1:11" ht="30" customHeight="1" x14ac:dyDescent="0.25">
      <c r="A471" s="22">
        <v>44.600000000000009</v>
      </c>
      <c r="B471" s="23" t="s">
        <v>202</v>
      </c>
      <c r="C471" s="24">
        <v>7.4</v>
      </c>
      <c r="D471" s="24">
        <v>474</v>
      </c>
      <c r="E471" s="24">
        <v>254</v>
      </c>
      <c r="F471" s="24">
        <f t="shared" si="11"/>
        <v>84</v>
      </c>
      <c r="G471" s="24">
        <v>101</v>
      </c>
      <c r="H471" s="24" t="s">
        <v>160</v>
      </c>
      <c r="I471" s="25" t="s">
        <v>52</v>
      </c>
      <c r="K471" s="3">
        <f t="shared" si="10"/>
        <v>0.89093040000000012</v>
      </c>
    </row>
    <row r="472" spans="1:11" ht="30" customHeight="1" x14ac:dyDescent="0.25">
      <c r="A472" s="22">
        <v>44.70000000000001</v>
      </c>
      <c r="B472" s="23" t="s">
        <v>202</v>
      </c>
      <c r="C472" s="24">
        <v>7.4</v>
      </c>
      <c r="D472" s="24">
        <v>474</v>
      </c>
      <c r="E472" s="24">
        <v>254</v>
      </c>
      <c r="F472" s="24">
        <f t="shared" si="11"/>
        <v>101</v>
      </c>
      <c r="G472" s="24">
        <v>118</v>
      </c>
      <c r="H472" s="24" t="s">
        <v>160</v>
      </c>
      <c r="I472" s="25" t="s">
        <v>26</v>
      </c>
      <c r="K472" s="3">
        <f t="shared" si="10"/>
        <v>0.89093040000000012</v>
      </c>
    </row>
    <row r="473" spans="1:11" ht="30" customHeight="1" x14ac:dyDescent="0.25">
      <c r="A473" s="22">
        <v>44.800000000000011</v>
      </c>
      <c r="B473" s="23" t="s">
        <v>202</v>
      </c>
      <c r="C473" s="24">
        <v>8.3000000000000007</v>
      </c>
      <c r="D473" s="24">
        <v>474</v>
      </c>
      <c r="E473" s="24">
        <v>254</v>
      </c>
      <c r="F473" s="24">
        <f t="shared" si="11"/>
        <v>118</v>
      </c>
      <c r="G473" s="24">
        <v>140</v>
      </c>
      <c r="H473" s="24" t="s">
        <v>160</v>
      </c>
      <c r="I473" s="25" t="s">
        <v>162</v>
      </c>
      <c r="K473" s="3">
        <f t="shared" si="10"/>
        <v>0.99928680000000003</v>
      </c>
    </row>
    <row r="474" spans="1:11" ht="30" customHeight="1" thickBot="1" x14ac:dyDescent="0.3">
      <c r="A474" s="26">
        <v>44.900000000000013</v>
      </c>
      <c r="B474" s="27" t="s">
        <v>202</v>
      </c>
      <c r="C474" s="28">
        <v>3</v>
      </c>
      <c r="D474" s="28">
        <v>474</v>
      </c>
      <c r="E474" s="28">
        <v>254</v>
      </c>
      <c r="F474" s="28">
        <f t="shared" si="11"/>
        <v>140</v>
      </c>
      <c r="G474" s="28" t="s">
        <v>157</v>
      </c>
      <c r="H474" s="28" t="s">
        <v>160</v>
      </c>
      <c r="I474" s="29" t="s">
        <v>163</v>
      </c>
      <c r="K474" s="3">
        <f t="shared" si="10"/>
        <v>0.36118800000000001</v>
      </c>
    </row>
    <row r="475" spans="1:11" ht="30" customHeight="1" thickTop="1" thickBot="1" x14ac:dyDescent="0.3"/>
    <row r="476" spans="1:11" ht="30" customHeight="1" thickTop="1" x14ac:dyDescent="0.25">
      <c r="A476" s="9" t="s">
        <v>164</v>
      </c>
      <c r="B476" s="16" t="s">
        <v>159</v>
      </c>
      <c r="C476" s="17" t="s">
        <v>40</v>
      </c>
      <c r="D476" s="17" t="s">
        <v>9</v>
      </c>
      <c r="E476" s="17" t="s">
        <v>11</v>
      </c>
      <c r="F476" s="372" t="s">
        <v>41</v>
      </c>
      <c r="G476" s="372"/>
      <c r="H476" s="17" t="s">
        <v>50</v>
      </c>
      <c r="I476" s="18" t="s">
        <v>42</v>
      </c>
    </row>
    <row r="477" spans="1:11" ht="30" customHeight="1" x14ac:dyDescent="0.25">
      <c r="A477" s="10" t="s">
        <v>43</v>
      </c>
      <c r="B477" s="19" t="s">
        <v>44</v>
      </c>
      <c r="C477" s="20" t="s">
        <v>45</v>
      </c>
      <c r="D477" s="20" t="s">
        <v>46</v>
      </c>
      <c r="E477" s="20" t="s">
        <v>46</v>
      </c>
      <c r="F477" s="371" t="s">
        <v>51</v>
      </c>
      <c r="G477" s="371"/>
      <c r="H477" s="20"/>
      <c r="I477" s="21"/>
    </row>
    <row r="478" spans="1:11" ht="30" customHeight="1" x14ac:dyDescent="0.25">
      <c r="A478" s="22">
        <v>43.1</v>
      </c>
      <c r="B478" s="23" t="s">
        <v>202</v>
      </c>
      <c r="C478" s="24">
        <v>1.9</v>
      </c>
      <c r="D478" s="24">
        <v>474</v>
      </c>
      <c r="E478" s="24">
        <v>254</v>
      </c>
      <c r="F478" s="24" t="s">
        <v>88</v>
      </c>
      <c r="G478" s="24">
        <v>5</v>
      </c>
      <c r="H478" s="24" t="s">
        <v>160</v>
      </c>
      <c r="I478" s="25" t="s">
        <v>138</v>
      </c>
      <c r="K478" s="3">
        <f t="shared" si="10"/>
        <v>0.22875239999999997</v>
      </c>
    </row>
    <row r="479" spans="1:11" ht="30" customHeight="1" x14ac:dyDescent="0.25">
      <c r="A479" s="22">
        <v>43.2</v>
      </c>
      <c r="B479" s="23" t="s">
        <v>202</v>
      </c>
      <c r="C479" s="24">
        <v>7.4</v>
      </c>
      <c r="D479" s="24">
        <v>474</v>
      </c>
      <c r="E479" s="24">
        <v>254</v>
      </c>
      <c r="F479" s="24">
        <f t="shared" ref="F479:F486" si="12">G478</f>
        <v>5</v>
      </c>
      <c r="G479" s="24">
        <v>23</v>
      </c>
      <c r="H479" s="24" t="s">
        <v>160</v>
      </c>
      <c r="I479" s="25" t="s">
        <v>165</v>
      </c>
      <c r="K479" s="3">
        <f t="shared" si="10"/>
        <v>0.89093040000000012</v>
      </c>
    </row>
    <row r="480" spans="1:11" ht="30" customHeight="1" x14ac:dyDescent="0.25">
      <c r="A480" s="22">
        <v>43.300000000000004</v>
      </c>
      <c r="B480" s="23" t="s">
        <v>202</v>
      </c>
      <c r="C480" s="24">
        <v>7.4</v>
      </c>
      <c r="D480" s="24">
        <v>474</v>
      </c>
      <c r="E480" s="24">
        <v>254</v>
      </c>
      <c r="F480" s="24">
        <f t="shared" si="12"/>
        <v>23</v>
      </c>
      <c r="G480" s="24">
        <v>40</v>
      </c>
      <c r="H480" s="24" t="s">
        <v>160</v>
      </c>
      <c r="I480" s="25" t="s">
        <v>147</v>
      </c>
      <c r="K480" s="3">
        <f t="shared" si="10"/>
        <v>0.89093040000000012</v>
      </c>
    </row>
    <row r="481" spans="1:11" ht="30" customHeight="1" x14ac:dyDescent="0.25">
      <c r="A481" s="22">
        <v>43.400000000000006</v>
      </c>
      <c r="B481" s="23" t="s">
        <v>202</v>
      </c>
      <c r="C481" s="24">
        <v>7.4</v>
      </c>
      <c r="D481" s="24">
        <v>474</v>
      </c>
      <c r="E481" s="24">
        <v>254</v>
      </c>
      <c r="F481" s="24">
        <f t="shared" si="12"/>
        <v>40</v>
      </c>
      <c r="G481" s="24">
        <v>57</v>
      </c>
      <c r="H481" s="24" t="s">
        <v>160</v>
      </c>
      <c r="I481" s="25" t="s">
        <v>26</v>
      </c>
      <c r="K481" s="3">
        <f t="shared" si="10"/>
        <v>0.89093040000000012</v>
      </c>
    </row>
    <row r="482" spans="1:11" ht="30" customHeight="1" x14ac:dyDescent="0.25">
      <c r="A482" s="22">
        <v>43.500000000000007</v>
      </c>
      <c r="B482" s="23" t="s">
        <v>202</v>
      </c>
      <c r="C482" s="24">
        <v>7.4</v>
      </c>
      <c r="D482" s="24">
        <v>474</v>
      </c>
      <c r="E482" s="24">
        <v>254</v>
      </c>
      <c r="F482" s="24">
        <f t="shared" si="12"/>
        <v>57</v>
      </c>
      <c r="G482" s="24">
        <v>75</v>
      </c>
      <c r="H482" s="24" t="s">
        <v>160</v>
      </c>
      <c r="I482" s="25" t="s">
        <v>52</v>
      </c>
      <c r="K482" s="3">
        <f t="shared" si="10"/>
        <v>0.89093040000000012</v>
      </c>
    </row>
    <row r="483" spans="1:11" ht="30" customHeight="1" x14ac:dyDescent="0.25">
      <c r="A483" s="22">
        <v>43.600000000000009</v>
      </c>
      <c r="B483" s="23" t="s">
        <v>202</v>
      </c>
      <c r="C483" s="24">
        <v>9.1999999999999993</v>
      </c>
      <c r="D483" s="24">
        <v>474</v>
      </c>
      <c r="E483" s="24">
        <v>254</v>
      </c>
      <c r="F483" s="24">
        <f t="shared" si="12"/>
        <v>75</v>
      </c>
      <c r="G483" s="24">
        <v>97</v>
      </c>
      <c r="H483" s="24" t="s">
        <v>160</v>
      </c>
      <c r="I483" s="25" t="s">
        <v>52</v>
      </c>
      <c r="K483" s="3">
        <f t="shared" si="10"/>
        <v>1.1076431999999998</v>
      </c>
    </row>
    <row r="484" spans="1:11" ht="30" customHeight="1" x14ac:dyDescent="0.25">
      <c r="A484" s="22">
        <v>43.70000000000001</v>
      </c>
      <c r="B484" s="23" t="s">
        <v>202</v>
      </c>
      <c r="C484" s="24">
        <v>7.4</v>
      </c>
      <c r="D484" s="24">
        <v>474</v>
      </c>
      <c r="E484" s="24">
        <v>254</v>
      </c>
      <c r="F484" s="24">
        <f t="shared" si="12"/>
        <v>97</v>
      </c>
      <c r="G484" s="24">
        <v>114</v>
      </c>
      <c r="H484" s="24" t="s">
        <v>160</v>
      </c>
      <c r="I484" s="25" t="s">
        <v>26</v>
      </c>
      <c r="K484" s="3">
        <f t="shared" si="10"/>
        <v>0.89093040000000012</v>
      </c>
    </row>
    <row r="485" spans="1:11" ht="30" customHeight="1" x14ac:dyDescent="0.25">
      <c r="A485" s="22">
        <v>43.800000000000011</v>
      </c>
      <c r="B485" s="23" t="s">
        <v>202</v>
      </c>
      <c r="C485" s="24">
        <v>7.4</v>
      </c>
      <c r="D485" s="24">
        <v>474</v>
      </c>
      <c r="E485" s="24">
        <v>254</v>
      </c>
      <c r="F485" s="24">
        <f t="shared" si="12"/>
        <v>114</v>
      </c>
      <c r="G485" s="24">
        <v>133</v>
      </c>
      <c r="H485" s="24" t="s">
        <v>160</v>
      </c>
      <c r="I485" s="25" t="s">
        <v>162</v>
      </c>
      <c r="K485" s="3">
        <f t="shared" si="10"/>
        <v>0.89093040000000012</v>
      </c>
    </row>
    <row r="486" spans="1:11" ht="30" customHeight="1" thickBot="1" x14ac:dyDescent="0.3">
      <c r="A486" s="26">
        <v>43.900000000000013</v>
      </c>
      <c r="B486" s="27" t="s">
        <v>202</v>
      </c>
      <c r="C486" s="28">
        <v>6.4</v>
      </c>
      <c r="D486" s="28">
        <v>474</v>
      </c>
      <c r="E486" s="28">
        <v>254</v>
      </c>
      <c r="F486" s="28">
        <f t="shared" si="12"/>
        <v>133</v>
      </c>
      <c r="G486" s="28" t="s">
        <v>157</v>
      </c>
      <c r="H486" s="28" t="s">
        <v>160</v>
      </c>
      <c r="I486" s="29" t="s">
        <v>163</v>
      </c>
      <c r="K486" s="3">
        <f t="shared" si="10"/>
        <v>0.77053440000000017</v>
      </c>
    </row>
    <row r="487" spans="1:11" ht="30" customHeight="1" thickTop="1" thickBot="1" x14ac:dyDescent="0.3"/>
    <row r="488" spans="1:11" ht="30" customHeight="1" thickTop="1" x14ac:dyDescent="0.25">
      <c r="A488" s="9" t="s">
        <v>166</v>
      </c>
      <c r="B488" s="16" t="s">
        <v>159</v>
      </c>
      <c r="C488" s="17" t="s">
        <v>40</v>
      </c>
      <c r="D488" s="17" t="s">
        <v>9</v>
      </c>
      <c r="E488" s="17" t="s">
        <v>11</v>
      </c>
      <c r="F488" s="372" t="s">
        <v>41</v>
      </c>
      <c r="G488" s="372"/>
      <c r="H488" s="17" t="s">
        <v>50</v>
      </c>
      <c r="I488" s="18" t="s">
        <v>42</v>
      </c>
    </row>
    <row r="489" spans="1:11" ht="30" customHeight="1" x14ac:dyDescent="0.25">
      <c r="A489" s="10" t="s">
        <v>43</v>
      </c>
      <c r="B489" s="19" t="s">
        <v>44</v>
      </c>
      <c r="C489" s="20" t="s">
        <v>45</v>
      </c>
      <c r="D489" s="20" t="s">
        <v>46</v>
      </c>
      <c r="E489" s="20" t="s">
        <v>46</v>
      </c>
      <c r="F489" s="371" t="s">
        <v>51</v>
      </c>
      <c r="G489" s="371"/>
      <c r="H489" s="20"/>
      <c r="I489" s="21"/>
    </row>
    <row r="490" spans="1:11" ht="30" customHeight="1" x14ac:dyDescent="0.25">
      <c r="A490" s="22">
        <v>42.1</v>
      </c>
      <c r="B490" s="23" t="s">
        <v>202</v>
      </c>
      <c r="C490" s="24">
        <v>5.4</v>
      </c>
      <c r="D490" s="24">
        <v>474</v>
      </c>
      <c r="E490" s="24">
        <v>254</v>
      </c>
      <c r="F490" s="24" t="s">
        <v>88</v>
      </c>
      <c r="G490" s="24">
        <v>14</v>
      </c>
      <c r="H490" s="24" t="s">
        <v>160</v>
      </c>
      <c r="I490" s="25" t="s">
        <v>143</v>
      </c>
      <c r="K490" s="3">
        <f t="shared" si="10"/>
        <v>0.65013840000000012</v>
      </c>
    </row>
    <row r="491" spans="1:11" ht="30" customHeight="1" x14ac:dyDescent="0.25">
      <c r="A491" s="22">
        <v>42.2</v>
      </c>
      <c r="B491" s="23" t="s">
        <v>202</v>
      </c>
      <c r="C491" s="24">
        <v>7.4</v>
      </c>
      <c r="D491" s="24">
        <v>474</v>
      </c>
      <c r="E491" s="24">
        <v>254</v>
      </c>
      <c r="F491" s="24">
        <f t="shared" ref="F491:F498" si="13">G490</f>
        <v>14</v>
      </c>
      <c r="G491" s="24">
        <v>32</v>
      </c>
      <c r="H491" s="24" t="s">
        <v>160</v>
      </c>
      <c r="I491" s="25" t="s">
        <v>165</v>
      </c>
      <c r="K491" s="3">
        <f t="shared" si="10"/>
        <v>0.89093040000000012</v>
      </c>
    </row>
    <row r="492" spans="1:11" ht="30" customHeight="1" x14ac:dyDescent="0.25">
      <c r="A492" s="22">
        <v>42.300000000000004</v>
      </c>
      <c r="B492" s="23" t="s">
        <v>202</v>
      </c>
      <c r="C492" s="24">
        <v>7.4</v>
      </c>
      <c r="D492" s="24">
        <v>474</v>
      </c>
      <c r="E492" s="24">
        <v>254</v>
      </c>
      <c r="F492" s="24">
        <f t="shared" si="13"/>
        <v>32</v>
      </c>
      <c r="G492" s="24">
        <v>49</v>
      </c>
      <c r="H492" s="24" t="s">
        <v>160</v>
      </c>
      <c r="I492" s="25" t="s">
        <v>26</v>
      </c>
      <c r="K492" s="3">
        <f t="shared" si="10"/>
        <v>0.89093040000000012</v>
      </c>
    </row>
    <row r="493" spans="1:11" ht="30" customHeight="1" x14ac:dyDescent="0.25">
      <c r="A493" s="22">
        <v>42.400000000000006</v>
      </c>
      <c r="B493" s="23" t="s">
        <v>202</v>
      </c>
      <c r="C493" s="24">
        <v>7.4</v>
      </c>
      <c r="D493" s="24">
        <v>474</v>
      </c>
      <c r="E493" s="24">
        <v>254</v>
      </c>
      <c r="F493" s="24">
        <f t="shared" si="13"/>
        <v>49</v>
      </c>
      <c r="G493" s="24">
        <v>66</v>
      </c>
      <c r="H493" s="24" t="s">
        <v>160</v>
      </c>
      <c r="I493" s="25" t="s">
        <v>52</v>
      </c>
      <c r="K493" s="3">
        <f t="shared" si="10"/>
        <v>0.89093040000000012</v>
      </c>
    </row>
    <row r="494" spans="1:11" ht="30" customHeight="1" x14ac:dyDescent="0.25">
      <c r="A494" s="22">
        <v>42.500000000000007</v>
      </c>
      <c r="B494" s="23" t="s">
        <v>202</v>
      </c>
      <c r="C494" s="24">
        <v>9.1999999999999993</v>
      </c>
      <c r="D494" s="24">
        <v>474</v>
      </c>
      <c r="E494" s="24">
        <v>254</v>
      </c>
      <c r="F494" s="24">
        <f t="shared" si="13"/>
        <v>66</v>
      </c>
      <c r="G494" s="24">
        <v>88</v>
      </c>
      <c r="H494" s="24" t="s">
        <v>160</v>
      </c>
      <c r="I494" s="25" t="s">
        <v>52</v>
      </c>
      <c r="K494" s="3">
        <f t="shared" si="10"/>
        <v>1.1076431999999998</v>
      </c>
    </row>
    <row r="495" spans="1:11" ht="30" customHeight="1" x14ac:dyDescent="0.25">
      <c r="A495" s="22">
        <v>42.600000000000009</v>
      </c>
      <c r="B495" s="23" t="s">
        <v>202</v>
      </c>
      <c r="C495" s="24">
        <v>7.4</v>
      </c>
      <c r="D495" s="24">
        <v>474</v>
      </c>
      <c r="E495" s="24">
        <v>254</v>
      </c>
      <c r="F495" s="24">
        <f t="shared" si="13"/>
        <v>88</v>
      </c>
      <c r="G495" s="24">
        <v>105</v>
      </c>
      <c r="H495" s="24" t="s">
        <v>160</v>
      </c>
      <c r="I495" s="25" t="s">
        <v>52</v>
      </c>
      <c r="K495" s="3">
        <f t="shared" si="10"/>
        <v>0.89093040000000012</v>
      </c>
    </row>
    <row r="496" spans="1:11" ht="30" customHeight="1" x14ac:dyDescent="0.25">
      <c r="A496" s="22">
        <v>42.70000000000001</v>
      </c>
      <c r="B496" s="23" t="s">
        <v>202</v>
      </c>
      <c r="C496" s="24">
        <v>7.4</v>
      </c>
      <c r="D496" s="24">
        <v>474</v>
      </c>
      <c r="E496" s="24">
        <v>254</v>
      </c>
      <c r="F496" s="24">
        <f t="shared" si="13"/>
        <v>105</v>
      </c>
      <c r="G496" s="24">
        <v>124</v>
      </c>
      <c r="H496" s="24" t="s">
        <v>160</v>
      </c>
      <c r="I496" s="25" t="s">
        <v>26</v>
      </c>
      <c r="K496" s="3">
        <f t="shared" ref="K496:K559" si="14">(C496*D496*E496)/1000000</f>
        <v>0.89093040000000012</v>
      </c>
    </row>
    <row r="497" spans="1:11" ht="30" customHeight="1" x14ac:dyDescent="0.25">
      <c r="A497" s="22">
        <v>42.800000000000011</v>
      </c>
      <c r="B497" s="23" t="s">
        <v>202</v>
      </c>
      <c r="C497" s="24">
        <v>7.4</v>
      </c>
      <c r="D497" s="24">
        <v>474</v>
      </c>
      <c r="E497" s="24">
        <v>254</v>
      </c>
      <c r="F497" s="24">
        <f t="shared" si="13"/>
        <v>124</v>
      </c>
      <c r="G497" s="24">
        <v>142</v>
      </c>
      <c r="H497" s="24" t="s">
        <v>160</v>
      </c>
      <c r="I497" s="25" t="s">
        <v>163</v>
      </c>
      <c r="K497" s="3">
        <f t="shared" si="14"/>
        <v>0.89093040000000012</v>
      </c>
    </row>
    <row r="498" spans="1:11" ht="30" customHeight="1" thickBot="1" x14ac:dyDescent="0.3">
      <c r="A498" s="26">
        <v>42.900000000000013</v>
      </c>
      <c r="B498" s="27" t="s">
        <v>202</v>
      </c>
      <c r="C498" s="28">
        <v>4.4000000000000004</v>
      </c>
      <c r="D498" s="28">
        <v>474</v>
      </c>
      <c r="E498" s="28">
        <v>254</v>
      </c>
      <c r="F498" s="28">
        <f t="shared" si="13"/>
        <v>142</v>
      </c>
      <c r="G498" s="28" t="s">
        <v>157</v>
      </c>
      <c r="H498" s="28" t="s">
        <v>160</v>
      </c>
      <c r="I498" s="29" t="s">
        <v>167</v>
      </c>
      <c r="K498" s="3">
        <f t="shared" si="14"/>
        <v>0.52974240000000017</v>
      </c>
    </row>
    <row r="499" spans="1:11" ht="30" customHeight="1" thickTop="1" thickBot="1" x14ac:dyDescent="0.3"/>
    <row r="500" spans="1:11" ht="30" customHeight="1" thickTop="1" x14ac:dyDescent="0.25">
      <c r="A500" s="9" t="s">
        <v>168</v>
      </c>
      <c r="B500" s="16" t="s">
        <v>159</v>
      </c>
      <c r="C500" s="17" t="s">
        <v>40</v>
      </c>
      <c r="D500" s="17" t="s">
        <v>9</v>
      </c>
      <c r="E500" s="17" t="s">
        <v>11</v>
      </c>
      <c r="F500" s="372" t="s">
        <v>41</v>
      </c>
      <c r="G500" s="372"/>
      <c r="H500" s="17" t="s">
        <v>50</v>
      </c>
      <c r="I500" s="18" t="s">
        <v>42</v>
      </c>
    </row>
    <row r="501" spans="1:11" ht="30" customHeight="1" x14ac:dyDescent="0.25">
      <c r="A501" s="10" t="s">
        <v>43</v>
      </c>
      <c r="B501" s="19" t="s">
        <v>44</v>
      </c>
      <c r="C501" s="20" t="s">
        <v>45</v>
      </c>
      <c r="D501" s="20" t="s">
        <v>46</v>
      </c>
      <c r="E501" s="20" t="s">
        <v>46</v>
      </c>
      <c r="F501" s="371" t="s">
        <v>51</v>
      </c>
      <c r="G501" s="371"/>
      <c r="H501" s="20"/>
      <c r="I501" s="21"/>
    </row>
    <row r="502" spans="1:11" ht="30" customHeight="1" x14ac:dyDescent="0.25">
      <c r="A502" s="22">
        <v>41.1</v>
      </c>
      <c r="B502" s="23" t="s">
        <v>202</v>
      </c>
      <c r="C502" s="24">
        <v>7</v>
      </c>
      <c r="D502" s="24">
        <v>474</v>
      </c>
      <c r="E502" s="24">
        <v>254</v>
      </c>
      <c r="F502" s="24" t="s">
        <v>88</v>
      </c>
      <c r="G502" s="24">
        <v>18</v>
      </c>
      <c r="H502" s="24" t="s">
        <v>160</v>
      </c>
      <c r="I502" s="25" t="s">
        <v>143</v>
      </c>
      <c r="K502" s="3">
        <f t="shared" si="14"/>
        <v>0.84277199999999997</v>
      </c>
    </row>
    <row r="503" spans="1:11" ht="30" customHeight="1" x14ac:dyDescent="0.25">
      <c r="A503" s="22">
        <v>41.2</v>
      </c>
      <c r="B503" s="23" t="s">
        <v>202</v>
      </c>
      <c r="C503" s="24">
        <v>7.4</v>
      </c>
      <c r="D503" s="24">
        <v>474</v>
      </c>
      <c r="E503" s="24">
        <v>254</v>
      </c>
      <c r="F503" s="24">
        <f t="shared" ref="F503:F510" si="15">G502</f>
        <v>18</v>
      </c>
      <c r="G503" s="24">
        <v>36</v>
      </c>
      <c r="H503" s="24" t="s">
        <v>160</v>
      </c>
      <c r="I503" s="25" t="s">
        <v>143</v>
      </c>
      <c r="K503" s="3">
        <f t="shared" si="14"/>
        <v>0.89093040000000012</v>
      </c>
    </row>
    <row r="504" spans="1:11" ht="30" customHeight="1" x14ac:dyDescent="0.25">
      <c r="A504" s="22">
        <v>41.300000000000004</v>
      </c>
      <c r="B504" s="23" t="s">
        <v>202</v>
      </c>
      <c r="C504" s="24">
        <v>7.4</v>
      </c>
      <c r="D504" s="24">
        <v>474</v>
      </c>
      <c r="E504" s="24">
        <v>254</v>
      </c>
      <c r="F504" s="24">
        <f t="shared" si="15"/>
        <v>36</v>
      </c>
      <c r="G504" s="24">
        <v>54</v>
      </c>
      <c r="H504" s="24" t="s">
        <v>160</v>
      </c>
      <c r="I504" s="25" t="s">
        <v>26</v>
      </c>
      <c r="K504" s="3">
        <f t="shared" si="14"/>
        <v>0.89093040000000012</v>
      </c>
    </row>
    <row r="505" spans="1:11" ht="30" customHeight="1" x14ac:dyDescent="0.25">
      <c r="A505" s="22">
        <v>41.400000000000006</v>
      </c>
      <c r="B505" s="23" t="s">
        <v>202</v>
      </c>
      <c r="C505" s="24">
        <v>7.4</v>
      </c>
      <c r="D505" s="24">
        <v>474</v>
      </c>
      <c r="E505" s="24">
        <v>254</v>
      </c>
      <c r="F505" s="24">
        <f t="shared" si="15"/>
        <v>54</v>
      </c>
      <c r="G505" s="24">
        <v>71</v>
      </c>
      <c r="H505" s="24" t="s">
        <v>160</v>
      </c>
      <c r="I505" s="25" t="s">
        <v>52</v>
      </c>
      <c r="K505" s="3">
        <f t="shared" si="14"/>
        <v>0.89093040000000012</v>
      </c>
    </row>
    <row r="506" spans="1:11" ht="30" customHeight="1" x14ac:dyDescent="0.25">
      <c r="A506" s="22">
        <v>41.500000000000007</v>
      </c>
      <c r="B506" s="23" t="s">
        <v>202</v>
      </c>
      <c r="C506" s="24">
        <v>9.1999999999999993</v>
      </c>
      <c r="D506" s="24">
        <v>474</v>
      </c>
      <c r="E506" s="24">
        <v>254</v>
      </c>
      <c r="F506" s="24">
        <f t="shared" si="15"/>
        <v>71</v>
      </c>
      <c r="G506" s="24">
        <v>93</v>
      </c>
      <c r="H506" s="24" t="s">
        <v>160</v>
      </c>
      <c r="I506" s="25" t="s">
        <v>52</v>
      </c>
      <c r="K506" s="3">
        <f t="shared" si="14"/>
        <v>1.1076431999999998</v>
      </c>
    </row>
    <row r="507" spans="1:11" ht="30" customHeight="1" x14ac:dyDescent="0.25">
      <c r="A507" s="22">
        <v>41.600000000000009</v>
      </c>
      <c r="B507" s="23" t="s">
        <v>202</v>
      </c>
      <c r="C507" s="24">
        <v>7.4</v>
      </c>
      <c r="D507" s="24">
        <v>474</v>
      </c>
      <c r="E507" s="24">
        <v>254</v>
      </c>
      <c r="F507" s="24">
        <f t="shared" si="15"/>
        <v>93</v>
      </c>
      <c r="G507" s="24">
        <v>110</v>
      </c>
      <c r="H507" s="24" t="s">
        <v>160</v>
      </c>
      <c r="I507" s="25" t="s">
        <v>52</v>
      </c>
      <c r="K507" s="3">
        <f t="shared" si="14"/>
        <v>0.89093040000000012</v>
      </c>
    </row>
    <row r="508" spans="1:11" ht="30" customHeight="1" x14ac:dyDescent="0.25">
      <c r="A508" s="22">
        <v>41.70000000000001</v>
      </c>
      <c r="B508" s="23" t="s">
        <v>202</v>
      </c>
      <c r="C508" s="24">
        <v>7.4</v>
      </c>
      <c r="D508" s="24">
        <v>474</v>
      </c>
      <c r="E508" s="24">
        <v>254</v>
      </c>
      <c r="F508" s="24">
        <f t="shared" si="15"/>
        <v>110</v>
      </c>
      <c r="G508" s="24">
        <v>128</v>
      </c>
      <c r="H508" s="24" t="s">
        <v>160</v>
      </c>
      <c r="I508" s="25" t="s">
        <v>26</v>
      </c>
      <c r="K508" s="3">
        <f t="shared" si="14"/>
        <v>0.89093040000000012</v>
      </c>
    </row>
    <row r="509" spans="1:11" ht="30" customHeight="1" x14ac:dyDescent="0.25">
      <c r="A509" s="22">
        <v>41.800000000000011</v>
      </c>
      <c r="B509" s="23" t="s">
        <v>202</v>
      </c>
      <c r="C509" s="24">
        <v>7</v>
      </c>
      <c r="D509" s="24">
        <v>474</v>
      </c>
      <c r="E509" s="24">
        <v>254</v>
      </c>
      <c r="F509" s="24">
        <f t="shared" si="15"/>
        <v>128</v>
      </c>
      <c r="G509" s="24">
        <v>146</v>
      </c>
      <c r="H509" s="24" t="s">
        <v>160</v>
      </c>
      <c r="I509" s="25" t="s">
        <v>163</v>
      </c>
      <c r="K509" s="3">
        <f t="shared" si="14"/>
        <v>0.84277199999999997</v>
      </c>
    </row>
    <row r="510" spans="1:11" ht="30" customHeight="1" thickBot="1" x14ac:dyDescent="0.3">
      <c r="A510" s="26">
        <v>41.900000000000013</v>
      </c>
      <c r="B510" s="27" t="s">
        <v>202</v>
      </c>
      <c r="C510" s="28">
        <v>2.4</v>
      </c>
      <c r="D510" s="28">
        <v>474</v>
      </c>
      <c r="E510" s="28">
        <v>254</v>
      </c>
      <c r="F510" s="28">
        <f t="shared" si="15"/>
        <v>146</v>
      </c>
      <c r="G510" s="28" t="s">
        <v>157</v>
      </c>
      <c r="H510" s="28" t="s">
        <v>160</v>
      </c>
      <c r="I510" s="29" t="s">
        <v>167</v>
      </c>
      <c r="K510" s="3">
        <f t="shared" si="14"/>
        <v>0.28895039999999994</v>
      </c>
    </row>
    <row r="511" spans="1:11" ht="30" customHeight="1" thickTop="1" thickBot="1" x14ac:dyDescent="0.3">
      <c r="F511" s="370"/>
      <c r="G511" s="370"/>
      <c r="K511" s="3">
        <f t="shared" si="14"/>
        <v>0</v>
      </c>
    </row>
    <row r="512" spans="1:11" ht="30" customHeight="1" thickTop="1" x14ac:dyDescent="0.25">
      <c r="A512" s="9" t="s">
        <v>169</v>
      </c>
      <c r="B512" s="16" t="s">
        <v>153</v>
      </c>
      <c r="C512" s="17" t="s">
        <v>40</v>
      </c>
      <c r="D512" s="17" t="s">
        <v>9</v>
      </c>
      <c r="E512" s="17" t="s">
        <v>11</v>
      </c>
      <c r="F512" s="372" t="s">
        <v>41</v>
      </c>
      <c r="G512" s="372"/>
      <c r="H512" s="17" t="s">
        <v>50</v>
      </c>
      <c r="I512" s="18" t="s">
        <v>42</v>
      </c>
    </row>
    <row r="513" spans="1:11" ht="30" customHeight="1" x14ac:dyDescent="0.25">
      <c r="A513" s="10" t="s">
        <v>43</v>
      </c>
      <c r="B513" s="19" t="s">
        <v>44</v>
      </c>
      <c r="C513" s="20" t="s">
        <v>45</v>
      </c>
      <c r="D513" s="20" t="s">
        <v>46</v>
      </c>
      <c r="E513" s="20" t="s">
        <v>46</v>
      </c>
      <c r="F513" s="371" t="s">
        <v>51</v>
      </c>
      <c r="G513" s="371"/>
      <c r="H513" s="20"/>
      <c r="I513" s="21" t="s">
        <v>170</v>
      </c>
    </row>
    <row r="514" spans="1:11" ht="30" customHeight="1" x14ac:dyDescent="0.25">
      <c r="A514" s="22">
        <v>40.1</v>
      </c>
      <c r="B514" s="23" t="s">
        <v>195</v>
      </c>
      <c r="C514" s="24">
        <v>3.1</v>
      </c>
      <c r="D514" s="24">
        <v>370</v>
      </c>
      <c r="E514" s="24">
        <v>203</v>
      </c>
      <c r="F514" s="24" t="s">
        <v>88</v>
      </c>
      <c r="G514" s="24">
        <v>8</v>
      </c>
      <c r="H514" s="24" t="s">
        <v>160</v>
      </c>
      <c r="I514" s="25" t="s">
        <v>143</v>
      </c>
      <c r="K514" s="3">
        <f t="shared" si="14"/>
        <v>0.23284099999999999</v>
      </c>
    </row>
    <row r="515" spans="1:11" ht="30" customHeight="1" x14ac:dyDescent="0.25">
      <c r="A515" s="22">
        <v>40.200000000000003</v>
      </c>
      <c r="B515" s="23" t="s">
        <v>195</v>
      </c>
      <c r="C515" s="24">
        <v>7.4</v>
      </c>
      <c r="D515" s="24">
        <v>370</v>
      </c>
      <c r="E515" s="24">
        <v>203</v>
      </c>
      <c r="F515" s="24">
        <f t="shared" ref="F515:F522" si="16">G514</f>
        <v>8</v>
      </c>
      <c r="G515" s="24">
        <v>28</v>
      </c>
      <c r="H515" s="24" t="s">
        <v>160</v>
      </c>
      <c r="I515" s="25" t="s">
        <v>143</v>
      </c>
      <c r="K515" s="3">
        <f t="shared" si="14"/>
        <v>0.55581400000000003</v>
      </c>
    </row>
    <row r="516" spans="1:11" ht="30" customHeight="1" x14ac:dyDescent="0.25">
      <c r="A516" s="22">
        <v>40.300000000000004</v>
      </c>
      <c r="B516" s="23" t="s">
        <v>195</v>
      </c>
      <c r="C516" s="24">
        <v>7.4</v>
      </c>
      <c r="D516" s="24">
        <v>370</v>
      </c>
      <c r="E516" s="24">
        <v>203</v>
      </c>
      <c r="F516" s="24">
        <f t="shared" si="16"/>
        <v>28</v>
      </c>
      <c r="G516" s="24">
        <v>45</v>
      </c>
      <c r="H516" s="24" t="s">
        <v>160</v>
      </c>
      <c r="I516" s="25" t="s">
        <v>26</v>
      </c>
      <c r="K516" s="3">
        <f t="shared" si="14"/>
        <v>0.55581400000000003</v>
      </c>
    </row>
    <row r="517" spans="1:11" ht="30" customHeight="1" x14ac:dyDescent="0.25">
      <c r="A517" s="22">
        <v>40.400000000000006</v>
      </c>
      <c r="B517" s="23" t="s">
        <v>195</v>
      </c>
      <c r="C517" s="24">
        <v>7.4</v>
      </c>
      <c r="D517" s="24">
        <v>370</v>
      </c>
      <c r="E517" s="24">
        <v>203</v>
      </c>
      <c r="F517" s="24">
        <f t="shared" si="16"/>
        <v>45</v>
      </c>
      <c r="G517" s="24">
        <v>62</v>
      </c>
      <c r="H517" s="24" t="s">
        <v>160</v>
      </c>
      <c r="I517" s="25" t="s">
        <v>52</v>
      </c>
      <c r="K517" s="3">
        <f t="shared" si="14"/>
        <v>0.55581400000000003</v>
      </c>
    </row>
    <row r="518" spans="1:11" ht="30" customHeight="1" x14ac:dyDescent="0.25">
      <c r="A518" s="22">
        <v>40.500000000000007</v>
      </c>
      <c r="B518" s="23" t="s">
        <v>195</v>
      </c>
      <c r="C518" s="24">
        <v>7.4</v>
      </c>
      <c r="D518" s="24">
        <v>370</v>
      </c>
      <c r="E518" s="24">
        <v>203</v>
      </c>
      <c r="F518" s="24">
        <f t="shared" si="16"/>
        <v>62</v>
      </c>
      <c r="G518" s="24">
        <v>79</v>
      </c>
      <c r="H518" s="24" t="s">
        <v>160</v>
      </c>
      <c r="I518" s="25" t="s">
        <v>52</v>
      </c>
      <c r="K518" s="3">
        <f t="shared" si="14"/>
        <v>0.55581400000000003</v>
      </c>
    </row>
    <row r="519" spans="1:11" ht="30" customHeight="1" x14ac:dyDescent="0.25">
      <c r="A519" s="22">
        <v>40.600000000000009</v>
      </c>
      <c r="B519" s="23" t="s">
        <v>195</v>
      </c>
      <c r="C519" s="24">
        <v>9.1999999999999993</v>
      </c>
      <c r="D519" s="24">
        <v>370</v>
      </c>
      <c r="E519" s="24">
        <v>203</v>
      </c>
      <c r="F519" s="24">
        <f t="shared" si="16"/>
        <v>79</v>
      </c>
      <c r="G519" s="24">
        <v>101</v>
      </c>
      <c r="H519" s="24" t="s">
        <v>160</v>
      </c>
      <c r="I519" s="25" t="s">
        <v>52</v>
      </c>
      <c r="K519" s="3">
        <f t="shared" si="14"/>
        <v>0.69101199999999985</v>
      </c>
    </row>
    <row r="520" spans="1:11" ht="30" customHeight="1" x14ac:dyDescent="0.25">
      <c r="A520" s="22">
        <v>40.70000000000001</v>
      </c>
      <c r="B520" s="23" t="s">
        <v>195</v>
      </c>
      <c r="C520" s="24">
        <v>7.4</v>
      </c>
      <c r="D520" s="24">
        <v>370</v>
      </c>
      <c r="E520" s="24">
        <v>203</v>
      </c>
      <c r="F520" s="24">
        <f t="shared" si="16"/>
        <v>101</v>
      </c>
      <c r="G520" s="24">
        <v>118</v>
      </c>
      <c r="H520" s="24" t="s">
        <v>160</v>
      </c>
      <c r="I520" s="25" t="s">
        <v>26</v>
      </c>
      <c r="K520" s="3">
        <f t="shared" si="14"/>
        <v>0.55581400000000003</v>
      </c>
    </row>
    <row r="521" spans="1:11" ht="30" customHeight="1" x14ac:dyDescent="0.25">
      <c r="A521" s="22">
        <v>40.800000000000011</v>
      </c>
      <c r="B521" s="23" t="s">
        <v>195</v>
      </c>
      <c r="C521" s="24">
        <v>7.4</v>
      </c>
      <c r="D521" s="24">
        <v>370</v>
      </c>
      <c r="E521" s="24">
        <v>203</v>
      </c>
      <c r="F521" s="24">
        <f t="shared" si="16"/>
        <v>118</v>
      </c>
      <c r="G521" s="24">
        <v>138</v>
      </c>
      <c r="H521" s="24" t="s">
        <v>160</v>
      </c>
      <c r="I521" s="25" t="s">
        <v>171</v>
      </c>
      <c r="K521" s="3">
        <f t="shared" si="14"/>
        <v>0.55581400000000003</v>
      </c>
    </row>
    <row r="522" spans="1:11" ht="30" customHeight="1" thickBot="1" x14ac:dyDescent="0.3">
      <c r="A522" s="26">
        <v>40.900000000000013</v>
      </c>
      <c r="B522" s="27" t="s">
        <v>195</v>
      </c>
      <c r="C522" s="28">
        <v>6.3</v>
      </c>
      <c r="D522" s="28">
        <v>370</v>
      </c>
      <c r="E522" s="28">
        <v>203</v>
      </c>
      <c r="F522" s="28">
        <f t="shared" si="16"/>
        <v>138</v>
      </c>
      <c r="G522" s="28" t="s">
        <v>157</v>
      </c>
      <c r="H522" s="28" t="s">
        <v>160</v>
      </c>
      <c r="I522" s="29" t="s">
        <v>167</v>
      </c>
      <c r="K522" s="3">
        <f t="shared" si="14"/>
        <v>0.47319299999999997</v>
      </c>
    </row>
    <row r="523" spans="1:11" ht="30" customHeight="1" thickTop="1" thickBot="1" x14ac:dyDescent="0.3"/>
    <row r="524" spans="1:11" ht="30" customHeight="1" thickTop="1" x14ac:dyDescent="0.25">
      <c r="A524" s="9" t="s">
        <v>172</v>
      </c>
      <c r="B524" s="16" t="s">
        <v>173</v>
      </c>
      <c r="C524" s="17" t="s">
        <v>40</v>
      </c>
      <c r="D524" s="17" t="s">
        <v>9</v>
      </c>
      <c r="E524" s="17" t="s">
        <v>11</v>
      </c>
      <c r="F524" s="372" t="s">
        <v>41</v>
      </c>
      <c r="G524" s="372"/>
      <c r="H524" s="17" t="s">
        <v>50</v>
      </c>
      <c r="I524" s="18" t="s">
        <v>42</v>
      </c>
    </row>
    <row r="525" spans="1:11" ht="30" customHeight="1" x14ac:dyDescent="0.25">
      <c r="A525" s="10" t="s">
        <v>43</v>
      </c>
      <c r="B525" s="19" t="s">
        <v>44</v>
      </c>
      <c r="C525" s="20" t="s">
        <v>45</v>
      </c>
      <c r="D525" s="20" t="s">
        <v>46</v>
      </c>
      <c r="E525" s="20" t="s">
        <v>46</v>
      </c>
      <c r="F525" s="371" t="s">
        <v>51</v>
      </c>
      <c r="G525" s="371"/>
      <c r="H525" s="20"/>
      <c r="I525" s="21" t="s">
        <v>174</v>
      </c>
    </row>
    <row r="526" spans="1:11" ht="30" customHeight="1" x14ac:dyDescent="0.25">
      <c r="A526" s="22">
        <v>39.1</v>
      </c>
      <c r="B526" s="23" t="s">
        <v>195</v>
      </c>
      <c r="C526" s="24">
        <v>1.3</v>
      </c>
      <c r="D526" s="24">
        <v>370</v>
      </c>
      <c r="E526" s="24">
        <v>197</v>
      </c>
      <c r="F526" s="24" t="s">
        <v>88</v>
      </c>
      <c r="G526" s="24">
        <v>3</v>
      </c>
      <c r="H526" s="24" t="s">
        <v>160</v>
      </c>
      <c r="I526" s="25" t="s">
        <v>138</v>
      </c>
      <c r="K526" s="3">
        <f t="shared" si="14"/>
        <v>9.4756999999999994E-2</v>
      </c>
    </row>
    <row r="527" spans="1:11" ht="30" customHeight="1" x14ac:dyDescent="0.25">
      <c r="A527" s="22">
        <v>39.200000000000003</v>
      </c>
      <c r="B527" s="23" t="s">
        <v>195</v>
      </c>
      <c r="C527" s="24">
        <v>7.4</v>
      </c>
      <c r="D527" s="24">
        <v>370</v>
      </c>
      <c r="E527" s="24">
        <v>197</v>
      </c>
      <c r="F527" s="24">
        <f t="shared" ref="F527:F535" si="17">G526</f>
        <v>3</v>
      </c>
      <c r="G527" s="24">
        <v>23</v>
      </c>
      <c r="H527" s="24" t="s">
        <v>160</v>
      </c>
      <c r="I527" s="25" t="s">
        <v>143</v>
      </c>
      <c r="K527" s="3">
        <f t="shared" si="14"/>
        <v>0.53938600000000003</v>
      </c>
    </row>
    <row r="528" spans="1:11" ht="30" customHeight="1" x14ac:dyDescent="0.25">
      <c r="A528" s="22">
        <v>39.300000000000004</v>
      </c>
      <c r="B528" s="23" t="s">
        <v>195</v>
      </c>
      <c r="C528" s="24">
        <v>7.4</v>
      </c>
      <c r="D528" s="24">
        <v>370</v>
      </c>
      <c r="E528" s="24">
        <v>197</v>
      </c>
      <c r="F528" s="24">
        <f t="shared" si="17"/>
        <v>23</v>
      </c>
      <c r="G528" s="24">
        <v>40</v>
      </c>
      <c r="H528" s="24" t="s">
        <v>160</v>
      </c>
      <c r="I528" s="25" t="s">
        <v>165</v>
      </c>
      <c r="K528" s="3">
        <f t="shared" si="14"/>
        <v>0.53938600000000003</v>
      </c>
    </row>
    <row r="529" spans="1:11" ht="30" customHeight="1" x14ac:dyDescent="0.25">
      <c r="A529" s="22">
        <v>39.400000000000006</v>
      </c>
      <c r="B529" s="23" t="s">
        <v>195</v>
      </c>
      <c r="C529" s="24">
        <v>7.4</v>
      </c>
      <c r="D529" s="24">
        <v>370</v>
      </c>
      <c r="E529" s="24">
        <v>197</v>
      </c>
      <c r="F529" s="24">
        <f t="shared" si="17"/>
        <v>40</v>
      </c>
      <c r="G529" s="24">
        <v>58</v>
      </c>
      <c r="H529" s="24" t="s">
        <v>160</v>
      </c>
      <c r="I529" s="25" t="s">
        <v>26</v>
      </c>
      <c r="K529" s="3">
        <f t="shared" si="14"/>
        <v>0.53938600000000003</v>
      </c>
    </row>
    <row r="530" spans="1:11" ht="30" customHeight="1" x14ac:dyDescent="0.25">
      <c r="A530" s="22">
        <v>39.500000000000007</v>
      </c>
      <c r="B530" s="23" t="s">
        <v>195</v>
      </c>
      <c r="C530" s="24">
        <v>7.4</v>
      </c>
      <c r="D530" s="24">
        <v>370</v>
      </c>
      <c r="E530" s="24">
        <v>197</v>
      </c>
      <c r="F530" s="24">
        <f t="shared" si="17"/>
        <v>58</v>
      </c>
      <c r="G530" s="24">
        <v>75</v>
      </c>
      <c r="H530" s="24" t="s">
        <v>160</v>
      </c>
      <c r="I530" s="25" t="s">
        <v>52</v>
      </c>
      <c r="K530" s="3">
        <f t="shared" si="14"/>
        <v>0.53938600000000003</v>
      </c>
    </row>
    <row r="531" spans="1:11" ht="30" customHeight="1" x14ac:dyDescent="0.25">
      <c r="A531" s="22">
        <v>39.600000000000009</v>
      </c>
      <c r="B531" s="23" t="s">
        <v>195</v>
      </c>
      <c r="C531" s="24">
        <v>9.1999999999999993</v>
      </c>
      <c r="D531" s="24">
        <v>370</v>
      </c>
      <c r="E531" s="24">
        <v>197</v>
      </c>
      <c r="F531" s="24">
        <f t="shared" si="17"/>
        <v>75</v>
      </c>
      <c r="G531" s="24">
        <v>97</v>
      </c>
      <c r="H531" s="24" t="s">
        <v>160</v>
      </c>
      <c r="I531" s="25" t="s">
        <v>52</v>
      </c>
      <c r="K531" s="3">
        <f t="shared" si="14"/>
        <v>0.67058799999999985</v>
      </c>
    </row>
    <row r="532" spans="1:11" ht="30" customHeight="1" x14ac:dyDescent="0.25">
      <c r="A532" s="22">
        <v>39.70000000000001</v>
      </c>
      <c r="B532" s="23" t="s">
        <v>195</v>
      </c>
      <c r="C532" s="24">
        <v>7.4</v>
      </c>
      <c r="D532" s="24">
        <v>370</v>
      </c>
      <c r="E532" s="24">
        <v>197</v>
      </c>
      <c r="F532" s="24">
        <f t="shared" si="17"/>
        <v>97</v>
      </c>
      <c r="G532" s="24">
        <v>114</v>
      </c>
      <c r="H532" s="24" t="s">
        <v>160</v>
      </c>
      <c r="I532" s="25" t="s">
        <v>26</v>
      </c>
      <c r="K532" s="3">
        <f t="shared" si="14"/>
        <v>0.53938600000000003</v>
      </c>
    </row>
    <row r="533" spans="1:11" ht="30" customHeight="1" x14ac:dyDescent="0.25">
      <c r="A533" s="22">
        <v>39.800000000000011</v>
      </c>
      <c r="B533" s="23" t="s">
        <v>195</v>
      </c>
      <c r="C533" s="24">
        <v>7.4</v>
      </c>
      <c r="D533" s="24">
        <v>370</v>
      </c>
      <c r="E533" s="24">
        <v>197</v>
      </c>
      <c r="F533" s="24">
        <f t="shared" si="17"/>
        <v>114</v>
      </c>
      <c r="G533" s="24">
        <v>133</v>
      </c>
      <c r="H533" s="24" t="s">
        <v>160</v>
      </c>
      <c r="I533" s="25" t="s">
        <v>171</v>
      </c>
      <c r="K533" s="3">
        <f t="shared" si="14"/>
        <v>0.53938600000000003</v>
      </c>
    </row>
    <row r="534" spans="1:11" ht="30" customHeight="1" x14ac:dyDescent="0.25">
      <c r="A534" s="22">
        <v>39.900000000000013</v>
      </c>
      <c r="B534" s="23" t="s">
        <v>195</v>
      </c>
      <c r="C534" s="24">
        <v>7.4</v>
      </c>
      <c r="D534" s="24">
        <v>370</v>
      </c>
      <c r="E534" s="24">
        <v>197</v>
      </c>
      <c r="F534" s="24">
        <f t="shared" si="17"/>
        <v>133</v>
      </c>
      <c r="G534" s="24">
        <v>146</v>
      </c>
      <c r="H534" s="24" t="s">
        <v>160</v>
      </c>
      <c r="I534" s="25" t="s">
        <v>167</v>
      </c>
      <c r="K534" s="3">
        <f t="shared" si="14"/>
        <v>0.53938600000000003</v>
      </c>
    </row>
    <row r="535" spans="1:11" ht="30" customHeight="1" thickBot="1" x14ac:dyDescent="0.3">
      <c r="A535" s="31">
        <v>39.1</v>
      </c>
      <c r="B535" s="27" t="s">
        <v>195</v>
      </c>
      <c r="C535" s="28">
        <v>3</v>
      </c>
      <c r="D535" s="28">
        <v>370</v>
      </c>
      <c r="E535" s="28">
        <v>197</v>
      </c>
      <c r="F535" s="28">
        <f t="shared" si="17"/>
        <v>146</v>
      </c>
      <c r="G535" s="28" t="s">
        <v>157</v>
      </c>
      <c r="H535" s="28" t="s">
        <v>160</v>
      </c>
      <c r="I535" s="29" t="s">
        <v>167</v>
      </c>
      <c r="K535" s="3">
        <f t="shared" si="14"/>
        <v>0.21867</v>
      </c>
    </row>
    <row r="536" spans="1:11" ht="30" customHeight="1" thickTop="1" thickBot="1" x14ac:dyDescent="0.3"/>
    <row r="537" spans="1:11" ht="30" customHeight="1" thickTop="1" x14ac:dyDescent="0.25">
      <c r="A537" s="9" t="s">
        <v>175</v>
      </c>
      <c r="B537" s="16" t="s">
        <v>176</v>
      </c>
      <c r="C537" s="17" t="s">
        <v>40</v>
      </c>
      <c r="D537" s="17" t="s">
        <v>9</v>
      </c>
      <c r="E537" s="17" t="s">
        <v>11</v>
      </c>
      <c r="F537" s="372" t="s">
        <v>41</v>
      </c>
      <c r="G537" s="372"/>
      <c r="H537" s="17" t="s">
        <v>50</v>
      </c>
      <c r="I537" s="18" t="s">
        <v>42</v>
      </c>
    </row>
    <row r="538" spans="1:11" ht="30" customHeight="1" x14ac:dyDescent="0.25">
      <c r="A538" s="10" t="s">
        <v>43</v>
      </c>
      <c r="B538" s="19" t="s">
        <v>44</v>
      </c>
      <c r="C538" s="20" t="s">
        <v>45</v>
      </c>
      <c r="D538" s="20" t="s">
        <v>46</v>
      </c>
      <c r="E538" s="20" t="s">
        <v>46</v>
      </c>
      <c r="F538" s="371" t="s">
        <v>51</v>
      </c>
      <c r="G538" s="371"/>
      <c r="H538" s="20"/>
      <c r="I538" s="21" t="s">
        <v>177</v>
      </c>
    </row>
    <row r="539" spans="1:11" ht="30" customHeight="1" x14ac:dyDescent="0.25">
      <c r="A539" s="22">
        <v>38.1</v>
      </c>
      <c r="B539" s="23" t="s">
        <v>195</v>
      </c>
      <c r="C539" s="24">
        <v>5.2</v>
      </c>
      <c r="D539" s="24">
        <v>370</v>
      </c>
      <c r="E539" s="24">
        <v>190.5</v>
      </c>
      <c r="F539" s="24" t="s">
        <v>88</v>
      </c>
      <c r="G539" s="24">
        <v>14</v>
      </c>
      <c r="H539" s="24" t="s">
        <v>160</v>
      </c>
      <c r="I539" s="25" t="s">
        <v>143</v>
      </c>
      <c r="K539" s="3">
        <f t="shared" si="14"/>
        <v>0.36652200000000001</v>
      </c>
    </row>
    <row r="540" spans="1:11" ht="30" customHeight="1" x14ac:dyDescent="0.25">
      <c r="A540" s="22">
        <v>38.200000000000003</v>
      </c>
      <c r="B540" s="23" t="s">
        <v>195</v>
      </c>
      <c r="C540" s="24">
        <v>7.4</v>
      </c>
      <c r="D540" s="24">
        <v>370</v>
      </c>
      <c r="E540" s="24">
        <v>190.5</v>
      </c>
      <c r="F540" s="24">
        <v>14</v>
      </c>
      <c r="G540" s="24">
        <v>32</v>
      </c>
      <c r="H540" s="24" t="s">
        <v>160</v>
      </c>
      <c r="I540" s="25" t="s">
        <v>165</v>
      </c>
      <c r="K540" s="3">
        <f t="shared" si="14"/>
        <v>0.52158899999999997</v>
      </c>
    </row>
    <row r="541" spans="1:11" ht="30" customHeight="1" x14ac:dyDescent="0.25">
      <c r="A541" s="22">
        <v>38.300000000000004</v>
      </c>
      <c r="B541" s="23" t="s">
        <v>195</v>
      </c>
      <c r="C541" s="24">
        <v>7.4</v>
      </c>
      <c r="D541" s="24">
        <v>370</v>
      </c>
      <c r="E541" s="24">
        <v>190.5</v>
      </c>
      <c r="F541" s="24">
        <f t="shared" ref="F541:F547" si="18">G540</f>
        <v>32</v>
      </c>
      <c r="G541" s="24">
        <v>49</v>
      </c>
      <c r="H541" s="24" t="s">
        <v>160</v>
      </c>
      <c r="I541" s="25" t="s">
        <v>26</v>
      </c>
      <c r="K541" s="3">
        <f t="shared" si="14"/>
        <v>0.52158899999999997</v>
      </c>
    </row>
    <row r="542" spans="1:11" ht="30" customHeight="1" x14ac:dyDescent="0.25">
      <c r="A542" s="22">
        <v>38.400000000000006</v>
      </c>
      <c r="B542" s="23" t="s">
        <v>195</v>
      </c>
      <c r="C542" s="24">
        <v>7.4</v>
      </c>
      <c r="D542" s="24">
        <v>370</v>
      </c>
      <c r="E542" s="24">
        <v>190.5</v>
      </c>
      <c r="F542" s="24">
        <f t="shared" si="18"/>
        <v>49</v>
      </c>
      <c r="G542" s="24">
        <v>66</v>
      </c>
      <c r="H542" s="24" t="s">
        <v>160</v>
      </c>
      <c r="I542" s="25" t="s">
        <v>52</v>
      </c>
      <c r="K542" s="3">
        <f t="shared" si="14"/>
        <v>0.52158899999999997</v>
      </c>
    </row>
    <row r="543" spans="1:11" ht="30" customHeight="1" x14ac:dyDescent="0.25">
      <c r="A543" s="22">
        <v>38.500000000000007</v>
      </c>
      <c r="B543" s="23" t="s">
        <v>195</v>
      </c>
      <c r="C543" s="24">
        <v>7.4</v>
      </c>
      <c r="D543" s="24">
        <v>370</v>
      </c>
      <c r="E543" s="24">
        <v>190.5</v>
      </c>
      <c r="F543" s="24">
        <f t="shared" si="18"/>
        <v>66</v>
      </c>
      <c r="G543" s="24">
        <v>84</v>
      </c>
      <c r="H543" s="24" t="s">
        <v>160</v>
      </c>
      <c r="I543" s="25" t="s">
        <v>52</v>
      </c>
      <c r="K543" s="3">
        <f t="shared" si="14"/>
        <v>0.52158899999999997</v>
      </c>
    </row>
    <row r="544" spans="1:11" ht="30" customHeight="1" x14ac:dyDescent="0.25">
      <c r="A544" s="22">
        <v>38.600000000000009</v>
      </c>
      <c r="B544" s="23" t="s">
        <v>195</v>
      </c>
      <c r="C544" s="24">
        <v>9.1999999999999993</v>
      </c>
      <c r="D544" s="24">
        <v>370</v>
      </c>
      <c r="E544" s="24">
        <v>190.5</v>
      </c>
      <c r="F544" s="24">
        <f t="shared" si="18"/>
        <v>84</v>
      </c>
      <c r="G544" s="24">
        <v>106</v>
      </c>
      <c r="H544" s="24" t="s">
        <v>160</v>
      </c>
      <c r="I544" s="25" t="s">
        <v>52</v>
      </c>
      <c r="K544" s="3">
        <f t="shared" si="14"/>
        <v>0.64846199999999987</v>
      </c>
    </row>
    <row r="545" spans="1:13" ht="30" customHeight="1" x14ac:dyDescent="0.25">
      <c r="A545" s="22">
        <v>38.70000000000001</v>
      </c>
      <c r="B545" s="23" t="s">
        <v>195</v>
      </c>
      <c r="C545" s="24">
        <v>7.4</v>
      </c>
      <c r="D545" s="24">
        <v>370</v>
      </c>
      <c r="E545" s="24">
        <v>190.5</v>
      </c>
      <c r="F545" s="24">
        <f t="shared" si="18"/>
        <v>106</v>
      </c>
      <c r="G545" s="24">
        <v>124</v>
      </c>
      <c r="H545" s="24" t="s">
        <v>160</v>
      </c>
      <c r="I545" s="25" t="s">
        <v>26</v>
      </c>
      <c r="K545" s="3">
        <f t="shared" si="14"/>
        <v>0.52158899999999997</v>
      </c>
    </row>
    <row r="546" spans="1:13" ht="30" customHeight="1" x14ac:dyDescent="0.25">
      <c r="A546" s="22">
        <v>38.800000000000011</v>
      </c>
      <c r="B546" s="23" t="s">
        <v>195</v>
      </c>
      <c r="C546" s="24">
        <v>7.4</v>
      </c>
      <c r="D546" s="24">
        <v>370</v>
      </c>
      <c r="E546" s="24">
        <v>190.5</v>
      </c>
      <c r="F546" s="24">
        <f t="shared" si="18"/>
        <v>124</v>
      </c>
      <c r="G546" s="24">
        <v>142</v>
      </c>
      <c r="H546" s="24" t="s">
        <v>160</v>
      </c>
      <c r="I546" s="25" t="s">
        <v>163</v>
      </c>
      <c r="K546" s="3">
        <f t="shared" si="14"/>
        <v>0.52158899999999997</v>
      </c>
    </row>
    <row r="547" spans="1:13" ht="30" customHeight="1" thickBot="1" x14ac:dyDescent="0.3">
      <c r="A547" s="26">
        <v>38.900000000000013</v>
      </c>
      <c r="B547" s="27" t="s">
        <v>195</v>
      </c>
      <c r="C547" s="28">
        <v>4.5</v>
      </c>
      <c r="D547" s="28">
        <v>370</v>
      </c>
      <c r="E547" s="28">
        <v>190.5</v>
      </c>
      <c r="F547" s="28">
        <f t="shared" si="18"/>
        <v>142</v>
      </c>
      <c r="G547" s="28" t="s">
        <v>157</v>
      </c>
      <c r="H547" s="28" t="s">
        <v>160</v>
      </c>
      <c r="I547" s="29" t="s">
        <v>167</v>
      </c>
      <c r="K547" s="3">
        <f t="shared" si="14"/>
        <v>0.31718249999999998</v>
      </c>
    </row>
    <row r="548" spans="1:13" ht="30" customHeight="1" thickTop="1" thickBot="1" x14ac:dyDescent="0.3"/>
    <row r="549" spans="1:13" ht="30" customHeight="1" thickTop="1" x14ac:dyDescent="0.25">
      <c r="A549" s="9" t="s">
        <v>178</v>
      </c>
      <c r="B549" s="16" t="s">
        <v>179</v>
      </c>
      <c r="C549" s="17" t="s">
        <v>40</v>
      </c>
      <c r="D549" s="17" t="s">
        <v>9</v>
      </c>
      <c r="E549" s="17" t="s">
        <v>11</v>
      </c>
      <c r="F549" s="372" t="s">
        <v>41</v>
      </c>
      <c r="G549" s="372"/>
      <c r="H549" s="17" t="s">
        <v>50</v>
      </c>
      <c r="I549" s="18" t="s">
        <v>42</v>
      </c>
    </row>
    <row r="550" spans="1:13" ht="30" customHeight="1" x14ac:dyDescent="0.25">
      <c r="A550" s="10" t="s">
        <v>43</v>
      </c>
      <c r="B550" s="19" t="s">
        <v>44</v>
      </c>
      <c r="C550" s="20" t="s">
        <v>45</v>
      </c>
      <c r="D550" s="20" t="s">
        <v>46</v>
      </c>
      <c r="E550" s="20" t="s">
        <v>46</v>
      </c>
      <c r="F550" s="371" t="s">
        <v>51</v>
      </c>
      <c r="G550" s="371"/>
      <c r="H550" s="20"/>
      <c r="I550" s="21" t="s">
        <v>180</v>
      </c>
    </row>
    <row r="551" spans="1:13" ht="30" customHeight="1" x14ac:dyDescent="0.25">
      <c r="A551" s="22">
        <v>37.1</v>
      </c>
      <c r="B551" s="23" t="s">
        <v>195</v>
      </c>
      <c r="C551" s="24">
        <v>7.4</v>
      </c>
      <c r="D551" s="24">
        <v>370</v>
      </c>
      <c r="E551" s="24">
        <v>184</v>
      </c>
      <c r="F551" s="24" t="s">
        <v>88</v>
      </c>
      <c r="G551" s="24">
        <v>18</v>
      </c>
      <c r="H551" s="24" t="s">
        <v>160</v>
      </c>
      <c r="I551" s="25" t="s">
        <v>143</v>
      </c>
      <c r="K551" s="3">
        <f t="shared" si="14"/>
        <v>0.50379200000000002</v>
      </c>
      <c r="M551" s="34"/>
    </row>
    <row r="552" spans="1:13" ht="30" customHeight="1" x14ac:dyDescent="0.25">
      <c r="A552" s="22">
        <v>37.200000000000003</v>
      </c>
      <c r="B552" s="23" t="s">
        <v>195</v>
      </c>
      <c r="C552" s="24">
        <v>7.4</v>
      </c>
      <c r="D552" s="24">
        <v>370</v>
      </c>
      <c r="E552" s="24">
        <v>184</v>
      </c>
      <c r="F552" s="24">
        <v>18</v>
      </c>
      <c r="G552" s="24">
        <v>36</v>
      </c>
      <c r="H552" s="24" t="s">
        <v>160</v>
      </c>
      <c r="I552" s="25" t="s">
        <v>165</v>
      </c>
      <c r="K552" s="3">
        <f t="shared" si="14"/>
        <v>0.50379200000000002</v>
      </c>
    </row>
    <row r="553" spans="1:13" ht="30" customHeight="1" x14ac:dyDescent="0.25">
      <c r="A553" s="22">
        <v>37.300000000000004</v>
      </c>
      <c r="B553" s="23" t="s">
        <v>195</v>
      </c>
      <c r="C553" s="24">
        <v>7.4</v>
      </c>
      <c r="D553" s="24">
        <v>370</v>
      </c>
      <c r="E553" s="24">
        <v>184</v>
      </c>
      <c r="F553" s="24">
        <v>36</v>
      </c>
      <c r="G553" s="24">
        <v>54</v>
      </c>
      <c r="H553" s="24" t="s">
        <v>160</v>
      </c>
      <c r="I553" s="25" t="s">
        <v>26</v>
      </c>
      <c r="K553" s="3">
        <f t="shared" si="14"/>
        <v>0.50379200000000002</v>
      </c>
    </row>
    <row r="554" spans="1:13" ht="30" customHeight="1" x14ac:dyDescent="0.25">
      <c r="A554" s="22">
        <v>37.400000000000006</v>
      </c>
      <c r="B554" s="23" t="s">
        <v>195</v>
      </c>
      <c r="C554" s="24">
        <v>7.4</v>
      </c>
      <c r="D554" s="24">
        <v>370</v>
      </c>
      <c r="E554" s="24">
        <v>184</v>
      </c>
      <c r="F554" s="24">
        <v>54</v>
      </c>
      <c r="G554" s="24">
        <v>71</v>
      </c>
      <c r="H554" s="24" t="s">
        <v>160</v>
      </c>
      <c r="I554" s="25" t="s">
        <v>52</v>
      </c>
      <c r="K554" s="3">
        <f t="shared" si="14"/>
        <v>0.50379200000000002</v>
      </c>
    </row>
    <row r="555" spans="1:13" ht="30" customHeight="1" x14ac:dyDescent="0.25">
      <c r="A555" s="22">
        <v>37.500000000000007</v>
      </c>
      <c r="B555" s="23" t="s">
        <v>195</v>
      </c>
      <c r="C555" s="24">
        <v>7.4</v>
      </c>
      <c r="D555" s="24">
        <v>370</v>
      </c>
      <c r="E555" s="24">
        <v>184</v>
      </c>
      <c r="F555" s="24">
        <v>71</v>
      </c>
      <c r="G555" s="24">
        <v>88</v>
      </c>
      <c r="H555" s="24" t="s">
        <v>160</v>
      </c>
      <c r="I555" s="25" t="s">
        <v>52</v>
      </c>
      <c r="K555" s="3">
        <f t="shared" si="14"/>
        <v>0.50379200000000002</v>
      </c>
    </row>
    <row r="556" spans="1:13" ht="30" customHeight="1" x14ac:dyDescent="0.25">
      <c r="A556" s="22">
        <v>37.600000000000009</v>
      </c>
      <c r="B556" s="23" t="s">
        <v>195</v>
      </c>
      <c r="C556" s="24">
        <v>9.1999999999999993</v>
      </c>
      <c r="D556" s="24">
        <v>370</v>
      </c>
      <c r="E556" s="24">
        <v>184</v>
      </c>
      <c r="F556" s="24">
        <v>88</v>
      </c>
      <c r="G556" s="24">
        <v>110</v>
      </c>
      <c r="H556" s="24" t="s">
        <v>160</v>
      </c>
      <c r="I556" s="25" t="s">
        <v>52</v>
      </c>
      <c r="K556" s="3">
        <f t="shared" si="14"/>
        <v>0.62633599999999989</v>
      </c>
    </row>
    <row r="557" spans="1:13" ht="30" customHeight="1" x14ac:dyDescent="0.25">
      <c r="A557" s="22">
        <v>37.70000000000001</v>
      </c>
      <c r="B557" s="23" t="s">
        <v>195</v>
      </c>
      <c r="C557" s="24">
        <v>7.4</v>
      </c>
      <c r="D557" s="24">
        <v>370</v>
      </c>
      <c r="E557" s="24">
        <v>184</v>
      </c>
      <c r="F557" s="24">
        <v>110</v>
      </c>
      <c r="G557" s="24">
        <v>128</v>
      </c>
      <c r="H557" s="24" t="s">
        <v>160</v>
      </c>
      <c r="I557" s="25" t="s">
        <v>26</v>
      </c>
      <c r="K557" s="3">
        <f t="shared" si="14"/>
        <v>0.50379200000000002</v>
      </c>
    </row>
    <row r="558" spans="1:13" ht="30" customHeight="1" x14ac:dyDescent="0.25">
      <c r="A558" s="22">
        <v>37.800000000000011</v>
      </c>
      <c r="B558" s="23" t="s">
        <v>195</v>
      </c>
      <c r="C558" s="24">
        <v>6</v>
      </c>
      <c r="D558" s="24">
        <v>370</v>
      </c>
      <c r="E558" s="24">
        <v>184</v>
      </c>
      <c r="F558" s="24">
        <v>128</v>
      </c>
      <c r="G558" s="24">
        <v>142</v>
      </c>
      <c r="H558" s="24" t="s">
        <v>160</v>
      </c>
      <c r="I558" s="25" t="s">
        <v>163</v>
      </c>
      <c r="K558" s="3">
        <f t="shared" si="14"/>
        <v>0.40848000000000001</v>
      </c>
    </row>
    <row r="559" spans="1:13" ht="30" customHeight="1" thickBot="1" x14ac:dyDescent="0.3">
      <c r="A559" s="26">
        <v>37.900000000000013</v>
      </c>
      <c r="B559" s="27" t="s">
        <v>195</v>
      </c>
      <c r="C559" s="28">
        <v>5</v>
      </c>
      <c r="D559" s="28">
        <v>370</v>
      </c>
      <c r="E559" s="28">
        <v>184</v>
      </c>
      <c r="F559" s="28">
        <v>142</v>
      </c>
      <c r="G559" s="28" t="s">
        <v>181</v>
      </c>
      <c r="H559" s="28" t="s">
        <v>160</v>
      </c>
      <c r="I559" s="29" t="s">
        <v>167</v>
      </c>
      <c r="K559" s="3">
        <f t="shared" si="14"/>
        <v>0.34039999999999998</v>
      </c>
    </row>
    <row r="560" spans="1:13" ht="30" customHeight="1" thickTop="1" x14ac:dyDescent="0.25"/>
    <row r="561" spans="6:7" ht="15" customHeight="1" x14ac:dyDescent="0.25"/>
    <row r="565" spans="6:7" ht="30" customHeight="1" x14ac:dyDescent="0.25">
      <c r="F565" s="370"/>
      <c r="G565" s="370"/>
    </row>
  </sheetData>
  <mergeCells count="106">
    <mergeCell ref="A1:I1"/>
    <mergeCell ref="A18:I18"/>
    <mergeCell ref="B20:I20"/>
    <mergeCell ref="B21:I21"/>
    <mergeCell ref="B22:I22"/>
    <mergeCell ref="B23:I23"/>
    <mergeCell ref="A14:I14"/>
    <mergeCell ref="A15:I15"/>
    <mergeCell ref="B30:I30"/>
    <mergeCell ref="B31:I31"/>
    <mergeCell ref="B32:I32"/>
    <mergeCell ref="B33:I33"/>
    <mergeCell ref="B34:I34"/>
    <mergeCell ref="B35:I35"/>
    <mergeCell ref="B24:I24"/>
    <mergeCell ref="B25:I25"/>
    <mergeCell ref="B26:I26"/>
    <mergeCell ref="B27:I27"/>
    <mergeCell ref="B28:I28"/>
    <mergeCell ref="B29:I29"/>
    <mergeCell ref="B44:I44"/>
    <mergeCell ref="A46:I46"/>
    <mergeCell ref="F48:G48"/>
    <mergeCell ref="F49:G49"/>
    <mergeCell ref="F54:G54"/>
    <mergeCell ref="F55:G55"/>
    <mergeCell ref="B36:I36"/>
    <mergeCell ref="B37:I37"/>
    <mergeCell ref="B38:I38"/>
    <mergeCell ref="B39:I39"/>
    <mergeCell ref="B40:I40"/>
    <mergeCell ref="B41:I41"/>
    <mergeCell ref="B42:I42"/>
    <mergeCell ref="B43:I43"/>
    <mergeCell ref="F94:G94"/>
    <mergeCell ref="F95:G95"/>
    <mergeCell ref="F107:G107"/>
    <mergeCell ref="F108:G108"/>
    <mergeCell ref="F119:G119"/>
    <mergeCell ref="F120:G120"/>
    <mergeCell ref="F62:G62"/>
    <mergeCell ref="F63:G63"/>
    <mergeCell ref="F71:G71"/>
    <mergeCell ref="F72:G72"/>
    <mergeCell ref="F81:G81"/>
    <mergeCell ref="F82:G82"/>
    <mergeCell ref="F182:G182"/>
    <mergeCell ref="F183:G183"/>
    <mergeCell ref="F199:G199"/>
    <mergeCell ref="F200:G200"/>
    <mergeCell ref="F213:G213"/>
    <mergeCell ref="F214:G214"/>
    <mergeCell ref="F131:G131"/>
    <mergeCell ref="F132:G132"/>
    <mergeCell ref="F147:G147"/>
    <mergeCell ref="F148:G148"/>
    <mergeCell ref="F164:G164"/>
    <mergeCell ref="F165:G165"/>
    <mergeCell ref="F267:G267"/>
    <mergeCell ref="F268:G268"/>
    <mergeCell ref="F285:G285"/>
    <mergeCell ref="F286:G286"/>
    <mergeCell ref="F305:G305"/>
    <mergeCell ref="F306:G306"/>
    <mergeCell ref="F226:G226"/>
    <mergeCell ref="F227:G227"/>
    <mergeCell ref="F239:G239"/>
    <mergeCell ref="F240:G240"/>
    <mergeCell ref="F251:G251"/>
    <mergeCell ref="F252:G252"/>
    <mergeCell ref="F366:G366"/>
    <mergeCell ref="F367:G367"/>
    <mergeCell ref="F378:G378"/>
    <mergeCell ref="F379:G379"/>
    <mergeCell ref="F393:G393"/>
    <mergeCell ref="F394:G394"/>
    <mergeCell ref="F325:G325"/>
    <mergeCell ref="F326:G326"/>
    <mergeCell ref="F340:G340"/>
    <mergeCell ref="F341:G341"/>
    <mergeCell ref="F353:G353"/>
    <mergeCell ref="F354:G354"/>
    <mergeCell ref="F464:G464"/>
    <mergeCell ref="F465:G465"/>
    <mergeCell ref="F476:G476"/>
    <mergeCell ref="F477:G477"/>
    <mergeCell ref="F488:G488"/>
    <mergeCell ref="F489:G489"/>
    <mergeCell ref="F411:G411"/>
    <mergeCell ref="F412:G412"/>
    <mergeCell ref="F430:G430"/>
    <mergeCell ref="F431:G431"/>
    <mergeCell ref="F450:G450"/>
    <mergeCell ref="F451:G451"/>
    <mergeCell ref="F565:G565"/>
    <mergeCell ref="F525:G525"/>
    <mergeCell ref="F537:G537"/>
    <mergeCell ref="F538:G538"/>
    <mergeCell ref="F549:G549"/>
    <mergeCell ref="F550:G550"/>
    <mergeCell ref="F500:G500"/>
    <mergeCell ref="F501:G501"/>
    <mergeCell ref="F511:G511"/>
    <mergeCell ref="F512:G512"/>
    <mergeCell ref="F513:G513"/>
    <mergeCell ref="F524:G524"/>
  </mergeCells>
  <pageMargins left="0.70866141732283472" right="0.70866141732283472" top="0.74803149606299213" bottom="0.74803149606299213" header="0.31496062992125984" footer="0.31496062992125984"/>
  <pageSetup paperSize="9" orientation="landscape" r:id="rId1"/>
  <rowBreaks count="38" manualBreakCount="38">
    <brk id="17" max="16383" man="1"/>
    <brk id="32" max="8" man="1"/>
    <brk id="45" max="16383" man="1"/>
    <brk id="61" max="8" man="1"/>
    <brk id="70" max="8" man="1"/>
    <brk id="80" max="8" man="1"/>
    <brk id="93" max="8" man="1"/>
    <brk id="106" max="8" man="1"/>
    <brk id="118" max="8" man="1"/>
    <brk id="130" max="8" man="1"/>
    <brk id="146" max="8" man="1"/>
    <brk id="163" max="8" man="1"/>
    <brk id="181" max="8" man="1"/>
    <brk id="198" max="8" man="1"/>
    <brk id="212" max="8" man="1"/>
    <brk id="225" max="8" man="1"/>
    <brk id="238" max="8" man="1"/>
    <brk id="250" max="8" man="1"/>
    <brk id="266" max="8" man="1"/>
    <brk id="284" max="8" man="1"/>
    <brk id="304" max="8" man="1"/>
    <brk id="324" max="8" man="1"/>
    <brk id="339" max="8" man="1"/>
    <brk id="352" max="8" man="1"/>
    <brk id="365" max="8" man="1"/>
    <brk id="377" max="8" man="1"/>
    <brk id="392" max="8" man="1"/>
    <brk id="410" max="8" man="1"/>
    <brk id="429" max="8" man="1"/>
    <brk id="449" max="8" man="1"/>
    <brk id="463" max="8" man="1"/>
    <brk id="475" max="8" man="1"/>
    <brk id="487" max="8" man="1"/>
    <brk id="499" max="8" man="1"/>
    <brk id="511" max="8" man="1"/>
    <brk id="523" max="8" man="1"/>
    <brk id="536" max="8" man="1"/>
    <brk id="548"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3C6AB-739D-4C4E-B01E-C3AF41B0869B}">
  <sheetPr>
    <tabColor theme="4" tint="-0.499984740745262"/>
  </sheetPr>
  <dimension ref="B2:D43"/>
  <sheetViews>
    <sheetView workbookViewId="0">
      <selection activeCell="E4" sqref="E4"/>
    </sheetView>
  </sheetViews>
  <sheetFormatPr defaultRowHeight="15" x14ac:dyDescent="0.25"/>
  <cols>
    <col min="1" max="1" width="5.7109375" customWidth="1"/>
    <col min="2" max="2" width="12.5703125" customWidth="1"/>
    <col min="3" max="3" width="19.28515625" customWidth="1"/>
    <col min="4" max="4" width="20.5703125" customWidth="1"/>
    <col min="5" max="5" width="18.28515625" customWidth="1"/>
  </cols>
  <sheetData>
    <row r="2" spans="2:4" ht="60" customHeight="1" x14ac:dyDescent="0.25">
      <c r="B2" s="71" t="s">
        <v>225</v>
      </c>
    </row>
    <row r="4" spans="2:4" ht="30" x14ac:dyDescent="0.25">
      <c r="B4" s="99" t="s">
        <v>287</v>
      </c>
      <c r="C4" s="114" t="s">
        <v>266</v>
      </c>
      <c r="D4" s="114" t="s">
        <v>267</v>
      </c>
    </row>
    <row r="5" spans="2:4" x14ac:dyDescent="0.25">
      <c r="B5" s="48" t="s">
        <v>256</v>
      </c>
      <c r="C5" s="57">
        <f t="shared" ref="C5:C14" si="0">VLOOKUP(B5,Midships,22,FALSE)</f>
        <v>0</v>
      </c>
      <c r="D5" s="57">
        <f t="shared" ref="D5:D14" si="1">VLOOKUP(B5,Midships,24,FALSE)</f>
        <v>0</v>
      </c>
    </row>
    <row r="6" spans="2:4" x14ac:dyDescent="0.25">
      <c r="B6" s="48" t="s">
        <v>257</v>
      </c>
      <c r="C6" s="57">
        <f t="shared" si="0"/>
        <v>0</v>
      </c>
      <c r="D6" s="57">
        <f t="shared" si="1"/>
        <v>0</v>
      </c>
    </row>
    <row r="7" spans="2:4" x14ac:dyDescent="0.25">
      <c r="B7" s="48" t="s">
        <v>258</v>
      </c>
      <c r="C7" s="57">
        <f t="shared" si="0"/>
        <v>0</v>
      </c>
      <c r="D7" s="57">
        <f t="shared" si="1"/>
        <v>0</v>
      </c>
    </row>
    <row r="8" spans="2:4" x14ac:dyDescent="0.25">
      <c r="B8" s="48" t="s">
        <v>259</v>
      </c>
      <c r="C8" s="57">
        <f t="shared" si="0"/>
        <v>0</v>
      </c>
      <c r="D8" s="57">
        <f t="shared" si="1"/>
        <v>0</v>
      </c>
    </row>
    <row r="9" spans="2:4" x14ac:dyDescent="0.25">
      <c r="B9" s="48" t="s">
        <v>260</v>
      </c>
      <c r="C9" s="57">
        <f t="shared" si="0"/>
        <v>0</v>
      </c>
      <c r="D9" s="57">
        <f t="shared" si="1"/>
        <v>0</v>
      </c>
    </row>
    <row r="10" spans="2:4" x14ac:dyDescent="0.25">
      <c r="B10" s="48" t="s">
        <v>261</v>
      </c>
      <c r="C10" s="57">
        <f t="shared" si="0"/>
        <v>0</v>
      </c>
      <c r="D10" s="57">
        <f t="shared" si="1"/>
        <v>0</v>
      </c>
    </row>
    <row r="11" spans="2:4" x14ac:dyDescent="0.25">
      <c r="B11" s="48" t="s">
        <v>262</v>
      </c>
      <c r="C11" s="57">
        <f t="shared" si="0"/>
        <v>0</v>
      </c>
      <c r="D11" s="57">
        <f t="shared" si="1"/>
        <v>0</v>
      </c>
    </row>
    <row r="12" spans="2:4" x14ac:dyDescent="0.25">
      <c r="B12" s="48" t="s">
        <v>263</v>
      </c>
      <c r="C12" s="57">
        <f t="shared" si="0"/>
        <v>0</v>
      </c>
      <c r="D12" s="57">
        <f t="shared" si="1"/>
        <v>0</v>
      </c>
    </row>
    <row r="13" spans="2:4" x14ac:dyDescent="0.25">
      <c r="B13" s="48" t="s">
        <v>264</v>
      </c>
      <c r="C13" s="57">
        <f t="shared" si="0"/>
        <v>0</v>
      </c>
      <c r="D13" s="57">
        <f t="shared" si="1"/>
        <v>0</v>
      </c>
    </row>
    <row r="14" spans="2:4" x14ac:dyDescent="0.25">
      <c r="B14" s="48" t="s">
        <v>265</v>
      </c>
      <c r="C14" s="57">
        <f t="shared" si="0"/>
        <v>0</v>
      </c>
      <c r="D14" s="57">
        <f t="shared" si="1"/>
        <v>0</v>
      </c>
    </row>
    <row r="17" spans="2:4" ht="60" customHeight="1" x14ac:dyDescent="0.25">
      <c r="B17" s="71" t="s">
        <v>226</v>
      </c>
    </row>
    <row r="19" spans="2:4" ht="30" x14ac:dyDescent="0.25">
      <c r="B19" s="99" t="s">
        <v>287</v>
      </c>
      <c r="C19" s="114" t="s">
        <v>266</v>
      </c>
      <c r="D19" s="114" t="s">
        <v>267</v>
      </c>
    </row>
    <row r="20" spans="2:4" x14ac:dyDescent="0.25">
      <c r="B20" s="48" t="s">
        <v>278</v>
      </c>
      <c r="C20" s="57">
        <f t="shared" ref="C20:C28" si="2">VLOOKUP(B20,Bow,22,FALSE)</f>
        <v>0</v>
      </c>
      <c r="D20" s="57">
        <f t="shared" ref="D20:D28" si="3">VLOOKUP(B20,Bow,24,FALSE)</f>
        <v>0</v>
      </c>
    </row>
    <row r="21" spans="2:4" x14ac:dyDescent="0.25">
      <c r="B21" s="48" t="s">
        <v>279</v>
      </c>
      <c r="C21" s="57">
        <f t="shared" si="2"/>
        <v>0</v>
      </c>
      <c r="D21" s="57">
        <f t="shared" si="3"/>
        <v>0</v>
      </c>
    </row>
    <row r="22" spans="2:4" x14ac:dyDescent="0.25">
      <c r="B22" s="48" t="s">
        <v>280</v>
      </c>
      <c r="C22" s="57">
        <f t="shared" si="2"/>
        <v>0</v>
      </c>
      <c r="D22" s="57">
        <f t="shared" si="3"/>
        <v>0</v>
      </c>
    </row>
    <row r="23" spans="2:4" x14ac:dyDescent="0.25">
      <c r="B23" s="48" t="s">
        <v>281</v>
      </c>
      <c r="C23" s="57">
        <f t="shared" si="2"/>
        <v>0</v>
      </c>
      <c r="D23" s="57">
        <f t="shared" si="3"/>
        <v>0</v>
      </c>
    </row>
    <row r="24" spans="2:4" x14ac:dyDescent="0.25">
      <c r="B24" s="48" t="s">
        <v>282</v>
      </c>
      <c r="C24" s="57">
        <f t="shared" si="2"/>
        <v>0</v>
      </c>
      <c r="D24" s="57">
        <f t="shared" si="3"/>
        <v>0</v>
      </c>
    </row>
    <row r="25" spans="2:4" x14ac:dyDescent="0.25">
      <c r="B25" s="48" t="s">
        <v>283</v>
      </c>
      <c r="C25" s="57">
        <f t="shared" si="2"/>
        <v>0</v>
      </c>
      <c r="D25" s="57">
        <f t="shared" si="3"/>
        <v>0</v>
      </c>
    </row>
    <row r="26" spans="2:4" x14ac:dyDescent="0.25">
      <c r="B26" s="48" t="s">
        <v>284</v>
      </c>
      <c r="C26" s="57">
        <f t="shared" si="2"/>
        <v>0</v>
      </c>
      <c r="D26" s="57">
        <f t="shared" si="3"/>
        <v>0</v>
      </c>
    </row>
    <row r="27" spans="2:4" x14ac:dyDescent="0.25">
      <c r="B27" s="48" t="s">
        <v>285</v>
      </c>
      <c r="C27" s="57">
        <f t="shared" si="2"/>
        <v>0</v>
      </c>
      <c r="D27" s="57">
        <f t="shared" si="3"/>
        <v>0</v>
      </c>
    </row>
    <row r="28" spans="2:4" x14ac:dyDescent="0.25">
      <c r="B28" s="48" t="s">
        <v>286</v>
      </c>
      <c r="C28" s="57">
        <f t="shared" si="2"/>
        <v>0</v>
      </c>
      <c r="D28" s="57">
        <f t="shared" si="3"/>
        <v>0</v>
      </c>
    </row>
    <row r="31" spans="2:4" ht="60" customHeight="1" x14ac:dyDescent="0.25">
      <c r="B31" s="67" t="s">
        <v>227</v>
      </c>
    </row>
    <row r="33" spans="2:4" ht="30" x14ac:dyDescent="0.25">
      <c r="B33" s="99" t="s">
        <v>287</v>
      </c>
      <c r="C33" s="114" t="s">
        <v>266</v>
      </c>
      <c r="D33" s="114" t="s">
        <v>267</v>
      </c>
    </row>
    <row r="34" spans="2:4" x14ac:dyDescent="0.25">
      <c r="B34" s="48" t="s">
        <v>268</v>
      </c>
      <c r="C34" s="57">
        <f t="shared" ref="C34:C43" si="4">VLOOKUP(B34,Stern,22,FALSE)</f>
        <v>0</v>
      </c>
      <c r="D34" s="57">
        <f t="shared" ref="D34:D43" si="5">VLOOKUP(B34,Stern,24,FALSE)</f>
        <v>0</v>
      </c>
    </row>
    <row r="35" spans="2:4" x14ac:dyDescent="0.25">
      <c r="B35" s="48" t="s">
        <v>269</v>
      </c>
      <c r="C35" s="57">
        <f t="shared" si="4"/>
        <v>0</v>
      </c>
      <c r="D35" s="57">
        <f t="shared" si="5"/>
        <v>0</v>
      </c>
    </row>
    <row r="36" spans="2:4" x14ac:dyDescent="0.25">
      <c r="B36" s="48" t="s">
        <v>270</v>
      </c>
      <c r="C36" s="57">
        <f t="shared" si="4"/>
        <v>0</v>
      </c>
      <c r="D36" s="57">
        <f t="shared" si="5"/>
        <v>0</v>
      </c>
    </row>
    <row r="37" spans="2:4" x14ac:dyDescent="0.25">
      <c r="B37" s="48" t="s">
        <v>271</v>
      </c>
      <c r="C37" s="57">
        <f t="shared" si="4"/>
        <v>0</v>
      </c>
      <c r="D37" s="57">
        <f t="shared" si="5"/>
        <v>0</v>
      </c>
    </row>
    <row r="38" spans="2:4" x14ac:dyDescent="0.25">
      <c r="B38" s="48" t="s">
        <v>272</v>
      </c>
      <c r="C38" s="57">
        <f t="shared" si="4"/>
        <v>0</v>
      </c>
      <c r="D38" s="57">
        <f t="shared" si="5"/>
        <v>0</v>
      </c>
    </row>
    <row r="39" spans="2:4" x14ac:dyDescent="0.25">
      <c r="B39" s="48" t="s">
        <v>273</v>
      </c>
      <c r="C39" s="57">
        <f t="shared" si="4"/>
        <v>0</v>
      </c>
      <c r="D39" s="57">
        <f t="shared" si="5"/>
        <v>0</v>
      </c>
    </row>
    <row r="40" spans="2:4" x14ac:dyDescent="0.25">
      <c r="B40" s="48" t="s">
        <v>274</v>
      </c>
      <c r="C40" s="57">
        <f t="shared" si="4"/>
        <v>0</v>
      </c>
      <c r="D40" s="57">
        <f t="shared" si="5"/>
        <v>0</v>
      </c>
    </row>
    <row r="41" spans="2:4" x14ac:dyDescent="0.25">
      <c r="B41" s="48" t="s">
        <v>275</v>
      </c>
      <c r="C41" s="57">
        <f t="shared" si="4"/>
        <v>0</v>
      </c>
      <c r="D41" s="57">
        <f t="shared" si="5"/>
        <v>0</v>
      </c>
    </row>
    <row r="42" spans="2:4" x14ac:dyDescent="0.25">
      <c r="B42" s="48" t="s">
        <v>276</v>
      </c>
      <c r="C42" s="57">
        <f t="shared" si="4"/>
        <v>0</v>
      </c>
      <c r="D42" s="57">
        <f t="shared" si="5"/>
        <v>0</v>
      </c>
    </row>
    <row r="43" spans="2:4" x14ac:dyDescent="0.25">
      <c r="B43" s="48" t="s">
        <v>277</v>
      </c>
      <c r="C43" s="57">
        <f t="shared" si="4"/>
        <v>0</v>
      </c>
      <c r="D43" s="57">
        <f t="shared" si="5"/>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0400-D68E-4944-AE9A-BF03AD0EEC2C}">
  <sheetPr>
    <tabColor rgb="FFFFC000"/>
    <pageSetUpPr fitToPage="1"/>
  </sheetPr>
  <dimension ref="B2:AD241"/>
  <sheetViews>
    <sheetView showGridLines="0" zoomScale="90" zoomScaleNormal="90" workbookViewId="0">
      <selection activeCell="Q3" sqref="Q3"/>
    </sheetView>
  </sheetViews>
  <sheetFormatPr defaultRowHeight="15" x14ac:dyDescent="0.25"/>
  <cols>
    <col min="1" max="1" width="6" customWidth="1"/>
    <col min="2" max="2" width="5.7109375" customWidth="1"/>
    <col min="3" max="3" width="10.28515625" customWidth="1"/>
    <col min="4" max="4" width="20.85546875" hidden="1" customWidth="1"/>
    <col min="5" max="5" width="94.42578125" hidden="1" customWidth="1"/>
    <col min="6" max="6" width="11.85546875" customWidth="1"/>
    <col min="7" max="7" width="11.5703125" hidden="1" customWidth="1"/>
    <col min="8" max="10" width="15.7109375" hidden="1" customWidth="1"/>
    <col min="11" max="11" width="23.7109375" hidden="1" customWidth="1"/>
    <col min="12" max="12" width="23.85546875" hidden="1" customWidth="1"/>
    <col min="13" max="13" width="8.85546875" customWidth="1"/>
    <col min="14" max="14" width="9.28515625" customWidth="1"/>
    <col min="15" max="15" width="9.7109375" customWidth="1"/>
    <col min="16" max="16" width="23.7109375" hidden="1" customWidth="1"/>
    <col min="17" max="17" width="14.85546875" customWidth="1"/>
    <col min="18" max="18" width="12.140625" customWidth="1"/>
    <col min="19" max="19" width="14.28515625" customWidth="1"/>
    <col min="20" max="20" width="12.7109375" customWidth="1"/>
    <col min="21" max="21" width="14.7109375" customWidth="1"/>
    <col min="22" max="22" width="11.7109375" customWidth="1"/>
    <col min="23" max="30" width="14.7109375" customWidth="1"/>
  </cols>
  <sheetData>
    <row r="2" spans="2:30" ht="36" customHeight="1" thickBot="1" x14ac:dyDescent="0.3">
      <c r="C2" s="71" t="s">
        <v>225</v>
      </c>
    </row>
    <row r="3" spans="2:30" ht="22.9" customHeight="1" thickBot="1" x14ac:dyDescent="0.3">
      <c r="C3" s="286" t="s">
        <v>512</v>
      </c>
      <c r="D3" s="280"/>
      <c r="E3" s="280"/>
      <c r="F3" s="281"/>
      <c r="G3" s="274"/>
      <c r="H3" s="275"/>
      <c r="I3" s="276"/>
      <c r="J3" s="275"/>
      <c r="K3" s="276"/>
      <c r="L3" s="282"/>
      <c r="M3" s="307"/>
      <c r="N3" s="308"/>
      <c r="O3" s="309"/>
      <c r="P3" s="96"/>
      <c r="Q3" s="95"/>
      <c r="R3" s="96"/>
      <c r="S3" s="95"/>
      <c r="T3" s="96"/>
      <c r="U3" s="95"/>
      <c r="V3" s="96"/>
      <c r="W3" s="96"/>
      <c r="X3" s="96"/>
      <c r="Y3" s="96"/>
      <c r="Z3" s="96"/>
      <c r="AA3" s="95"/>
      <c r="AB3" s="96"/>
      <c r="AC3" s="95"/>
      <c r="AD3" s="96"/>
    </row>
    <row r="4" spans="2:30" ht="15" customHeight="1" thickBot="1" x14ac:dyDescent="0.3">
      <c r="B4" s="277"/>
      <c r="C4" s="277"/>
      <c r="D4" s="277"/>
      <c r="E4" s="277"/>
      <c r="F4" s="277"/>
      <c r="G4" s="277"/>
      <c r="H4" s="277"/>
      <c r="I4" s="277"/>
      <c r="J4" s="277"/>
      <c r="K4" s="277"/>
      <c r="L4" s="277"/>
      <c r="M4" s="277"/>
      <c r="N4" s="277"/>
      <c r="O4" s="277"/>
      <c r="P4" s="277"/>
      <c r="Q4" s="277"/>
      <c r="R4" s="96"/>
      <c r="S4" s="95"/>
      <c r="T4" s="96"/>
      <c r="U4" s="95"/>
      <c r="V4" s="96"/>
      <c r="W4" s="96"/>
      <c r="X4" s="96"/>
      <c r="Y4" s="96"/>
      <c r="Z4" s="96"/>
      <c r="AA4" s="95"/>
      <c r="AB4" s="96"/>
      <c r="AC4" s="95"/>
      <c r="AD4" s="96"/>
    </row>
    <row r="5" spans="2:30" ht="17.25" customHeight="1" thickBot="1" x14ac:dyDescent="0.3">
      <c r="C5" s="71"/>
      <c r="M5" s="298" t="s">
        <v>493</v>
      </c>
      <c r="N5" s="299"/>
      <c r="O5" s="300"/>
      <c r="W5" s="296" t="s">
        <v>239</v>
      </c>
      <c r="X5" s="296" t="s">
        <v>239</v>
      </c>
      <c r="Y5" s="296" t="s">
        <v>239</v>
      </c>
      <c r="Z5" s="296" t="s">
        <v>239</v>
      </c>
      <c r="AA5" s="296" t="s">
        <v>239</v>
      </c>
      <c r="AC5" s="296" t="s">
        <v>239</v>
      </c>
    </row>
    <row r="6" spans="2:30" ht="31.15" customHeight="1" thickBot="1" x14ac:dyDescent="0.3">
      <c r="C6" s="43"/>
      <c r="D6" s="43"/>
      <c r="E6" s="43"/>
      <c r="F6" s="43"/>
      <c r="G6" s="304" t="s">
        <v>220</v>
      </c>
      <c r="H6" s="305"/>
      <c r="I6" s="305"/>
      <c r="J6" s="306"/>
      <c r="K6" s="43"/>
      <c r="L6" s="42"/>
      <c r="M6" s="301"/>
      <c r="N6" s="302"/>
      <c r="O6" s="303"/>
      <c r="P6" s="69"/>
      <c r="Q6" s="69"/>
      <c r="R6" s="69"/>
      <c r="S6" s="69"/>
      <c r="T6" s="69"/>
      <c r="U6" s="42"/>
      <c r="V6" s="42"/>
      <c r="W6" s="297"/>
      <c r="X6" s="297"/>
      <c r="Y6" s="297"/>
      <c r="Z6" s="297"/>
      <c r="AA6" s="297"/>
      <c r="AC6" s="297"/>
    </row>
    <row r="7" spans="2:30" ht="75.599999999999994" customHeight="1" thickBot="1" x14ac:dyDescent="0.3">
      <c r="C7" s="100" t="s">
        <v>247</v>
      </c>
      <c r="D7" s="100" t="s">
        <v>208</v>
      </c>
      <c r="E7" s="100" t="s">
        <v>209</v>
      </c>
      <c r="F7" s="100" t="s">
        <v>244</v>
      </c>
      <c r="G7" s="98" t="s">
        <v>206</v>
      </c>
      <c r="H7" s="101" t="s">
        <v>215</v>
      </c>
      <c r="I7" s="100" t="s">
        <v>233</v>
      </c>
      <c r="J7" s="100" t="s">
        <v>234</v>
      </c>
      <c r="K7" s="100" t="s">
        <v>238</v>
      </c>
      <c r="L7" s="100" t="s">
        <v>237</v>
      </c>
      <c r="M7" s="101" t="s">
        <v>215</v>
      </c>
      <c r="N7" s="101" t="s">
        <v>233</v>
      </c>
      <c r="O7" s="100" t="s">
        <v>234</v>
      </c>
      <c r="P7" s="100" t="s">
        <v>232</v>
      </c>
      <c r="Q7" s="100" t="s">
        <v>231</v>
      </c>
      <c r="R7" s="100" t="s">
        <v>217</v>
      </c>
      <c r="S7" s="100" t="s">
        <v>230</v>
      </c>
      <c r="T7" s="100" t="s">
        <v>216</v>
      </c>
      <c r="U7" s="100" t="s">
        <v>207</v>
      </c>
      <c r="V7" s="100" t="s">
        <v>210</v>
      </c>
      <c r="W7" s="78" t="s">
        <v>492</v>
      </c>
      <c r="X7" s="78" t="s">
        <v>335</v>
      </c>
      <c r="Y7" s="78" t="s">
        <v>329</v>
      </c>
      <c r="Z7" s="78" t="s">
        <v>336</v>
      </c>
      <c r="AA7" s="78" t="s">
        <v>333</v>
      </c>
      <c r="AB7" s="100" t="s">
        <v>251</v>
      </c>
      <c r="AC7" s="78" t="s">
        <v>334</v>
      </c>
      <c r="AD7" s="100" t="s">
        <v>252</v>
      </c>
    </row>
    <row r="8" spans="2:30" ht="14.45" customHeight="1" thickBot="1" x14ac:dyDescent="0.3">
      <c r="C8" s="167">
        <v>1</v>
      </c>
      <c r="D8" s="146">
        <v>2</v>
      </c>
      <c r="E8" s="167">
        <v>3</v>
      </c>
      <c r="F8" s="144">
        <v>4</v>
      </c>
      <c r="G8" s="143">
        <v>5</v>
      </c>
      <c r="H8" s="103">
        <v>6</v>
      </c>
      <c r="I8" s="102">
        <v>7</v>
      </c>
      <c r="J8" s="103">
        <v>8</v>
      </c>
      <c r="K8" s="102">
        <v>9</v>
      </c>
      <c r="L8" s="145">
        <v>10</v>
      </c>
      <c r="M8" s="167">
        <v>11</v>
      </c>
      <c r="N8" s="144">
        <v>12</v>
      </c>
      <c r="O8" s="167">
        <v>13</v>
      </c>
      <c r="P8" s="146">
        <v>14</v>
      </c>
      <c r="Q8" s="167">
        <v>15</v>
      </c>
      <c r="R8" s="144">
        <v>16</v>
      </c>
      <c r="S8" s="167">
        <v>17</v>
      </c>
      <c r="T8" s="144">
        <v>18</v>
      </c>
      <c r="U8" s="167">
        <v>19</v>
      </c>
      <c r="V8" s="144">
        <v>20</v>
      </c>
      <c r="W8" s="168">
        <v>21</v>
      </c>
      <c r="X8" s="169">
        <v>22</v>
      </c>
      <c r="Y8" s="168">
        <v>23</v>
      </c>
      <c r="Z8" s="169">
        <v>24</v>
      </c>
      <c r="AA8" s="168">
        <v>25</v>
      </c>
      <c r="AB8" s="169">
        <v>26</v>
      </c>
      <c r="AC8" s="168">
        <v>27</v>
      </c>
      <c r="AD8" s="168">
        <v>28</v>
      </c>
    </row>
    <row r="9" spans="2:30" ht="15" customHeight="1" x14ac:dyDescent="0.25">
      <c r="B9" s="310" t="s">
        <v>344</v>
      </c>
      <c r="C9" s="170">
        <v>37.299999999999997</v>
      </c>
      <c r="D9" s="59" t="s">
        <v>160</v>
      </c>
      <c r="E9" s="59" t="s">
        <v>26</v>
      </c>
      <c r="F9" s="164" t="s">
        <v>213</v>
      </c>
      <c r="G9" s="93"/>
      <c r="H9" s="59">
        <v>7400</v>
      </c>
      <c r="I9" s="59">
        <v>370</v>
      </c>
      <c r="J9" s="59">
        <v>184</v>
      </c>
      <c r="K9" s="59">
        <f>(J9/O9)</f>
        <v>2.6666666666666665</v>
      </c>
      <c r="L9" s="61">
        <f t="shared" ref="L9:L27" si="0">ROUNDUP(K9,0)</f>
        <v>3</v>
      </c>
      <c r="M9" s="59">
        <f>(H9+300)</f>
        <v>7700</v>
      </c>
      <c r="N9" s="59">
        <f>(I9+100)</f>
        <v>470</v>
      </c>
      <c r="O9" s="59">
        <v>69</v>
      </c>
      <c r="P9" s="77">
        <f>(K9-1)</f>
        <v>1.6666666666666665</v>
      </c>
      <c r="Q9" s="59">
        <f>(L9-1)*2</f>
        <v>4</v>
      </c>
      <c r="R9" s="60" t="s">
        <v>342</v>
      </c>
      <c r="S9" s="61">
        <v>2</v>
      </c>
      <c r="T9" s="61" t="s">
        <v>340</v>
      </c>
      <c r="U9" s="62" t="s">
        <v>221</v>
      </c>
      <c r="V9" s="83">
        <v>45017</v>
      </c>
      <c r="W9" s="255"/>
      <c r="X9" s="256"/>
      <c r="Y9" s="255"/>
      <c r="Z9" s="256"/>
      <c r="AA9" s="257">
        <v>0</v>
      </c>
      <c r="AB9" s="106">
        <f>(AA9*Q9)</f>
        <v>0</v>
      </c>
      <c r="AC9" s="257">
        <v>0</v>
      </c>
      <c r="AD9" s="106">
        <f t="shared" ref="AD9:AD27" si="1">(AC9*S9)</f>
        <v>0</v>
      </c>
    </row>
    <row r="10" spans="2:30" x14ac:dyDescent="0.25">
      <c r="B10" s="311"/>
      <c r="C10" s="171">
        <v>37.4</v>
      </c>
      <c r="D10" s="44" t="s">
        <v>160</v>
      </c>
      <c r="E10" s="44" t="s">
        <v>52</v>
      </c>
      <c r="F10" s="154" t="s">
        <v>213</v>
      </c>
      <c r="G10" s="49"/>
      <c r="H10" s="44">
        <v>7400</v>
      </c>
      <c r="I10" s="44">
        <v>370</v>
      </c>
      <c r="J10" s="44">
        <v>184</v>
      </c>
      <c r="K10" s="44">
        <f t="shared" ref="K10:K73" si="2">(J10/O10)</f>
        <v>2.6666666666666665</v>
      </c>
      <c r="L10" s="50">
        <f t="shared" si="0"/>
        <v>3</v>
      </c>
      <c r="M10" s="44">
        <f t="shared" ref="M10:M21" si="3">(H10+300)</f>
        <v>7700</v>
      </c>
      <c r="N10" s="44">
        <f>(I10+100)</f>
        <v>470</v>
      </c>
      <c r="O10" s="164">
        <v>69</v>
      </c>
      <c r="P10" s="44">
        <f t="shared" ref="P10:P75" si="4">(K10-1)</f>
        <v>1.6666666666666665</v>
      </c>
      <c r="Q10" s="44">
        <f t="shared" ref="Q10:Q27" si="5">(L10-1)*2</f>
        <v>4</v>
      </c>
      <c r="R10" s="165" t="s">
        <v>342</v>
      </c>
      <c r="S10" s="50">
        <v>2</v>
      </c>
      <c r="T10" s="166" t="s">
        <v>340</v>
      </c>
      <c r="U10" s="53" t="s">
        <v>221</v>
      </c>
      <c r="V10" s="84">
        <v>45017</v>
      </c>
      <c r="W10" s="238"/>
      <c r="X10" s="239"/>
      <c r="Y10" s="238"/>
      <c r="Z10" s="239"/>
      <c r="AA10" s="240">
        <v>0</v>
      </c>
      <c r="AB10" s="107">
        <f>(AA10*Q10)</f>
        <v>0</v>
      </c>
      <c r="AC10" s="240">
        <v>0</v>
      </c>
      <c r="AD10" s="107">
        <f t="shared" si="1"/>
        <v>0</v>
      </c>
    </row>
    <row r="11" spans="2:30" x14ac:dyDescent="0.25">
      <c r="B11" s="311"/>
      <c r="C11" s="171">
        <v>37.5</v>
      </c>
      <c r="D11" s="44" t="s">
        <v>160</v>
      </c>
      <c r="E11" s="44" t="s">
        <v>52</v>
      </c>
      <c r="F11" s="154" t="s">
        <v>213</v>
      </c>
      <c r="G11" s="49"/>
      <c r="H11" s="44">
        <v>7400</v>
      </c>
      <c r="I11" s="44">
        <v>370</v>
      </c>
      <c r="J11" s="44">
        <v>184</v>
      </c>
      <c r="K11" s="44">
        <f t="shared" si="2"/>
        <v>2.6666666666666665</v>
      </c>
      <c r="L11" s="50">
        <f t="shared" si="0"/>
        <v>3</v>
      </c>
      <c r="M11" s="44">
        <f t="shared" si="3"/>
        <v>7700</v>
      </c>
      <c r="N11" s="44">
        <f>(I11+100)</f>
        <v>470</v>
      </c>
      <c r="O11" s="164">
        <v>69</v>
      </c>
      <c r="P11" s="44">
        <f t="shared" si="4"/>
        <v>1.6666666666666665</v>
      </c>
      <c r="Q11" s="44">
        <f t="shared" si="5"/>
        <v>4</v>
      </c>
      <c r="R11" s="165" t="s">
        <v>342</v>
      </c>
      <c r="S11" s="50">
        <v>2</v>
      </c>
      <c r="T11" s="166" t="s">
        <v>340</v>
      </c>
      <c r="U11" s="53" t="s">
        <v>221</v>
      </c>
      <c r="V11" s="84">
        <v>45017</v>
      </c>
      <c r="W11" s="238"/>
      <c r="X11" s="239"/>
      <c r="Y11" s="238"/>
      <c r="Z11" s="239"/>
      <c r="AA11" s="258">
        <v>0</v>
      </c>
      <c r="AB11" s="107">
        <f>(AA11*Q11)</f>
        <v>0</v>
      </c>
      <c r="AC11" s="240">
        <v>0</v>
      </c>
      <c r="AD11" s="107">
        <f t="shared" si="1"/>
        <v>0</v>
      </c>
    </row>
    <row r="12" spans="2:30" x14ac:dyDescent="0.25">
      <c r="B12" s="311"/>
      <c r="C12" s="171">
        <v>37.6</v>
      </c>
      <c r="D12" s="44" t="s">
        <v>160</v>
      </c>
      <c r="E12" s="44" t="s">
        <v>52</v>
      </c>
      <c r="F12" s="154" t="s">
        <v>213</v>
      </c>
      <c r="G12" s="49"/>
      <c r="H12" s="44">
        <v>9200</v>
      </c>
      <c r="I12" s="44">
        <v>370</v>
      </c>
      <c r="J12" s="44">
        <v>184</v>
      </c>
      <c r="K12" s="44">
        <f t="shared" si="2"/>
        <v>2.6666666666666665</v>
      </c>
      <c r="L12" s="50">
        <f t="shared" si="0"/>
        <v>3</v>
      </c>
      <c r="M12" s="44">
        <f t="shared" si="3"/>
        <v>9500</v>
      </c>
      <c r="N12" s="44">
        <f t="shared" ref="N12:N75" si="6">(I12+100)</f>
        <v>470</v>
      </c>
      <c r="O12" s="164">
        <v>69</v>
      </c>
      <c r="P12" s="44">
        <f t="shared" si="4"/>
        <v>1.6666666666666665</v>
      </c>
      <c r="Q12" s="44">
        <f t="shared" si="5"/>
        <v>4</v>
      </c>
      <c r="R12" s="165" t="s">
        <v>342</v>
      </c>
      <c r="S12" s="50">
        <v>2</v>
      </c>
      <c r="T12" s="166" t="s">
        <v>340</v>
      </c>
      <c r="U12" s="53" t="s">
        <v>221</v>
      </c>
      <c r="V12" s="84">
        <v>45017</v>
      </c>
      <c r="W12" s="238"/>
      <c r="X12" s="239"/>
      <c r="Y12" s="238"/>
      <c r="Z12" s="239"/>
      <c r="AA12" s="240">
        <v>0</v>
      </c>
      <c r="AB12" s="107">
        <f>(AA12*Q12)</f>
        <v>0</v>
      </c>
      <c r="AC12" s="240">
        <v>0</v>
      </c>
      <c r="AD12" s="107">
        <f t="shared" si="1"/>
        <v>0</v>
      </c>
    </row>
    <row r="13" spans="2:30" x14ac:dyDescent="0.25">
      <c r="B13" s="311"/>
      <c r="C13" s="171">
        <v>37.700000000000003</v>
      </c>
      <c r="D13" s="44" t="s">
        <v>160</v>
      </c>
      <c r="E13" s="44" t="s">
        <v>26</v>
      </c>
      <c r="F13" s="154" t="s">
        <v>213</v>
      </c>
      <c r="G13" s="49"/>
      <c r="H13" s="44">
        <v>7400</v>
      </c>
      <c r="I13" s="44">
        <v>370</v>
      </c>
      <c r="J13" s="44">
        <v>184</v>
      </c>
      <c r="K13" s="44">
        <f t="shared" si="2"/>
        <v>2.6666666666666665</v>
      </c>
      <c r="L13" s="50">
        <f t="shared" si="0"/>
        <v>3</v>
      </c>
      <c r="M13" s="44">
        <f t="shared" si="3"/>
        <v>7700</v>
      </c>
      <c r="N13" s="44">
        <f t="shared" si="6"/>
        <v>470</v>
      </c>
      <c r="O13" s="164">
        <v>69</v>
      </c>
      <c r="P13" s="44">
        <f t="shared" si="4"/>
        <v>1.6666666666666665</v>
      </c>
      <c r="Q13" s="44">
        <f t="shared" si="5"/>
        <v>4</v>
      </c>
      <c r="R13" s="165" t="s">
        <v>342</v>
      </c>
      <c r="S13" s="50">
        <v>2</v>
      </c>
      <c r="T13" s="166" t="s">
        <v>340</v>
      </c>
      <c r="U13" s="53" t="s">
        <v>221</v>
      </c>
      <c r="V13" s="84">
        <v>45017</v>
      </c>
      <c r="W13" s="238"/>
      <c r="X13" s="239"/>
      <c r="Y13" s="238"/>
      <c r="Z13" s="239"/>
      <c r="AA13" s="240">
        <v>0</v>
      </c>
      <c r="AB13" s="132">
        <v>0</v>
      </c>
      <c r="AC13" s="240">
        <v>0</v>
      </c>
      <c r="AD13" s="107">
        <f t="shared" si="1"/>
        <v>0</v>
      </c>
    </row>
    <row r="14" spans="2:30" x14ac:dyDescent="0.25">
      <c r="B14" s="311"/>
      <c r="C14" s="171">
        <v>38.4</v>
      </c>
      <c r="D14" s="44" t="s">
        <v>160</v>
      </c>
      <c r="E14" s="44" t="s">
        <v>52</v>
      </c>
      <c r="F14" s="154" t="s">
        <v>213</v>
      </c>
      <c r="G14" s="49"/>
      <c r="H14" s="44">
        <v>7400</v>
      </c>
      <c r="I14" s="44">
        <v>370</v>
      </c>
      <c r="J14" s="44">
        <v>190.5</v>
      </c>
      <c r="K14" s="44">
        <f t="shared" si="2"/>
        <v>2.7608695652173911</v>
      </c>
      <c r="L14" s="50">
        <f t="shared" si="0"/>
        <v>3</v>
      </c>
      <c r="M14" s="44">
        <f t="shared" si="3"/>
        <v>7700</v>
      </c>
      <c r="N14" s="44">
        <f t="shared" si="6"/>
        <v>470</v>
      </c>
      <c r="O14" s="164">
        <v>69</v>
      </c>
      <c r="P14" s="44">
        <f t="shared" si="4"/>
        <v>1.7608695652173911</v>
      </c>
      <c r="Q14" s="44">
        <f t="shared" si="5"/>
        <v>4</v>
      </c>
      <c r="R14" s="165" t="s">
        <v>342</v>
      </c>
      <c r="S14" s="50">
        <v>2</v>
      </c>
      <c r="T14" s="166" t="s">
        <v>340</v>
      </c>
      <c r="U14" s="53" t="s">
        <v>221</v>
      </c>
      <c r="V14" s="84">
        <v>45017</v>
      </c>
      <c r="W14" s="238"/>
      <c r="X14" s="239"/>
      <c r="Y14" s="238"/>
      <c r="Z14" s="239"/>
      <c r="AA14" s="240">
        <v>0</v>
      </c>
      <c r="AB14" s="107">
        <f t="shared" ref="AB14:AB27" si="7">(AA14*Q14)</f>
        <v>0</v>
      </c>
      <c r="AC14" s="240">
        <v>0</v>
      </c>
      <c r="AD14" s="107">
        <f t="shared" si="1"/>
        <v>0</v>
      </c>
    </row>
    <row r="15" spans="2:30" x14ac:dyDescent="0.25">
      <c r="B15" s="311"/>
      <c r="C15" s="171">
        <v>38.5</v>
      </c>
      <c r="D15" s="44" t="s">
        <v>160</v>
      </c>
      <c r="E15" s="44" t="s">
        <v>52</v>
      </c>
      <c r="F15" s="154" t="s">
        <v>213</v>
      </c>
      <c r="G15" s="49"/>
      <c r="H15" s="55">
        <v>7400</v>
      </c>
      <c r="I15" s="44">
        <v>370</v>
      </c>
      <c r="J15" s="44">
        <v>190.5</v>
      </c>
      <c r="K15" s="44">
        <f t="shared" si="2"/>
        <v>2.7608695652173911</v>
      </c>
      <c r="L15" s="50">
        <f t="shared" si="0"/>
        <v>3</v>
      </c>
      <c r="M15" s="44">
        <f t="shared" si="3"/>
        <v>7700</v>
      </c>
      <c r="N15" s="44">
        <f t="shared" si="6"/>
        <v>470</v>
      </c>
      <c r="O15" s="164">
        <v>69</v>
      </c>
      <c r="P15" s="44">
        <f t="shared" si="4"/>
        <v>1.7608695652173911</v>
      </c>
      <c r="Q15" s="44">
        <f t="shared" si="5"/>
        <v>4</v>
      </c>
      <c r="R15" s="165" t="s">
        <v>342</v>
      </c>
      <c r="S15" s="50">
        <v>2</v>
      </c>
      <c r="T15" s="166" t="s">
        <v>340</v>
      </c>
      <c r="U15" s="53" t="s">
        <v>221</v>
      </c>
      <c r="V15" s="84">
        <v>45017</v>
      </c>
      <c r="W15" s="238"/>
      <c r="X15" s="239"/>
      <c r="Y15" s="238"/>
      <c r="Z15" s="239"/>
      <c r="AA15" s="240">
        <v>0</v>
      </c>
      <c r="AB15" s="107">
        <f t="shared" si="7"/>
        <v>0</v>
      </c>
      <c r="AC15" s="240">
        <v>0</v>
      </c>
      <c r="AD15" s="107">
        <f t="shared" si="1"/>
        <v>0</v>
      </c>
    </row>
    <row r="16" spans="2:30" x14ac:dyDescent="0.25">
      <c r="B16" s="311"/>
      <c r="C16" s="171">
        <v>38.6</v>
      </c>
      <c r="D16" s="44" t="s">
        <v>160</v>
      </c>
      <c r="E16" s="44" t="s">
        <v>52</v>
      </c>
      <c r="F16" s="154" t="s">
        <v>213</v>
      </c>
      <c r="G16" s="49"/>
      <c r="H16" s="44">
        <v>9200</v>
      </c>
      <c r="I16" s="44">
        <v>370</v>
      </c>
      <c r="J16" s="44">
        <v>190.5</v>
      </c>
      <c r="K16" s="44">
        <f t="shared" si="2"/>
        <v>2.7608695652173911</v>
      </c>
      <c r="L16" s="50">
        <f t="shared" si="0"/>
        <v>3</v>
      </c>
      <c r="M16" s="44">
        <f t="shared" si="3"/>
        <v>9500</v>
      </c>
      <c r="N16" s="44">
        <f t="shared" si="6"/>
        <v>470</v>
      </c>
      <c r="O16" s="164">
        <v>69</v>
      </c>
      <c r="P16" s="44">
        <f t="shared" si="4"/>
        <v>1.7608695652173911</v>
      </c>
      <c r="Q16" s="44">
        <f t="shared" si="5"/>
        <v>4</v>
      </c>
      <c r="R16" s="165" t="s">
        <v>342</v>
      </c>
      <c r="S16" s="50">
        <v>2</v>
      </c>
      <c r="T16" s="166" t="s">
        <v>340</v>
      </c>
      <c r="U16" s="53" t="s">
        <v>221</v>
      </c>
      <c r="V16" s="84">
        <v>45017</v>
      </c>
      <c r="W16" s="238"/>
      <c r="X16" s="239"/>
      <c r="Y16" s="238"/>
      <c r="Z16" s="239"/>
      <c r="AA16" s="240">
        <v>0</v>
      </c>
      <c r="AB16" s="107">
        <f t="shared" si="7"/>
        <v>0</v>
      </c>
      <c r="AC16" s="240">
        <v>0</v>
      </c>
      <c r="AD16" s="107">
        <f t="shared" si="1"/>
        <v>0</v>
      </c>
    </row>
    <row r="17" spans="2:30" x14ac:dyDescent="0.25">
      <c r="B17" s="311"/>
      <c r="C17" s="171">
        <v>38.700000000000003</v>
      </c>
      <c r="D17" s="44" t="s">
        <v>160</v>
      </c>
      <c r="E17" s="44" t="s">
        <v>26</v>
      </c>
      <c r="F17" s="154" t="s">
        <v>213</v>
      </c>
      <c r="G17" s="49"/>
      <c r="H17" s="44">
        <v>7400</v>
      </c>
      <c r="I17" s="44">
        <v>370</v>
      </c>
      <c r="J17" s="44">
        <v>190.5</v>
      </c>
      <c r="K17" s="44">
        <f t="shared" si="2"/>
        <v>2.7608695652173911</v>
      </c>
      <c r="L17" s="50">
        <f t="shared" si="0"/>
        <v>3</v>
      </c>
      <c r="M17" s="44">
        <f t="shared" si="3"/>
        <v>7700</v>
      </c>
      <c r="N17" s="44">
        <f t="shared" si="6"/>
        <v>470</v>
      </c>
      <c r="O17" s="164">
        <v>69</v>
      </c>
      <c r="P17" s="44">
        <f t="shared" si="4"/>
        <v>1.7608695652173911</v>
      </c>
      <c r="Q17" s="44">
        <f t="shared" si="5"/>
        <v>4</v>
      </c>
      <c r="R17" s="165" t="s">
        <v>342</v>
      </c>
      <c r="S17" s="50">
        <v>2</v>
      </c>
      <c r="T17" s="166" t="s">
        <v>340</v>
      </c>
      <c r="U17" s="53" t="s">
        <v>221</v>
      </c>
      <c r="V17" s="84">
        <v>45017</v>
      </c>
      <c r="W17" s="238"/>
      <c r="X17" s="239"/>
      <c r="Y17" s="238"/>
      <c r="Z17" s="239"/>
      <c r="AA17" s="240">
        <v>0</v>
      </c>
      <c r="AB17" s="107">
        <f t="shared" si="7"/>
        <v>0</v>
      </c>
      <c r="AC17" s="240">
        <v>0</v>
      </c>
      <c r="AD17" s="107">
        <f t="shared" si="1"/>
        <v>0</v>
      </c>
    </row>
    <row r="18" spans="2:30" x14ac:dyDescent="0.25">
      <c r="B18" s="311"/>
      <c r="C18" s="171">
        <v>39.4</v>
      </c>
      <c r="D18" s="44" t="s">
        <v>160</v>
      </c>
      <c r="E18" s="44" t="s">
        <v>26</v>
      </c>
      <c r="F18" s="154" t="s">
        <v>213</v>
      </c>
      <c r="G18" s="49"/>
      <c r="H18" s="44">
        <v>7400</v>
      </c>
      <c r="I18" s="44">
        <v>370</v>
      </c>
      <c r="J18" s="44">
        <v>197</v>
      </c>
      <c r="K18" s="44">
        <f t="shared" si="2"/>
        <v>2.8550724637681157</v>
      </c>
      <c r="L18" s="50">
        <f t="shared" si="0"/>
        <v>3</v>
      </c>
      <c r="M18" s="44">
        <f t="shared" si="3"/>
        <v>7700</v>
      </c>
      <c r="N18" s="44">
        <f t="shared" si="6"/>
        <v>470</v>
      </c>
      <c r="O18" s="164">
        <v>69</v>
      </c>
      <c r="P18" s="44">
        <f t="shared" si="4"/>
        <v>1.8550724637681157</v>
      </c>
      <c r="Q18" s="44">
        <f t="shared" si="5"/>
        <v>4</v>
      </c>
      <c r="R18" s="165" t="s">
        <v>342</v>
      </c>
      <c r="S18" s="50">
        <v>2</v>
      </c>
      <c r="T18" s="166" t="s">
        <v>340</v>
      </c>
      <c r="U18" s="53" t="s">
        <v>221</v>
      </c>
      <c r="V18" s="84">
        <v>45017</v>
      </c>
      <c r="W18" s="238"/>
      <c r="X18" s="239"/>
      <c r="Y18" s="238"/>
      <c r="Z18" s="239"/>
      <c r="AA18" s="240">
        <v>0</v>
      </c>
      <c r="AB18" s="107">
        <f t="shared" si="7"/>
        <v>0</v>
      </c>
      <c r="AC18" s="240">
        <v>0</v>
      </c>
      <c r="AD18" s="107">
        <f t="shared" si="1"/>
        <v>0</v>
      </c>
    </row>
    <row r="19" spans="2:30" x14ac:dyDescent="0.25">
      <c r="B19" s="311"/>
      <c r="C19" s="171">
        <v>39.5</v>
      </c>
      <c r="D19" s="44" t="s">
        <v>160</v>
      </c>
      <c r="E19" s="44" t="s">
        <v>52</v>
      </c>
      <c r="F19" s="154" t="s">
        <v>213</v>
      </c>
      <c r="G19" s="49"/>
      <c r="H19" s="44">
        <v>7400</v>
      </c>
      <c r="I19" s="44">
        <v>370</v>
      </c>
      <c r="J19" s="44">
        <v>197</v>
      </c>
      <c r="K19" s="44">
        <f t="shared" si="2"/>
        <v>2.8550724637681157</v>
      </c>
      <c r="L19" s="50">
        <f t="shared" si="0"/>
        <v>3</v>
      </c>
      <c r="M19" s="44">
        <f t="shared" si="3"/>
        <v>7700</v>
      </c>
      <c r="N19" s="44">
        <f t="shared" si="6"/>
        <v>470</v>
      </c>
      <c r="O19" s="164">
        <v>69</v>
      </c>
      <c r="P19" s="44">
        <f t="shared" si="4"/>
        <v>1.8550724637681157</v>
      </c>
      <c r="Q19" s="44">
        <f t="shared" si="5"/>
        <v>4</v>
      </c>
      <c r="R19" s="165" t="s">
        <v>342</v>
      </c>
      <c r="S19" s="50">
        <v>2</v>
      </c>
      <c r="T19" s="166" t="s">
        <v>340</v>
      </c>
      <c r="U19" s="53" t="s">
        <v>221</v>
      </c>
      <c r="V19" s="84">
        <v>45017</v>
      </c>
      <c r="W19" s="238"/>
      <c r="X19" s="239"/>
      <c r="Y19" s="238"/>
      <c r="Z19" s="239"/>
      <c r="AA19" s="240">
        <v>0</v>
      </c>
      <c r="AB19" s="107">
        <f t="shared" si="7"/>
        <v>0</v>
      </c>
      <c r="AC19" s="240">
        <v>0</v>
      </c>
      <c r="AD19" s="107">
        <f t="shared" si="1"/>
        <v>0</v>
      </c>
    </row>
    <row r="20" spans="2:30" x14ac:dyDescent="0.25">
      <c r="B20" s="311"/>
      <c r="C20" s="171">
        <v>39.6</v>
      </c>
      <c r="D20" s="44" t="s">
        <v>160</v>
      </c>
      <c r="E20" s="44" t="s">
        <v>52</v>
      </c>
      <c r="F20" s="154" t="s">
        <v>213</v>
      </c>
      <c r="G20" s="49"/>
      <c r="H20" s="44">
        <v>9200</v>
      </c>
      <c r="I20" s="44">
        <v>370</v>
      </c>
      <c r="J20" s="44">
        <v>197</v>
      </c>
      <c r="K20" s="44">
        <f t="shared" si="2"/>
        <v>2.8550724637681157</v>
      </c>
      <c r="L20" s="50">
        <f t="shared" si="0"/>
        <v>3</v>
      </c>
      <c r="M20" s="44">
        <f t="shared" si="3"/>
        <v>9500</v>
      </c>
      <c r="N20" s="44">
        <f t="shared" si="6"/>
        <v>470</v>
      </c>
      <c r="O20" s="164">
        <v>69</v>
      </c>
      <c r="P20" s="44">
        <f t="shared" si="4"/>
        <v>1.8550724637681157</v>
      </c>
      <c r="Q20" s="44">
        <f t="shared" si="5"/>
        <v>4</v>
      </c>
      <c r="R20" s="165" t="s">
        <v>342</v>
      </c>
      <c r="S20" s="50">
        <v>2</v>
      </c>
      <c r="T20" s="166" t="s">
        <v>340</v>
      </c>
      <c r="U20" s="53" t="s">
        <v>221</v>
      </c>
      <c r="V20" s="84">
        <v>45017</v>
      </c>
      <c r="W20" s="238"/>
      <c r="X20" s="239"/>
      <c r="Y20" s="238"/>
      <c r="Z20" s="239"/>
      <c r="AA20" s="240">
        <v>0</v>
      </c>
      <c r="AB20" s="107">
        <f t="shared" si="7"/>
        <v>0</v>
      </c>
      <c r="AC20" s="240">
        <v>0</v>
      </c>
      <c r="AD20" s="107">
        <f t="shared" si="1"/>
        <v>0</v>
      </c>
    </row>
    <row r="21" spans="2:30" x14ac:dyDescent="0.25">
      <c r="B21" s="311"/>
      <c r="C21" s="171">
        <v>39.700000000000003</v>
      </c>
      <c r="D21" s="44" t="s">
        <v>160</v>
      </c>
      <c r="E21" s="44" t="s">
        <v>26</v>
      </c>
      <c r="F21" s="154" t="s">
        <v>213</v>
      </c>
      <c r="G21" s="49"/>
      <c r="H21" s="44">
        <v>7400</v>
      </c>
      <c r="I21" s="44">
        <v>370</v>
      </c>
      <c r="J21" s="44">
        <v>197</v>
      </c>
      <c r="K21" s="44">
        <f t="shared" si="2"/>
        <v>2.8550724637681157</v>
      </c>
      <c r="L21" s="50">
        <f t="shared" si="0"/>
        <v>3</v>
      </c>
      <c r="M21" s="44">
        <f t="shared" si="3"/>
        <v>7700</v>
      </c>
      <c r="N21" s="44">
        <f t="shared" si="6"/>
        <v>470</v>
      </c>
      <c r="O21" s="164">
        <v>69</v>
      </c>
      <c r="P21" s="44">
        <f t="shared" si="4"/>
        <v>1.8550724637681157</v>
      </c>
      <c r="Q21" s="44">
        <f t="shared" si="5"/>
        <v>4</v>
      </c>
      <c r="R21" s="165" t="s">
        <v>342</v>
      </c>
      <c r="S21" s="50">
        <v>2</v>
      </c>
      <c r="T21" s="166" t="s">
        <v>340</v>
      </c>
      <c r="U21" s="53" t="s">
        <v>221</v>
      </c>
      <c r="V21" s="84">
        <v>45017</v>
      </c>
      <c r="W21" s="238"/>
      <c r="X21" s="239"/>
      <c r="Y21" s="238"/>
      <c r="Z21" s="239"/>
      <c r="AA21" s="240">
        <v>0</v>
      </c>
      <c r="AB21" s="107">
        <f t="shared" si="7"/>
        <v>0</v>
      </c>
      <c r="AC21" s="240">
        <v>0</v>
      </c>
      <c r="AD21" s="107">
        <f t="shared" si="1"/>
        <v>0</v>
      </c>
    </row>
    <row r="22" spans="2:30" ht="15.75" customHeight="1" x14ac:dyDescent="0.25">
      <c r="B22" s="311"/>
      <c r="C22" s="171">
        <v>39.799999999999997</v>
      </c>
      <c r="D22" s="44" t="s">
        <v>160</v>
      </c>
      <c r="E22" s="44" t="s">
        <v>171</v>
      </c>
      <c r="F22" s="154" t="s">
        <v>213</v>
      </c>
      <c r="G22" s="49"/>
      <c r="H22" s="44">
        <v>7400</v>
      </c>
      <c r="I22" s="44">
        <v>370</v>
      </c>
      <c r="J22" s="44">
        <v>197</v>
      </c>
      <c r="K22" s="44">
        <f t="shared" si="2"/>
        <v>4.4772727272727275</v>
      </c>
      <c r="L22" s="50">
        <f t="shared" si="0"/>
        <v>5</v>
      </c>
      <c r="M22" s="44">
        <f>(H22+350)</f>
        <v>7750</v>
      </c>
      <c r="N22" s="44">
        <f t="shared" si="6"/>
        <v>470</v>
      </c>
      <c r="O22" s="44">
        <v>44</v>
      </c>
      <c r="P22" s="44">
        <f t="shared" si="4"/>
        <v>3.4772727272727275</v>
      </c>
      <c r="Q22" s="44">
        <f t="shared" si="5"/>
        <v>8</v>
      </c>
      <c r="R22" s="165" t="s">
        <v>342</v>
      </c>
      <c r="S22" s="50">
        <v>2</v>
      </c>
      <c r="T22" s="166" t="s">
        <v>340</v>
      </c>
      <c r="U22" s="53" t="s">
        <v>221</v>
      </c>
      <c r="V22" s="84">
        <v>45017</v>
      </c>
      <c r="W22" s="238"/>
      <c r="X22" s="239"/>
      <c r="Y22" s="238"/>
      <c r="Z22" s="239"/>
      <c r="AA22" s="240">
        <v>0</v>
      </c>
      <c r="AB22" s="107">
        <f t="shared" si="7"/>
        <v>0</v>
      </c>
      <c r="AC22" s="240">
        <v>0</v>
      </c>
      <c r="AD22" s="107">
        <f t="shared" si="1"/>
        <v>0</v>
      </c>
    </row>
    <row r="23" spans="2:30" x14ac:dyDescent="0.25">
      <c r="B23" s="311"/>
      <c r="C23" s="56">
        <v>40.400000000000006</v>
      </c>
      <c r="D23" s="45" t="s">
        <v>160</v>
      </c>
      <c r="E23" s="45" t="s">
        <v>52</v>
      </c>
      <c r="F23" s="154" t="s">
        <v>213</v>
      </c>
      <c r="G23" s="49"/>
      <c r="H23" s="46">
        <v>7400</v>
      </c>
      <c r="I23" s="46">
        <v>370</v>
      </c>
      <c r="J23" s="46">
        <v>203</v>
      </c>
      <c r="K23" s="44">
        <f t="shared" si="2"/>
        <v>2.9420289855072466</v>
      </c>
      <c r="L23" s="50">
        <f t="shared" si="0"/>
        <v>3</v>
      </c>
      <c r="M23" s="44">
        <f>(H23+300)</f>
        <v>7700</v>
      </c>
      <c r="N23" s="44">
        <f t="shared" si="6"/>
        <v>470</v>
      </c>
      <c r="O23" s="164">
        <v>69</v>
      </c>
      <c r="P23" s="44">
        <f t="shared" si="4"/>
        <v>1.9420289855072466</v>
      </c>
      <c r="Q23" s="44">
        <f t="shared" si="5"/>
        <v>4</v>
      </c>
      <c r="R23" s="165" t="s">
        <v>342</v>
      </c>
      <c r="S23" s="50">
        <v>2</v>
      </c>
      <c r="T23" s="166" t="s">
        <v>340</v>
      </c>
      <c r="U23" s="53" t="s">
        <v>221</v>
      </c>
      <c r="V23" s="84">
        <v>45017</v>
      </c>
      <c r="W23" s="238"/>
      <c r="X23" s="239"/>
      <c r="Y23" s="238"/>
      <c r="Z23" s="239"/>
      <c r="AA23" s="240">
        <v>0</v>
      </c>
      <c r="AB23" s="107">
        <f t="shared" si="7"/>
        <v>0</v>
      </c>
      <c r="AC23" s="240">
        <v>0</v>
      </c>
      <c r="AD23" s="107">
        <f t="shared" si="1"/>
        <v>0</v>
      </c>
    </row>
    <row r="24" spans="2:30" x14ac:dyDescent="0.25">
      <c r="B24" s="311"/>
      <c r="C24" s="56">
        <v>40.500000000000007</v>
      </c>
      <c r="D24" s="45" t="s">
        <v>160</v>
      </c>
      <c r="E24" s="45" t="s">
        <v>52</v>
      </c>
      <c r="F24" s="154" t="s">
        <v>213</v>
      </c>
      <c r="G24" s="49"/>
      <c r="H24" s="46">
        <v>7400</v>
      </c>
      <c r="I24" s="46">
        <v>370</v>
      </c>
      <c r="J24" s="46">
        <v>203</v>
      </c>
      <c r="K24" s="44">
        <f t="shared" si="2"/>
        <v>2.9420289855072466</v>
      </c>
      <c r="L24" s="50">
        <f t="shared" si="0"/>
        <v>3</v>
      </c>
      <c r="M24" s="44">
        <f>(H24+300)</f>
        <v>7700</v>
      </c>
      <c r="N24" s="44">
        <f t="shared" si="6"/>
        <v>470</v>
      </c>
      <c r="O24" s="164">
        <v>69</v>
      </c>
      <c r="P24" s="44">
        <f t="shared" si="4"/>
        <v>1.9420289855072466</v>
      </c>
      <c r="Q24" s="44">
        <f t="shared" si="5"/>
        <v>4</v>
      </c>
      <c r="R24" s="165" t="s">
        <v>342</v>
      </c>
      <c r="S24" s="50">
        <v>2</v>
      </c>
      <c r="T24" s="166" t="s">
        <v>340</v>
      </c>
      <c r="U24" s="53" t="s">
        <v>221</v>
      </c>
      <c r="V24" s="84">
        <v>45017</v>
      </c>
      <c r="W24" s="238"/>
      <c r="X24" s="239"/>
      <c r="Y24" s="238"/>
      <c r="Z24" s="239"/>
      <c r="AA24" s="240">
        <v>0</v>
      </c>
      <c r="AB24" s="107">
        <f t="shared" si="7"/>
        <v>0</v>
      </c>
      <c r="AC24" s="240">
        <v>0</v>
      </c>
      <c r="AD24" s="107">
        <f t="shared" si="1"/>
        <v>0</v>
      </c>
    </row>
    <row r="25" spans="2:30" x14ac:dyDescent="0.25">
      <c r="B25" s="311"/>
      <c r="C25" s="56">
        <v>40.600000000000009</v>
      </c>
      <c r="D25" s="45" t="s">
        <v>160</v>
      </c>
      <c r="E25" s="45" t="s">
        <v>52</v>
      </c>
      <c r="F25" s="154" t="s">
        <v>213</v>
      </c>
      <c r="G25" s="49"/>
      <c r="H25" s="46">
        <v>9200</v>
      </c>
      <c r="I25" s="46">
        <v>370</v>
      </c>
      <c r="J25" s="46">
        <v>203</v>
      </c>
      <c r="K25" s="44">
        <f t="shared" si="2"/>
        <v>2.9420289855072466</v>
      </c>
      <c r="L25" s="50">
        <f t="shared" si="0"/>
        <v>3</v>
      </c>
      <c r="M25" s="44">
        <f>(H25+300)</f>
        <v>9500</v>
      </c>
      <c r="N25" s="44">
        <f t="shared" si="6"/>
        <v>470</v>
      </c>
      <c r="O25" s="164">
        <v>69</v>
      </c>
      <c r="P25" s="44">
        <f t="shared" si="4"/>
        <v>1.9420289855072466</v>
      </c>
      <c r="Q25" s="44">
        <f t="shared" si="5"/>
        <v>4</v>
      </c>
      <c r="R25" s="165" t="s">
        <v>342</v>
      </c>
      <c r="S25" s="50">
        <v>2</v>
      </c>
      <c r="T25" s="166" t="s">
        <v>340</v>
      </c>
      <c r="U25" s="53" t="s">
        <v>221</v>
      </c>
      <c r="V25" s="84">
        <v>45017</v>
      </c>
      <c r="W25" s="238"/>
      <c r="X25" s="239"/>
      <c r="Y25" s="238"/>
      <c r="Z25" s="239"/>
      <c r="AA25" s="240">
        <v>0</v>
      </c>
      <c r="AB25" s="107">
        <f t="shared" si="7"/>
        <v>0</v>
      </c>
      <c r="AC25" s="240">
        <v>0</v>
      </c>
      <c r="AD25" s="107">
        <f t="shared" si="1"/>
        <v>0</v>
      </c>
    </row>
    <row r="26" spans="2:30" x14ac:dyDescent="0.25">
      <c r="B26" s="311"/>
      <c r="C26" s="56">
        <v>40.70000000000001</v>
      </c>
      <c r="D26" s="45" t="s">
        <v>160</v>
      </c>
      <c r="E26" s="45" t="s">
        <v>26</v>
      </c>
      <c r="F26" s="154" t="s">
        <v>213</v>
      </c>
      <c r="G26" s="49"/>
      <c r="H26" s="46">
        <v>7400</v>
      </c>
      <c r="I26" s="46">
        <v>370</v>
      </c>
      <c r="J26" s="46">
        <v>203</v>
      </c>
      <c r="K26" s="44">
        <f t="shared" si="2"/>
        <v>2.9420289855072466</v>
      </c>
      <c r="L26" s="50">
        <f t="shared" si="0"/>
        <v>3</v>
      </c>
      <c r="M26" s="44">
        <f>(H26+300)</f>
        <v>7700</v>
      </c>
      <c r="N26" s="44">
        <f t="shared" si="6"/>
        <v>470</v>
      </c>
      <c r="O26" s="164">
        <v>69</v>
      </c>
      <c r="P26" s="44">
        <f t="shared" si="4"/>
        <v>1.9420289855072466</v>
      </c>
      <c r="Q26" s="44">
        <f t="shared" si="5"/>
        <v>4</v>
      </c>
      <c r="R26" s="165" t="s">
        <v>342</v>
      </c>
      <c r="S26" s="50">
        <v>2</v>
      </c>
      <c r="T26" s="166" t="s">
        <v>340</v>
      </c>
      <c r="U26" s="53" t="s">
        <v>221</v>
      </c>
      <c r="V26" s="84">
        <v>45017</v>
      </c>
      <c r="W26" s="238"/>
      <c r="X26" s="239"/>
      <c r="Y26" s="238"/>
      <c r="Z26" s="239"/>
      <c r="AA26" s="240">
        <v>0</v>
      </c>
      <c r="AB26" s="107">
        <f t="shared" si="7"/>
        <v>0</v>
      </c>
      <c r="AC26" s="240">
        <v>0</v>
      </c>
      <c r="AD26" s="107">
        <f t="shared" si="1"/>
        <v>0</v>
      </c>
    </row>
    <row r="27" spans="2:30" ht="15" customHeight="1" x14ac:dyDescent="0.25">
      <c r="B27" s="311"/>
      <c r="C27" s="56">
        <v>40.800000000000011</v>
      </c>
      <c r="D27" s="45" t="s">
        <v>160</v>
      </c>
      <c r="E27" s="45" t="s">
        <v>171</v>
      </c>
      <c r="F27" s="155" t="s">
        <v>213</v>
      </c>
      <c r="G27" s="49"/>
      <c r="H27" s="46">
        <v>7400</v>
      </c>
      <c r="I27" s="46">
        <v>370</v>
      </c>
      <c r="J27" s="46">
        <v>203</v>
      </c>
      <c r="K27" s="44">
        <f t="shared" si="2"/>
        <v>4.6136363636363633</v>
      </c>
      <c r="L27" s="50">
        <f t="shared" si="0"/>
        <v>5</v>
      </c>
      <c r="M27" s="44">
        <f>(H27+350)</f>
        <v>7750</v>
      </c>
      <c r="N27" s="44">
        <f t="shared" si="6"/>
        <v>470</v>
      </c>
      <c r="O27" s="164">
        <v>44</v>
      </c>
      <c r="P27" s="44">
        <f t="shared" si="4"/>
        <v>3.6136363636363633</v>
      </c>
      <c r="Q27" s="44">
        <f t="shared" si="5"/>
        <v>8</v>
      </c>
      <c r="R27" s="165" t="s">
        <v>342</v>
      </c>
      <c r="S27" s="50">
        <v>2</v>
      </c>
      <c r="T27" s="166" t="s">
        <v>340</v>
      </c>
      <c r="U27" s="53" t="s">
        <v>221</v>
      </c>
      <c r="V27" s="84">
        <v>45017</v>
      </c>
      <c r="W27" s="238"/>
      <c r="X27" s="239"/>
      <c r="Y27" s="238"/>
      <c r="Z27" s="239"/>
      <c r="AA27" s="240">
        <v>0</v>
      </c>
      <c r="AB27" s="107">
        <f t="shared" si="7"/>
        <v>0</v>
      </c>
      <c r="AC27" s="240">
        <v>0</v>
      </c>
      <c r="AD27" s="107">
        <f t="shared" si="1"/>
        <v>0</v>
      </c>
    </row>
    <row r="28" spans="2:30" s="66" customFormat="1" ht="15.75" thickBot="1" x14ac:dyDescent="0.3">
      <c r="B28" s="313"/>
      <c r="C28" s="177" t="s">
        <v>256</v>
      </c>
      <c r="D28" s="178"/>
      <c r="E28" s="178"/>
      <c r="F28" s="178"/>
      <c r="G28" s="178"/>
      <c r="H28" s="178"/>
      <c r="I28" s="178"/>
      <c r="J28" s="178"/>
      <c r="K28" s="178"/>
      <c r="L28" s="178"/>
      <c r="M28" s="178"/>
      <c r="N28" s="178"/>
      <c r="O28" s="178"/>
      <c r="P28" s="179">
        <f>SUM(P9:P27)</f>
        <v>37.656126482213438</v>
      </c>
      <c r="Q28" s="179">
        <f>SUM(Q9:Q27)</f>
        <v>84</v>
      </c>
      <c r="R28" s="179"/>
      <c r="S28" s="179">
        <f>SUM(S9:S27)</f>
        <v>38</v>
      </c>
      <c r="T28" s="180"/>
      <c r="U28" s="180"/>
      <c r="V28" s="181"/>
      <c r="W28" s="181"/>
      <c r="X28" s="182"/>
      <c r="Y28" s="181"/>
      <c r="Z28" s="182"/>
      <c r="AA28" s="181"/>
      <c r="AB28" s="183">
        <f>SUM(AB9:AB27)</f>
        <v>0</v>
      </c>
      <c r="AC28" s="181"/>
      <c r="AD28" s="184">
        <f>SUM(AD9:AD27)</f>
        <v>0</v>
      </c>
    </row>
    <row r="29" spans="2:30" ht="15" customHeight="1" x14ac:dyDescent="0.25">
      <c r="B29" s="310" t="s">
        <v>345</v>
      </c>
      <c r="C29" s="171">
        <v>41.3</v>
      </c>
      <c r="D29" s="44" t="s">
        <v>160</v>
      </c>
      <c r="E29" s="44" t="s">
        <v>26</v>
      </c>
      <c r="F29" s="154" t="s">
        <v>213</v>
      </c>
      <c r="G29" s="44">
        <v>7.4</v>
      </c>
      <c r="H29" s="44">
        <f t="shared" ref="H29:H47" si="8">CONVERT(G29,"m","mm")</f>
        <v>7400</v>
      </c>
      <c r="I29" s="44">
        <v>474</v>
      </c>
      <c r="J29" s="44">
        <v>254</v>
      </c>
      <c r="K29" s="44">
        <f t="shared" si="2"/>
        <v>3.681159420289855</v>
      </c>
      <c r="L29" s="50">
        <f t="shared" ref="L29:L73" si="9">ROUNDUP(K29,0)</f>
        <v>4</v>
      </c>
      <c r="M29" s="44">
        <f t="shared" ref="M29:M41" si="10">(H29+300)</f>
        <v>7700</v>
      </c>
      <c r="N29" s="44">
        <f t="shared" si="6"/>
        <v>574</v>
      </c>
      <c r="O29" s="44">
        <v>69</v>
      </c>
      <c r="P29" s="44">
        <f t="shared" si="4"/>
        <v>2.681159420289855</v>
      </c>
      <c r="Q29" s="44">
        <f>(L29-1)*2</f>
        <v>6</v>
      </c>
      <c r="R29" s="165" t="s">
        <v>342</v>
      </c>
      <c r="S29" s="50">
        <v>2</v>
      </c>
      <c r="T29" s="166" t="s">
        <v>340</v>
      </c>
      <c r="U29" s="53" t="s">
        <v>221</v>
      </c>
      <c r="V29" s="84">
        <v>45139</v>
      </c>
      <c r="W29" s="238"/>
      <c r="X29" s="239"/>
      <c r="Y29" s="238"/>
      <c r="Z29" s="239"/>
      <c r="AA29" s="240">
        <v>0</v>
      </c>
      <c r="AB29" s="107">
        <f t="shared" ref="AB29:AB47" si="11">(AA29*Q29)</f>
        <v>0</v>
      </c>
      <c r="AC29" s="240">
        <v>0</v>
      </c>
      <c r="AD29" s="107">
        <f t="shared" ref="AD29:AD47" si="12">(AC29*S29)</f>
        <v>0</v>
      </c>
    </row>
    <row r="30" spans="2:30" x14ac:dyDescent="0.25">
      <c r="B30" s="311"/>
      <c r="C30" s="171">
        <v>41.4</v>
      </c>
      <c r="D30" s="44" t="s">
        <v>160</v>
      </c>
      <c r="E30" s="44" t="s">
        <v>52</v>
      </c>
      <c r="F30" s="154" t="s">
        <v>213</v>
      </c>
      <c r="G30" s="44">
        <v>7.4</v>
      </c>
      <c r="H30" s="44">
        <f t="shared" si="8"/>
        <v>7400</v>
      </c>
      <c r="I30" s="44">
        <v>474</v>
      </c>
      <c r="J30" s="44">
        <v>254</v>
      </c>
      <c r="K30" s="44">
        <f t="shared" si="2"/>
        <v>3.681159420289855</v>
      </c>
      <c r="L30" s="50">
        <f t="shared" si="9"/>
        <v>4</v>
      </c>
      <c r="M30" s="44">
        <f t="shared" si="10"/>
        <v>7700</v>
      </c>
      <c r="N30" s="44">
        <f t="shared" si="6"/>
        <v>574</v>
      </c>
      <c r="O30" s="159">
        <v>69</v>
      </c>
      <c r="P30" s="44">
        <f t="shared" si="4"/>
        <v>2.681159420289855</v>
      </c>
      <c r="Q30" s="44">
        <f t="shared" ref="Q30:Q47" si="13">(L30-1)*2</f>
        <v>6</v>
      </c>
      <c r="R30" s="165" t="s">
        <v>342</v>
      </c>
      <c r="S30" s="50">
        <v>2</v>
      </c>
      <c r="T30" s="166" t="s">
        <v>340</v>
      </c>
      <c r="U30" s="53" t="s">
        <v>221</v>
      </c>
      <c r="V30" s="84">
        <v>45139</v>
      </c>
      <c r="W30" s="238"/>
      <c r="X30" s="239"/>
      <c r="Y30" s="238"/>
      <c r="Z30" s="239"/>
      <c r="AA30" s="240">
        <v>0</v>
      </c>
      <c r="AB30" s="107">
        <f t="shared" si="11"/>
        <v>0</v>
      </c>
      <c r="AC30" s="240">
        <v>0</v>
      </c>
      <c r="AD30" s="107">
        <f t="shared" si="12"/>
        <v>0</v>
      </c>
    </row>
    <row r="31" spans="2:30" x14ac:dyDescent="0.25">
      <c r="B31" s="311"/>
      <c r="C31" s="171">
        <v>41.5</v>
      </c>
      <c r="D31" s="44" t="s">
        <v>160</v>
      </c>
      <c r="E31" s="44" t="s">
        <v>52</v>
      </c>
      <c r="F31" s="154" t="s">
        <v>213</v>
      </c>
      <c r="G31" s="44">
        <v>9.1999999999999993</v>
      </c>
      <c r="H31" s="44">
        <f t="shared" si="8"/>
        <v>9200</v>
      </c>
      <c r="I31" s="44">
        <v>474</v>
      </c>
      <c r="J31" s="44">
        <v>254</v>
      </c>
      <c r="K31" s="44">
        <f t="shared" si="2"/>
        <v>3.681159420289855</v>
      </c>
      <c r="L31" s="50">
        <f t="shared" si="9"/>
        <v>4</v>
      </c>
      <c r="M31" s="44">
        <f t="shared" si="10"/>
        <v>9500</v>
      </c>
      <c r="N31" s="44">
        <f t="shared" si="6"/>
        <v>574</v>
      </c>
      <c r="O31" s="159">
        <v>69</v>
      </c>
      <c r="P31" s="44">
        <f t="shared" si="4"/>
        <v>2.681159420289855</v>
      </c>
      <c r="Q31" s="44">
        <f t="shared" si="13"/>
        <v>6</v>
      </c>
      <c r="R31" s="165" t="s">
        <v>342</v>
      </c>
      <c r="S31" s="50">
        <v>2</v>
      </c>
      <c r="T31" s="166" t="s">
        <v>340</v>
      </c>
      <c r="U31" s="53" t="s">
        <v>221</v>
      </c>
      <c r="V31" s="84">
        <v>45139</v>
      </c>
      <c r="W31" s="238"/>
      <c r="X31" s="239"/>
      <c r="Y31" s="238"/>
      <c r="Z31" s="239"/>
      <c r="AA31" s="240">
        <v>0</v>
      </c>
      <c r="AB31" s="107">
        <f t="shared" si="11"/>
        <v>0</v>
      </c>
      <c r="AC31" s="240">
        <v>0</v>
      </c>
      <c r="AD31" s="107">
        <f t="shared" si="12"/>
        <v>0</v>
      </c>
    </row>
    <row r="32" spans="2:30" x14ac:dyDescent="0.25">
      <c r="B32" s="311"/>
      <c r="C32" s="171">
        <v>41.6</v>
      </c>
      <c r="D32" s="44" t="s">
        <v>160</v>
      </c>
      <c r="E32" s="44" t="s">
        <v>52</v>
      </c>
      <c r="F32" s="154" t="s">
        <v>213</v>
      </c>
      <c r="G32" s="44">
        <v>7.4</v>
      </c>
      <c r="H32" s="44">
        <f t="shared" si="8"/>
        <v>7400</v>
      </c>
      <c r="I32" s="44">
        <v>474</v>
      </c>
      <c r="J32" s="44">
        <v>254</v>
      </c>
      <c r="K32" s="44">
        <f t="shared" si="2"/>
        <v>3.681159420289855</v>
      </c>
      <c r="L32" s="50">
        <f t="shared" si="9"/>
        <v>4</v>
      </c>
      <c r="M32" s="44">
        <f t="shared" si="10"/>
        <v>7700</v>
      </c>
      <c r="N32" s="44">
        <f t="shared" si="6"/>
        <v>574</v>
      </c>
      <c r="O32" s="159">
        <v>69</v>
      </c>
      <c r="P32" s="44">
        <f t="shared" si="4"/>
        <v>2.681159420289855</v>
      </c>
      <c r="Q32" s="44">
        <f t="shared" si="13"/>
        <v>6</v>
      </c>
      <c r="R32" s="165" t="s">
        <v>342</v>
      </c>
      <c r="S32" s="50">
        <v>2</v>
      </c>
      <c r="T32" s="166" t="s">
        <v>340</v>
      </c>
      <c r="U32" s="53" t="s">
        <v>221</v>
      </c>
      <c r="V32" s="84">
        <v>45139</v>
      </c>
      <c r="W32" s="238"/>
      <c r="X32" s="239"/>
      <c r="Y32" s="238"/>
      <c r="Z32" s="239"/>
      <c r="AA32" s="240">
        <v>0</v>
      </c>
      <c r="AB32" s="107">
        <f t="shared" si="11"/>
        <v>0</v>
      </c>
      <c r="AC32" s="240">
        <v>0</v>
      </c>
      <c r="AD32" s="107">
        <f t="shared" si="12"/>
        <v>0</v>
      </c>
    </row>
    <row r="33" spans="2:30" x14ac:dyDescent="0.25">
      <c r="B33" s="311"/>
      <c r="C33" s="171">
        <v>41.7</v>
      </c>
      <c r="D33" s="44" t="s">
        <v>160</v>
      </c>
      <c r="E33" s="44" t="s">
        <v>26</v>
      </c>
      <c r="F33" s="154" t="s">
        <v>213</v>
      </c>
      <c r="G33" s="44">
        <v>7.4</v>
      </c>
      <c r="H33" s="44">
        <f t="shared" si="8"/>
        <v>7400</v>
      </c>
      <c r="I33" s="44">
        <v>474</v>
      </c>
      <c r="J33" s="44">
        <v>254</v>
      </c>
      <c r="K33" s="44">
        <f t="shared" si="2"/>
        <v>3.681159420289855</v>
      </c>
      <c r="L33" s="50">
        <f t="shared" si="9"/>
        <v>4</v>
      </c>
      <c r="M33" s="44">
        <f t="shared" si="10"/>
        <v>7700</v>
      </c>
      <c r="N33" s="44">
        <f t="shared" si="6"/>
        <v>574</v>
      </c>
      <c r="O33" s="159">
        <v>69</v>
      </c>
      <c r="P33" s="44">
        <f t="shared" si="4"/>
        <v>2.681159420289855</v>
      </c>
      <c r="Q33" s="44">
        <f t="shared" si="13"/>
        <v>6</v>
      </c>
      <c r="R33" s="165" t="s">
        <v>342</v>
      </c>
      <c r="S33" s="50">
        <v>2</v>
      </c>
      <c r="T33" s="166" t="s">
        <v>340</v>
      </c>
      <c r="U33" s="53" t="s">
        <v>221</v>
      </c>
      <c r="V33" s="84">
        <v>45139</v>
      </c>
      <c r="W33" s="238"/>
      <c r="X33" s="239"/>
      <c r="Y33" s="238"/>
      <c r="Z33" s="239"/>
      <c r="AA33" s="240">
        <v>0</v>
      </c>
      <c r="AB33" s="107">
        <f t="shared" si="11"/>
        <v>0</v>
      </c>
      <c r="AC33" s="240">
        <v>0</v>
      </c>
      <c r="AD33" s="107">
        <f t="shared" si="12"/>
        <v>0</v>
      </c>
    </row>
    <row r="34" spans="2:30" x14ac:dyDescent="0.25">
      <c r="B34" s="311"/>
      <c r="C34" s="171">
        <v>42.4</v>
      </c>
      <c r="D34" s="44" t="s">
        <v>160</v>
      </c>
      <c r="E34" s="44" t="s">
        <v>52</v>
      </c>
      <c r="F34" s="154" t="s">
        <v>213</v>
      </c>
      <c r="G34" s="44">
        <v>7.4</v>
      </c>
      <c r="H34" s="44">
        <f t="shared" si="8"/>
        <v>7400</v>
      </c>
      <c r="I34" s="44">
        <v>474</v>
      </c>
      <c r="J34" s="44">
        <v>254</v>
      </c>
      <c r="K34" s="44">
        <f t="shared" si="2"/>
        <v>3.681159420289855</v>
      </c>
      <c r="L34" s="50">
        <f t="shared" si="9"/>
        <v>4</v>
      </c>
      <c r="M34" s="44">
        <f t="shared" si="10"/>
        <v>7700</v>
      </c>
      <c r="N34" s="44">
        <f t="shared" si="6"/>
        <v>574</v>
      </c>
      <c r="O34" s="159">
        <v>69</v>
      </c>
      <c r="P34" s="44">
        <f t="shared" si="4"/>
        <v>2.681159420289855</v>
      </c>
      <c r="Q34" s="44">
        <f t="shared" si="13"/>
        <v>6</v>
      </c>
      <c r="R34" s="165" t="s">
        <v>342</v>
      </c>
      <c r="S34" s="50">
        <v>2</v>
      </c>
      <c r="T34" s="166" t="s">
        <v>340</v>
      </c>
      <c r="U34" s="53" t="s">
        <v>221</v>
      </c>
      <c r="V34" s="84">
        <v>45139</v>
      </c>
      <c r="W34" s="238"/>
      <c r="X34" s="239"/>
      <c r="Y34" s="238"/>
      <c r="Z34" s="239"/>
      <c r="AA34" s="240">
        <v>0</v>
      </c>
      <c r="AB34" s="107">
        <f t="shared" si="11"/>
        <v>0</v>
      </c>
      <c r="AC34" s="240">
        <v>0</v>
      </c>
      <c r="AD34" s="107">
        <f t="shared" si="12"/>
        <v>0</v>
      </c>
    </row>
    <row r="35" spans="2:30" x14ac:dyDescent="0.25">
      <c r="B35" s="311"/>
      <c r="C35" s="171">
        <v>42.5</v>
      </c>
      <c r="D35" s="44" t="s">
        <v>160</v>
      </c>
      <c r="E35" s="44" t="s">
        <v>52</v>
      </c>
      <c r="F35" s="154" t="s">
        <v>213</v>
      </c>
      <c r="G35" s="44">
        <v>9.1999999999999993</v>
      </c>
      <c r="H35" s="44">
        <f t="shared" si="8"/>
        <v>9200</v>
      </c>
      <c r="I35" s="44">
        <v>474</v>
      </c>
      <c r="J35" s="44">
        <v>254</v>
      </c>
      <c r="K35" s="44">
        <f t="shared" si="2"/>
        <v>3.681159420289855</v>
      </c>
      <c r="L35" s="50">
        <f t="shared" si="9"/>
        <v>4</v>
      </c>
      <c r="M35" s="44">
        <f t="shared" si="10"/>
        <v>9500</v>
      </c>
      <c r="N35" s="44">
        <f t="shared" si="6"/>
        <v>574</v>
      </c>
      <c r="O35" s="159">
        <v>69</v>
      </c>
      <c r="P35" s="44">
        <f t="shared" si="4"/>
        <v>2.681159420289855</v>
      </c>
      <c r="Q35" s="44">
        <f t="shared" si="13"/>
        <v>6</v>
      </c>
      <c r="R35" s="165" t="s">
        <v>342</v>
      </c>
      <c r="S35" s="50">
        <v>2</v>
      </c>
      <c r="T35" s="166" t="s">
        <v>340</v>
      </c>
      <c r="U35" s="53" t="s">
        <v>221</v>
      </c>
      <c r="V35" s="84">
        <v>45139</v>
      </c>
      <c r="W35" s="238"/>
      <c r="X35" s="239"/>
      <c r="Y35" s="238"/>
      <c r="Z35" s="239"/>
      <c r="AA35" s="240">
        <v>0</v>
      </c>
      <c r="AB35" s="107">
        <f t="shared" si="11"/>
        <v>0</v>
      </c>
      <c r="AC35" s="240">
        <v>0</v>
      </c>
      <c r="AD35" s="107">
        <f t="shared" si="12"/>
        <v>0</v>
      </c>
    </row>
    <row r="36" spans="2:30" x14ac:dyDescent="0.25">
      <c r="B36" s="311"/>
      <c r="C36" s="171">
        <v>42.6</v>
      </c>
      <c r="D36" s="44" t="s">
        <v>160</v>
      </c>
      <c r="E36" s="44" t="s">
        <v>52</v>
      </c>
      <c r="F36" s="154" t="s">
        <v>213</v>
      </c>
      <c r="G36" s="44">
        <v>7.4</v>
      </c>
      <c r="H36" s="44">
        <f t="shared" si="8"/>
        <v>7400</v>
      </c>
      <c r="I36" s="44">
        <v>474</v>
      </c>
      <c r="J36" s="44">
        <v>254</v>
      </c>
      <c r="K36" s="44">
        <f t="shared" si="2"/>
        <v>3.681159420289855</v>
      </c>
      <c r="L36" s="50">
        <f t="shared" si="9"/>
        <v>4</v>
      </c>
      <c r="M36" s="44">
        <f t="shared" si="10"/>
        <v>7700</v>
      </c>
      <c r="N36" s="44">
        <f t="shared" si="6"/>
        <v>574</v>
      </c>
      <c r="O36" s="159">
        <v>69</v>
      </c>
      <c r="P36" s="44">
        <f t="shared" si="4"/>
        <v>2.681159420289855</v>
      </c>
      <c r="Q36" s="44">
        <f t="shared" si="13"/>
        <v>6</v>
      </c>
      <c r="R36" s="165" t="s">
        <v>342</v>
      </c>
      <c r="S36" s="50">
        <v>2</v>
      </c>
      <c r="T36" s="166" t="s">
        <v>340</v>
      </c>
      <c r="U36" s="53" t="s">
        <v>221</v>
      </c>
      <c r="V36" s="84">
        <v>45139</v>
      </c>
      <c r="W36" s="238"/>
      <c r="X36" s="239"/>
      <c r="Y36" s="238"/>
      <c r="Z36" s="239"/>
      <c r="AA36" s="240">
        <v>0</v>
      </c>
      <c r="AB36" s="107">
        <f t="shared" si="11"/>
        <v>0</v>
      </c>
      <c r="AC36" s="240">
        <v>0</v>
      </c>
      <c r="AD36" s="107">
        <f t="shared" si="12"/>
        <v>0</v>
      </c>
    </row>
    <row r="37" spans="2:30" x14ac:dyDescent="0.25">
      <c r="B37" s="311"/>
      <c r="C37" s="171">
        <v>42.7</v>
      </c>
      <c r="D37" s="44" t="s">
        <v>160</v>
      </c>
      <c r="E37" s="44" t="s">
        <v>26</v>
      </c>
      <c r="F37" s="154" t="s">
        <v>213</v>
      </c>
      <c r="G37" s="44">
        <v>7.4</v>
      </c>
      <c r="H37" s="44">
        <f t="shared" si="8"/>
        <v>7400</v>
      </c>
      <c r="I37" s="44">
        <v>474</v>
      </c>
      <c r="J37" s="44">
        <v>254</v>
      </c>
      <c r="K37" s="44">
        <f t="shared" si="2"/>
        <v>3.681159420289855</v>
      </c>
      <c r="L37" s="50">
        <f t="shared" si="9"/>
        <v>4</v>
      </c>
      <c r="M37" s="44">
        <f t="shared" si="10"/>
        <v>7700</v>
      </c>
      <c r="N37" s="44">
        <f t="shared" si="6"/>
        <v>574</v>
      </c>
      <c r="O37" s="159">
        <v>69</v>
      </c>
      <c r="P37" s="44">
        <f t="shared" si="4"/>
        <v>2.681159420289855</v>
      </c>
      <c r="Q37" s="44">
        <f t="shared" si="13"/>
        <v>6</v>
      </c>
      <c r="R37" s="165" t="s">
        <v>342</v>
      </c>
      <c r="S37" s="50">
        <v>2</v>
      </c>
      <c r="T37" s="166" t="s">
        <v>340</v>
      </c>
      <c r="U37" s="53" t="s">
        <v>221</v>
      </c>
      <c r="V37" s="84">
        <v>45139</v>
      </c>
      <c r="W37" s="238"/>
      <c r="X37" s="239"/>
      <c r="Y37" s="238"/>
      <c r="Z37" s="239"/>
      <c r="AA37" s="240">
        <v>0</v>
      </c>
      <c r="AB37" s="107">
        <f t="shared" si="11"/>
        <v>0</v>
      </c>
      <c r="AC37" s="240">
        <v>0</v>
      </c>
      <c r="AD37" s="107">
        <f t="shared" si="12"/>
        <v>0</v>
      </c>
    </row>
    <row r="38" spans="2:30" x14ac:dyDescent="0.25">
      <c r="B38" s="311"/>
      <c r="C38" s="171">
        <v>43.4</v>
      </c>
      <c r="D38" s="44" t="s">
        <v>160</v>
      </c>
      <c r="E38" s="44" t="s">
        <v>26</v>
      </c>
      <c r="F38" s="154" t="s">
        <v>213</v>
      </c>
      <c r="G38" s="44">
        <v>7.4</v>
      </c>
      <c r="H38" s="44">
        <f t="shared" si="8"/>
        <v>7400</v>
      </c>
      <c r="I38" s="44">
        <v>474</v>
      </c>
      <c r="J38" s="44">
        <v>254</v>
      </c>
      <c r="K38" s="44">
        <f t="shared" si="2"/>
        <v>3.681159420289855</v>
      </c>
      <c r="L38" s="50">
        <f t="shared" si="9"/>
        <v>4</v>
      </c>
      <c r="M38" s="44">
        <f t="shared" si="10"/>
        <v>7700</v>
      </c>
      <c r="N38" s="44">
        <f t="shared" si="6"/>
        <v>574</v>
      </c>
      <c r="O38" s="159">
        <v>69</v>
      </c>
      <c r="P38" s="44">
        <f t="shared" si="4"/>
        <v>2.681159420289855</v>
      </c>
      <c r="Q38" s="44">
        <f t="shared" si="13"/>
        <v>6</v>
      </c>
      <c r="R38" s="165" t="s">
        <v>342</v>
      </c>
      <c r="S38" s="50">
        <v>2</v>
      </c>
      <c r="T38" s="166" t="s">
        <v>340</v>
      </c>
      <c r="U38" s="53" t="s">
        <v>221</v>
      </c>
      <c r="V38" s="84">
        <v>45139</v>
      </c>
      <c r="W38" s="238"/>
      <c r="X38" s="239"/>
      <c r="Y38" s="238"/>
      <c r="Z38" s="239"/>
      <c r="AA38" s="240">
        <v>0</v>
      </c>
      <c r="AB38" s="107">
        <f t="shared" si="11"/>
        <v>0</v>
      </c>
      <c r="AC38" s="240">
        <v>0</v>
      </c>
      <c r="AD38" s="107">
        <f t="shared" si="12"/>
        <v>0</v>
      </c>
    </row>
    <row r="39" spans="2:30" x14ac:dyDescent="0.25">
      <c r="B39" s="311"/>
      <c r="C39" s="171">
        <v>43.5</v>
      </c>
      <c r="D39" s="44" t="s">
        <v>160</v>
      </c>
      <c r="E39" s="44" t="s">
        <v>52</v>
      </c>
      <c r="F39" s="154" t="s">
        <v>213</v>
      </c>
      <c r="G39" s="44">
        <v>7.4</v>
      </c>
      <c r="H39" s="44">
        <f t="shared" si="8"/>
        <v>7400</v>
      </c>
      <c r="I39" s="44">
        <v>474</v>
      </c>
      <c r="J39" s="44">
        <v>254</v>
      </c>
      <c r="K39" s="44">
        <f t="shared" si="2"/>
        <v>3.681159420289855</v>
      </c>
      <c r="L39" s="50">
        <f t="shared" si="9"/>
        <v>4</v>
      </c>
      <c r="M39" s="44">
        <f t="shared" si="10"/>
        <v>7700</v>
      </c>
      <c r="N39" s="44">
        <f t="shared" si="6"/>
        <v>574</v>
      </c>
      <c r="O39" s="159">
        <v>69</v>
      </c>
      <c r="P39" s="44">
        <f t="shared" si="4"/>
        <v>2.681159420289855</v>
      </c>
      <c r="Q39" s="44">
        <f t="shared" si="13"/>
        <v>6</v>
      </c>
      <c r="R39" s="165" t="s">
        <v>342</v>
      </c>
      <c r="S39" s="50">
        <v>2</v>
      </c>
      <c r="T39" s="166" t="s">
        <v>340</v>
      </c>
      <c r="U39" s="53" t="s">
        <v>221</v>
      </c>
      <c r="V39" s="84">
        <v>45139</v>
      </c>
      <c r="W39" s="238"/>
      <c r="X39" s="239"/>
      <c r="Y39" s="238"/>
      <c r="Z39" s="239"/>
      <c r="AA39" s="240">
        <v>0</v>
      </c>
      <c r="AB39" s="107">
        <f t="shared" si="11"/>
        <v>0</v>
      </c>
      <c r="AC39" s="240">
        <v>0</v>
      </c>
      <c r="AD39" s="107">
        <f t="shared" si="12"/>
        <v>0</v>
      </c>
    </row>
    <row r="40" spans="2:30" x14ac:dyDescent="0.25">
      <c r="B40" s="311"/>
      <c r="C40" s="171">
        <v>43.6</v>
      </c>
      <c r="D40" s="44" t="s">
        <v>160</v>
      </c>
      <c r="E40" s="44" t="s">
        <v>52</v>
      </c>
      <c r="F40" s="154" t="s">
        <v>213</v>
      </c>
      <c r="G40" s="44">
        <v>9.1999999999999993</v>
      </c>
      <c r="H40" s="44">
        <f t="shared" si="8"/>
        <v>9200</v>
      </c>
      <c r="I40" s="44">
        <v>474</v>
      </c>
      <c r="J40" s="44">
        <v>254</v>
      </c>
      <c r="K40" s="44">
        <f t="shared" si="2"/>
        <v>3.681159420289855</v>
      </c>
      <c r="L40" s="50">
        <f t="shared" si="9"/>
        <v>4</v>
      </c>
      <c r="M40" s="44">
        <f t="shared" si="10"/>
        <v>9500</v>
      </c>
      <c r="N40" s="44">
        <f t="shared" si="6"/>
        <v>574</v>
      </c>
      <c r="O40" s="159">
        <v>69</v>
      </c>
      <c r="P40" s="44">
        <f t="shared" si="4"/>
        <v>2.681159420289855</v>
      </c>
      <c r="Q40" s="44">
        <f t="shared" si="13"/>
        <v>6</v>
      </c>
      <c r="R40" s="165" t="s">
        <v>342</v>
      </c>
      <c r="S40" s="50">
        <v>2</v>
      </c>
      <c r="T40" s="166" t="s">
        <v>340</v>
      </c>
      <c r="U40" s="53" t="s">
        <v>221</v>
      </c>
      <c r="V40" s="84">
        <v>45139</v>
      </c>
      <c r="W40" s="238"/>
      <c r="X40" s="239"/>
      <c r="Y40" s="238"/>
      <c r="Z40" s="239"/>
      <c r="AA40" s="240">
        <v>0</v>
      </c>
      <c r="AB40" s="107">
        <f t="shared" si="11"/>
        <v>0</v>
      </c>
      <c r="AC40" s="240">
        <v>0</v>
      </c>
      <c r="AD40" s="107">
        <f t="shared" si="12"/>
        <v>0</v>
      </c>
    </row>
    <row r="41" spans="2:30" x14ac:dyDescent="0.25">
      <c r="B41" s="311"/>
      <c r="C41" s="171">
        <v>43.7</v>
      </c>
      <c r="D41" s="44" t="s">
        <v>160</v>
      </c>
      <c r="E41" s="44" t="s">
        <v>26</v>
      </c>
      <c r="F41" s="154" t="s">
        <v>213</v>
      </c>
      <c r="G41" s="44">
        <v>7.4</v>
      </c>
      <c r="H41" s="44">
        <f t="shared" si="8"/>
        <v>7400</v>
      </c>
      <c r="I41" s="44">
        <v>474</v>
      </c>
      <c r="J41" s="44">
        <v>254</v>
      </c>
      <c r="K41" s="44">
        <f t="shared" si="2"/>
        <v>3.681159420289855</v>
      </c>
      <c r="L41" s="50">
        <f t="shared" si="9"/>
        <v>4</v>
      </c>
      <c r="M41" s="44">
        <f t="shared" si="10"/>
        <v>7700</v>
      </c>
      <c r="N41" s="44">
        <f t="shared" si="6"/>
        <v>574</v>
      </c>
      <c r="O41" s="159">
        <v>69</v>
      </c>
      <c r="P41" s="44">
        <f t="shared" si="4"/>
        <v>2.681159420289855</v>
      </c>
      <c r="Q41" s="44">
        <f t="shared" si="13"/>
        <v>6</v>
      </c>
      <c r="R41" s="165" t="s">
        <v>342</v>
      </c>
      <c r="S41" s="50">
        <v>2</v>
      </c>
      <c r="T41" s="166" t="s">
        <v>340</v>
      </c>
      <c r="U41" s="53" t="s">
        <v>221</v>
      </c>
      <c r="V41" s="84">
        <v>45139</v>
      </c>
      <c r="W41" s="238"/>
      <c r="X41" s="239"/>
      <c r="Y41" s="238"/>
      <c r="Z41" s="239"/>
      <c r="AA41" s="240">
        <v>0</v>
      </c>
      <c r="AB41" s="107">
        <f t="shared" si="11"/>
        <v>0</v>
      </c>
      <c r="AC41" s="240">
        <v>0</v>
      </c>
      <c r="AD41" s="107">
        <f t="shared" si="12"/>
        <v>0</v>
      </c>
    </row>
    <row r="42" spans="2:30" ht="16.5" customHeight="1" x14ac:dyDescent="0.25">
      <c r="B42" s="311"/>
      <c r="C42" s="171">
        <v>43.8</v>
      </c>
      <c r="D42" s="44" t="s">
        <v>160</v>
      </c>
      <c r="E42" s="44" t="s">
        <v>162</v>
      </c>
      <c r="F42" s="154" t="s">
        <v>213</v>
      </c>
      <c r="G42" s="44">
        <v>7.4</v>
      </c>
      <c r="H42" s="44">
        <f t="shared" si="8"/>
        <v>7400</v>
      </c>
      <c r="I42" s="44">
        <v>474</v>
      </c>
      <c r="J42" s="44">
        <v>254</v>
      </c>
      <c r="K42" s="44">
        <f t="shared" si="2"/>
        <v>3.681159420289855</v>
      </c>
      <c r="L42" s="50">
        <f t="shared" si="9"/>
        <v>4</v>
      </c>
      <c r="M42" s="44">
        <f>(H42+350)</f>
        <v>7750</v>
      </c>
      <c r="N42" s="44">
        <f t="shared" si="6"/>
        <v>574</v>
      </c>
      <c r="O42" s="159">
        <v>69</v>
      </c>
      <c r="P42" s="44">
        <f t="shared" si="4"/>
        <v>2.681159420289855</v>
      </c>
      <c r="Q42" s="44">
        <f t="shared" si="13"/>
        <v>6</v>
      </c>
      <c r="R42" s="165" t="s">
        <v>342</v>
      </c>
      <c r="S42" s="50">
        <v>2</v>
      </c>
      <c r="T42" s="166" t="s">
        <v>340</v>
      </c>
      <c r="U42" s="53" t="s">
        <v>221</v>
      </c>
      <c r="V42" s="84">
        <v>45139</v>
      </c>
      <c r="W42" s="238"/>
      <c r="X42" s="239"/>
      <c r="Y42" s="238"/>
      <c r="Z42" s="239"/>
      <c r="AA42" s="240">
        <v>0</v>
      </c>
      <c r="AB42" s="107">
        <f t="shared" si="11"/>
        <v>0</v>
      </c>
      <c r="AC42" s="240">
        <v>0</v>
      </c>
      <c r="AD42" s="107">
        <f t="shared" si="12"/>
        <v>0</v>
      </c>
    </row>
    <row r="43" spans="2:30" x14ac:dyDescent="0.25">
      <c r="B43" s="311"/>
      <c r="C43" s="171">
        <v>44.4</v>
      </c>
      <c r="D43" s="44" t="s">
        <v>160</v>
      </c>
      <c r="E43" s="44" t="s">
        <v>52</v>
      </c>
      <c r="F43" s="154" t="s">
        <v>213</v>
      </c>
      <c r="G43" s="44">
        <v>7.4</v>
      </c>
      <c r="H43" s="44">
        <f t="shared" si="8"/>
        <v>7400</v>
      </c>
      <c r="I43" s="44">
        <v>474</v>
      </c>
      <c r="J43" s="44">
        <v>254</v>
      </c>
      <c r="K43" s="44">
        <f t="shared" si="2"/>
        <v>3.681159420289855</v>
      </c>
      <c r="L43" s="50">
        <f t="shared" si="9"/>
        <v>4</v>
      </c>
      <c r="M43" s="44">
        <f>(H43+300)</f>
        <v>7700</v>
      </c>
      <c r="N43" s="44">
        <f t="shared" si="6"/>
        <v>574</v>
      </c>
      <c r="O43" s="159">
        <v>69</v>
      </c>
      <c r="P43" s="44">
        <f t="shared" si="4"/>
        <v>2.681159420289855</v>
      </c>
      <c r="Q43" s="44">
        <f t="shared" si="13"/>
        <v>6</v>
      </c>
      <c r="R43" s="165" t="s">
        <v>342</v>
      </c>
      <c r="S43" s="50">
        <v>2</v>
      </c>
      <c r="T43" s="166" t="s">
        <v>340</v>
      </c>
      <c r="U43" s="53" t="s">
        <v>221</v>
      </c>
      <c r="V43" s="84">
        <v>45139</v>
      </c>
      <c r="W43" s="238"/>
      <c r="X43" s="239"/>
      <c r="Y43" s="238"/>
      <c r="Z43" s="239"/>
      <c r="AA43" s="240">
        <v>0</v>
      </c>
      <c r="AB43" s="107">
        <f t="shared" si="11"/>
        <v>0</v>
      </c>
      <c r="AC43" s="240">
        <v>0</v>
      </c>
      <c r="AD43" s="107">
        <f t="shared" si="12"/>
        <v>0</v>
      </c>
    </row>
    <row r="44" spans="2:30" x14ac:dyDescent="0.25">
      <c r="B44" s="311"/>
      <c r="C44" s="171">
        <v>44.5</v>
      </c>
      <c r="D44" s="44" t="s">
        <v>160</v>
      </c>
      <c r="E44" s="44" t="s">
        <v>52</v>
      </c>
      <c r="F44" s="154" t="s">
        <v>213</v>
      </c>
      <c r="G44" s="44">
        <v>9.1999999999999993</v>
      </c>
      <c r="H44" s="44">
        <f t="shared" si="8"/>
        <v>9200</v>
      </c>
      <c r="I44" s="44">
        <v>474</v>
      </c>
      <c r="J44" s="44">
        <v>254</v>
      </c>
      <c r="K44" s="44">
        <f t="shared" si="2"/>
        <v>3.681159420289855</v>
      </c>
      <c r="L44" s="50">
        <f t="shared" si="9"/>
        <v>4</v>
      </c>
      <c r="M44" s="44">
        <f>(H44+300)</f>
        <v>9500</v>
      </c>
      <c r="N44" s="44">
        <f t="shared" si="6"/>
        <v>574</v>
      </c>
      <c r="O44" s="159">
        <v>69</v>
      </c>
      <c r="P44" s="44">
        <f t="shared" si="4"/>
        <v>2.681159420289855</v>
      </c>
      <c r="Q44" s="44">
        <f t="shared" si="13"/>
        <v>6</v>
      </c>
      <c r="R44" s="165" t="s">
        <v>342</v>
      </c>
      <c r="S44" s="50">
        <v>2</v>
      </c>
      <c r="T44" s="166" t="s">
        <v>340</v>
      </c>
      <c r="U44" s="53" t="s">
        <v>221</v>
      </c>
      <c r="V44" s="84">
        <v>45139</v>
      </c>
      <c r="W44" s="238"/>
      <c r="X44" s="239"/>
      <c r="Y44" s="238"/>
      <c r="Z44" s="239"/>
      <c r="AA44" s="240">
        <v>0</v>
      </c>
      <c r="AB44" s="107">
        <f t="shared" si="11"/>
        <v>0</v>
      </c>
      <c r="AC44" s="240">
        <v>0</v>
      </c>
      <c r="AD44" s="107">
        <f t="shared" si="12"/>
        <v>0</v>
      </c>
    </row>
    <row r="45" spans="2:30" x14ac:dyDescent="0.25">
      <c r="B45" s="311"/>
      <c r="C45" s="171">
        <v>44.6</v>
      </c>
      <c r="D45" s="44" t="s">
        <v>160</v>
      </c>
      <c r="E45" s="44" t="s">
        <v>52</v>
      </c>
      <c r="F45" s="154" t="s">
        <v>213</v>
      </c>
      <c r="G45" s="44">
        <v>7.4</v>
      </c>
      <c r="H45" s="44">
        <f t="shared" si="8"/>
        <v>7400</v>
      </c>
      <c r="I45" s="44">
        <v>474</v>
      </c>
      <c r="J45" s="44">
        <v>254</v>
      </c>
      <c r="K45" s="44">
        <f t="shared" si="2"/>
        <v>3.681159420289855</v>
      </c>
      <c r="L45" s="50">
        <f t="shared" si="9"/>
        <v>4</v>
      </c>
      <c r="M45" s="44">
        <f>(H45+300)</f>
        <v>7700</v>
      </c>
      <c r="N45" s="44">
        <f t="shared" si="6"/>
        <v>574</v>
      </c>
      <c r="O45" s="159">
        <v>69</v>
      </c>
      <c r="P45" s="44">
        <f t="shared" si="4"/>
        <v>2.681159420289855</v>
      </c>
      <c r="Q45" s="44">
        <f t="shared" si="13"/>
        <v>6</v>
      </c>
      <c r="R45" s="165" t="s">
        <v>342</v>
      </c>
      <c r="S45" s="50">
        <v>2</v>
      </c>
      <c r="T45" s="166" t="s">
        <v>340</v>
      </c>
      <c r="U45" s="53" t="s">
        <v>221</v>
      </c>
      <c r="V45" s="84">
        <v>45139</v>
      </c>
      <c r="W45" s="238"/>
      <c r="X45" s="239"/>
      <c r="Y45" s="238"/>
      <c r="Z45" s="239"/>
      <c r="AA45" s="240">
        <v>0</v>
      </c>
      <c r="AB45" s="107">
        <f t="shared" si="11"/>
        <v>0</v>
      </c>
      <c r="AC45" s="240">
        <v>0</v>
      </c>
      <c r="AD45" s="107">
        <f t="shared" si="12"/>
        <v>0</v>
      </c>
    </row>
    <row r="46" spans="2:30" x14ac:dyDescent="0.25">
      <c r="B46" s="311"/>
      <c r="C46" s="171">
        <v>44.7</v>
      </c>
      <c r="D46" s="44" t="s">
        <v>160</v>
      </c>
      <c r="E46" s="44" t="s">
        <v>26</v>
      </c>
      <c r="F46" s="154" t="s">
        <v>213</v>
      </c>
      <c r="G46" s="44">
        <v>7.4</v>
      </c>
      <c r="H46" s="44">
        <f t="shared" si="8"/>
        <v>7400</v>
      </c>
      <c r="I46" s="44">
        <v>474</v>
      </c>
      <c r="J46" s="44">
        <v>254</v>
      </c>
      <c r="K46" s="44">
        <f t="shared" si="2"/>
        <v>3.681159420289855</v>
      </c>
      <c r="L46" s="50">
        <f t="shared" si="9"/>
        <v>4</v>
      </c>
      <c r="M46" s="44">
        <f>(H46+300)</f>
        <v>7700</v>
      </c>
      <c r="N46" s="44">
        <f t="shared" si="6"/>
        <v>574</v>
      </c>
      <c r="O46" s="159">
        <v>69</v>
      </c>
      <c r="P46" s="44">
        <f t="shared" si="4"/>
        <v>2.681159420289855</v>
      </c>
      <c r="Q46" s="44">
        <f t="shared" si="13"/>
        <v>6</v>
      </c>
      <c r="R46" s="165" t="s">
        <v>342</v>
      </c>
      <c r="S46" s="50">
        <v>2</v>
      </c>
      <c r="T46" s="166" t="s">
        <v>340</v>
      </c>
      <c r="U46" s="53" t="s">
        <v>221</v>
      </c>
      <c r="V46" s="84">
        <v>45139</v>
      </c>
      <c r="W46" s="238"/>
      <c r="X46" s="239"/>
      <c r="Y46" s="238"/>
      <c r="Z46" s="239"/>
      <c r="AA46" s="240">
        <v>0</v>
      </c>
      <c r="AB46" s="107">
        <f t="shared" si="11"/>
        <v>0</v>
      </c>
      <c r="AC46" s="240">
        <v>0</v>
      </c>
      <c r="AD46" s="107">
        <f t="shared" si="12"/>
        <v>0</v>
      </c>
    </row>
    <row r="47" spans="2:30" ht="16.5" customHeight="1" x14ac:dyDescent="0.25">
      <c r="B47" s="311"/>
      <c r="C47" s="171">
        <v>44.8</v>
      </c>
      <c r="D47" s="44" t="s">
        <v>160</v>
      </c>
      <c r="E47" s="44" t="s">
        <v>162</v>
      </c>
      <c r="F47" s="154" t="s">
        <v>213</v>
      </c>
      <c r="G47" s="44">
        <v>8.3000000000000007</v>
      </c>
      <c r="H47" s="44">
        <f t="shared" si="8"/>
        <v>8300</v>
      </c>
      <c r="I47" s="44">
        <v>474</v>
      </c>
      <c r="J47" s="44">
        <v>254</v>
      </c>
      <c r="K47" s="44">
        <f t="shared" si="2"/>
        <v>3.681159420289855</v>
      </c>
      <c r="L47" s="50">
        <f t="shared" si="9"/>
        <v>4</v>
      </c>
      <c r="M47" s="44">
        <f>(H47+350)</f>
        <v>8650</v>
      </c>
      <c r="N47" s="44">
        <f t="shared" si="6"/>
        <v>574</v>
      </c>
      <c r="O47" s="159">
        <v>69</v>
      </c>
      <c r="P47" s="44">
        <f t="shared" si="4"/>
        <v>2.681159420289855</v>
      </c>
      <c r="Q47" s="44">
        <f t="shared" si="13"/>
        <v>6</v>
      </c>
      <c r="R47" s="165" t="s">
        <v>342</v>
      </c>
      <c r="S47" s="50">
        <v>2</v>
      </c>
      <c r="T47" s="166" t="s">
        <v>340</v>
      </c>
      <c r="U47" s="53" t="s">
        <v>221</v>
      </c>
      <c r="V47" s="84">
        <v>45139</v>
      </c>
      <c r="W47" s="238"/>
      <c r="X47" s="239"/>
      <c r="Y47" s="238"/>
      <c r="Z47" s="239"/>
      <c r="AA47" s="240">
        <v>0</v>
      </c>
      <c r="AB47" s="107">
        <f t="shared" si="11"/>
        <v>0</v>
      </c>
      <c r="AC47" s="240">
        <v>0</v>
      </c>
      <c r="AD47" s="107">
        <f t="shared" si="12"/>
        <v>0</v>
      </c>
    </row>
    <row r="48" spans="2:30" s="66" customFormat="1" ht="15.75" thickBot="1" x14ac:dyDescent="0.3">
      <c r="B48" s="313"/>
      <c r="C48" s="185" t="s">
        <v>257</v>
      </c>
      <c r="D48" s="179"/>
      <c r="E48" s="179"/>
      <c r="F48" s="179"/>
      <c r="G48" s="179"/>
      <c r="H48" s="179"/>
      <c r="I48" s="179"/>
      <c r="J48" s="179"/>
      <c r="K48" s="179"/>
      <c r="L48" s="179"/>
      <c r="M48" s="179"/>
      <c r="N48" s="179"/>
      <c r="O48" s="179"/>
      <c r="P48" s="179"/>
      <c r="Q48" s="179">
        <f>SUM(Q29:Q47)</f>
        <v>114</v>
      </c>
      <c r="R48" s="179"/>
      <c r="S48" s="179">
        <f>SUM(S29:S47)</f>
        <v>38</v>
      </c>
      <c r="T48" s="180"/>
      <c r="U48" s="180"/>
      <c r="V48" s="181"/>
      <c r="W48" s="181"/>
      <c r="X48" s="182"/>
      <c r="Y48" s="181"/>
      <c r="Z48" s="182"/>
      <c r="AA48" s="181"/>
      <c r="AB48" s="183">
        <f>SUM(AB29:AB47)</f>
        <v>0</v>
      </c>
      <c r="AC48" s="181"/>
      <c r="AD48" s="184">
        <f>SUM(AD29:AD47)</f>
        <v>0</v>
      </c>
    </row>
    <row r="49" spans="2:30" ht="15" customHeight="1" x14ac:dyDescent="0.25">
      <c r="B49" s="310" t="s">
        <v>346</v>
      </c>
      <c r="C49" s="171">
        <v>45.4</v>
      </c>
      <c r="D49" s="44" t="s">
        <v>48</v>
      </c>
      <c r="E49" s="44" t="s">
        <v>155</v>
      </c>
      <c r="F49" s="154" t="s">
        <v>213</v>
      </c>
      <c r="G49" s="44">
        <v>7.4</v>
      </c>
      <c r="H49" s="44">
        <f t="shared" ref="H49:H73" si="14">CONVERT(G49,"m","mm")</f>
        <v>7400</v>
      </c>
      <c r="I49" s="44">
        <v>361</v>
      </c>
      <c r="J49" s="44">
        <v>203</v>
      </c>
      <c r="K49" s="44">
        <f t="shared" si="2"/>
        <v>2.9420289855072466</v>
      </c>
      <c r="L49" s="50">
        <f t="shared" si="9"/>
        <v>3</v>
      </c>
      <c r="M49" s="44">
        <f t="shared" ref="M49:M114" si="15">(H49+300)</f>
        <v>7700</v>
      </c>
      <c r="N49" s="44">
        <f t="shared" si="6"/>
        <v>461</v>
      </c>
      <c r="O49" s="44">
        <v>69</v>
      </c>
      <c r="P49" s="44">
        <f t="shared" si="4"/>
        <v>1.9420289855072466</v>
      </c>
      <c r="Q49" s="44">
        <f>(L49-1)*2</f>
        <v>4</v>
      </c>
      <c r="R49" s="165" t="s">
        <v>342</v>
      </c>
      <c r="S49" s="50">
        <v>2</v>
      </c>
      <c r="T49" s="166" t="s">
        <v>340</v>
      </c>
      <c r="U49" s="53" t="s">
        <v>221</v>
      </c>
      <c r="V49" s="84">
        <v>45261</v>
      </c>
      <c r="W49" s="238"/>
      <c r="X49" s="239"/>
      <c r="Y49" s="238"/>
      <c r="Z49" s="239"/>
      <c r="AA49" s="240">
        <v>0</v>
      </c>
      <c r="AB49" s="107">
        <f t="shared" ref="AB49:AB73" si="16">(AA49*Q49)</f>
        <v>0</v>
      </c>
      <c r="AC49" s="240">
        <v>0</v>
      </c>
      <c r="AD49" s="107">
        <f t="shared" ref="AD49:AD73" si="17">(AC49*S49)</f>
        <v>0</v>
      </c>
    </row>
    <row r="50" spans="2:30" ht="15" customHeight="1" x14ac:dyDescent="0.25">
      <c r="B50" s="311"/>
      <c r="C50" s="171">
        <v>45.5</v>
      </c>
      <c r="D50" s="44" t="s">
        <v>48</v>
      </c>
      <c r="E50" s="44" t="s">
        <v>156</v>
      </c>
      <c r="F50" s="154" t="s">
        <v>213</v>
      </c>
      <c r="G50" s="44">
        <v>7.1</v>
      </c>
      <c r="H50" s="44">
        <f t="shared" si="14"/>
        <v>7100</v>
      </c>
      <c r="I50" s="44">
        <v>374</v>
      </c>
      <c r="J50" s="44">
        <v>203</v>
      </c>
      <c r="K50" s="44">
        <f t="shared" si="2"/>
        <v>2.9420289855072466</v>
      </c>
      <c r="L50" s="50">
        <f t="shared" si="9"/>
        <v>3</v>
      </c>
      <c r="M50" s="44">
        <f t="shared" si="15"/>
        <v>7400</v>
      </c>
      <c r="N50" s="44">
        <f t="shared" si="6"/>
        <v>474</v>
      </c>
      <c r="O50" s="159">
        <v>69</v>
      </c>
      <c r="P50" s="44">
        <f t="shared" si="4"/>
        <v>1.9420289855072466</v>
      </c>
      <c r="Q50" s="44">
        <f t="shared" ref="Q50:Q73" si="18">(L50-1)*2</f>
        <v>4</v>
      </c>
      <c r="R50" s="165" t="s">
        <v>342</v>
      </c>
      <c r="S50" s="50">
        <v>2</v>
      </c>
      <c r="T50" s="166" t="s">
        <v>340</v>
      </c>
      <c r="U50" s="53" t="s">
        <v>221</v>
      </c>
      <c r="V50" s="84">
        <v>45261</v>
      </c>
      <c r="W50" s="238"/>
      <c r="X50" s="239"/>
      <c r="Y50" s="238"/>
      <c r="Z50" s="239"/>
      <c r="AA50" s="240">
        <v>0</v>
      </c>
      <c r="AB50" s="107">
        <f t="shared" si="16"/>
        <v>0</v>
      </c>
      <c r="AC50" s="240">
        <v>0</v>
      </c>
      <c r="AD50" s="107">
        <f t="shared" si="17"/>
        <v>0</v>
      </c>
    </row>
    <row r="51" spans="2:30" x14ac:dyDescent="0.25">
      <c r="B51" s="311"/>
      <c r="C51" s="171">
        <v>45.6</v>
      </c>
      <c r="D51" s="44" t="s">
        <v>48</v>
      </c>
      <c r="E51" s="44" t="s">
        <v>52</v>
      </c>
      <c r="F51" s="154" t="s">
        <v>213</v>
      </c>
      <c r="G51" s="44">
        <v>9.6999999999999993</v>
      </c>
      <c r="H51" s="44">
        <f t="shared" si="14"/>
        <v>9700</v>
      </c>
      <c r="I51" s="44">
        <v>330</v>
      </c>
      <c r="J51" s="44">
        <v>203</v>
      </c>
      <c r="K51" s="44">
        <f t="shared" si="2"/>
        <v>2.9420289855072466</v>
      </c>
      <c r="L51" s="50">
        <f t="shared" si="9"/>
        <v>3</v>
      </c>
      <c r="M51" s="44">
        <f t="shared" si="15"/>
        <v>10000</v>
      </c>
      <c r="N51" s="44">
        <f t="shared" si="6"/>
        <v>430</v>
      </c>
      <c r="O51" s="159">
        <v>69</v>
      </c>
      <c r="P51" s="44">
        <f t="shared" si="4"/>
        <v>1.9420289855072466</v>
      </c>
      <c r="Q51" s="44">
        <f t="shared" si="18"/>
        <v>4</v>
      </c>
      <c r="R51" s="165" t="s">
        <v>342</v>
      </c>
      <c r="S51" s="50">
        <v>2</v>
      </c>
      <c r="T51" s="166" t="s">
        <v>340</v>
      </c>
      <c r="U51" s="53" t="s">
        <v>221</v>
      </c>
      <c r="V51" s="84">
        <v>45261</v>
      </c>
      <c r="W51" s="238"/>
      <c r="X51" s="239"/>
      <c r="Y51" s="238"/>
      <c r="Z51" s="239"/>
      <c r="AA51" s="240">
        <v>0</v>
      </c>
      <c r="AB51" s="107">
        <f t="shared" si="16"/>
        <v>0</v>
      </c>
      <c r="AC51" s="240">
        <v>0</v>
      </c>
      <c r="AD51" s="107">
        <f t="shared" si="17"/>
        <v>0</v>
      </c>
    </row>
    <row r="52" spans="2:30" x14ac:dyDescent="0.25">
      <c r="B52" s="311"/>
      <c r="C52" s="171">
        <v>45.7</v>
      </c>
      <c r="D52" s="44" t="s">
        <v>48</v>
      </c>
      <c r="E52" s="44" t="s">
        <v>52</v>
      </c>
      <c r="F52" s="154" t="s">
        <v>213</v>
      </c>
      <c r="G52" s="44">
        <v>7.4</v>
      </c>
      <c r="H52" s="44">
        <f t="shared" si="14"/>
        <v>7400</v>
      </c>
      <c r="I52" s="44">
        <v>330</v>
      </c>
      <c r="J52" s="44">
        <v>203</v>
      </c>
      <c r="K52" s="44">
        <f t="shared" si="2"/>
        <v>2.9420289855072466</v>
      </c>
      <c r="L52" s="50">
        <f t="shared" si="9"/>
        <v>3</v>
      </c>
      <c r="M52" s="44">
        <f t="shared" si="15"/>
        <v>7700</v>
      </c>
      <c r="N52" s="44">
        <f t="shared" si="6"/>
        <v>430</v>
      </c>
      <c r="O52" s="159">
        <v>69</v>
      </c>
      <c r="P52" s="44">
        <f t="shared" si="4"/>
        <v>1.9420289855072466</v>
      </c>
      <c r="Q52" s="44">
        <f t="shared" si="18"/>
        <v>4</v>
      </c>
      <c r="R52" s="165" t="s">
        <v>342</v>
      </c>
      <c r="S52" s="50">
        <v>2</v>
      </c>
      <c r="T52" s="166" t="s">
        <v>340</v>
      </c>
      <c r="U52" s="53" t="s">
        <v>221</v>
      </c>
      <c r="V52" s="84">
        <v>45261</v>
      </c>
      <c r="W52" s="238"/>
      <c r="X52" s="239"/>
      <c r="Y52" s="238"/>
      <c r="Z52" s="239"/>
      <c r="AA52" s="240">
        <v>0</v>
      </c>
      <c r="AB52" s="107">
        <f t="shared" si="16"/>
        <v>0</v>
      </c>
      <c r="AC52" s="240">
        <v>0</v>
      </c>
      <c r="AD52" s="107">
        <f t="shared" si="17"/>
        <v>0</v>
      </c>
    </row>
    <row r="53" spans="2:30" x14ac:dyDescent="0.25">
      <c r="B53" s="311"/>
      <c r="C53" s="171">
        <v>45.8</v>
      </c>
      <c r="D53" s="44" t="s">
        <v>48</v>
      </c>
      <c r="E53" s="44" t="s">
        <v>126</v>
      </c>
      <c r="F53" s="154" t="s">
        <v>212</v>
      </c>
      <c r="G53" s="44">
        <v>5</v>
      </c>
      <c r="H53" s="44">
        <f t="shared" si="14"/>
        <v>5000</v>
      </c>
      <c r="I53" s="44">
        <v>330</v>
      </c>
      <c r="J53" s="44">
        <v>203</v>
      </c>
      <c r="K53" s="44">
        <f t="shared" si="2"/>
        <v>2.9420289855072466</v>
      </c>
      <c r="L53" s="50">
        <f t="shared" si="9"/>
        <v>3</v>
      </c>
      <c r="M53" s="44">
        <f t="shared" si="15"/>
        <v>5300</v>
      </c>
      <c r="N53" s="44">
        <f t="shared" si="6"/>
        <v>430</v>
      </c>
      <c r="O53" s="159">
        <v>69</v>
      </c>
      <c r="P53" s="44">
        <f t="shared" si="4"/>
        <v>1.9420289855072466</v>
      </c>
      <c r="Q53" s="44">
        <f t="shared" si="18"/>
        <v>4</v>
      </c>
      <c r="R53" s="52" t="s">
        <v>341</v>
      </c>
      <c r="S53" s="50">
        <v>2</v>
      </c>
      <c r="T53" s="50" t="s">
        <v>339</v>
      </c>
      <c r="U53" s="53" t="s">
        <v>221</v>
      </c>
      <c r="V53" s="84">
        <v>45261</v>
      </c>
      <c r="W53" s="238"/>
      <c r="X53" s="239"/>
      <c r="Y53" s="238"/>
      <c r="Z53" s="239"/>
      <c r="AA53" s="240">
        <v>0</v>
      </c>
      <c r="AB53" s="107">
        <f t="shared" si="16"/>
        <v>0</v>
      </c>
      <c r="AC53" s="240">
        <v>0</v>
      </c>
      <c r="AD53" s="107">
        <f t="shared" si="17"/>
        <v>0</v>
      </c>
    </row>
    <row r="54" spans="2:30" x14ac:dyDescent="0.25">
      <c r="B54" s="311"/>
      <c r="C54" s="171">
        <v>46.5</v>
      </c>
      <c r="D54" s="44" t="s">
        <v>48</v>
      </c>
      <c r="E54" s="44" t="s">
        <v>26</v>
      </c>
      <c r="F54" s="154" t="s">
        <v>212</v>
      </c>
      <c r="G54" s="44">
        <v>2.4</v>
      </c>
      <c r="H54" s="44">
        <f t="shared" si="14"/>
        <v>2400</v>
      </c>
      <c r="I54" s="44">
        <v>260</v>
      </c>
      <c r="J54" s="44">
        <v>178</v>
      </c>
      <c r="K54" s="44">
        <f t="shared" si="2"/>
        <v>2.5797101449275361</v>
      </c>
      <c r="L54" s="50">
        <f t="shared" si="9"/>
        <v>3</v>
      </c>
      <c r="M54" s="44">
        <f t="shared" si="15"/>
        <v>2700</v>
      </c>
      <c r="N54" s="44">
        <f t="shared" si="6"/>
        <v>360</v>
      </c>
      <c r="O54" s="159">
        <v>69</v>
      </c>
      <c r="P54" s="44">
        <f t="shared" si="4"/>
        <v>1.5797101449275361</v>
      </c>
      <c r="Q54" s="44">
        <f t="shared" si="18"/>
        <v>4</v>
      </c>
      <c r="R54" s="162" t="s">
        <v>341</v>
      </c>
      <c r="S54" s="50">
        <v>2</v>
      </c>
      <c r="T54" s="161" t="s">
        <v>339</v>
      </c>
      <c r="U54" s="53" t="s">
        <v>221</v>
      </c>
      <c r="V54" s="84">
        <v>45261</v>
      </c>
      <c r="W54" s="238"/>
      <c r="X54" s="239"/>
      <c r="Y54" s="238"/>
      <c r="Z54" s="239"/>
      <c r="AA54" s="240">
        <v>0</v>
      </c>
      <c r="AB54" s="107">
        <f t="shared" si="16"/>
        <v>0</v>
      </c>
      <c r="AC54" s="240">
        <v>0</v>
      </c>
      <c r="AD54" s="107">
        <f t="shared" si="17"/>
        <v>0</v>
      </c>
    </row>
    <row r="55" spans="2:30" x14ac:dyDescent="0.25">
      <c r="B55" s="311"/>
      <c r="C55" s="171">
        <v>46.6</v>
      </c>
      <c r="D55" s="44" t="s">
        <v>48</v>
      </c>
      <c r="E55" s="44" t="s">
        <v>52</v>
      </c>
      <c r="F55" s="154" t="s">
        <v>212</v>
      </c>
      <c r="G55" s="44">
        <v>2.2999999999999998</v>
      </c>
      <c r="H55" s="44">
        <f t="shared" si="14"/>
        <v>2300</v>
      </c>
      <c r="I55" s="44">
        <v>260</v>
      </c>
      <c r="J55" s="44">
        <v>178</v>
      </c>
      <c r="K55" s="44">
        <f t="shared" si="2"/>
        <v>2.5797101449275361</v>
      </c>
      <c r="L55" s="50">
        <f t="shared" si="9"/>
        <v>3</v>
      </c>
      <c r="M55" s="44">
        <f t="shared" si="15"/>
        <v>2600</v>
      </c>
      <c r="N55" s="44">
        <f t="shared" si="6"/>
        <v>360</v>
      </c>
      <c r="O55" s="159">
        <v>69</v>
      </c>
      <c r="P55" s="44">
        <f t="shared" si="4"/>
        <v>1.5797101449275361</v>
      </c>
      <c r="Q55" s="44">
        <f t="shared" si="18"/>
        <v>4</v>
      </c>
      <c r="R55" s="162" t="s">
        <v>341</v>
      </c>
      <c r="S55" s="50">
        <v>2</v>
      </c>
      <c r="T55" s="161" t="s">
        <v>339</v>
      </c>
      <c r="U55" s="53" t="s">
        <v>221</v>
      </c>
      <c r="V55" s="84">
        <v>45261</v>
      </c>
      <c r="W55" s="238"/>
      <c r="X55" s="239"/>
      <c r="Y55" s="238"/>
      <c r="Z55" s="239"/>
      <c r="AA55" s="240">
        <v>0</v>
      </c>
      <c r="AB55" s="107">
        <f t="shared" si="16"/>
        <v>0</v>
      </c>
      <c r="AC55" s="240">
        <v>0</v>
      </c>
      <c r="AD55" s="107">
        <f t="shared" si="17"/>
        <v>0</v>
      </c>
    </row>
    <row r="56" spans="2:30" x14ac:dyDescent="0.25">
      <c r="B56" s="311"/>
      <c r="C56" s="171">
        <v>46.7</v>
      </c>
      <c r="D56" s="44" t="s">
        <v>48</v>
      </c>
      <c r="E56" s="44" t="s">
        <v>52</v>
      </c>
      <c r="F56" s="154" t="s">
        <v>212</v>
      </c>
      <c r="G56" s="44">
        <v>2.4</v>
      </c>
      <c r="H56" s="44">
        <f t="shared" si="14"/>
        <v>2400</v>
      </c>
      <c r="I56" s="44">
        <v>260</v>
      </c>
      <c r="J56" s="44">
        <v>178</v>
      </c>
      <c r="K56" s="44">
        <f t="shared" si="2"/>
        <v>2.5797101449275361</v>
      </c>
      <c r="L56" s="50">
        <f t="shared" si="9"/>
        <v>3</v>
      </c>
      <c r="M56" s="44">
        <f t="shared" si="15"/>
        <v>2700</v>
      </c>
      <c r="N56" s="44">
        <f t="shared" si="6"/>
        <v>360</v>
      </c>
      <c r="O56" s="159">
        <v>69</v>
      </c>
      <c r="P56" s="44">
        <f t="shared" si="4"/>
        <v>1.5797101449275361</v>
      </c>
      <c r="Q56" s="44">
        <f t="shared" si="18"/>
        <v>4</v>
      </c>
      <c r="R56" s="162" t="s">
        <v>341</v>
      </c>
      <c r="S56" s="50">
        <v>2</v>
      </c>
      <c r="T56" s="161" t="s">
        <v>339</v>
      </c>
      <c r="U56" s="53" t="s">
        <v>221</v>
      </c>
      <c r="V56" s="84">
        <v>45261</v>
      </c>
      <c r="W56" s="238"/>
      <c r="X56" s="239"/>
      <c r="Y56" s="238"/>
      <c r="Z56" s="239"/>
      <c r="AA56" s="240">
        <v>0</v>
      </c>
      <c r="AB56" s="107">
        <f t="shared" si="16"/>
        <v>0</v>
      </c>
      <c r="AC56" s="240">
        <v>0</v>
      </c>
      <c r="AD56" s="107">
        <f t="shared" si="17"/>
        <v>0</v>
      </c>
    </row>
    <row r="57" spans="2:30" x14ac:dyDescent="0.25">
      <c r="B57" s="311"/>
      <c r="C57" s="171">
        <v>46.8</v>
      </c>
      <c r="D57" s="44" t="s">
        <v>48</v>
      </c>
      <c r="E57" s="44" t="s">
        <v>52</v>
      </c>
      <c r="F57" s="154" t="s">
        <v>212</v>
      </c>
      <c r="G57" s="44">
        <v>2.4</v>
      </c>
      <c r="H57" s="44">
        <f t="shared" si="14"/>
        <v>2400</v>
      </c>
      <c r="I57" s="44">
        <v>260</v>
      </c>
      <c r="J57" s="44">
        <v>178</v>
      </c>
      <c r="K57" s="44">
        <f t="shared" si="2"/>
        <v>2.5797101449275361</v>
      </c>
      <c r="L57" s="50">
        <f t="shared" si="9"/>
        <v>3</v>
      </c>
      <c r="M57" s="44">
        <f t="shared" si="15"/>
        <v>2700</v>
      </c>
      <c r="N57" s="44">
        <f t="shared" si="6"/>
        <v>360</v>
      </c>
      <c r="O57" s="159">
        <v>69</v>
      </c>
      <c r="P57" s="44">
        <f t="shared" si="4"/>
        <v>1.5797101449275361</v>
      </c>
      <c r="Q57" s="44">
        <f t="shared" si="18"/>
        <v>4</v>
      </c>
      <c r="R57" s="162" t="s">
        <v>341</v>
      </c>
      <c r="S57" s="50">
        <v>2</v>
      </c>
      <c r="T57" s="161" t="s">
        <v>339</v>
      </c>
      <c r="U57" s="53" t="s">
        <v>221</v>
      </c>
      <c r="V57" s="84">
        <v>45261</v>
      </c>
      <c r="W57" s="238"/>
      <c r="X57" s="239"/>
      <c r="Y57" s="238"/>
      <c r="Z57" s="239"/>
      <c r="AA57" s="240">
        <v>0</v>
      </c>
      <c r="AB57" s="107">
        <f t="shared" si="16"/>
        <v>0</v>
      </c>
      <c r="AC57" s="240">
        <v>0</v>
      </c>
      <c r="AD57" s="107">
        <f t="shared" si="17"/>
        <v>0</v>
      </c>
    </row>
    <row r="58" spans="2:30" x14ac:dyDescent="0.25">
      <c r="B58" s="311"/>
      <c r="C58" s="171">
        <v>46.9</v>
      </c>
      <c r="D58" s="44" t="s">
        <v>48</v>
      </c>
      <c r="E58" s="44" t="s">
        <v>52</v>
      </c>
      <c r="F58" s="154" t="s">
        <v>212</v>
      </c>
      <c r="G58" s="44">
        <v>2.4</v>
      </c>
      <c r="H58" s="44">
        <f t="shared" si="14"/>
        <v>2400</v>
      </c>
      <c r="I58" s="44">
        <v>260</v>
      </c>
      <c r="J58" s="44">
        <v>178</v>
      </c>
      <c r="K58" s="44">
        <f t="shared" si="2"/>
        <v>2.5797101449275361</v>
      </c>
      <c r="L58" s="50">
        <f t="shared" si="9"/>
        <v>3</v>
      </c>
      <c r="M58" s="44">
        <f t="shared" si="15"/>
        <v>2700</v>
      </c>
      <c r="N58" s="44">
        <f t="shared" si="6"/>
        <v>360</v>
      </c>
      <c r="O58" s="159">
        <v>69</v>
      </c>
      <c r="P58" s="44">
        <f t="shared" si="4"/>
        <v>1.5797101449275361</v>
      </c>
      <c r="Q58" s="44">
        <f t="shared" si="18"/>
        <v>4</v>
      </c>
      <c r="R58" s="162" t="s">
        <v>341</v>
      </c>
      <c r="S58" s="50">
        <v>2</v>
      </c>
      <c r="T58" s="161" t="s">
        <v>339</v>
      </c>
      <c r="U58" s="53" t="s">
        <v>221</v>
      </c>
      <c r="V58" s="84">
        <v>45261</v>
      </c>
      <c r="W58" s="238"/>
      <c r="X58" s="239"/>
      <c r="Y58" s="238"/>
      <c r="Z58" s="239"/>
      <c r="AA58" s="240">
        <v>0</v>
      </c>
      <c r="AB58" s="107">
        <f t="shared" si="16"/>
        <v>0</v>
      </c>
      <c r="AC58" s="240">
        <v>0</v>
      </c>
      <c r="AD58" s="107">
        <f t="shared" si="17"/>
        <v>0</v>
      </c>
    </row>
    <row r="59" spans="2:30" x14ac:dyDescent="0.25">
      <c r="B59" s="311"/>
      <c r="C59" s="173">
        <v>46.1</v>
      </c>
      <c r="D59" s="47" t="s">
        <v>48</v>
      </c>
      <c r="E59" s="47" t="s">
        <v>52</v>
      </c>
      <c r="F59" s="154" t="s">
        <v>212</v>
      </c>
      <c r="G59" s="44">
        <v>3.1</v>
      </c>
      <c r="H59" s="44">
        <f t="shared" si="14"/>
        <v>3100</v>
      </c>
      <c r="I59" s="44">
        <v>260</v>
      </c>
      <c r="J59" s="44">
        <v>178</v>
      </c>
      <c r="K59" s="44">
        <f t="shared" si="2"/>
        <v>2.5797101449275361</v>
      </c>
      <c r="L59" s="50">
        <f t="shared" si="9"/>
        <v>3</v>
      </c>
      <c r="M59" s="44">
        <f t="shared" si="15"/>
        <v>3400</v>
      </c>
      <c r="N59" s="44">
        <f t="shared" si="6"/>
        <v>360</v>
      </c>
      <c r="O59" s="159">
        <v>69</v>
      </c>
      <c r="P59" s="44">
        <f t="shared" si="4"/>
        <v>1.5797101449275361</v>
      </c>
      <c r="Q59" s="44">
        <f t="shared" si="18"/>
        <v>4</v>
      </c>
      <c r="R59" s="162" t="s">
        <v>341</v>
      </c>
      <c r="S59" s="50">
        <v>2</v>
      </c>
      <c r="T59" s="161" t="s">
        <v>339</v>
      </c>
      <c r="U59" s="53" t="s">
        <v>221</v>
      </c>
      <c r="V59" s="84">
        <v>45261</v>
      </c>
      <c r="W59" s="238"/>
      <c r="X59" s="239"/>
      <c r="Y59" s="238"/>
      <c r="Z59" s="239"/>
      <c r="AA59" s="240">
        <v>0</v>
      </c>
      <c r="AB59" s="107">
        <f t="shared" si="16"/>
        <v>0</v>
      </c>
      <c r="AC59" s="240">
        <v>0</v>
      </c>
      <c r="AD59" s="107">
        <f t="shared" si="17"/>
        <v>0</v>
      </c>
    </row>
    <row r="60" spans="2:30" x14ac:dyDescent="0.25">
      <c r="B60" s="311"/>
      <c r="C60" s="171">
        <v>46.11</v>
      </c>
      <c r="D60" s="44" t="s">
        <v>48</v>
      </c>
      <c r="E60" s="44" t="s">
        <v>52</v>
      </c>
      <c r="F60" s="154" t="s">
        <v>212</v>
      </c>
      <c r="G60" s="44">
        <v>2.4</v>
      </c>
      <c r="H60" s="44">
        <f t="shared" si="14"/>
        <v>2400</v>
      </c>
      <c r="I60" s="44">
        <v>260</v>
      </c>
      <c r="J60" s="44">
        <v>178</v>
      </c>
      <c r="K60" s="44">
        <f t="shared" si="2"/>
        <v>2.5797101449275361</v>
      </c>
      <c r="L60" s="50">
        <f t="shared" si="9"/>
        <v>3</v>
      </c>
      <c r="M60" s="44">
        <f t="shared" si="15"/>
        <v>2700</v>
      </c>
      <c r="N60" s="44">
        <f t="shared" si="6"/>
        <v>360</v>
      </c>
      <c r="O60" s="159">
        <v>69</v>
      </c>
      <c r="P60" s="44">
        <f t="shared" si="4"/>
        <v>1.5797101449275361</v>
      </c>
      <c r="Q60" s="44">
        <f t="shared" si="18"/>
        <v>4</v>
      </c>
      <c r="R60" s="162" t="s">
        <v>341</v>
      </c>
      <c r="S60" s="50">
        <v>2</v>
      </c>
      <c r="T60" s="161" t="s">
        <v>339</v>
      </c>
      <c r="U60" s="53" t="s">
        <v>221</v>
      </c>
      <c r="V60" s="84">
        <v>45261</v>
      </c>
      <c r="W60" s="238"/>
      <c r="X60" s="239"/>
      <c r="Y60" s="238"/>
      <c r="Z60" s="239"/>
      <c r="AA60" s="240">
        <v>0</v>
      </c>
      <c r="AB60" s="107">
        <f t="shared" si="16"/>
        <v>0</v>
      </c>
      <c r="AC60" s="240">
        <v>0</v>
      </c>
      <c r="AD60" s="107">
        <f t="shared" si="17"/>
        <v>0</v>
      </c>
    </row>
    <row r="61" spans="2:30" x14ac:dyDescent="0.25">
      <c r="B61" s="311"/>
      <c r="C61" s="171">
        <v>46.12</v>
      </c>
      <c r="D61" s="44" t="s">
        <v>48</v>
      </c>
      <c r="E61" s="44" t="s">
        <v>52</v>
      </c>
      <c r="F61" s="154" t="s">
        <v>212</v>
      </c>
      <c r="G61" s="44">
        <v>2.5</v>
      </c>
      <c r="H61" s="44">
        <f t="shared" si="14"/>
        <v>2500</v>
      </c>
      <c r="I61" s="44">
        <v>260</v>
      </c>
      <c r="J61" s="44">
        <v>178</v>
      </c>
      <c r="K61" s="44">
        <f t="shared" si="2"/>
        <v>2.5797101449275361</v>
      </c>
      <c r="L61" s="50">
        <f t="shared" si="9"/>
        <v>3</v>
      </c>
      <c r="M61" s="44">
        <f t="shared" si="15"/>
        <v>2800</v>
      </c>
      <c r="N61" s="44">
        <f t="shared" si="6"/>
        <v>360</v>
      </c>
      <c r="O61" s="159">
        <v>69</v>
      </c>
      <c r="P61" s="44">
        <f t="shared" si="4"/>
        <v>1.5797101449275361</v>
      </c>
      <c r="Q61" s="44">
        <f t="shared" si="18"/>
        <v>4</v>
      </c>
      <c r="R61" s="162" t="s">
        <v>341</v>
      </c>
      <c r="S61" s="50">
        <v>2</v>
      </c>
      <c r="T61" s="161" t="s">
        <v>339</v>
      </c>
      <c r="U61" s="53" t="s">
        <v>221</v>
      </c>
      <c r="V61" s="84">
        <v>45261</v>
      </c>
      <c r="W61" s="238"/>
      <c r="X61" s="239"/>
      <c r="Y61" s="238"/>
      <c r="Z61" s="239"/>
      <c r="AA61" s="240">
        <v>0</v>
      </c>
      <c r="AB61" s="107">
        <f t="shared" si="16"/>
        <v>0</v>
      </c>
      <c r="AC61" s="240">
        <v>0</v>
      </c>
      <c r="AD61" s="107">
        <f t="shared" si="17"/>
        <v>0</v>
      </c>
    </row>
    <row r="62" spans="2:30" x14ac:dyDescent="0.25">
      <c r="B62" s="311"/>
      <c r="C62" s="171">
        <v>46.13</v>
      </c>
      <c r="D62" s="44" t="s">
        <v>48</v>
      </c>
      <c r="E62" s="44" t="s">
        <v>126</v>
      </c>
      <c r="F62" s="154" t="s">
        <v>212</v>
      </c>
      <c r="G62" s="44">
        <v>2.4</v>
      </c>
      <c r="H62" s="44">
        <f t="shared" si="14"/>
        <v>2400</v>
      </c>
      <c r="I62" s="44">
        <v>260</v>
      </c>
      <c r="J62" s="44">
        <v>178</v>
      </c>
      <c r="K62" s="44">
        <f t="shared" si="2"/>
        <v>2.5797101449275361</v>
      </c>
      <c r="L62" s="50">
        <f t="shared" si="9"/>
        <v>3</v>
      </c>
      <c r="M62" s="44">
        <f t="shared" si="15"/>
        <v>2700</v>
      </c>
      <c r="N62" s="44">
        <f t="shared" si="6"/>
        <v>360</v>
      </c>
      <c r="O62" s="159">
        <v>69</v>
      </c>
      <c r="P62" s="44">
        <f t="shared" si="4"/>
        <v>1.5797101449275361</v>
      </c>
      <c r="Q62" s="44">
        <f t="shared" si="18"/>
        <v>4</v>
      </c>
      <c r="R62" s="162" t="s">
        <v>341</v>
      </c>
      <c r="S62" s="50">
        <v>2</v>
      </c>
      <c r="T62" s="161" t="s">
        <v>339</v>
      </c>
      <c r="U62" s="53" t="s">
        <v>221</v>
      </c>
      <c r="V62" s="84">
        <v>45261</v>
      </c>
      <c r="W62" s="238"/>
      <c r="X62" s="239"/>
      <c r="Y62" s="238"/>
      <c r="Z62" s="239"/>
      <c r="AA62" s="240">
        <v>0</v>
      </c>
      <c r="AB62" s="107">
        <f t="shared" si="16"/>
        <v>0</v>
      </c>
      <c r="AC62" s="240">
        <v>0</v>
      </c>
      <c r="AD62" s="107">
        <f t="shared" si="17"/>
        <v>0</v>
      </c>
    </row>
    <row r="63" spans="2:30" x14ac:dyDescent="0.25">
      <c r="B63" s="311"/>
      <c r="C63" s="171">
        <v>46.14</v>
      </c>
      <c r="D63" s="44" t="s">
        <v>48</v>
      </c>
      <c r="E63" s="44" t="s">
        <v>126</v>
      </c>
      <c r="F63" s="154" t="s">
        <v>212</v>
      </c>
      <c r="G63" s="44">
        <v>2.5</v>
      </c>
      <c r="H63" s="44">
        <f t="shared" si="14"/>
        <v>2500</v>
      </c>
      <c r="I63" s="44">
        <v>260</v>
      </c>
      <c r="J63" s="44">
        <v>178</v>
      </c>
      <c r="K63" s="44">
        <f t="shared" si="2"/>
        <v>2.5797101449275361</v>
      </c>
      <c r="L63" s="50">
        <f t="shared" si="9"/>
        <v>3</v>
      </c>
      <c r="M63" s="44">
        <f t="shared" si="15"/>
        <v>2800</v>
      </c>
      <c r="N63" s="44">
        <f t="shared" si="6"/>
        <v>360</v>
      </c>
      <c r="O63" s="159">
        <v>69</v>
      </c>
      <c r="P63" s="44">
        <f t="shared" si="4"/>
        <v>1.5797101449275361</v>
      </c>
      <c r="Q63" s="44">
        <f t="shared" si="18"/>
        <v>4</v>
      </c>
      <c r="R63" s="162" t="s">
        <v>341</v>
      </c>
      <c r="S63" s="50">
        <v>2</v>
      </c>
      <c r="T63" s="161" t="s">
        <v>339</v>
      </c>
      <c r="U63" s="53" t="s">
        <v>221</v>
      </c>
      <c r="V63" s="84">
        <v>45261</v>
      </c>
      <c r="W63" s="238"/>
      <c r="X63" s="239"/>
      <c r="Y63" s="238"/>
      <c r="Z63" s="239"/>
      <c r="AA63" s="240">
        <v>0</v>
      </c>
      <c r="AB63" s="107">
        <f t="shared" si="16"/>
        <v>0</v>
      </c>
      <c r="AC63" s="240">
        <v>0</v>
      </c>
      <c r="AD63" s="107">
        <f t="shared" si="17"/>
        <v>0</v>
      </c>
    </row>
    <row r="64" spans="2:30" x14ac:dyDescent="0.25">
      <c r="B64" s="311"/>
      <c r="C64" s="171">
        <v>47.5</v>
      </c>
      <c r="D64" s="44" t="s">
        <v>48</v>
      </c>
      <c r="E64" s="44" t="s">
        <v>26</v>
      </c>
      <c r="F64" s="154" t="s">
        <v>212</v>
      </c>
      <c r="G64" s="44">
        <v>2.4</v>
      </c>
      <c r="H64" s="44">
        <f t="shared" si="14"/>
        <v>2400</v>
      </c>
      <c r="I64" s="44">
        <v>260</v>
      </c>
      <c r="J64" s="44">
        <v>159</v>
      </c>
      <c r="K64" s="44">
        <f t="shared" si="2"/>
        <v>2.3043478260869565</v>
      </c>
      <c r="L64" s="50">
        <f t="shared" si="9"/>
        <v>3</v>
      </c>
      <c r="M64" s="44">
        <f t="shared" si="15"/>
        <v>2700</v>
      </c>
      <c r="N64" s="44">
        <f t="shared" si="6"/>
        <v>360</v>
      </c>
      <c r="O64" s="159">
        <v>69</v>
      </c>
      <c r="P64" s="44">
        <f t="shared" si="4"/>
        <v>1.3043478260869565</v>
      </c>
      <c r="Q64" s="44">
        <f t="shared" si="18"/>
        <v>4</v>
      </c>
      <c r="R64" s="162" t="s">
        <v>341</v>
      </c>
      <c r="S64" s="50">
        <v>2</v>
      </c>
      <c r="T64" s="161" t="s">
        <v>339</v>
      </c>
      <c r="U64" s="53" t="s">
        <v>221</v>
      </c>
      <c r="V64" s="84">
        <v>45261</v>
      </c>
      <c r="W64" s="238"/>
      <c r="X64" s="239"/>
      <c r="Y64" s="238"/>
      <c r="Z64" s="239"/>
      <c r="AA64" s="240">
        <v>0</v>
      </c>
      <c r="AB64" s="107">
        <f t="shared" si="16"/>
        <v>0</v>
      </c>
      <c r="AC64" s="240">
        <v>0</v>
      </c>
      <c r="AD64" s="107">
        <f t="shared" si="17"/>
        <v>0</v>
      </c>
    </row>
    <row r="65" spans="2:30" x14ac:dyDescent="0.25">
      <c r="B65" s="311"/>
      <c r="C65" s="171">
        <v>47.6</v>
      </c>
      <c r="D65" s="44" t="s">
        <v>48</v>
      </c>
      <c r="E65" s="44" t="s">
        <v>52</v>
      </c>
      <c r="F65" s="154" t="s">
        <v>212</v>
      </c>
      <c r="G65" s="44">
        <v>2.2999999999999998</v>
      </c>
      <c r="H65" s="44">
        <f t="shared" si="14"/>
        <v>2300</v>
      </c>
      <c r="I65" s="44">
        <v>260</v>
      </c>
      <c r="J65" s="44">
        <v>159</v>
      </c>
      <c r="K65" s="44">
        <f t="shared" si="2"/>
        <v>2.3043478260869565</v>
      </c>
      <c r="L65" s="50">
        <f t="shared" si="9"/>
        <v>3</v>
      </c>
      <c r="M65" s="44">
        <f t="shared" si="15"/>
        <v>2600</v>
      </c>
      <c r="N65" s="44">
        <f t="shared" si="6"/>
        <v>360</v>
      </c>
      <c r="O65" s="159">
        <v>69</v>
      </c>
      <c r="P65" s="44">
        <f t="shared" si="4"/>
        <v>1.3043478260869565</v>
      </c>
      <c r="Q65" s="44">
        <f t="shared" si="18"/>
        <v>4</v>
      </c>
      <c r="R65" s="162" t="s">
        <v>341</v>
      </c>
      <c r="S65" s="50">
        <v>2</v>
      </c>
      <c r="T65" s="161" t="s">
        <v>339</v>
      </c>
      <c r="U65" s="53" t="s">
        <v>221</v>
      </c>
      <c r="V65" s="84">
        <v>45261</v>
      </c>
      <c r="W65" s="238"/>
      <c r="X65" s="239"/>
      <c r="Y65" s="238"/>
      <c r="Z65" s="239"/>
      <c r="AA65" s="240">
        <v>0</v>
      </c>
      <c r="AB65" s="107">
        <f t="shared" si="16"/>
        <v>0</v>
      </c>
      <c r="AC65" s="240">
        <v>0</v>
      </c>
      <c r="AD65" s="107">
        <f t="shared" si="17"/>
        <v>0</v>
      </c>
    </row>
    <row r="66" spans="2:30" x14ac:dyDescent="0.25">
      <c r="B66" s="311"/>
      <c r="C66" s="171">
        <v>47.7</v>
      </c>
      <c r="D66" s="44" t="s">
        <v>48</v>
      </c>
      <c r="E66" s="44" t="s">
        <v>52</v>
      </c>
      <c r="F66" s="154" t="s">
        <v>212</v>
      </c>
      <c r="G66" s="44">
        <v>2.4</v>
      </c>
      <c r="H66" s="44">
        <f t="shared" si="14"/>
        <v>2400</v>
      </c>
      <c r="I66" s="44">
        <v>260</v>
      </c>
      <c r="J66" s="44">
        <v>159</v>
      </c>
      <c r="K66" s="44">
        <f t="shared" si="2"/>
        <v>2.3043478260869565</v>
      </c>
      <c r="L66" s="50">
        <f t="shared" si="9"/>
        <v>3</v>
      </c>
      <c r="M66" s="44">
        <f t="shared" si="15"/>
        <v>2700</v>
      </c>
      <c r="N66" s="44">
        <f t="shared" si="6"/>
        <v>360</v>
      </c>
      <c r="O66" s="159">
        <v>69</v>
      </c>
      <c r="P66" s="44">
        <f t="shared" si="4"/>
        <v>1.3043478260869565</v>
      </c>
      <c r="Q66" s="44">
        <f t="shared" si="18"/>
        <v>4</v>
      </c>
      <c r="R66" s="162" t="s">
        <v>341</v>
      </c>
      <c r="S66" s="50">
        <v>2</v>
      </c>
      <c r="T66" s="161" t="s">
        <v>339</v>
      </c>
      <c r="U66" s="53" t="s">
        <v>221</v>
      </c>
      <c r="V66" s="84">
        <v>45261</v>
      </c>
      <c r="W66" s="238"/>
      <c r="X66" s="239"/>
      <c r="Y66" s="238"/>
      <c r="Z66" s="239"/>
      <c r="AA66" s="240">
        <v>0</v>
      </c>
      <c r="AB66" s="107">
        <f t="shared" si="16"/>
        <v>0</v>
      </c>
      <c r="AC66" s="240">
        <v>0</v>
      </c>
      <c r="AD66" s="107">
        <f t="shared" si="17"/>
        <v>0</v>
      </c>
    </row>
    <row r="67" spans="2:30" x14ac:dyDescent="0.25">
      <c r="B67" s="311"/>
      <c r="C67" s="171">
        <v>47.8</v>
      </c>
      <c r="D67" s="44" t="s">
        <v>48</v>
      </c>
      <c r="E67" s="44" t="s">
        <v>52</v>
      </c>
      <c r="F67" s="154" t="s">
        <v>212</v>
      </c>
      <c r="G67" s="44">
        <v>2.4</v>
      </c>
      <c r="H67" s="44">
        <f t="shared" si="14"/>
        <v>2400</v>
      </c>
      <c r="I67" s="44">
        <v>260</v>
      </c>
      <c r="J67" s="44">
        <v>159</v>
      </c>
      <c r="K67" s="44">
        <f t="shared" si="2"/>
        <v>2.3043478260869565</v>
      </c>
      <c r="L67" s="50">
        <f t="shared" si="9"/>
        <v>3</v>
      </c>
      <c r="M67" s="44">
        <f t="shared" si="15"/>
        <v>2700</v>
      </c>
      <c r="N67" s="44">
        <f t="shared" si="6"/>
        <v>360</v>
      </c>
      <c r="O67" s="159">
        <v>69</v>
      </c>
      <c r="P67" s="44">
        <f t="shared" si="4"/>
        <v>1.3043478260869565</v>
      </c>
      <c r="Q67" s="44">
        <f t="shared" si="18"/>
        <v>4</v>
      </c>
      <c r="R67" s="162" t="s">
        <v>341</v>
      </c>
      <c r="S67" s="50">
        <v>2</v>
      </c>
      <c r="T67" s="161" t="s">
        <v>339</v>
      </c>
      <c r="U67" s="53" t="s">
        <v>221</v>
      </c>
      <c r="V67" s="84">
        <v>45261</v>
      </c>
      <c r="W67" s="238"/>
      <c r="X67" s="239"/>
      <c r="Y67" s="238"/>
      <c r="Z67" s="239"/>
      <c r="AA67" s="240">
        <v>0</v>
      </c>
      <c r="AB67" s="107">
        <f t="shared" si="16"/>
        <v>0</v>
      </c>
      <c r="AC67" s="240">
        <v>0</v>
      </c>
      <c r="AD67" s="107">
        <f t="shared" si="17"/>
        <v>0</v>
      </c>
    </row>
    <row r="68" spans="2:30" x14ac:dyDescent="0.25">
      <c r="B68" s="311"/>
      <c r="C68" s="171">
        <v>47.9</v>
      </c>
      <c r="D68" s="44" t="s">
        <v>48</v>
      </c>
      <c r="E68" s="44" t="s">
        <v>52</v>
      </c>
      <c r="F68" s="154" t="s">
        <v>212</v>
      </c>
      <c r="G68" s="44">
        <v>2.4</v>
      </c>
      <c r="H68" s="44">
        <f t="shared" si="14"/>
        <v>2400</v>
      </c>
      <c r="I68" s="44">
        <v>260</v>
      </c>
      <c r="J68" s="44">
        <v>159</v>
      </c>
      <c r="K68" s="44">
        <f t="shared" si="2"/>
        <v>2.3043478260869565</v>
      </c>
      <c r="L68" s="50">
        <f t="shared" si="9"/>
        <v>3</v>
      </c>
      <c r="M68" s="44">
        <f t="shared" si="15"/>
        <v>2700</v>
      </c>
      <c r="N68" s="44">
        <f t="shared" si="6"/>
        <v>360</v>
      </c>
      <c r="O68" s="159">
        <v>69</v>
      </c>
      <c r="P68" s="44">
        <f t="shared" si="4"/>
        <v>1.3043478260869565</v>
      </c>
      <c r="Q68" s="44">
        <f t="shared" si="18"/>
        <v>4</v>
      </c>
      <c r="R68" s="162" t="s">
        <v>341</v>
      </c>
      <c r="S68" s="50">
        <v>2</v>
      </c>
      <c r="T68" s="161" t="s">
        <v>339</v>
      </c>
      <c r="U68" s="53" t="s">
        <v>221</v>
      </c>
      <c r="V68" s="84">
        <v>45261</v>
      </c>
      <c r="W68" s="238"/>
      <c r="X68" s="239"/>
      <c r="Y68" s="238"/>
      <c r="Z68" s="239"/>
      <c r="AA68" s="240">
        <v>0</v>
      </c>
      <c r="AB68" s="107">
        <f t="shared" si="16"/>
        <v>0</v>
      </c>
      <c r="AC68" s="240">
        <v>0</v>
      </c>
      <c r="AD68" s="107">
        <f t="shared" si="17"/>
        <v>0</v>
      </c>
    </row>
    <row r="69" spans="2:30" x14ac:dyDescent="0.25">
      <c r="B69" s="311"/>
      <c r="C69" s="173">
        <v>47.1</v>
      </c>
      <c r="D69" s="47" t="s">
        <v>48</v>
      </c>
      <c r="E69" s="47" t="s">
        <v>52</v>
      </c>
      <c r="F69" s="154" t="s">
        <v>212</v>
      </c>
      <c r="G69" s="44">
        <v>3.1</v>
      </c>
      <c r="H69" s="44">
        <f t="shared" si="14"/>
        <v>3100</v>
      </c>
      <c r="I69" s="44">
        <v>260</v>
      </c>
      <c r="J69" s="44">
        <v>159</v>
      </c>
      <c r="K69" s="44">
        <f t="shared" si="2"/>
        <v>2.3043478260869565</v>
      </c>
      <c r="L69" s="50">
        <f t="shared" si="9"/>
        <v>3</v>
      </c>
      <c r="M69" s="44">
        <f t="shared" si="15"/>
        <v>3400</v>
      </c>
      <c r="N69" s="44">
        <f t="shared" si="6"/>
        <v>360</v>
      </c>
      <c r="O69" s="159">
        <v>69</v>
      </c>
      <c r="P69" s="44">
        <f t="shared" si="4"/>
        <v>1.3043478260869565</v>
      </c>
      <c r="Q69" s="44">
        <f t="shared" si="18"/>
        <v>4</v>
      </c>
      <c r="R69" s="162" t="s">
        <v>341</v>
      </c>
      <c r="S69" s="50">
        <v>2</v>
      </c>
      <c r="T69" s="161" t="s">
        <v>339</v>
      </c>
      <c r="U69" s="53" t="s">
        <v>221</v>
      </c>
      <c r="V69" s="84">
        <v>45261</v>
      </c>
      <c r="W69" s="238"/>
      <c r="X69" s="239"/>
      <c r="Y69" s="238"/>
      <c r="Z69" s="239"/>
      <c r="AA69" s="240">
        <v>0</v>
      </c>
      <c r="AB69" s="107">
        <f t="shared" si="16"/>
        <v>0</v>
      </c>
      <c r="AC69" s="240">
        <v>0</v>
      </c>
      <c r="AD69" s="107">
        <f t="shared" si="17"/>
        <v>0</v>
      </c>
    </row>
    <row r="70" spans="2:30" x14ac:dyDescent="0.25">
      <c r="B70" s="311"/>
      <c r="C70" s="171">
        <v>47.11</v>
      </c>
      <c r="D70" s="44" t="s">
        <v>48</v>
      </c>
      <c r="E70" s="44" t="s">
        <v>52</v>
      </c>
      <c r="F70" s="154" t="s">
        <v>212</v>
      </c>
      <c r="G70" s="44">
        <v>2.4</v>
      </c>
      <c r="H70" s="44">
        <f t="shared" si="14"/>
        <v>2400</v>
      </c>
      <c r="I70" s="44">
        <v>260</v>
      </c>
      <c r="J70" s="44">
        <v>159</v>
      </c>
      <c r="K70" s="44">
        <f t="shared" si="2"/>
        <v>2.3043478260869565</v>
      </c>
      <c r="L70" s="50">
        <f t="shared" si="9"/>
        <v>3</v>
      </c>
      <c r="M70" s="44">
        <f t="shared" si="15"/>
        <v>2700</v>
      </c>
      <c r="N70" s="44">
        <f t="shared" si="6"/>
        <v>360</v>
      </c>
      <c r="O70" s="159">
        <v>69</v>
      </c>
      <c r="P70" s="44">
        <f t="shared" si="4"/>
        <v>1.3043478260869565</v>
      </c>
      <c r="Q70" s="44">
        <f t="shared" si="18"/>
        <v>4</v>
      </c>
      <c r="R70" s="162" t="s">
        <v>341</v>
      </c>
      <c r="S70" s="50">
        <v>2</v>
      </c>
      <c r="T70" s="161" t="s">
        <v>339</v>
      </c>
      <c r="U70" s="53" t="s">
        <v>221</v>
      </c>
      <c r="V70" s="84">
        <v>45261</v>
      </c>
      <c r="W70" s="238"/>
      <c r="X70" s="239"/>
      <c r="Y70" s="238"/>
      <c r="Z70" s="239"/>
      <c r="AA70" s="240">
        <v>0</v>
      </c>
      <c r="AB70" s="107">
        <f t="shared" si="16"/>
        <v>0</v>
      </c>
      <c r="AC70" s="240">
        <v>0</v>
      </c>
      <c r="AD70" s="107">
        <f t="shared" si="17"/>
        <v>0</v>
      </c>
    </row>
    <row r="71" spans="2:30" x14ac:dyDescent="0.25">
      <c r="B71" s="311"/>
      <c r="C71" s="171">
        <v>47.12</v>
      </c>
      <c r="D71" s="44" t="s">
        <v>48</v>
      </c>
      <c r="E71" s="44" t="s">
        <v>52</v>
      </c>
      <c r="F71" s="154" t="s">
        <v>212</v>
      </c>
      <c r="G71" s="44">
        <v>2.5</v>
      </c>
      <c r="H71" s="44">
        <f t="shared" si="14"/>
        <v>2500</v>
      </c>
      <c r="I71" s="44">
        <v>260</v>
      </c>
      <c r="J71" s="44">
        <v>159</v>
      </c>
      <c r="K71" s="44">
        <f t="shared" si="2"/>
        <v>2.3043478260869565</v>
      </c>
      <c r="L71" s="50">
        <f t="shared" si="9"/>
        <v>3</v>
      </c>
      <c r="M71" s="44">
        <f t="shared" si="15"/>
        <v>2800</v>
      </c>
      <c r="N71" s="44">
        <f t="shared" si="6"/>
        <v>360</v>
      </c>
      <c r="O71" s="159">
        <v>69</v>
      </c>
      <c r="P71" s="44">
        <f t="shared" si="4"/>
        <v>1.3043478260869565</v>
      </c>
      <c r="Q71" s="44">
        <f t="shared" si="18"/>
        <v>4</v>
      </c>
      <c r="R71" s="162" t="s">
        <v>341</v>
      </c>
      <c r="S71" s="50">
        <v>2</v>
      </c>
      <c r="T71" s="161" t="s">
        <v>339</v>
      </c>
      <c r="U71" s="53" t="s">
        <v>221</v>
      </c>
      <c r="V71" s="84">
        <v>45261</v>
      </c>
      <c r="W71" s="238"/>
      <c r="X71" s="239"/>
      <c r="Y71" s="238"/>
      <c r="Z71" s="239"/>
      <c r="AA71" s="240">
        <v>0</v>
      </c>
      <c r="AB71" s="107">
        <f t="shared" si="16"/>
        <v>0</v>
      </c>
      <c r="AC71" s="240">
        <v>0</v>
      </c>
      <c r="AD71" s="107">
        <f t="shared" si="17"/>
        <v>0</v>
      </c>
    </row>
    <row r="72" spans="2:30" x14ac:dyDescent="0.25">
      <c r="B72" s="311"/>
      <c r="C72" s="171">
        <v>47.13</v>
      </c>
      <c r="D72" s="44" t="s">
        <v>48</v>
      </c>
      <c r="E72" s="44" t="s">
        <v>126</v>
      </c>
      <c r="F72" s="154" t="s">
        <v>212</v>
      </c>
      <c r="G72" s="44">
        <v>2.4</v>
      </c>
      <c r="H72" s="44">
        <f t="shared" si="14"/>
        <v>2400</v>
      </c>
      <c r="I72" s="44">
        <v>260</v>
      </c>
      <c r="J72" s="44">
        <v>159</v>
      </c>
      <c r="K72" s="44">
        <f t="shared" si="2"/>
        <v>2.3043478260869565</v>
      </c>
      <c r="L72" s="50">
        <f t="shared" si="9"/>
        <v>3</v>
      </c>
      <c r="M72" s="44">
        <f t="shared" si="15"/>
        <v>2700</v>
      </c>
      <c r="N72" s="44">
        <f t="shared" si="6"/>
        <v>360</v>
      </c>
      <c r="O72" s="159">
        <v>69</v>
      </c>
      <c r="P72" s="44">
        <f t="shared" si="4"/>
        <v>1.3043478260869565</v>
      </c>
      <c r="Q72" s="44">
        <f t="shared" si="18"/>
        <v>4</v>
      </c>
      <c r="R72" s="162" t="s">
        <v>341</v>
      </c>
      <c r="S72" s="50">
        <v>2</v>
      </c>
      <c r="T72" s="161" t="s">
        <v>339</v>
      </c>
      <c r="U72" s="53" t="s">
        <v>221</v>
      </c>
      <c r="V72" s="84">
        <v>45261</v>
      </c>
      <c r="W72" s="238"/>
      <c r="X72" s="239"/>
      <c r="Y72" s="238"/>
      <c r="Z72" s="239"/>
      <c r="AA72" s="240">
        <v>0</v>
      </c>
      <c r="AB72" s="107">
        <f t="shared" si="16"/>
        <v>0</v>
      </c>
      <c r="AC72" s="240">
        <v>0</v>
      </c>
      <c r="AD72" s="107">
        <f t="shared" si="17"/>
        <v>0</v>
      </c>
    </row>
    <row r="73" spans="2:30" x14ac:dyDescent="0.25">
      <c r="B73" s="311"/>
      <c r="C73" s="171">
        <v>47.14</v>
      </c>
      <c r="D73" s="44" t="s">
        <v>48</v>
      </c>
      <c r="E73" s="44" t="s">
        <v>126</v>
      </c>
      <c r="F73" s="154" t="s">
        <v>212</v>
      </c>
      <c r="G73" s="44">
        <v>2.5</v>
      </c>
      <c r="H73" s="44">
        <f t="shared" si="14"/>
        <v>2500</v>
      </c>
      <c r="I73" s="44">
        <v>260</v>
      </c>
      <c r="J73" s="44">
        <v>159</v>
      </c>
      <c r="K73" s="44">
        <f t="shared" si="2"/>
        <v>2.3043478260869565</v>
      </c>
      <c r="L73" s="50">
        <f t="shared" si="9"/>
        <v>3</v>
      </c>
      <c r="M73" s="44">
        <f t="shared" si="15"/>
        <v>2800</v>
      </c>
      <c r="N73" s="44">
        <f t="shared" si="6"/>
        <v>360</v>
      </c>
      <c r="O73" s="159">
        <v>69</v>
      </c>
      <c r="P73" s="44">
        <f t="shared" si="4"/>
        <v>1.3043478260869565</v>
      </c>
      <c r="Q73" s="44">
        <f t="shared" si="18"/>
        <v>4</v>
      </c>
      <c r="R73" s="162" t="s">
        <v>341</v>
      </c>
      <c r="S73" s="50">
        <v>2</v>
      </c>
      <c r="T73" s="161" t="s">
        <v>339</v>
      </c>
      <c r="U73" s="53" t="s">
        <v>221</v>
      </c>
      <c r="V73" s="84">
        <v>45261</v>
      </c>
      <c r="W73" s="238"/>
      <c r="X73" s="239"/>
      <c r="Y73" s="238"/>
      <c r="Z73" s="239"/>
      <c r="AA73" s="240">
        <v>0</v>
      </c>
      <c r="AB73" s="107">
        <f t="shared" si="16"/>
        <v>0</v>
      </c>
      <c r="AC73" s="240">
        <v>0</v>
      </c>
      <c r="AD73" s="107">
        <f t="shared" si="17"/>
        <v>0</v>
      </c>
    </row>
    <row r="74" spans="2:30" s="66" customFormat="1" ht="15.75" thickBot="1" x14ac:dyDescent="0.3">
      <c r="B74" s="313"/>
      <c r="C74" s="185" t="s">
        <v>258</v>
      </c>
      <c r="D74" s="179"/>
      <c r="E74" s="179"/>
      <c r="F74" s="179"/>
      <c r="G74" s="179"/>
      <c r="H74" s="179"/>
      <c r="I74" s="179"/>
      <c r="J74" s="179"/>
      <c r="K74" s="179"/>
      <c r="L74" s="179"/>
      <c r="M74" s="179"/>
      <c r="N74" s="179"/>
      <c r="O74" s="179"/>
      <c r="P74" s="179"/>
      <c r="Q74" s="179">
        <f>SUM(Q49:Q73)</f>
        <v>100</v>
      </c>
      <c r="R74" s="179"/>
      <c r="S74" s="179">
        <f>SUM(S49:S73)</f>
        <v>50</v>
      </c>
      <c r="T74" s="180"/>
      <c r="U74" s="180"/>
      <c r="V74" s="181"/>
      <c r="W74" s="181"/>
      <c r="X74" s="182"/>
      <c r="Y74" s="181"/>
      <c r="Z74" s="182"/>
      <c r="AA74" s="181"/>
      <c r="AB74" s="183">
        <f>SUM(AB49:AB73)</f>
        <v>0</v>
      </c>
      <c r="AC74" s="181"/>
      <c r="AD74" s="184">
        <f>SUM(AD49:AD73)</f>
        <v>0</v>
      </c>
    </row>
    <row r="75" spans="2:30" ht="15" customHeight="1" x14ac:dyDescent="0.25">
      <c r="B75" s="310" t="s">
        <v>347</v>
      </c>
      <c r="C75" s="171">
        <v>48.4</v>
      </c>
      <c r="D75" s="44" t="s">
        <v>48</v>
      </c>
      <c r="E75" s="44" t="s">
        <v>26</v>
      </c>
      <c r="F75" s="154" t="s">
        <v>212</v>
      </c>
      <c r="G75" s="44">
        <v>2.4</v>
      </c>
      <c r="H75" s="44">
        <f t="shared" ref="H75:H101" si="19">CONVERT(G75,"m","mm")</f>
        <v>2400</v>
      </c>
      <c r="I75" s="44">
        <v>260</v>
      </c>
      <c r="J75" s="44">
        <v>142</v>
      </c>
      <c r="K75" s="44">
        <f t="shared" ref="K75:K137" si="20">(J75/O75)</f>
        <v>2.0579710144927534</v>
      </c>
      <c r="L75" s="50">
        <f t="shared" ref="L75:L101" si="21">ROUNDUP(K75,0)</f>
        <v>3</v>
      </c>
      <c r="M75" s="44">
        <f t="shared" si="15"/>
        <v>2700</v>
      </c>
      <c r="N75" s="44">
        <f t="shared" si="6"/>
        <v>360</v>
      </c>
      <c r="O75" s="44">
        <v>69</v>
      </c>
      <c r="P75" s="44">
        <f t="shared" si="4"/>
        <v>1.0579710144927534</v>
      </c>
      <c r="Q75" s="44">
        <f>(L75-1)*2</f>
        <v>4</v>
      </c>
      <c r="R75" s="162" t="s">
        <v>341</v>
      </c>
      <c r="S75" s="50">
        <v>2</v>
      </c>
      <c r="T75" s="161" t="s">
        <v>339</v>
      </c>
      <c r="U75" s="53" t="s">
        <v>221</v>
      </c>
      <c r="V75" s="84">
        <v>45383</v>
      </c>
      <c r="W75" s="238"/>
      <c r="X75" s="239"/>
      <c r="Y75" s="238"/>
      <c r="Z75" s="239"/>
      <c r="AA75" s="240">
        <v>0</v>
      </c>
      <c r="AB75" s="107">
        <f t="shared" ref="AB75:AB101" si="22">(AA75*Q75)</f>
        <v>0</v>
      </c>
      <c r="AC75" s="240">
        <v>0</v>
      </c>
      <c r="AD75" s="107">
        <f t="shared" ref="AD75:AD101" si="23">(AC75*S75)</f>
        <v>0</v>
      </c>
    </row>
    <row r="76" spans="2:30" x14ac:dyDescent="0.25">
      <c r="B76" s="311"/>
      <c r="C76" s="171">
        <v>48.5</v>
      </c>
      <c r="D76" s="44" t="s">
        <v>48</v>
      </c>
      <c r="E76" s="44" t="s">
        <v>52</v>
      </c>
      <c r="F76" s="154" t="s">
        <v>212</v>
      </c>
      <c r="G76" s="44">
        <v>2.2999999999999998</v>
      </c>
      <c r="H76" s="44">
        <f t="shared" si="19"/>
        <v>2300</v>
      </c>
      <c r="I76" s="44">
        <v>260</v>
      </c>
      <c r="J76" s="44">
        <v>142</v>
      </c>
      <c r="K76" s="44">
        <f t="shared" si="20"/>
        <v>2.0579710144927534</v>
      </c>
      <c r="L76" s="50">
        <f t="shared" si="21"/>
        <v>3</v>
      </c>
      <c r="M76" s="44">
        <f t="shared" si="15"/>
        <v>2600</v>
      </c>
      <c r="N76" s="44">
        <f t="shared" ref="N76:N139" si="24">(I76+100)</f>
        <v>360</v>
      </c>
      <c r="O76" s="159">
        <v>69</v>
      </c>
      <c r="P76" s="44">
        <f t="shared" ref="P76:P101" si="25">(K76-1)</f>
        <v>1.0579710144927534</v>
      </c>
      <c r="Q76" s="44">
        <f t="shared" ref="Q76:Q101" si="26">(L76-1)*2</f>
        <v>4</v>
      </c>
      <c r="R76" s="162" t="s">
        <v>341</v>
      </c>
      <c r="S76" s="50">
        <v>2</v>
      </c>
      <c r="T76" s="161" t="s">
        <v>339</v>
      </c>
      <c r="U76" s="53" t="s">
        <v>221</v>
      </c>
      <c r="V76" s="84">
        <v>45383</v>
      </c>
      <c r="W76" s="238"/>
      <c r="X76" s="239"/>
      <c r="Y76" s="238"/>
      <c r="Z76" s="239"/>
      <c r="AA76" s="240">
        <v>0</v>
      </c>
      <c r="AB76" s="107">
        <f t="shared" si="22"/>
        <v>0</v>
      </c>
      <c r="AC76" s="240">
        <v>0</v>
      </c>
      <c r="AD76" s="107">
        <f t="shared" si="23"/>
        <v>0</v>
      </c>
    </row>
    <row r="77" spans="2:30" x14ac:dyDescent="0.25">
      <c r="B77" s="311"/>
      <c r="C77" s="171">
        <v>48.6</v>
      </c>
      <c r="D77" s="44" t="s">
        <v>48</v>
      </c>
      <c r="E77" s="44" t="s">
        <v>52</v>
      </c>
      <c r="F77" s="154" t="s">
        <v>212</v>
      </c>
      <c r="G77" s="44">
        <v>2.4</v>
      </c>
      <c r="H77" s="44">
        <f t="shared" si="19"/>
        <v>2400</v>
      </c>
      <c r="I77" s="44">
        <v>260</v>
      </c>
      <c r="J77" s="44">
        <v>142</v>
      </c>
      <c r="K77" s="44">
        <f t="shared" si="20"/>
        <v>2.0579710144927534</v>
      </c>
      <c r="L77" s="50">
        <f t="shared" si="21"/>
        <v>3</v>
      </c>
      <c r="M77" s="44">
        <f t="shared" si="15"/>
        <v>2700</v>
      </c>
      <c r="N77" s="44">
        <f t="shared" si="24"/>
        <v>360</v>
      </c>
      <c r="O77" s="159">
        <v>69</v>
      </c>
      <c r="P77" s="44">
        <f t="shared" si="25"/>
        <v>1.0579710144927534</v>
      </c>
      <c r="Q77" s="44">
        <f t="shared" si="26"/>
        <v>4</v>
      </c>
      <c r="R77" s="162" t="s">
        <v>341</v>
      </c>
      <c r="S77" s="50">
        <v>2</v>
      </c>
      <c r="T77" s="161" t="s">
        <v>339</v>
      </c>
      <c r="U77" s="53" t="s">
        <v>221</v>
      </c>
      <c r="V77" s="84">
        <v>45383</v>
      </c>
      <c r="W77" s="238"/>
      <c r="X77" s="239"/>
      <c r="Y77" s="238"/>
      <c r="Z77" s="239"/>
      <c r="AA77" s="240">
        <v>0</v>
      </c>
      <c r="AB77" s="107">
        <f t="shared" si="22"/>
        <v>0</v>
      </c>
      <c r="AC77" s="240">
        <v>0</v>
      </c>
      <c r="AD77" s="107">
        <f t="shared" si="23"/>
        <v>0</v>
      </c>
    </row>
    <row r="78" spans="2:30" x14ac:dyDescent="0.25">
      <c r="B78" s="311"/>
      <c r="C78" s="171">
        <v>48.7</v>
      </c>
      <c r="D78" s="44" t="s">
        <v>48</v>
      </c>
      <c r="E78" s="44" t="s">
        <v>52</v>
      </c>
      <c r="F78" s="154" t="s">
        <v>212</v>
      </c>
      <c r="G78" s="44">
        <v>2.4</v>
      </c>
      <c r="H78" s="44">
        <f t="shared" si="19"/>
        <v>2400</v>
      </c>
      <c r="I78" s="44">
        <v>260</v>
      </c>
      <c r="J78" s="44">
        <v>142</v>
      </c>
      <c r="K78" s="44">
        <f t="shared" si="20"/>
        <v>2.0579710144927534</v>
      </c>
      <c r="L78" s="50">
        <f t="shared" si="21"/>
        <v>3</v>
      </c>
      <c r="M78" s="44">
        <f t="shared" si="15"/>
        <v>2700</v>
      </c>
      <c r="N78" s="44">
        <f t="shared" si="24"/>
        <v>360</v>
      </c>
      <c r="O78" s="159">
        <v>69</v>
      </c>
      <c r="P78" s="44">
        <f t="shared" si="25"/>
        <v>1.0579710144927534</v>
      </c>
      <c r="Q78" s="44">
        <f t="shared" si="26"/>
        <v>4</v>
      </c>
      <c r="R78" s="162" t="s">
        <v>341</v>
      </c>
      <c r="S78" s="50">
        <v>2</v>
      </c>
      <c r="T78" s="161" t="s">
        <v>339</v>
      </c>
      <c r="U78" s="53" t="s">
        <v>221</v>
      </c>
      <c r="V78" s="84">
        <v>45383</v>
      </c>
      <c r="W78" s="238"/>
      <c r="X78" s="239"/>
      <c r="Y78" s="238"/>
      <c r="Z78" s="239"/>
      <c r="AA78" s="240">
        <v>0</v>
      </c>
      <c r="AB78" s="107">
        <f t="shared" si="22"/>
        <v>0</v>
      </c>
      <c r="AC78" s="240">
        <v>0</v>
      </c>
      <c r="AD78" s="107">
        <f t="shared" si="23"/>
        <v>0</v>
      </c>
    </row>
    <row r="79" spans="2:30" x14ac:dyDescent="0.25">
      <c r="B79" s="311"/>
      <c r="C79" s="171">
        <v>48.8</v>
      </c>
      <c r="D79" s="44" t="s">
        <v>48</v>
      </c>
      <c r="E79" s="44" t="s">
        <v>52</v>
      </c>
      <c r="F79" s="154" t="s">
        <v>212</v>
      </c>
      <c r="G79" s="44">
        <v>2.4</v>
      </c>
      <c r="H79" s="44">
        <f t="shared" si="19"/>
        <v>2400</v>
      </c>
      <c r="I79" s="44">
        <v>260</v>
      </c>
      <c r="J79" s="44">
        <v>142</v>
      </c>
      <c r="K79" s="44">
        <f t="shared" si="20"/>
        <v>2.0579710144927534</v>
      </c>
      <c r="L79" s="50">
        <f t="shared" si="21"/>
        <v>3</v>
      </c>
      <c r="M79" s="44">
        <f t="shared" si="15"/>
        <v>2700</v>
      </c>
      <c r="N79" s="44">
        <f t="shared" si="24"/>
        <v>360</v>
      </c>
      <c r="O79" s="159">
        <v>69</v>
      </c>
      <c r="P79" s="44">
        <f t="shared" si="25"/>
        <v>1.0579710144927534</v>
      </c>
      <c r="Q79" s="44">
        <f t="shared" si="26"/>
        <v>4</v>
      </c>
      <c r="R79" s="162" t="s">
        <v>341</v>
      </c>
      <c r="S79" s="50">
        <v>2</v>
      </c>
      <c r="T79" s="161" t="s">
        <v>339</v>
      </c>
      <c r="U79" s="53" t="s">
        <v>221</v>
      </c>
      <c r="V79" s="84">
        <v>45383</v>
      </c>
      <c r="W79" s="238"/>
      <c r="X79" s="239"/>
      <c r="Y79" s="238"/>
      <c r="Z79" s="239"/>
      <c r="AA79" s="240">
        <v>0</v>
      </c>
      <c r="AB79" s="107">
        <f t="shared" si="22"/>
        <v>0</v>
      </c>
      <c r="AC79" s="240">
        <v>0</v>
      </c>
      <c r="AD79" s="107">
        <f t="shared" si="23"/>
        <v>0</v>
      </c>
    </row>
    <row r="80" spans="2:30" x14ac:dyDescent="0.25">
      <c r="B80" s="311"/>
      <c r="C80" s="171">
        <v>48.9</v>
      </c>
      <c r="D80" s="44" t="s">
        <v>48</v>
      </c>
      <c r="E80" s="44" t="s">
        <v>52</v>
      </c>
      <c r="F80" s="154" t="s">
        <v>212</v>
      </c>
      <c r="G80" s="44">
        <v>3.1</v>
      </c>
      <c r="H80" s="44">
        <f t="shared" si="19"/>
        <v>3100</v>
      </c>
      <c r="I80" s="44">
        <v>260</v>
      </c>
      <c r="J80" s="44">
        <v>142</v>
      </c>
      <c r="K80" s="44">
        <f t="shared" si="20"/>
        <v>2.0579710144927534</v>
      </c>
      <c r="L80" s="50">
        <f t="shared" si="21"/>
        <v>3</v>
      </c>
      <c r="M80" s="44">
        <f t="shared" si="15"/>
        <v>3400</v>
      </c>
      <c r="N80" s="44">
        <f t="shared" si="24"/>
        <v>360</v>
      </c>
      <c r="O80" s="159">
        <v>69</v>
      </c>
      <c r="P80" s="44">
        <f t="shared" si="25"/>
        <v>1.0579710144927534</v>
      </c>
      <c r="Q80" s="44">
        <f t="shared" si="26"/>
        <v>4</v>
      </c>
      <c r="R80" s="162" t="s">
        <v>341</v>
      </c>
      <c r="S80" s="50">
        <v>2</v>
      </c>
      <c r="T80" s="161" t="s">
        <v>339</v>
      </c>
      <c r="U80" s="53" t="s">
        <v>221</v>
      </c>
      <c r="V80" s="84">
        <v>45383</v>
      </c>
      <c r="W80" s="238"/>
      <c r="X80" s="239"/>
      <c r="Y80" s="238"/>
      <c r="Z80" s="239"/>
      <c r="AA80" s="240">
        <v>0</v>
      </c>
      <c r="AB80" s="107">
        <f t="shared" si="22"/>
        <v>0</v>
      </c>
      <c r="AC80" s="240">
        <v>0</v>
      </c>
      <c r="AD80" s="107">
        <f t="shared" si="23"/>
        <v>0</v>
      </c>
    </row>
    <row r="81" spans="2:30" x14ac:dyDescent="0.25">
      <c r="B81" s="311"/>
      <c r="C81" s="173">
        <v>48.1</v>
      </c>
      <c r="D81" s="47" t="s">
        <v>48</v>
      </c>
      <c r="E81" s="47" t="s">
        <v>52</v>
      </c>
      <c r="F81" s="154" t="s">
        <v>212</v>
      </c>
      <c r="G81" s="44">
        <v>2.4</v>
      </c>
      <c r="H81" s="44">
        <f t="shared" si="19"/>
        <v>2400</v>
      </c>
      <c r="I81" s="44">
        <v>260</v>
      </c>
      <c r="J81" s="44">
        <v>142</v>
      </c>
      <c r="K81" s="44">
        <f t="shared" si="20"/>
        <v>2.0579710144927534</v>
      </c>
      <c r="L81" s="50">
        <f t="shared" si="21"/>
        <v>3</v>
      </c>
      <c r="M81" s="44">
        <f t="shared" si="15"/>
        <v>2700</v>
      </c>
      <c r="N81" s="44">
        <f t="shared" si="24"/>
        <v>360</v>
      </c>
      <c r="O81" s="159">
        <v>69</v>
      </c>
      <c r="P81" s="44">
        <f t="shared" si="25"/>
        <v>1.0579710144927534</v>
      </c>
      <c r="Q81" s="44">
        <f t="shared" si="26"/>
        <v>4</v>
      </c>
      <c r="R81" s="162" t="s">
        <v>341</v>
      </c>
      <c r="S81" s="50">
        <v>2</v>
      </c>
      <c r="T81" s="161" t="s">
        <v>339</v>
      </c>
      <c r="U81" s="53" t="s">
        <v>221</v>
      </c>
      <c r="V81" s="84">
        <v>45383</v>
      </c>
      <c r="W81" s="238"/>
      <c r="X81" s="239"/>
      <c r="Y81" s="238"/>
      <c r="Z81" s="239"/>
      <c r="AA81" s="240">
        <v>0</v>
      </c>
      <c r="AB81" s="107">
        <f t="shared" si="22"/>
        <v>0</v>
      </c>
      <c r="AC81" s="240">
        <v>0</v>
      </c>
      <c r="AD81" s="107">
        <f t="shared" si="23"/>
        <v>0</v>
      </c>
    </row>
    <row r="82" spans="2:30" x14ac:dyDescent="0.25">
      <c r="B82" s="311"/>
      <c r="C82" s="171">
        <v>48.11</v>
      </c>
      <c r="D82" s="44" t="s">
        <v>48</v>
      </c>
      <c r="E82" s="44" t="s">
        <v>52</v>
      </c>
      <c r="F82" s="154" t="s">
        <v>212</v>
      </c>
      <c r="G82" s="44">
        <v>2.5</v>
      </c>
      <c r="H82" s="44">
        <f t="shared" si="19"/>
        <v>2500</v>
      </c>
      <c r="I82" s="44">
        <v>260</v>
      </c>
      <c r="J82" s="44">
        <v>142</v>
      </c>
      <c r="K82" s="44">
        <f t="shared" si="20"/>
        <v>2.0579710144927534</v>
      </c>
      <c r="L82" s="50">
        <f t="shared" si="21"/>
        <v>3</v>
      </c>
      <c r="M82" s="44">
        <f t="shared" si="15"/>
        <v>2800</v>
      </c>
      <c r="N82" s="44">
        <f t="shared" si="24"/>
        <v>360</v>
      </c>
      <c r="O82" s="159">
        <v>69</v>
      </c>
      <c r="P82" s="44">
        <f t="shared" si="25"/>
        <v>1.0579710144927534</v>
      </c>
      <c r="Q82" s="44">
        <f t="shared" si="26"/>
        <v>4</v>
      </c>
      <c r="R82" s="162" t="s">
        <v>341</v>
      </c>
      <c r="S82" s="50">
        <v>2</v>
      </c>
      <c r="T82" s="161" t="s">
        <v>339</v>
      </c>
      <c r="U82" s="53" t="s">
        <v>221</v>
      </c>
      <c r="V82" s="84">
        <v>45383</v>
      </c>
      <c r="W82" s="238"/>
      <c r="X82" s="239"/>
      <c r="Y82" s="238"/>
      <c r="Z82" s="239"/>
      <c r="AA82" s="240">
        <v>0</v>
      </c>
      <c r="AB82" s="107">
        <f t="shared" si="22"/>
        <v>0</v>
      </c>
      <c r="AC82" s="240">
        <v>0</v>
      </c>
      <c r="AD82" s="107">
        <f t="shared" si="23"/>
        <v>0</v>
      </c>
    </row>
    <row r="83" spans="2:30" x14ac:dyDescent="0.25">
      <c r="B83" s="311"/>
      <c r="C83" s="171">
        <v>48.12</v>
      </c>
      <c r="D83" s="44" t="s">
        <v>48</v>
      </c>
      <c r="E83" s="44" t="s">
        <v>126</v>
      </c>
      <c r="F83" s="154" t="s">
        <v>212</v>
      </c>
      <c r="G83" s="44">
        <v>2.4</v>
      </c>
      <c r="H83" s="44">
        <f t="shared" si="19"/>
        <v>2400</v>
      </c>
      <c r="I83" s="44">
        <v>260</v>
      </c>
      <c r="J83" s="44">
        <v>142</v>
      </c>
      <c r="K83" s="44">
        <f t="shared" si="20"/>
        <v>2.0579710144927534</v>
      </c>
      <c r="L83" s="50">
        <f t="shared" si="21"/>
        <v>3</v>
      </c>
      <c r="M83" s="44">
        <f t="shared" si="15"/>
        <v>2700</v>
      </c>
      <c r="N83" s="44">
        <f t="shared" si="24"/>
        <v>360</v>
      </c>
      <c r="O83" s="159">
        <v>69</v>
      </c>
      <c r="P83" s="44">
        <f t="shared" si="25"/>
        <v>1.0579710144927534</v>
      </c>
      <c r="Q83" s="44">
        <f t="shared" si="26"/>
        <v>4</v>
      </c>
      <c r="R83" s="162" t="s">
        <v>341</v>
      </c>
      <c r="S83" s="50">
        <v>2</v>
      </c>
      <c r="T83" s="161" t="s">
        <v>339</v>
      </c>
      <c r="U83" s="53" t="s">
        <v>221</v>
      </c>
      <c r="V83" s="84">
        <v>45383</v>
      </c>
      <c r="W83" s="238"/>
      <c r="X83" s="239"/>
      <c r="Y83" s="238"/>
      <c r="Z83" s="239"/>
      <c r="AA83" s="240">
        <v>0</v>
      </c>
      <c r="AB83" s="107">
        <f t="shared" si="22"/>
        <v>0</v>
      </c>
      <c r="AC83" s="240">
        <v>0</v>
      </c>
      <c r="AD83" s="107">
        <f t="shared" si="23"/>
        <v>0</v>
      </c>
    </row>
    <row r="84" spans="2:30" x14ac:dyDescent="0.25">
      <c r="B84" s="311"/>
      <c r="C84" s="171">
        <v>48.13</v>
      </c>
      <c r="D84" s="44" t="s">
        <v>48</v>
      </c>
      <c r="E84" s="44" t="s">
        <v>126</v>
      </c>
      <c r="F84" s="154" t="s">
        <v>212</v>
      </c>
      <c r="G84" s="44">
        <v>4</v>
      </c>
      <c r="H84" s="44">
        <f t="shared" si="19"/>
        <v>4000</v>
      </c>
      <c r="I84" s="44">
        <v>260</v>
      </c>
      <c r="J84" s="44">
        <v>142</v>
      </c>
      <c r="K84" s="44">
        <f t="shared" si="20"/>
        <v>2.0579710144927534</v>
      </c>
      <c r="L84" s="50">
        <f t="shared" si="21"/>
        <v>3</v>
      </c>
      <c r="M84" s="44">
        <f t="shared" si="15"/>
        <v>4300</v>
      </c>
      <c r="N84" s="44">
        <f t="shared" si="24"/>
        <v>360</v>
      </c>
      <c r="O84" s="159">
        <v>69</v>
      </c>
      <c r="P84" s="44">
        <f t="shared" si="25"/>
        <v>1.0579710144927534</v>
      </c>
      <c r="Q84" s="44">
        <f t="shared" si="26"/>
        <v>4</v>
      </c>
      <c r="R84" s="162" t="s">
        <v>341</v>
      </c>
      <c r="S84" s="50">
        <v>2</v>
      </c>
      <c r="T84" s="161" t="s">
        <v>339</v>
      </c>
      <c r="U84" s="53" t="s">
        <v>221</v>
      </c>
      <c r="V84" s="84">
        <v>45383</v>
      </c>
      <c r="W84" s="238"/>
      <c r="X84" s="239"/>
      <c r="Y84" s="238"/>
      <c r="Z84" s="239"/>
      <c r="AA84" s="240">
        <v>0</v>
      </c>
      <c r="AB84" s="107">
        <f t="shared" si="22"/>
        <v>0</v>
      </c>
      <c r="AC84" s="240">
        <v>0</v>
      </c>
      <c r="AD84" s="107">
        <f t="shared" si="23"/>
        <v>0</v>
      </c>
    </row>
    <row r="85" spans="2:30" x14ac:dyDescent="0.25">
      <c r="B85" s="311"/>
      <c r="C85" s="171">
        <v>49.4</v>
      </c>
      <c r="D85" s="44" t="s">
        <v>48</v>
      </c>
      <c r="E85" s="44" t="s">
        <v>26</v>
      </c>
      <c r="F85" s="154" t="s">
        <v>212</v>
      </c>
      <c r="G85" s="44">
        <v>2.4</v>
      </c>
      <c r="H85" s="44">
        <f t="shared" si="19"/>
        <v>2400</v>
      </c>
      <c r="I85" s="44">
        <v>260</v>
      </c>
      <c r="J85" s="44">
        <v>127</v>
      </c>
      <c r="K85" s="44">
        <f t="shared" si="20"/>
        <v>1.8405797101449275</v>
      </c>
      <c r="L85" s="50">
        <f t="shared" si="21"/>
        <v>2</v>
      </c>
      <c r="M85" s="44">
        <f t="shared" si="15"/>
        <v>2700</v>
      </c>
      <c r="N85" s="44">
        <f t="shared" si="24"/>
        <v>360</v>
      </c>
      <c r="O85" s="159">
        <v>69</v>
      </c>
      <c r="P85" s="44">
        <f t="shared" si="25"/>
        <v>0.84057971014492749</v>
      </c>
      <c r="Q85" s="44">
        <f t="shared" si="26"/>
        <v>2</v>
      </c>
      <c r="R85" s="162" t="s">
        <v>341</v>
      </c>
      <c r="S85" s="50">
        <v>2</v>
      </c>
      <c r="T85" s="161" t="s">
        <v>339</v>
      </c>
      <c r="U85" s="53" t="s">
        <v>221</v>
      </c>
      <c r="V85" s="84">
        <v>45383</v>
      </c>
      <c r="W85" s="238"/>
      <c r="X85" s="239"/>
      <c r="Y85" s="238"/>
      <c r="Z85" s="239"/>
      <c r="AA85" s="240">
        <v>0</v>
      </c>
      <c r="AB85" s="107">
        <f t="shared" si="22"/>
        <v>0</v>
      </c>
      <c r="AC85" s="240">
        <v>0</v>
      </c>
      <c r="AD85" s="107">
        <f t="shared" si="23"/>
        <v>0</v>
      </c>
    </row>
    <row r="86" spans="2:30" x14ac:dyDescent="0.25">
      <c r="B86" s="311"/>
      <c r="C86" s="171">
        <v>49.5</v>
      </c>
      <c r="D86" s="44" t="s">
        <v>48</v>
      </c>
      <c r="E86" s="44" t="s">
        <v>52</v>
      </c>
      <c r="F86" s="154" t="s">
        <v>212</v>
      </c>
      <c r="G86" s="44">
        <v>2.2999999999999998</v>
      </c>
      <c r="H86" s="44">
        <f t="shared" si="19"/>
        <v>2300</v>
      </c>
      <c r="I86" s="44">
        <v>260</v>
      </c>
      <c r="J86" s="44">
        <v>127</v>
      </c>
      <c r="K86" s="44">
        <f t="shared" si="20"/>
        <v>1.8405797101449275</v>
      </c>
      <c r="L86" s="50">
        <f t="shared" si="21"/>
        <v>2</v>
      </c>
      <c r="M86" s="44">
        <f t="shared" si="15"/>
        <v>2600</v>
      </c>
      <c r="N86" s="44">
        <f t="shared" si="24"/>
        <v>360</v>
      </c>
      <c r="O86" s="159">
        <v>69</v>
      </c>
      <c r="P86" s="44">
        <f t="shared" si="25"/>
        <v>0.84057971014492749</v>
      </c>
      <c r="Q86" s="44">
        <f t="shared" si="26"/>
        <v>2</v>
      </c>
      <c r="R86" s="162" t="s">
        <v>341</v>
      </c>
      <c r="S86" s="50">
        <v>2</v>
      </c>
      <c r="T86" s="161" t="s">
        <v>339</v>
      </c>
      <c r="U86" s="53" t="s">
        <v>221</v>
      </c>
      <c r="V86" s="84">
        <v>45383</v>
      </c>
      <c r="W86" s="238"/>
      <c r="X86" s="239"/>
      <c r="Y86" s="238"/>
      <c r="Z86" s="239"/>
      <c r="AA86" s="240">
        <v>0</v>
      </c>
      <c r="AB86" s="107">
        <f t="shared" si="22"/>
        <v>0</v>
      </c>
      <c r="AC86" s="240">
        <v>0</v>
      </c>
      <c r="AD86" s="107">
        <f t="shared" si="23"/>
        <v>0</v>
      </c>
    </row>
    <row r="87" spans="2:30" x14ac:dyDescent="0.25">
      <c r="B87" s="311"/>
      <c r="C87" s="171">
        <v>49.6</v>
      </c>
      <c r="D87" s="44" t="s">
        <v>48</v>
      </c>
      <c r="E87" s="44" t="s">
        <v>52</v>
      </c>
      <c r="F87" s="154" t="s">
        <v>212</v>
      </c>
      <c r="G87" s="44">
        <v>2.4</v>
      </c>
      <c r="H87" s="44">
        <f t="shared" si="19"/>
        <v>2400</v>
      </c>
      <c r="I87" s="44">
        <v>260</v>
      </c>
      <c r="J87" s="44">
        <v>127</v>
      </c>
      <c r="K87" s="44">
        <f t="shared" si="20"/>
        <v>1.8405797101449275</v>
      </c>
      <c r="L87" s="50">
        <f t="shared" si="21"/>
        <v>2</v>
      </c>
      <c r="M87" s="44">
        <f t="shared" si="15"/>
        <v>2700</v>
      </c>
      <c r="N87" s="44">
        <f t="shared" si="24"/>
        <v>360</v>
      </c>
      <c r="O87" s="159">
        <v>69</v>
      </c>
      <c r="P87" s="44">
        <f t="shared" si="25"/>
        <v>0.84057971014492749</v>
      </c>
      <c r="Q87" s="44">
        <f t="shared" si="26"/>
        <v>2</v>
      </c>
      <c r="R87" s="162" t="s">
        <v>341</v>
      </c>
      <c r="S87" s="50">
        <v>2</v>
      </c>
      <c r="T87" s="161" t="s">
        <v>339</v>
      </c>
      <c r="U87" s="53" t="s">
        <v>221</v>
      </c>
      <c r="V87" s="84">
        <v>45383</v>
      </c>
      <c r="W87" s="238"/>
      <c r="X87" s="239"/>
      <c r="Y87" s="238"/>
      <c r="Z87" s="239"/>
      <c r="AA87" s="240">
        <v>0</v>
      </c>
      <c r="AB87" s="107">
        <f t="shared" si="22"/>
        <v>0</v>
      </c>
      <c r="AC87" s="240">
        <v>0</v>
      </c>
      <c r="AD87" s="107">
        <f t="shared" si="23"/>
        <v>0</v>
      </c>
    </row>
    <row r="88" spans="2:30" x14ac:dyDescent="0.25">
      <c r="B88" s="311"/>
      <c r="C88" s="171">
        <v>49.7</v>
      </c>
      <c r="D88" s="44" t="s">
        <v>48</v>
      </c>
      <c r="E88" s="44" t="s">
        <v>52</v>
      </c>
      <c r="F88" s="154" t="s">
        <v>212</v>
      </c>
      <c r="G88" s="44">
        <v>2.4</v>
      </c>
      <c r="H88" s="44">
        <f t="shared" si="19"/>
        <v>2400</v>
      </c>
      <c r="I88" s="44">
        <v>260</v>
      </c>
      <c r="J88" s="44">
        <v>127</v>
      </c>
      <c r="K88" s="44">
        <f t="shared" si="20"/>
        <v>1.8405797101449275</v>
      </c>
      <c r="L88" s="50">
        <f t="shared" si="21"/>
        <v>2</v>
      </c>
      <c r="M88" s="44">
        <f t="shared" si="15"/>
        <v>2700</v>
      </c>
      <c r="N88" s="44">
        <f t="shared" si="24"/>
        <v>360</v>
      </c>
      <c r="O88" s="159">
        <v>69</v>
      </c>
      <c r="P88" s="44">
        <f t="shared" si="25"/>
        <v>0.84057971014492749</v>
      </c>
      <c r="Q88" s="44">
        <f t="shared" si="26"/>
        <v>2</v>
      </c>
      <c r="R88" s="162" t="s">
        <v>341</v>
      </c>
      <c r="S88" s="50">
        <v>2</v>
      </c>
      <c r="T88" s="161" t="s">
        <v>339</v>
      </c>
      <c r="U88" s="53" t="s">
        <v>221</v>
      </c>
      <c r="V88" s="84">
        <v>45383</v>
      </c>
      <c r="W88" s="238"/>
      <c r="X88" s="239"/>
      <c r="Y88" s="238"/>
      <c r="Z88" s="239"/>
      <c r="AA88" s="240">
        <v>0</v>
      </c>
      <c r="AB88" s="107">
        <f t="shared" si="22"/>
        <v>0</v>
      </c>
      <c r="AC88" s="240">
        <v>0</v>
      </c>
      <c r="AD88" s="107">
        <f t="shared" si="23"/>
        <v>0</v>
      </c>
    </row>
    <row r="89" spans="2:30" x14ac:dyDescent="0.25">
      <c r="B89" s="311"/>
      <c r="C89" s="171">
        <v>49.8</v>
      </c>
      <c r="D89" s="44" t="s">
        <v>48</v>
      </c>
      <c r="E89" s="44" t="s">
        <v>52</v>
      </c>
      <c r="F89" s="154" t="s">
        <v>212</v>
      </c>
      <c r="G89" s="44">
        <v>2.4</v>
      </c>
      <c r="H89" s="44">
        <f t="shared" si="19"/>
        <v>2400</v>
      </c>
      <c r="I89" s="44">
        <v>260</v>
      </c>
      <c r="J89" s="44">
        <v>127</v>
      </c>
      <c r="K89" s="44">
        <f t="shared" si="20"/>
        <v>1.8405797101449275</v>
      </c>
      <c r="L89" s="50">
        <f t="shared" si="21"/>
        <v>2</v>
      </c>
      <c r="M89" s="44">
        <f t="shared" si="15"/>
        <v>2700</v>
      </c>
      <c r="N89" s="44">
        <f t="shared" si="24"/>
        <v>360</v>
      </c>
      <c r="O89" s="159">
        <v>69</v>
      </c>
      <c r="P89" s="44">
        <f t="shared" si="25"/>
        <v>0.84057971014492749</v>
      </c>
      <c r="Q89" s="44">
        <f t="shared" si="26"/>
        <v>2</v>
      </c>
      <c r="R89" s="162" t="s">
        <v>341</v>
      </c>
      <c r="S89" s="50">
        <v>2</v>
      </c>
      <c r="T89" s="161" t="s">
        <v>339</v>
      </c>
      <c r="U89" s="53" t="s">
        <v>221</v>
      </c>
      <c r="V89" s="84">
        <v>45383</v>
      </c>
      <c r="W89" s="238"/>
      <c r="X89" s="239"/>
      <c r="Y89" s="238"/>
      <c r="Z89" s="239"/>
      <c r="AA89" s="240">
        <v>0</v>
      </c>
      <c r="AB89" s="107">
        <f t="shared" si="22"/>
        <v>0</v>
      </c>
      <c r="AC89" s="240">
        <v>0</v>
      </c>
      <c r="AD89" s="107">
        <f t="shared" si="23"/>
        <v>0</v>
      </c>
    </row>
    <row r="90" spans="2:30" x14ac:dyDescent="0.25">
      <c r="B90" s="311"/>
      <c r="C90" s="171">
        <v>49.9</v>
      </c>
      <c r="D90" s="44" t="s">
        <v>48</v>
      </c>
      <c r="E90" s="44" t="s">
        <v>52</v>
      </c>
      <c r="F90" s="154" t="s">
        <v>212</v>
      </c>
      <c r="G90" s="44">
        <v>3.1</v>
      </c>
      <c r="H90" s="44">
        <f t="shared" si="19"/>
        <v>3100</v>
      </c>
      <c r="I90" s="44">
        <v>260</v>
      </c>
      <c r="J90" s="44">
        <v>127</v>
      </c>
      <c r="K90" s="44">
        <f t="shared" si="20"/>
        <v>1.8405797101449275</v>
      </c>
      <c r="L90" s="50">
        <f t="shared" si="21"/>
        <v>2</v>
      </c>
      <c r="M90" s="44">
        <f t="shared" si="15"/>
        <v>3400</v>
      </c>
      <c r="N90" s="44">
        <f t="shared" si="24"/>
        <v>360</v>
      </c>
      <c r="O90" s="159">
        <v>69</v>
      </c>
      <c r="P90" s="44">
        <f t="shared" si="25"/>
        <v>0.84057971014492749</v>
      </c>
      <c r="Q90" s="44">
        <f t="shared" si="26"/>
        <v>2</v>
      </c>
      <c r="R90" s="162" t="s">
        <v>341</v>
      </c>
      <c r="S90" s="50">
        <v>2</v>
      </c>
      <c r="T90" s="161" t="s">
        <v>339</v>
      </c>
      <c r="U90" s="53" t="s">
        <v>221</v>
      </c>
      <c r="V90" s="84">
        <v>45383</v>
      </c>
      <c r="W90" s="238"/>
      <c r="X90" s="239"/>
      <c r="Y90" s="238"/>
      <c r="Z90" s="239"/>
      <c r="AA90" s="240">
        <v>0</v>
      </c>
      <c r="AB90" s="107">
        <f t="shared" si="22"/>
        <v>0</v>
      </c>
      <c r="AC90" s="240">
        <v>0</v>
      </c>
      <c r="AD90" s="107">
        <f t="shared" si="23"/>
        <v>0</v>
      </c>
    </row>
    <row r="91" spans="2:30" ht="15" customHeight="1" x14ac:dyDescent="0.25">
      <c r="B91" s="311"/>
      <c r="C91" s="173">
        <v>49.1</v>
      </c>
      <c r="D91" s="47" t="s">
        <v>48</v>
      </c>
      <c r="E91" s="47" t="s">
        <v>139</v>
      </c>
      <c r="F91" s="156" t="s">
        <v>213</v>
      </c>
      <c r="G91" s="44">
        <v>10.7</v>
      </c>
      <c r="H91" s="44">
        <f t="shared" si="19"/>
        <v>10700</v>
      </c>
      <c r="I91" s="44">
        <v>300</v>
      </c>
      <c r="J91" s="44">
        <v>127</v>
      </c>
      <c r="K91" s="44">
        <f t="shared" si="20"/>
        <v>1.8405797101449275</v>
      </c>
      <c r="L91" s="50">
        <f t="shared" si="21"/>
        <v>2</v>
      </c>
      <c r="M91" s="44">
        <f t="shared" si="15"/>
        <v>11000</v>
      </c>
      <c r="N91" s="44">
        <f t="shared" si="24"/>
        <v>400</v>
      </c>
      <c r="O91" s="159">
        <v>69</v>
      </c>
      <c r="P91" s="44">
        <f t="shared" si="25"/>
        <v>0.84057971014492749</v>
      </c>
      <c r="Q91" s="44">
        <f t="shared" si="26"/>
        <v>2</v>
      </c>
      <c r="R91" s="165" t="s">
        <v>342</v>
      </c>
      <c r="S91" s="50">
        <v>2</v>
      </c>
      <c r="T91" s="166" t="s">
        <v>340</v>
      </c>
      <c r="U91" s="53" t="s">
        <v>221</v>
      </c>
      <c r="V91" s="84">
        <v>45383</v>
      </c>
      <c r="W91" s="238"/>
      <c r="X91" s="239"/>
      <c r="Y91" s="238"/>
      <c r="Z91" s="239"/>
      <c r="AA91" s="240">
        <v>0</v>
      </c>
      <c r="AB91" s="107">
        <f t="shared" si="22"/>
        <v>0</v>
      </c>
      <c r="AC91" s="240">
        <v>0</v>
      </c>
      <c r="AD91" s="107">
        <f t="shared" si="23"/>
        <v>0</v>
      </c>
    </row>
    <row r="92" spans="2:30" x14ac:dyDescent="0.25">
      <c r="B92" s="311"/>
      <c r="C92" s="171">
        <v>49.11</v>
      </c>
      <c r="D92" s="44" t="s">
        <v>48</v>
      </c>
      <c r="E92" s="44" t="s">
        <v>126</v>
      </c>
      <c r="F92" s="154" t="s">
        <v>213</v>
      </c>
      <c r="G92" s="44">
        <v>7</v>
      </c>
      <c r="H92" s="44">
        <f t="shared" si="19"/>
        <v>7000</v>
      </c>
      <c r="I92" s="44">
        <v>260</v>
      </c>
      <c r="J92" s="44">
        <v>127</v>
      </c>
      <c r="K92" s="44">
        <f t="shared" si="20"/>
        <v>1.8405797101449275</v>
      </c>
      <c r="L92" s="50">
        <f t="shared" si="21"/>
        <v>2</v>
      </c>
      <c r="M92" s="44">
        <f t="shared" si="15"/>
        <v>7300</v>
      </c>
      <c r="N92" s="44">
        <f t="shared" si="24"/>
        <v>360</v>
      </c>
      <c r="O92" s="159">
        <v>69</v>
      </c>
      <c r="P92" s="44">
        <f t="shared" si="25"/>
        <v>0.84057971014492749</v>
      </c>
      <c r="Q92" s="44">
        <f t="shared" si="26"/>
        <v>2</v>
      </c>
      <c r="R92" s="165" t="s">
        <v>342</v>
      </c>
      <c r="S92" s="50">
        <v>2</v>
      </c>
      <c r="T92" s="166" t="s">
        <v>340</v>
      </c>
      <c r="U92" s="53" t="s">
        <v>221</v>
      </c>
      <c r="V92" s="84">
        <v>45383</v>
      </c>
      <c r="W92" s="238"/>
      <c r="X92" s="239"/>
      <c r="Y92" s="238"/>
      <c r="Z92" s="239"/>
      <c r="AA92" s="240">
        <v>0</v>
      </c>
      <c r="AB92" s="107">
        <f t="shared" si="22"/>
        <v>0</v>
      </c>
      <c r="AC92" s="240">
        <v>0</v>
      </c>
      <c r="AD92" s="107">
        <f t="shared" si="23"/>
        <v>0</v>
      </c>
    </row>
    <row r="93" spans="2:30" ht="15" customHeight="1" x14ac:dyDescent="0.25">
      <c r="B93" s="311"/>
      <c r="C93" s="171">
        <v>50.3</v>
      </c>
      <c r="D93" s="44" t="s">
        <v>130</v>
      </c>
      <c r="E93" s="44" t="s">
        <v>132</v>
      </c>
      <c r="F93" s="154" t="s">
        <v>213</v>
      </c>
      <c r="G93" s="44">
        <v>7.4</v>
      </c>
      <c r="H93" s="44">
        <f t="shared" si="19"/>
        <v>7400</v>
      </c>
      <c r="I93" s="44">
        <v>536</v>
      </c>
      <c r="J93" s="44">
        <v>140</v>
      </c>
      <c r="K93" s="44">
        <f t="shared" si="20"/>
        <v>2.0289855072463769</v>
      </c>
      <c r="L93" s="50">
        <f t="shared" si="21"/>
        <v>3</v>
      </c>
      <c r="M93" s="44">
        <f t="shared" si="15"/>
        <v>7700</v>
      </c>
      <c r="N93" s="44">
        <f t="shared" si="24"/>
        <v>636</v>
      </c>
      <c r="O93" s="159">
        <v>69</v>
      </c>
      <c r="P93" s="44">
        <f t="shared" si="25"/>
        <v>1.0289855072463769</v>
      </c>
      <c r="Q93" s="44">
        <f t="shared" si="26"/>
        <v>4</v>
      </c>
      <c r="R93" s="165" t="s">
        <v>342</v>
      </c>
      <c r="S93" s="50">
        <v>2</v>
      </c>
      <c r="T93" s="166" t="s">
        <v>340</v>
      </c>
      <c r="U93" s="53" t="s">
        <v>221</v>
      </c>
      <c r="V93" s="84">
        <v>45383</v>
      </c>
      <c r="W93" s="238"/>
      <c r="X93" s="239"/>
      <c r="Y93" s="238"/>
      <c r="Z93" s="239"/>
      <c r="AA93" s="240">
        <v>0</v>
      </c>
      <c r="AB93" s="107">
        <f t="shared" si="22"/>
        <v>0</v>
      </c>
      <c r="AC93" s="240">
        <v>0</v>
      </c>
      <c r="AD93" s="107">
        <f t="shared" si="23"/>
        <v>0</v>
      </c>
    </row>
    <row r="94" spans="2:30" ht="15" customHeight="1" x14ac:dyDescent="0.25">
      <c r="B94" s="311"/>
      <c r="C94" s="171">
        <v>50.4</v>
      </c>
      <c r="D94" s="44" t="s">
        <v>130</v>
      </c>
      <c r="E94" s="44" t="s">
        <v>133</v>
      </c>
      <c r="F94" s="154" t="s">
        <v>213</v>
      </c>
      <c r="G94" s="44">
        <v>7.4</v>
      </c>
      <c r="H94" s="44">
        <f t="shared" si="19"/>
        <v>7400</v>
      </c>
      <c r="I94" s="44">
        <v>508</v>
      </c>
      <c r="J94" s="44">
        <v>140</v>
      </c>
      <c r="K94" s="44">
        <f t="shared" si="20"/>
        <v>2.0289855072463769</v>
      </c>
      <c r="L94" s="50">
        <f t="shared" si="21"/>
        <v>3</v>
      </c>
      <c r="M94" s="44">
        <f t="shared" si="15"/>
        <v>7700</v>
      </c>
      <c r="N94" s="44">
        <f t="shared" si="24"/>
        <v>608</v>
      </c>
      <c r="O94" s="159">
        <v>69</v>
      </c>
      <c r="P94" s="44">
        <f t="shared" si="25"/>
        <v>1.0289855072463769</v>
      </c>
      <c r="Q94" s="44">
        <f t="shared" si="26"/>
        <v>4</v>
      </c>
      <c r="R94" s="165" t="s">
        <v>342</v>
      </c>
      <c r="S94" s="50">
        <v>2</v>
      </c>
      <c r="T94" s="166" t="s">
        <v>340</v>
      </c>
      <c r="U94" s="53" t="s">
        <v>221</v>
      </c>
      <c r="V94" s="84">
        <v>45383</v>
      </c>
      <c r="W94" s="238"/>
      <c r="X94" s="239"/>
      <c r="Y94" s="238"/>
      <c r="Z94" s="239"/>
      <c r="AA94" s="240">
        <v>0</v>
      </c>
      <c r="AB94" s="107">
        <f t="shared" si="22"/>
        <v>0</v>
      </c>
      <c r="AC94" s="240">
        <v>0</v>
      </c>
      <c r="AD94" s="107">
        <f t="shared" si="23"/>
        <v>0</v>
      </c>
    </row>
    <row r="95" spans="2:30" ht="15" customHeight="1" x14ac:dyDescent="0.25">
      <c r="B95" s="311"/>
      <c r="C95" s="171">
        <v>50.5</v>
      </c>
      <c r="D95" s="44" t="s">
        <v>130</v>
      </c>
      <c r="E95" s="44" t="s">
        <v>134</v>
      </c>
      <c r="F95" s="154" t="s">
        <v>213</v>
      </c>
      <c r="G95" s="44">
        <v>10.199999999999999</v>
      </c>
      <c r="H95" s="44">
        <f t="shared" si="19"/>
        <v>10200</v>
      </c>
      <c r="I95" s="44">
        <v>531</v>
      </c>
      <c r="J95" s="44">
        <v>140</v>
      </c>
      <c r="K95" s="44">
        <f t="shared" si="20"/>
        <v>2.0289855072463769</v>
      </c>
      <c r="L95" s="50">
        <f t="shared" si="21"/>
        <v>3</v>
      </c>
      <c r="M95" s="44">
        <f t="shared" si="15"/>
        <v>10500</v>
      </c>
      <c r="N95" s="44">
        <f t="shared" si="24"/>
        <v>631</v>
      </c>
      <c r="O95" s="159">
        <v>69</v>
      </c>
      <c r="P95" s="44">
        <f t="shared" si="25"/>
        <v>1.0289855072463769</v>
      </c>
      <c r="Q95" s="44">
        <f t="shared" si="26"/>
        <v>4</v>
      </c>
      <c r="R95" s="165" t="s">
        <v>342</v>
      </c>
      <c r="S95" s="50">
        <v>2</v>
      </c>
      <c r="T95" s="166" t="s">
        <v>340</v>
      </c>
      <c r="U95" s="53" t="s">
        <v>221</v>
      </c>
      <c r="V95" s="84">
        <v>45383</v>
      </c>
      <c r="W95" s="238"/>
      <c r="X95" s="239"/>
      <c r="Y95" s="238"/>
      <c r="Z95" s="239"/>
      <c r="AA95" s="240">
        <v>0</v>
      </c>
      <c r="AB95" s="107">
        <f t="shared" si="22"/>
        <v>0</v>
      </c>
      <c r="AC95" s="240">
        <v>0</v>
      </c>
      <c r="AD95" s="107">
        <f t="shared" si="23"/>
        <v>0</v>
      </c>
    </row>
    <row r="96" spans="2:30" x14ac:dyDescent="0.25">
      <c r="B96" s="311"/>
      <c r="C96" s="171">
        <v>50.6</v>
      </c>
      <c r="D96" s="44" t="s">
        <v>130</v>
      </c>
      <c r="E96" s="44" t="s">
        <v>52</v>
      </c>
      <c r="F96" s="154" t="s">
        <v>213</v>
      </c>
      <c r="G96" s="44">
        <v>7.4</v>
      </c>
      <c r="H96" s="44">
        <f t="shared" si="19"/>
        <v>7400</v>
      </c>
      <c r="I96" s="44">
        <v>431</v>
      </c>
      <c r="J96" s="44">
        <v>140</v>
      </c>
      <c r="K96" s="44">
        <f t="shared" si="20"/>
        <v>2.0289855072463769</v>
      </c>
      <c r="L96" s="50">
        <f t="shared" si="21"/>
        <v>3</v>
      </c>
      <c r="M96" s="44">
        <f t="shared" si="15"/>
        <v>7700</v>
      </c>
      <c r="N96" s="44">
        <f t="shared" si="24"/>
        <v>531</v>
      </c>
      <c r="O96" s="159">
        <v>69</v>
      </c>
      <c r="P96" s="44">
        <f t="shared" si="25"/>
        <v>1.0289855072463769</v>
      </c>
      <c r="Q96" s="44">
        <f t="shared" si="26"/>
        <v>4</v>
      </c>
      <c r="R96" s="165" t="s">
        <v>342</v>
      </c>
      <c r="S96" s="50">
        <v>2</v>
      </c>
      <c r="T96" s="166" t="s">
        <v>340</v>
      </c>
      <c r="U96" s="53" t="s">
        <v>221</v>
      </c>
      <c r="V96" s="84">
        <v>45383</v>
      </c>
      <c r="W96" s="238"/>
      <c r="X96" s="239"/>
      <c r="Y96" s="238"/>
      <c r="Z96" s="239"/>
      <c r="AA96" s="240">
        <v>0</v>
      </c>
      <c r="AB96" s="107">
        <f t="shared" si="22"/>
        <v>0</v>
      </c>
      <c r="AC96" s="240">
        <v>0</v>
      </c>
      <c r="AD96" s="107">
        <f t="shared" si="23"/>
        <v>0</v>
      </c>
    </row>
    <row r="97" spans="2:30" x14ac:dyDescent="0.25">
      <c r="B97" s="311"/>
      <c r="C97" s="171">
        <v>50.7</v>
      </c>
      <c r="D97" s="44" t="s">
        <v>130</v>
      </c>
      <c r="E97" s="44" t="s">
        <v>126</v>
      </c>
      <c r="F97" s="154" t="s">
        <v>213</v>
      </c>
      <c r="G97" s="44">
        <v>7.4</v>
      </c>
      <c r="H97" s="44">
        <f t="shared" si="19"/>
        <v>7400</v>
      </c>
      <c r="I97" s="44">
        <v>431</v>
      </c>
      <c r="J97" s="44">
        <v>140</v>
      </c>
      <c r="K97" s="44">
        <f t="shared" si="20"/>
        <v>2.0289855072463769</v>
      </c>
      <c r="L97" s="50">
        <f t="shared" si="21"/>
        <v>3</v>
      </c>
      <c r="M97" s="44">
        <f t="shared" si="15"/>
        <v>7700</v>
      </c>
      <c r="N97" s="44">
        <f t="shared" si="24"/>
        <v>531</v>
      </c>
      <c r="O97" s="159">
        <v>69</v>
      </c>
      <c r="P97" s="44">
        <f t="shared" si="25"/>
        <v>1.0289855072463769</v>
      </c>
      <c r="Q97" s="44">
        <f t="shared" si="26"/>
        <v>4</v>
      </c>
      <c r="R97" s="165" t="s">
        <v>342</v>
      </c>
      <c r="S97" s="50">
        <v>2</v>
      </c>
      <c r="T97" s="166" t="s">
        <v>340</v>
      </c>
      <c r="U97" s="53" t="s">
        <v>221</v>
      </c>
      <c r="V97" s="84">
        <v>45383</v>
      </c>
      <c r="W97" s="238"/>
      <c r="X97" s="239"/>
      <c r="Y97" s="238"/>
      <c r="Z97" s="239"/>
      <c r="AA97" s="240">
        <v>0</v>
      </c>
      <c r="AB97" s="107">
        <f t="shared" si="22"/>
        <v>0</v>
      </c>
      <c r="AC97" s="240">
        <v>0</v>
      </c>
      <c r="AD97" s="107">
        <f t="shared" si="23"/>
        <v>0</v>
      </c>
    </row>
    <row r="98" spans="2:30" x14ac:dyDescent="0.25">
      <c r="B98" s="311"/>
      <c r="C98" s="171">
        <v>51.4</v>
      </c>
      <c r="D98" s="44" t="s">
        <v>130</v>
      </c>
      <c r="E98" s="44" t="s">
        <v>52</v>
      </c>
      <c r="F98" s="154" t="s">
        <v>213</v>
      </c>
      <c r="G98" s="44">
        <v>7.4</v>
      </c>
      <c r="H98" s="44">
        <f t="shared" si="19"/>
        <v>7400</v>
      </c>
      <c r="I98" s="44">
        <v>431</v>
      </c>
      <c r="J98" s="44">
        <v>140</v>
      </c>
      <c r="K98" s="44">
        <f t="shared" si="20"/>
        <v>2.0289855072463769</v>
      </c>
      <c r="L98" s="50">
        <f t="shared" si="21"/>
        <v>3</v>
      </c>
      <c r="M98" s="44">
        <f t="shared" si="15"/>
        <v>7700</v>
      </c>
      <c r="N98" s="44">
        <f t="shared" si="24"/>
        <v>531</v>
      </c>
      <c r="O98" s="159">
        <v>69</v>
      </c>
      <c r="P98" s="44">
        <f t="shared" si="25"/>
        <v>1.0289855072463769</v>
      </c>
      <c r="Q98" s="44">
        <f t="shared" si="26"/>
        <v>4</v>
      </c>
      <c r="R98" s="165" t="s">
        <v>342</v>
      </c>
      <c r="S98" s="50">
        <v>2</v>
      </c>
      <c r="T98" s="166" t="s">
        <v>340</v>
      </c>
      <c r="U98" s="53" t="s">
        <v>221</v>
      </c>
      <c r="V98" s="84">
        <v>45383</v>
      </c>
      <c r="W98" s="238"/>
      <c r="X98" s="239"/>
      <c r="Y98" s="238"/>
      <c r="Z98" s="239"/>
      <c r="AA98" s="240">
        <v>0</v>
      </c>
      <c r="AB98" s="107">
        <f t="shared" si="22"/>
        <v>0</v>
      </c>
      <c r="AC98" s="240">
        <v>0</v>
      </c>
      <c r="AD98" s="107">
        <f t="shared" si="23"/>
        <v>0</v>
      </c>
    </row>
    <row r="99" spans="2:30" x14ac:dyDescent="0.25">
      <c r="B99" s="311"/>
      <c r="C99" s="171">
        <v>51.5</v>
      </c>
      <c r="D99" s="44" t="s">
        <v>130</v>
      </c>
      <c r="E99" s="44" t="s">
        <v>52</v>
      </c>
      <c r="F99" s="154" t="s">
        <v>213</v>
      </c>
      <c r="G99" s="44">
        <v>7.4</v>
      </c>
      <c r="H99" s="44">
        <f t="shared" si="19"/>
        <v>7400</v>
      </c>
      <c r="I99" s="44">
        <v>431</v>
      </c>
      <c r="J99" s="44">
        <v>140</v>
      </c>
      <c r="K99" s="44">
        <f t="shared" si="20"/>
        <v>2.0289855072463769</v>
      </c>
      <c r="L99" s="50">
        <f t="shared" si="21"/>
        <v>3</v>
      </c>
      <c r="M99" s="44">
        <f t="shared" si="15"/>
        <v>7700</v>
      </c>
      <c r="N99" s="44">
        <f t="shared" si="24"/>
        <v>531</v>
      </c>
      <c r="O99" s="159">
        <v>69</v>
      </c>
      <c r="P99" s="44">
        <f t="shared" si="25"/>
        <v>1.0289855072463769</v>
      </c>
      <c r="Q99" s="44">
        <f t="shared" si="26"/>
        <v>4</v>
      </c>
      <c r="R99" s="165" t="s">
        <v>342</v>
      </c>
      <c r="S99" s="50">
        <v>2</v>
      </c>
      <c r="T99" s="166" t="s">
        <v>340</v>
      </c>
      <c r="U99" s="53" t="s">
        <v>221</v>
      </c>
      <c r="V99" s="84">
        <v>45383</v>
      </c>
      <c r="W99" s="238"/>
      <c r="X99" s="239"/>
      <c r="Y99" s="238"/>
      <c r="Z99" s="239"/>
      <c r="AA99" s="240">
        <v>0</v>
      </c>
      <c r="AB99" s="107">
        <f t="shared" si="22"/>
        <v>0</v>
      </c>
      <c r="AC99" s="240">
        <v>0</v>
      </c>
      <c r="AD99" s="107">
        <f t="shared" si="23"/>
        <v>0</v>
      </c>
    </row>
    <row r="100" spans="2:30" x14ac:dyDescent="0.25">
      <c r="B100" s="311"/>
      <c r="C100" s="171">
        <v>51.6</v>
      </c>
      <c r="D100" s="44" t="s">
        <v>130</v>
      </c>
      <c r="E100" s="44" t="s">
        <v>52</v>
      </c>
      <c r="F100" s="154" t="s">
        <v>213</v>
      </c>
      <c r="G100" s="44">
        <v>10.3</v>
      </c>
      <c r="H100" s="44">
        <f t="shared" si="19"/>
        <v>10300</v>
      </c>
      <c r="I100" s="44">
        <v>431</v>
      </c>
      <c r="J100" s="44">
        <v>140</v>
      </c>
      <c r="K100" s="44">
        <f t="shared" si="20"/>
        <v>2.0289855072463769</v>
      </c>
      <c r="L100" s="50">
        <f t="shared" si="21"/>
        <v>3</v>
      </c>
      <c r="M100" s="44">
        <f t="shared" si="15"/>
        <v>10600</v>
      </c>
      <c r="N100" s="44">
        <f t="shared" si="24"/>
        <v>531</v>
      </c>
      <c r="O100" s="159">
        <v>69</v>
      </c>
      <c r="P100" s="44">
        <f t="shared" si="25"/>
        <v>1.0289855072463769</v>
      </c>
      <c r="Q100" s="44">
        <f t="shared" si="26"/>
        <v>4</v>
      </c>
      <c r="R100" s="165" t="s">
        <v>342</v>
      </c>
      <c r="S100" s="50">
        <v>2</v>
      </c>
      <c r="T100" s="166" t="s">
        <v>340</v>
      </c>
      <c r="U100" s="53" t="s">
        <v>221</v>
      </c>
      <c r="V100" s="84">
        <v>45383</v>
      </c>
      <c r="W100" s="238"/>
      <c r="X100" s="239"/>
      <c r="Y100" s="238"/>
      <c r="Z100" s="239"/>
      <c r="AA100" s="240">
        <v>0</v>
      </c>
      <c r="AB100" s="107">
        <f t="shared" si="22"/>
        <v>0</v>
      </c>
      <c r="AC100" s="240">
        <v>0</v>
      </c>
      <c r="AD100" s="107">
        <f t="shared" si="23"/>
        <v>0</v>
      </c>
    </row>
    <row r="101" spans="2:30" x14ac:dyDescent="0.25">
      <c r="B101" s="311"/>
      <c r="C101" s="171">
        <v>51.7</v>
      </c>
      <c r="D101" s="44" t="s">
        <v>130</v>
      </c>
      <c r="E101" s="44" t="s">
        <v>126</v>
      </c>
      <c r="F101" s="154" t="s">
        <v>213</v>
      </c>
      <c r="G101" s="44">
        <v>7.4</v>
      </c>
      <c r="H101" s="44">
        <f t="shared" si="19"/>
        <v>7400</v>
      </c>
      <c r="I101" s="44">
        <v>431</v>
      </c>
      <c r="J101" s="44">
        <v>140</v>
      </c>
      <c r="K101" s="44">
        <f t="shared" si="20"/>
        <v>2.0289855072463769</v>
      </c>
      <c r="L101" s="50">
        <f t="shared" si="21"/>
        <v>3</v>
      </c>
      <c r="M101" s="44">
        <f t="shared" si="15"/>
        <v>7700</v>
      </c>
      <c r="N101" s="44">
        <f t="shared" si="24"/>
        <v>531</v>
      </c>
      <c r="O101" s="159">
        <v>69</v>
      </c>
      <c r="P101" s="44">
        <f t="shared" si="25"/>
        <v>1.0289855072463769</v>
      </c>
      <c r="Q101" s="44">
        <f t="shared" si="26"/>
        <v>4</v>
      </c>
      <c r="R101" s="165" t="s">
        <v>342</v>
      </c>
      <c r="S101" s="50">
        <v>2</v>
      </c>
      <c r="T101" s="166" t="s">
        <v>340</v>
      </c>
      <c r="U101" s="53" t="s">
        <v>221</v>
      </c>
      <c r="V101" s="84">
        <v>45383</v>
      </c>
      <c r="W101" s="238"/>
      <c r="X101" s="239"/>
      <c r="Y101" s="238"/>
      <c r="Z101" s="239"/>
      <c r="AA101" s="240">
        <v>0</v>
      </c>
      <c r="AB101" s="107">
        <f t="shared" si="22"/>
        <v>0</v>
      </c>
      <c r="AC101" s="240">
        <v>0</v>
      </c>
      <c r="AD101" s="107">
        <f t="shared" si="23"/>
        <v>0</v>
      </c>
    </row>
    <row r="102" spans="2:30" s="66" customFormat="1" ht="15.75" thickBot="1" x14ac:dyDescent="0.3">
      <c r="B102" s="313"/>
      <c r="C102" s="185" t="s">
        <v>259</v>
      </c>
      <c r="D102" s="179"/>
      <c r="E102" s="179"/>
      <c r="F102" s="179"/>
      <c r="G102" s="179"/>
      <c r="H102" s="179"/>
      <c r="I102" s="179"/>
      <c r="J102" s="179"/>
      <c r="K102" s="179"/>
      <c r="L102" s="179"/>
      <c r="M102" s="179"/>
      <c r="N102" s="179"/>
      <c r="O102" s="179"/>
      <c r="P102" s="179"/>
      <c r="Q102" s="179">
        <f>SUM(Q75:Q101)</f>
        <v>92</v>
      </c>
      <c r="R102" s="186"/>
      <c r="S102" s="180">
        <f>SUM(S75:S101)</f>
        <v>54</v>
      </c>
      <c r="T102" s="180"/>
      <c r="U102" s="180"/>
      <c r="V102" s="181"/>
      <c r="W102" s="181"/>
      <c r="X102" s="182"/>
      <c r="Y102" s="181"/>
      <c r="Z102" s="182"/>
      <c r="AA102" s="181"/>
      <c r="AB102" s="183">
        <f>SUM(AB75:AB101)</f>
        <v>0</v>
      </c>
      <c r="AC102" s="181"/>
      <c r="AD102" s="184">
        <f>SUM(AD75:AD101)</f>
        <v>0</v>
      </c>
    </row>
    <row r="103" spans="2:30" ht="15" customHeight="1" x14ac:dyDescent="0.25">
      <c r="B103" s="310" t="s">
        <v>348</v>
      </c>
      <c r="C103" s="171">
        <v>52.3</v>
      </c>
      <c r="D103" s="44" t="s">
        <v>48</v>
      </c>
      <c r="E103" s="44" t="s">
        <v>126</v>
      </c>
      <c r="F103" s="154" t="s">
        <v>213</v>
      </c>
      <c r="G103" s="44">
        <v>7.4</v>
      </c>
      <c r="H103" s="44">
        <f t="shared" ref="H103:H131" si="27">CONVERT(G103,"m","mm")</f>
        <v>7400</v>
      </c>
      <c r="I103" s="44">
        <v>431</v>
      </c>
      <c r="J103" s="44">
        <v>140</v>
      </c>
      <c r="K103" s="44">
        <f t="shared" si="20"/>
        <v>2.0289855072463769</v>
      </c>
      <c r="L103" s="50">
        <f t="shared" ref="L103:L131" si="28">ROUNDUP(K103,0)</f>
        <v>3</v>
      </c>
      <c r="M103" s="44">
        <f t="shared" si="15"/>
        <v>7700</v>
      </c>
      <c r="N103" s="44">
        <f t="shared" si="24"/>
        <v>531</v>
      </c>
      <c r="O103" s="44">
        <v>69</v>
      </c>
      <c r="P103" s="44">
        <f t="shared" ref="P103:P131" si="29">(K103-1)</f>
        <v>1.0289855072463769</v>
      </c>
      <c r="Q103" s="44">
        <f>(L103-1)*2</f>
        <v>4</v>
      </c>
      <c r="R103" s="165" t="s">
        <v>342</v>
      </c>
      <c r="S103" s="50">
        <v>2</v>
      </c>
      <c r="T103" s="166" t="s">
        <v>340</v>
      </c>
      <c r="U103" s="53" t="s">
        <v>221</v>
      </c>
      <c r="V103" s="84">
        <v>45505</v>
      </c>
      <c r="W103" s="238"/>
      <c r="X103" s="239"/>
      <c r="Y103" s="238"/>
      <c r="Z103" s="239"/>
      <c r="AA103" s="240">
        <v>0</v>
      </c>
      <c r="AB103" s="107">
        <f t="shared" ref="AB103:AB131" si="30">(AA103*Q103)</f>
        <v>0</v>
      </c>
      <c r="AC103" s="240">
        <v>0</v>
      </c>
      <c r="AD103" s="107">
        <f t="shared" ref="AD103:AD131" si="31">(AC103*S103)</f>
        <v>0</v>
      </c>
    </row>
    <row r="104" spans="2:30" x14ac:dyDescent="0.25">
      <c r="B104" s="311"/>
      <c r="C104" s="171">
        <v>52.4</v>
      </c>
      <c r="D104" s="44" t="s">
        <v>48</v>
      </c>
      <c r="E104" s="44" t="s">
        <v>52</v>
      </c>
      <c r="F104" s="154" t="s">
        <v>213</v>
      </c>
      <c r="G104" s="44">
        <v>7.4</v>
      </c>
      <c r="H104" s="44">
        <f t="shared" si="27"/>
        <v>7400</v>
      </c>
      <c r="I104" s="44">
        <v>431</v>
      </c>
      <c r="J104" s="44">
        <v>140</v>
      </c>
      <c r="K104" s="44">
        <f t="shared" si="20"/>
        <v>2.0289855072463769</v>
      </c>
      <c r="L104" s="50">
        <f t="shared" si="28"/>
        <v>3</v>
      </c>
      <c r="M104" s="44">
        <f t="shared" si="15"/>
        <v>7700</v>
      </c>
      <c r="N104" s="44">
        <f t="shared" si="24"/>
        <v>531</v>
      </c>
      <c r="O104" s="159">
        <v>69</v>
      </c>
      <c r="P104" s="44">
        <f t="shared" si="29"/>
        <v>1.0289855072463769</v>
      </c>
      <c r="Q104" s="44">
        <f t="shared" ref="Q104:Q131" si="32">(L104-1)*2</f>
        <v>4</v>
      </c>
      <c r="R104" s="165" t="s">
        <v>342</v>
      </c>
      <c r="S104" s="50">
        <v>2</v>
      </c>
      <c r="T104" s="166" t="s">
        <v>340</v>
      </c>
      <c r="U104" s="53" t="s">
        <v>221</v>
      </c>
      <c r="V104" s="84">
        <v>45505</v>
      </c>
      <c r="W104" s="238"/>
      <c r="X104" s="239"/>
      <c r="Y104" s="238"/>
      <c r="Z104" s="239"/>
      <c r="AA104" s="240">
        <v>0</v>
      </c>
      <c r="AB104" s="107">
        <f t="shared" si="30"/>
        <v>0</v>
      </c>
      <c r="AC104" s="240">
        <v>0</v>
      </c>
      <c r="AD104" s="107">
        <f t="shared" si="31"/>
        <v>0</v>
      </c>
    </row>
    <row r="105" spans="2:30" x14ac:dyDescent="0.25">
      <c r="B105" s="311"/>
      <c r="C105" s="171">
        <v>52.5</v>
      </c>
      <c r="D105" s="44" t="s">
        <v>48</v>
      </c>
      <c r="E105" s="44" t="s">
        <v>52</v>
      </c>
      <c r="F105" s="154" t="s">
        <v>213</v>
      </c>
      <c r="G105" s="44">
        <v>7.4</v>
      </c>
      <c r="H105" s="44">
        <f t="shared" si="27"/>
        <v>7400</v>
      </c>
      <c r="I105" s="44">
        <v>431</v>
      </c>
      <c r="J105" s="44">
        <v>140</v>
      </c>
      <c r="K105" s="44">
        <f t="shared" si="20"/>
        <v>2.0289855072463769</v>
      </c>
      <c r="L105" s="50">
        <f t="shared" si="28"/>
        <v>3</v>
      </c>
      <c r="M105" s="44">
        <f t="shared" si="15"/>
        <v>7700</v>
      </c>
      <c r="N105" s="44">
        <f t="shared" si="24"/>
        <v>531</v>
      </c>
      <c r="O105" s="159">
        <v>69</v>
      </c>
      <c r="P105" s="44">
        <f t="shared" si="29"/>
        <v>1.0289855072463769</v>
      </c>
      <c r="Q105" s="44">
        <f t="shared" si="32"/>
        <v>4</v>
      </c>
      <c r="R105" s="165" t="s">
        <v>342</v>
      </c>
      <c r="S105" s="50">
        <v>2</v>
      </c>
      <c r="T105" s="166" t="s">
        <v>340</v>
      </c>
      <c r="U105" s="53" t="s">
        <v>221</v>
      </c>
      <c r="V105" s="84">
        <v>45505</v>
      </c>
      <c r="W105" s="238"/>
      <c r="X105" s="239"/>
      <c r="Y105" s="238"/>
      <c r="Z105" s="239"/>
      <c r="AA105" s="240">
        <v>0</v>
      </c>
      <c r="AB105" s="107">
        <f t="shared" si="30"/>
        <v>0</v>
      </c>
      <c r="AC105" s="240">
        <v>0</v>
      </c>
      <c r="AD105" s="107">
        <f t="shared" si="31"/>
        <v>0</v>
      </c>
    </row>
    <row r="106" spans="2:30" x14ac:dyDescent="0.25">
      <c r="B106" s="311"/>
      <c r="C106" s="171">
        <v>52.6</v>
      </c>
      <c r="D106" s="44" t="s">
        <v>48</v>
      </c>
      <c r="E106" s="44" t="s">
        <v>52</v>
      </c>
      <c r="F106" s="154" t="s">
        <v>213</v>
      </c>
      <c r="G106" s="44">
        <v>10.3</v>
      </c>
      <c r="H106" s="44">
        <f t="shared" si="27"/>
        <v>10300</v>
      </c>
      <c r="I106" s="44">
        <v>431</v>
      </c>
      <c r="J106" s="44">
        <v>140</v>
      </c>
      <c r="K106" s="44">
        <f t="shared" si="20"/>
        <v>2.0289855072463769</v>
      </c>
      <c r="L106" s="50">
        <f t="shared" si="28"/>
        <v>3</v>
      </c>
      <c r="M106" s="44">
        <f t="shared" si="15"/>
        <v>10600</v>
      </c>
      <c r="N106" s="44">
        <f t="shared" si="24"/>
        <v>531</v>
      </c>
      <c r="O106" s="159">
        <v>69</v>
      </c>
      <c r="P106" s="44">
        <f t="shared" si="29"/>
        <v>1.0289855072463769</v>
      </c>
      <c r="Q106" s="44">
        <f t="shared" si="32"/>
        <v>4</v>
      </c>
      <c r="R106" s="165" t="s">
        <v>342</v>
      </c>
      <c r="S106" s="50">
        <v>2</v>
      </c>
      <c r="T106" s="166" t="s">
        <v>340</v>
      </c>
      <c r="U106" s="53" t="s">
        <v>221</v>
      </c>
      <c r="V106" s="84">
        <v>45505</v>
      </c>
      <c r="W106" s="238"/>
      <c r="X106" s="239"/>
      <c r="Y106" s="238"/>
      <c r="Z106" s="239"/>
      <c r="AA106" s="240">
        <v>0</v>
      </c>
      <c r="AB106" s="107">
        <f t="shared" si="30"/>
        <v>0</v>
      </c>
      <c r="AC106" s="240">
        <v>0</v>
      </c>
      <c r="AD106" s="107">
        <f t="shared" si="31"/>
        <v>0</v>
      </c>
    </row>
    <row r="107" spans="2:30" x14ac:dyDescent="0.25">
      <c r="B107" s="311"/>
      <c r="C107" s="171">
        <v>52.7</v>
      </c>
      <c r="D107" s="44" t="s">
        <v>48</v>
      </c>
      <c r="E107" s="44" t="s">
        <v>126</v>
      </c>
      <c r="F107" s="154" t="s">
        <v>213</v>
      </c>
      <c r="G107" s="44">
        <v>7.4</v>
      </c>
      <c r="H107" s="44">
        <f t="shared" si="27"/>
        <v>7400</v>
      </c>
      <c r="I107" s="44">
        <v>431</v>
      </c>
      <c r="J107" s="44">
        <v>140</v>
      </c>
      <c r="K107" s="44">
        <f t="shared" si="20"/>
        <v>2.0289855072463769</v>
      </c>
      <c r="L107" s="50">
        <f t="shared" si="28"/>
        <v>3</v>
      </c>
      <c r="M107" s="44">
        <f t="shared" si="15"/>
        <v>7700</v>
      </c>
      <c r="N107" s="44">
        <f t="shared" si="24"/>
        <v>531</v>
      </c>
      <c r="O107" s="159">
        <v>69</v>
      </c>
      <c r="P107" s="44">
        <f t="shared" si="29"/>
        <v>1.0289855072463769</v>
      </c>
      <c r="Q107" s="44">
        <f t="shared" si="32"/>
        <v>4</v>
      </c>
      <c r="R107" s="165" t="s">
        <v>342</v>
      </c>
      <c r="S107" s="50">
        <v>2</v>
      </c>
      <c r="T107" s="166" t="s">
        <v>340</v>
      </c>
      <c r="U107" s="53" t="s">
        <v>221</v>
      </c>
      <c r="V107" s="84">
        <v>45505</v>
      </c>
      <c r="W107" s="238"/>
      <c r="X107" s="239"/>
      <c r="Y107" s="238"/>
      <c r="Z107" s="239"/>
      <c r="AA107" s="240">
        <v>0</v>
      </c>
      <c r="AB107" s="107">
        <f t="shared" si="30"/>
        <v>0</v>
      </c>
      <c r="AC107" s="240">
        <v>0</v>
      </c>
      <c r="AD107" s="107">
        <f t="shared" si="31"/>
        <v>0</v>
      </c>
    </row>
    <row r="108" spans="2:30" ht="15" customHeight="1" x14ac:dyDescent="0.25">
      <c r="B108" s="311"/>
      <c r="C108" s="171">
        <v>53.4</v>
      </c>
      <c r="D108" s="44" t="s">
        <v>48</v>
      </c>
      <c r="E108" s="44" t="s">
        <v>121</v>
      </c>
      <c r="F108" s="154" t="s">
        <v>213</v>
      </c>
      <c r="G108" s="44">
        <v>7.4</v>
      </c>
      <c r="H108" s="44">
        <f t="shared" si="27"/>
        <v>7400</v>
      </c>
      <c r="I108" s="44">
        <v>420</v>
      </c>
      <c r="J108" s="44">
        <v>114.3</v>
      </c>
      <c r="K108" s="44">
        <f t="shared" si="20"/>
        <v>1.6565217391304348</v>
      </c>
      <c r="L108" s="50">
        <f t="shared" si="28"/>
        <v>2</v>
      </c>
      <c r="M108" s="44">
        <f t="shared" si="15"/>
        <v>7700</v>
      </c>
      <c r="N108" s="44">
        <f t="shared" si="24"/>
        <v>520</v>
      </c>
      <c r="O108" s="159">
        <v>69</v>
      </c>
      <c r="P108" s="44">
        <f t="shared" si="29"/>
        <v>0.65652173913043477</v>
      </c>
      <c r="Q108" s="44">
        <f t="shared" si="32"/>
        <v>2</v>
      </c>
      <c r="R108" s="165" t="s">
        <v>342</v>
      </c>
      <c r="S108" s="50">
        <v>2</v>
      </c>
      <c r="T108" s="166" t="s">
        <v>340</v>
      </c>
      <c r="U108" s="53" t="s">
        <v>221</v>
      </c>
      <c r="V108" s="84">
        <v>45505</v>
      </c>
      <c r="W108" s="238"/>
      <c r="X108" s="239"/>
      <c r="Y108" s="238"/>
      <c r="Z108" s="239"/>
      <c r="AA108" s="240">
        <v>0</v>
      </c>
      <c r="AB108" s="107">
        <f t="shared" si="30"/>
        <v>0</v>
      </c>
      <c r="AC108" s="240">
        <v>0</v>
      </c>
      <c r="AD108" s="107">
        <f t="shared" si="31"/>
        <v>0</v>
      </c>
    </row>
    <row r="109" spans="2:30" ht="15" customHeight="1" x14ac:dyDescent="0.25">
      <c r="B109" s="311"/>
      <c r="C109" s="171">
        <v>53.5</v>
      </c>
      <c r="D109" s="44" t="s">
        <v>48</v>
      </c>
      <c r="E109" s="44" t="s">
        <v>122</v>
      </c>
      <c r="F109" s="154" t="s">
        <v>213</v>
      </c>
      <c r="G109" s="44">
        <v>7.4</v>
      </c>
      <c r="H109" s="44">
        <f t="shared" si="27"/>
        <v>7400</v>
      </c>
      <c r="I109" s="44">
        <v>412</v>
      </c>
      <c r="J109" s="44">
        <v>114.3</v>
      </c>
      <c r="K109" s="44">
        <f t="shared" si="20"/>
        <v>1.6565217391304348</v>
      </c>
      <c r="L109" s="50">
        <f t="shared" si="28"/>
        <v>2</v>
      </c>
      <c r="M109" s="44">
        <f t="shared" si="15"/>
        <v>7700</v>
      </c>
      <c r="N109" s="44">
        <f t="shared" si="24"/>
        <v>512</v>
      </c>
      <c r="O109" s="159">
        <v>69</v>
      </c>
      <c r="P109" s="44">
        <f t="shared" si="29"/>
        <v>0.65652173913043477</v>
      </c>
      <c r="Q109" s="44">
        <f t="shared" si="32"/>
        <v>2</v>
      </c>
      <c r="R109" s="165" t="s">
        <v>342</v>
      </c>
      <c r="S109" s="50">
        <v>2</v>
      </c>
      <c r="T109" s="166" t="s">
        <v>340</v>
      </c>
      <c r="U109" s="53" t="s">
        <v>221</v>
      </c>
      <c r="V109" s="84">
        <v>45505</v>
      </c>
      <c r="W109" s="238"/>
      <c r="X109" s="239"/>
      <c r="Y109" s="238"/>
      <c r="Z109" s="239"/>
      <c r="AA109" s="240">
        <v>0</v>
      </c>
      <c r="AB109" s="107">
        <f t="shared" si="30"/>
        <v>0</v>
      </c>
      <c r="AC109" s="240">
        <v>0</v>
      </c>
      <c r="AD109" s="107">
        <f t="shared" si="31"/>
        <v>0</v>
      </c>
    </row>
    <row r="110" spans="2:30" ht="15" customHeight="1" x14ac:dyDescent="0.25">
      <c r="B110" s="311"/>
      <c r="C110" s="171">
        <v>53.6</v>
      </c>
      <c r="D110" s="44" t="s">
        <v>48</v>
      </c>
      <c r="E110" s="44" t="s">
        <v>123</v>
      </c>
      <c r="F110" s="154" t="s">
        <v>212</v>
      </c>
      <c r="G110" s="44">
        <v>4.8</v>
      </c>
      <c r="H110" s="44">
        <f t="shared" si="27"/>
        <v>4800</v>
      </c>
      <c r="I110" s="44">
        <v>344</v>
      </c>
      <c r="J110" s="44">
        <v>114.3</v>
      </c>
      <c r="K110" s="44">
        <f t="shared" si="20"/>
        <v>1.6565217391304348</v>
      </c>
      <c r="L110" s="50">
        <f t="shared" si="28"/>
        <v>2</v>
      </c>
      <c r="M110" s="44">
        <f t="shared" si="15"/>
        <v>5100</v>
      </c>
      <c r="N110" s="44">
        <f t="shared" si="24"/>
        <v>444</v>
      </c>
      <c r="O110" s="159">
        <v>69</v>
      </c>
      <c r="P110" s="44">
        <f t="shared" si="29"/>
        <v>0.65652173913043477</v>
      </c>
      <c r="Q110" s="44">
        <f t="shared" si="32"/>
        <v>2</v>
      </c>
      <c r="R110" s="162" t="s">
        <v>341</v>
      </c>
      <c r="S110" s="50">
        <v>2</v>
      </c>
      <c r="T110" s="161" t="s">
        <v>339</v>
      </c>
      <c r="U110" s="53" t="s">
        <v>221</v>
      </c>
      <c r="V110" s="84">
        <v>45505</v>
      </c>
      <c r="W110" s="238"/>
      <c r="X110" s="239"/>
      <c r="Y110" s="238"/>
      <c r="Z110" s="239"/>
      <c r="AA110" s="240">
        <v>0</v>
      </c>
      <c r="AB110" s="107">
        <f t="shared" si="30"/>
        <v>0</v>
      </c>
      <c r="AC110" s="240">
        <v>0</v>
      </c>
      <c r="AD110" s="107">
        <f t="shared" si="31"/>
        <v>0</v>
      </c>
    </row>
    <row r="111" spans="2:30" ht="15" customHeight="1" x14ac:dyDescent="0.25">
      <c r="B111" s="311"/>
      <c r="C111" s="171">
        <v>53.7</v>
      </c>
      <c r="D111" s="44" t="s">
        <v>48</v>
      </c>
      <c r="E111" s="44" t="s">
        <v>124</v>
      </c>
      <c r="F111" s="154" t="s">
        <v>212</v>
      </c>
      <c r="G111" s="44">
        <v>4.9000000000000004</v>
      </c>
      <c r="H111" s="44">
        <f t="shared" si="27"/>
        <v>4900</v>
      </c>
      <c r="I111" s="44">
        <v>381</v>
      </c>
      <c r="J111" s="44">
        <v>114.3</v>
      </c>
      <c r="K111" s="44">
        <f t="shared" si="20"/>
        <v>1.6565217391304348</v>
      </c>
      <c r="L111" s="50">
        <f t="shared" si="28"/>
        <v>2</v>
      </c>
      <c r="M111" s="44">
        <f t="shared" si="15"/>
        <v>5200</v>
      </c>
      <c r="N111" s="44">
        <f t="shared" si="24"/>
        <v>481</v>
      </c>
      <c r="O111" s="159">
        <v>69</v>
      </c>
      <c r="P111" s="44">
        <f t="shared" si="29"/>
        <v>0.65652173913043477</v>
      </c>
      <c r="Q111" s="44">
        <f t="shared" si="32"/>
        <v>2</v>
      </c>
      <c r="R111" s="162" t="s">
        <v>341</v>
      </c>
      <c r="S111" s="50">
        <v>2</v>
      </c>
      <c r="T111" s="161" t="s">
        <v>339</v>
      </c>
      <c r="U111" s="53" t="s">
        <v>221</v>
      </c>
      <c r="V111" s="84">
        <v>45505</v>
      </c>
      <c r="W111" s="238"/>
      <c r="X111" s="239"/>
      <c r="Y111" s="238"/>
      <c r="Z111" s="239"/>
      <c r="AA111" s="240">
        <v>0</v>
      </c>
      <c r="AB111" s="107">
        <f t="shared" si="30"/>
        <v>0</v>
      </c>
      <c r="AC111" s="240">
        <v>0</v>
      </c>
      <c r="AD111" s="107">
        <f t="shared" si="31"/>
        <v>0</v>
      </c>
    </row>
    <row r="112" spans="2:30" ht="15" customHeight="1" x14ac:dyDescent="0.25">
      <c r="B112" s="311"/>
      <c r="C112" s="171">
        <v>53.8</v>
      </c>
      <c r="D112" s="44" t="s">
        <v>48</v>
      </c>
      <c r="E112" s="44" t="s">
        <v>125</v>
      </c>
      <c r="F112" s="154" t="s">
        <v>213</v>
      </c>
      <c r="G112" s="44">
        <v>7.4</v>
      </c>
      <c r="H112" s="44">
        <f t="shared" si="27"/>
        <v>7400</v>
      </c>
      <c r="I112" s="44">
        <v>347</v>
      </c>
      <c r="J112" s="44">
        <v>114.3</v>
      </c>
      <c r="K112" s="44">
        <f t="shared" si="20"/>
        <v>1.6565217391304348</v>
      </c>
      <c r="L112" s="50">
        <f t="shared" si="28"/>
        <v>2</v>
      </c>
      <c r="M112" s="44">
        <f t="shared" si="15"/>
        <v>7700</v>
      </c>
      <c r="N112" s="44">
        <f t="shared" si="24"/>
        <v>447</v>
      </c>
      <c r="O112" s="159">
        <v>69</v>
      </c>
      <c r="P112" s="44">
        <f t="shared" si="29"/>
        <v>0.65652173913043477</v>
      </c>
      <c r="Q112" s="44">
        <f t="shared" si="32"/>
        <v>2</v>
      </c>
      <c r="R112" s="165" t="s">
        <v>342</v>
      </c>
      <c r="S112" s="50">
        <v>2</v>
      </c>
      <c r="T112" s="166" t="s">
        <v>340</v>
      </c>
      <c r="U112" s="53" t="s">
        <v>221</v>
      </c>
      <c r="V112" s="84">
        <v>45505</v>
      </c>
      <c r="W112" s="238"/>
      <c r="X112" s="239"/>
      <c r="Y112" s="238"/>
      <c r="Z112" s="239"/>
      <c r="AA112" s="240">
        <v>0</v>
      </c>
      <c r="AB112" s="107">
        <f t="shared" si="30"/>
        <v>0</v>
      </c>
      <c r="AC112" s="240">
        <v>0</v>
      </c>
      <c r="AD112" s="107">
        <f t="shared" si="31"/>
        <v>0</v>
      </c>
    </row>
    <row r="113" spans="2:30" x14ac:dyDescent="0.25">
      <c r="B113" s="311"/>
      <c r="C113" s="171">
        <v>53.9</v>
      </c>
      <c r="D113" s="44" t="s">
        <v>48</v>
      </c>
      <c r="E113" s="44" t="s">
        <v>126</v>
      </c>
      <c r="F113" s="154" t="s">
        <v>212</v>
      </c>
      <c r="G113" s="44">
        <v>4.5</v>
      </c>
      <c r="H113" s="44">
        <f t="shared" si="27"/>
        <v>4500</v>
      </c>
      <c r="I113" s="44">
        <v>288</v>
      </c>
      <c r="J113" s="44">
        <v>114.3</v>
      </c>
      <c r="K113" s="44">
        <f t="shared" si="20"/>
        <v>1.6565217391304348</v>
      </c>
      <c r="L113" s="50">
        <f t="shared" si="28"/>
        <v>2</v>
      </c>
      <c r="M113" s="44">
        <f t="shared" si="15"/>
        <v>4800</v>
      </c>
      <c r="N113" s="44">
        <f t="shared" si="24"/>
        <v>388</v>
      </c>
      <c r="O113" s="159">
        <v>69</v>
      </c>
      <c r="P113" s="44">
        <f t="shared" si="29"/>
        <v>0.65652173913043477</v>
      </c>
      <c r="Q113" s="44">
        <f t="shared" si="32"/>
        <v>2</v>
      </c>
      <c r="R113" s="162" t="s">
        <v>341</v>
      </c>
      <c r="S113" s="50">
        <v>2</v>
      </c>
      <c r="T113" s="161" t="s">
        <v>339</v>
      </c>
      <c r="U113" s="53" t="s">
        <v>221</v>
      </c>
      <c r="V113" s="84">
        <v>45505</v>
      </c>
      <c r="W113" s="238"/>
      <c r="X113" s="239"/>
      <c r="Y113" s="238"/>
      <c r="Z113" s="239"/>
      <c r="AA113" s="240">
        <v>0</v>
      </c>
      <c r="AB113" s="107">
        <f t="shared" si="30"/>
        <v>0</v>
      </c>
      <c r="AC113" s="240">
        <v>0</v>
      </c>
      <c r="AD113" s="107">
        <f t="shared" si="31"/>
        <v>0</v>
      </c>
    </row>
    <row r="114" spans="2:30" x14ac:dyDescent="0.25">
      <c r="B114" s="311"/>
      <c r="C114" s="171">
        <v>54.6</v>
      </c>
      <c r="D114" s="44" t="s">
        <v>48</v>
      </c>
      <c r="E114" s="44" t="s">
        <v>52</v>
      </c>
      <c r="F114" s="154" t="s">
        <v>212</v>
      </c>
      <c r="G114" s="44">
        <v>2.5</v>
      </c>
      <c r="H114" s="44">
        <f t="shared" si="27"/>
        <v>2500</v>
      </c>
      <c r="I114" s="44">
        <v>288</v>
      </c>
      <c r="J114" s="44">
        <v>112</v>
      </c>
      <c r="K114" s="44">
        <f t="shared" si="20"/>
        <v>1.6231884057971016</v>
      </c>
      <c r="L114" s="50">
        <f t="shared" si="28"/>
        <v>2</v>
      </c>
      <c r="M114" s="44">
        <f t="shared" si="15"/>
        <v>2800</v>
      </c>
      <c r="N114" s="44">
        <f t="shared" si="24"/>
        <v>388</v>
      </c>
      <c r="O114" s="159">
        <v>69</v>
      </c>
      <c r="P114" s="44">
        <f t="shared" si="29"/>
        <v>0.62318840579710155</v>
      </c>
      <c r="Q114" s="44">
        <f t="shared" si="32"/>
        <v>2</v>
      </c>
      <c r="R114" s="162" t="s">
        <v>341</v>
      </c>
      <c r="S114" s="50">
        <v>2</v>
      </c>
      <c r="T114" s="161" t="s">
        <v>339</v>
      </c>
      <c r="U114" s="53" t="s">
        <v>221</v>
      </c>
      <c r="V114" s="84">
        <v>45505</v>
      </c>
      <c r="W114" s="238"/>
      <c r="X114" s="239"/>
      <c r="Y114" s="238"/>
      <c r="Z114" s="239"/>
      <c r="AA114" s="240">
        <v>0</v>
      </c>
      <c r="AB114" s="107">
        <f t="shared" si="30"/>
        <v>0</v>
      </c>
      <c r="AC114" s="240">
        <v>0</v>
      </c>
      <c r="AD114" s="107">
        <f t="shared" si="31"/>
        <v>0</v>
      </c>
    </row>
    <row r="115" spans="2:30" x14ac:dyDescent="0.25">
      <c r="B115" s="311"/>
      <c r="C115" s="171">
        <v>54.7</v>
      </c>
      <c r="D115" s="44" t="s">
        <v>48</v>
      </c>
      <c r="E115" s="44" t="s">
        <v>52</v>
      </c>
      <c r="F115" s="154" t="s">
        <v>212</v>
      </c>
      <c r="G115" s="44">
        <v>2.5</v>
      </c>
      <c r="H115" s="44">
        <f t="shared" si="27"/>
        <v>2500</v>
      </c>
      <c r="I115" s="44">
        <v>288</v>
      </c>
      <c r="J115" s="44">
        <v>112</v>
      </c>
      <c r="K115" s="44">
        <f t="shared" si="20"/>
        <v>1.6231884057971016</v>
      </c>
      <c r="L115" s="50">
        <f t="shared" si="28"/>
        <v>2</v>
      </c>
      <c r="M115" s="44">
        <f t="shared" ref="M115:M180" si="33">(H115+300)</f>
        <v>2800</v>
      </c>
      <c r="N115" s="44">
        <f t="shared" si="24"/>
        <v>388</v>
      </c>
      <c r="O115" s="159">
        <v>69</v>
      </c>
      <c r="P115" s="44">
        <f t="shared" si="29"/>
        <v>0.62318840579710155</v>
      </c>
      <c r="Q115" s="44">
        <f t="shared" si="32"/>
        <v>2</v>
      </c>
      <c r="R115" s="162" t="s">
        <v>341</v>
      </c>
      <c r="S115" s="50">
        <v>2</v>
      </c>
      <c r="T115" s="161" t="s">
        <v>339</v>
      </c>
      <c r="U115" s="53" t="s">
        <v>221</v>
      </c>
      <c r="V115" s="84">
        <v>45505</v>
      </c>
      <c r="W115" s="238"/>
      <c r="X115" s="239"/>
      <c r="Y115" s="238"/>
      <c r="Z115" s="239"/>
      <c r="AA115" s="240">
        <v>0</v>
      </c>
      <c r="AB115" s="107">
        <f t="shared" si="30"/>
        <v>0</v>
      </c>
      <c r="AC115" s="240">
        <v>0</v>
      </c>
      <c r="AD115" s="107">
        <f t="shared" si="31"/>
        <v>0</v>
      </c>
    </row>
    <row r="116" spans="2:30" x14ac:dyDescent="0.25">
      <c r="B116" s="311"/>
      <c r="C116" s="171">
        <v>54.8</v>
      </c>
      <c r="D116" s="44" t="s">
        <v>48</v>
      </c>
      <c r="E116" s="44" t="s">
        <v>52</v>
      </c>
      <c r="F116" s="154" t="s">
        <v>212</v>
      </c>
      <c r="G116" s="44">
        <v>2.5</v>
      </c>
      <c r="H116" s="44">
        <f t="shared" si="27"/>
        <v>2500</v>
      </c>
      <c r="I116" s="44">
        <v>288</v>
      </c>
      <c r="J116" s="44">
        <v>112</v>
      </c>
      <c r="K116" s="44">
        <f t="shared" si="20"/>
        <v>1.6231884057971016</v>
      </c>
      <c r="L116" s="50">
        <f t="shared" si="28"/>
        <v>2</v>
      </c>
      <c r="M116" s="44">
        <f t="shared" si="33"/>
        <v>2800</v>
      </c>
      <c r="N116" s="44">
        <f t="shared" si="24"/>
        <v>388</v>
      </c>
      <c r="O116" s="159">
        <v>69</v>
      </c>
      <c r="P116" s="44">
        <f t="shared" si="29"/>
        <v>0.62318840579710155</v>
      </c>
      <c r="Q116" s="44">
        <f t="shared" si="32"/>
        <v>2</v>
      </c>
      <c r="R116" s="162" t="s">
        <v>341</v>
      </c>
      <c r="S116" s="50">
        <v>2</v>
      </c>
      <c r="T116" s="161" t="s">
        <v>339</v>
      </c>
      <c r="U116" s="53" t="s">
        <v>221</v>
      </c>
      <c r="V116" s="84">
        <v>45505</v>
      </c>
      <c r="W116" s="238"/>
      <c r="X116" s="239"/>
      <c r="Y116" s="238"/>
      <c r="Z116" s="239"/>
      <c r="AA116" s="240">
        <v>0</v>
      </c>
      <c r="AB116" s="107">
        <f t="shared" si="30"/>
        <v>0</v>
      </c>
      <c r="AC116" s="240">
        <v>0</v>
      </c>
      <c r="AD116" s="107">
        <f t="shared" si="31"/>
        <v>0</v>
      </c>
    </row>
    <row r="117" spans="2:30" x14ac:dyDescent="0.25">
      <c r="B117" s="311"/>
      <c r="C117" s="171">
        <v>54.9</v>
      </c>
      <c r="D117" s="44" t="s">
        <v>48</v>
      </c>
      <c r="E117" s="44" t="s">
        <v>52</v>
      </c>
      <c r="F117" s="154" t="s">
        <v>212</v>
      </c>
      <c r="G117" s="44">
        <v>2.5</v>
      </c>
      <c r="H117" s="44">
        <f t="shared" si="27"/>
        <v>2500</v>
      </c>
      <c r="I117" s="44">
        <v>288</v>
      </c>
      <c r="J117" s="44">
        <v>112</v>
      </c>
      <c r="K117" s="44">
        <f t="shared" si="20"/>
        <v>1.6231884057971016</v>
      </c>
      <c r="L117" s="50">
        <f t="shared" si="28"/>
        <v>2</v>
      </c>
      <c r="M117" s="44">
        <f t="shared" si="33"/>
        <v>2800</v>
      </c>
      <c r="N117" s="44">
        <f t="shared" si="24"/>
        <v>388</v>
      </c>
      <c r="O117" s="159">
        <v>69</v>
      </c>
      <c r="P117" s="44">
        <f t="shared" si="29"/>
        <v>0.62318840579710155</v>
      </c>
      <c r="Q117" s="44">
        <f t="shared" si="32"/>
        <v>2</v>
      </c>
      <c r="R117" s="162" t="s">
        <v>341</v>
      </c>
      <c r="S117" s="50">
        <v>2</v>
      </c>
      <c r="T117" s="161" t="s">
        <v>339</v>
      </c>
      <c r="U117" s="53" t="s">
        <v>221</v>
      </c>
      <c r="V117" s="84">
        <v>45505</v>
      </c>
      <c r="W117" s="238"/>
      <c r="X117" s="239"/>
      <c r="Y117" s="238"/>
      <c r="Z117" s="239"/>
      <c r="AA117" s="240">
        <v>0</v>
      </c>
      <c r="AB117" s="107">
        <f t="shared" si="30"/>
        <v>0</v>
      </c>
      <c r="AC117" s="240">
        <v>0</v>
      </c>
      <c r="AD117" s="107">
        <f t="shared" si="31"/>
        <v>0</v>
      </c>
    </row>
    <row r="118" spans="2:30" x14ac:dyDescent="0.25">
      <c r="B118" s="311"/>
      <c r="C118" s="173">
        <v>54.1</v>
      </c>
      <c r="D118" s="47" t="s">
        <v>48</v>
      </c>
      <c r="E118" s="47" t="s">
        <v>52</v>
      </c>
      <c r="F118" s="154" t="s">
        <v>212</v>
      </c>
      <c r="G118" s="44">
        <v>2.8</v>
      </c>
      <c r="H118" s="44">
        <f t="shared" si="27"/>
        <v>2800</v>
      </c>
      <c r="I118" s="44">
        <v>288</v>
      </c>
      <c r="J118" s="44">
        <v>112</v>
      </c>
      <c r="K118" s="44">
        <f t="shared" si="20"/>
        <v>1.6231884057971016</v>
      </c>
      <c r="L118" s="50">
        <f t="shared" si="28"/>
        <v>2</v>
      </c>
      <c r="M118" s="44">
        <f t="shared" si="33"/>
        <v>3100</v>
      </c>
      <c r="N118" s="44">
        <f t="shared" si="24"/>
        <v>388</v>
      </c>
      <c r="O118" s="159">
        <v>69</v>
      </c>
      <c r="P118" s="44">
        <f t="shared" si="29"/>
        <v>0.62318840579710155</v>
      </c>
      <c r="Q118" s="44">
        <f t="shared" si="32"/>
        <v>2</v>
      </c>
      <c r="R118" s="162" t="s">
        <v>341</v>
      </c>
      <c r="S118" s="50">
        <v>2</v>
      </c>
      <c r="T118" s="161" t="s">
        <v>339</v>
      </c>
      <c r="U118" s="53" t="s">
        <v>221</v>
      </c>
      <c r="V118" s="84">
        <v>45505</v>
      </c>
      <c r="W118" s="238"/>
      <c r="X118" s="239"/>
      <c r="Y118" s="238"/>
      <c r="Z118" s="239"/>
      <c r="AA118" s="240">
        <v>0</v>
      </c>
      <c r="AB118" s="107">
        <f t="shared" si="30"/>
        <v>0</v>
      </c>
      <c r="AC118" s="240">
        <v>0</v>
      </c>
      <c r="AD118" s="107">
        <f t="shared" si="31"/>
        <v>0</v>
      </c>
    </row>
    <row r="119" spans="2:30" x14ac:dyDescent="0.25">
      <c r="B119" s="311"/>
      <c r="C119" s="171">
        <v>54.11</v>
      </c>
      <c r="D119" s="44" t="s">
        <v>48</v>
      </c>
      <c r="E119" s="44" t="s">
        <v>52</v>
      </c>
      <c r="F119" s="154" t="s">
        <v>212</v>
      </c>
      <c r="G119" s="44">
        <v>3</v>
      </c>
      <c r="H119" s="44">
        <f t="shared" si="27"/>
        <v>3000</v>
      </c>
      <c r="I119" s="44">
        <v>288</v>
      </c>
      <c r="J119" s="44">
        <v>112</v>
      </c>
      <c r="K119" s="44">
        <f t="shared" si="20"/>
        <v>1.6231884057971016</v>
      </c>
      <c r="L119" s="50">
        <f t="shared" si="28"/>
        <v>2</v>
      </c>
      <c r="M119" s="44">
        <f t="shared" si="33"/>
        <v>3300</v>
      </c>
      <c r="N119" s="44">
        <f t="shared" si="24"/>
        <v>388</v>
      </c>
      <c r="O119" s="159">
        <v>69</v>
      </c>
      <c r="P119" s="44">
        <f t="shared" si="29"/>
        <v>0.62318840579710155</v>
      </c>
      <c r="Q119" s="44">
        <f t="shared" si="32"/>
        <v>2</v>
      </c>
      <c r="R119" s="162" t="s">
        <v>341</v>
      </c>
      <c r="S119" s="50">
        <v>2</v>
      </c>
      <c r="T119" s="161" t="s">
        <v>339</v>
      </c>
      <c r="U119" s="53" t="s">
        <v>221</v>
      </c>
      <c r="V119" s="84">
        <v>45505</v>
      </c>
      <c r="W119" s="238"/>
      <c r="X119" s="239"/>
      <c r="Y119" s="238"/>
      <c r="Z119" s="239"/>
      <c r="AA119" s="240">
        <v>0</v>
      </c>
      <c r="AB119" s="107">
        <f t="shared" si="30"/>
        <v>0</v>
      </c>
      <c r="AC119" s="240">
        <v>0</v>
      </c>
      <c r="AD119" s="107">
        <f t="shared" si="31"/>
        <v>0</v>
      </c>
    </row>
    <row r="120" spans="2:30" x14ac:dyDescent="0.25">
      <c r="B120" s="311"/>
      <c r="C120" s="171">
        <v>54.12</v>
      </c>
      <c r="D120" s="44" t="s">
        <v>48</v>
      </c>
      <c r="E120" s="44" t="s">
        <v>52</v>
      </c>
      <c r="F120" s="154" t="s">
        <v>212</v>
      </c>
      <c r="G120" s="44">
        <v>2.5</v>
      </c>
      <c r="H120" s="44">
        <f t="shared" si="27"/>
        <v>2500</v>
      </c>
      <c r="I120" s="44">
        <v>288</v>
      </c>
      <c r="J120" s="44">
        <v>112</v>
      </c>
      <c r="K120" s="44">
        <f t="shared" si="20"/>
        <v>1.6231884057971016</v>
      </c>
      <c r="L120" s="50">
        <f t="shared" si="28"/>
        <v>2</v>
      </c>
      <c r="M120" s="44">
        <f t="shared" si="33"/>
        <v>2800</v>
      </c>
      <c r="N120" s="44">
        <f t="shared" si="24"/>
        <v>388</v>
      </c>
      <c r="O120" s="159">
        <v>69</v>
      </c>
      <c r="P120" s="44">
        <f t="shared" si="29"/>
        <v>0.62318840579710155</v>
      </c>
      <c r="Q120" s="44">
        <f t="shared" si="32"/>
        <v>2</v>
      </c>
      <c r="R120" s="162" t="s">
        <v>341</v>
      </c>
      <c r="S120" s="50">
        <v>2</v>
      </c>
      <c r="T120" s="161" t="s">
        <v>339</v>
      </c>
      <c r="U120" s="53" t="s">
        <v>221</v>
      </c>
      <c r="V120" s="84">
        <v>45505</v>
      </c>
      <c r="W120" s="238"/>
      <c r="X120" s="239"/>
      <c r="Y120" s="238"/>
      <c r="Z120" s="239"/>
      <c r="AA120" s="240">
        <v>0</v>
      </c>
      <c r="AB120" s="107">
        <f t="shared" si="30"/>
        <v>0</v>
      </c>
      <c r="AC120" s="240">
        <v>0</v>
      </c>
      <c r="AD120" s="107">
        <f t="shared" si="31"/>
        <v>0</v>
      </c>
    </row>
    <row r="121" spans="2:30" x14ac:dyDescent="0.25">
      <c r="B121" s="311"/>
      <c r="C121" s="171">
        <v>54.13</v>
      </c>
      <c r="D121" s="44" t="s">
        <v>48</v>
      </c>
      <c r="E121" s="44" t="s">
        <v>52</v>
      </c>
      <c r="F121" s="154" t="s">
        <v>212</v>
      </c>
      <c r="G121" s="44">
        <v>2.6</v>
      </c>
      <c r="H121" s="44">
        <f t="shared" si="27"/>
        <v>2600</v>
      </c>
      <c r="I121" s="44">
        <v>288</v>
      </c>
      <c r="J121" s="44">
        <v>112</v>
      </c>
      <c r="K121" s="44">
        <f t="shared" si="20"/>
        <v>1.6231884057971016</v>
      </c>
      <c r="L121" s="50">
        <f t="shared" si="28"/>
        <v>2</v>
      </c>
      <c r="M121" s="44">
        <f t="shared" si="33"/>
        <v>2900</v>
      </c>
      <c r="N121" s="44">
        <f t="shared" si="24"/>
        <v>388</v>
      </c>
      <c r="O121" s="159">
        <v>69</v>
      </c>
      <c r="P121" s="44">
        <f t="shared" si="29"/>
        <v>0.62318840579710155</v>
      </c>
      <c r="Q121" s="44">
        <f t="shared" si="32"/>
        <v>2</v>
      </c>
      <c r="R121" s="162" t="s">
        <v>341</v>
      </c>
      <c r="S121" s="50">
        <v>2</v>
      </c>
      <c r="T121" s="161" t="s">
        <v>339</v>
      </c>
      <c r="U121" s="53" t="s">
        <v>221</v>
      </c>
      <c r="V121" s="84">
        <v>45505</v>
      </c>
      <c r="W121" s="238"/>
      <c r="X121" s="239"/>
      <c r="Y121" s="238"/>
      <c r="Z121" s="239"/>
      <c r="AA121" s="240">
        <v>0</v>
      </c>
      <c r="AB121" s="107">
        <f t="shared" si="30"/>
        <v>0</v>
      </c>
      <c r="AC121" s="240">
        <v>0</v>
      </c>
      <c r="AD121" s="107">
        <f t="shared" si="31"/>
        <v>0</v>
      </c>
    </row>
    <row r="122" spans="2:30" x14ac:dyDescent="0.25">
      <c r="B122" s="311"/>
      <c r="C122" s="171">
        <v>54.14</v>
      </c>
      <c r="D122" s="44" t="s">
        <v>48</v>
      </c>
      <c r="E122" s="44" t="s">
        <v>26</v>
      </c>
      <c r="F122" s="154" t="s">
        <v>212</v>
      </c>
      <c r="G122" s="44">
        <v>2.5</v>
      </c>
      <c r="H122" s="44">
        <f t="shared" si="27"/>
        <v>2500</v>
      </c>
      <c r="I122" s="44">
        <v>288</v>
      </c>
      <c r="J122" s="44">
        <v>112</v>
      </c>
      <c r="K122" s="44">
        <f t="shared" si="20"/>
        <v>1.6231884057971016</v>
      </c>
      <c r="L122" s="50">
        <f t="shared" si="28"/>
        <v>2</v>
      </c>
      <c r="M122" s="44">
        <f t="shared" si="33"/>
        <v>2800</v>
      </c>
      <c r="N122" s="44">
        <f t="shared" si="24"/>
        <v>388</v>
      </c>
      <c r="O122" s="159">
        <v>69</v>
      </c>
      <c r="P122" s="44">
        <f t="shared" si="29"/>
        <v>0.62318840579710155</v>
      </c>
      <c r="Q122" s="44">
        <f t="shared" si="32"/>
        <v>2</v>
      </c>
      <c r="R122" s="162" t="s">
        <v>341</v>
      </c>
      <c r="S122" s="50">
        <v>2</v>
      </c>
      <c r="T122" s="161" t="s">
        <v>339</v>
      </c>
      <c r="U122" s="53" t="s">
        <v>221</v>
      </c>
      <c r="V122" s="84">
        <v>45505</v>
      </c>
      <c r="W122" s="238"/>
      <c r="X122" s="239"/>
      <c r="Y122" s="238"/>
      <c r="Z122" s="239"/>
      <c r="AA122" s="240">
        <v>0</v>
      </c>
      <c r="AB122" s="107">
        <f t="shared" si="30"/>
        <v>0</v>
      </c>
      <c r="AC122" s="240">
        <v>0</v>
      </c>
      <c r="AD122" s="107">
        <f t="shared" si="31"/>
        <v>0</v>
      </c>
    </row>
    <row r="123" spans="2:30" x14ac:dyDescent="0.25">
      <c r="B123" s="311"/>
      <c r="C123" s="171">
        <v>55.6</v>
      </c>
      <c r="D123" s="44" t="s">
        <v>48</v>
      </c>
      <c r="E123" s="44" t="s">
        <v>52</v>
      </c>
      <c r="F123" s="154" t="s">
        <v>212</v>
      </c>
      <c r="G123" s="44">
        <v>2.5</v>
      </c>
      <c r="H123" s="44">
        <f t="shared" si="27"/>
        <v>2500</v>
      </c>
      <c r="I123" s="44">
        <v>288</v>
      </c>
      <c r="J123" s="44">
        <v>108</v>
      </c>
      <c r="K123" s="44">
        <f t="shared" si="20"/>
        <v>1.5652173913043479</v>
      </c>
      <c r="L123" s="50">
        <f t="shared" si="28"/>
        <v>2</v>
      </c>
      <c r="M123" s="44">
        <f t="shared" si="33"/>
        <v>2800</v>
      </c>
      <c r="N123" s="44">
        <f t="shared" si="24"/>
        <v>388</v>
      </c>
      <c r="O123" s="159">
        <v>69</v>
      </c>
      <c r="P123" s="44">
        <f t="shared" si="29"/>
        <v>0.56521739130434789</v>
      </c>
      <c r="Q123" s="44">
        <f t="shared" si="32"/>
        <v>2</v>
      </c>
      <c r="R123" s="162" t="s">
        <v>341</v>
      </c>
      <c r="S123" s="50">
        <v>2</v>
      </c>
      <c r="T123" s="161" t="s">
        <v>339</v>
      </c>
      <c r="U123" s="53" t="s">
        <v>221</v>
      </c>
      <c r="V123" s="84">
        <v>45505</v>
      </c>
      <c r="W123" s="238"/>
      <c r="X123" s="239"/>
      <c r="Y123" s="238"/>
      <c r="Z123" s="239"/>
      <c r="AA123" s="240">
        <v>0</v>
      </c>
      <c r="AB123" s="107">
        <f t="shared" si="30"/>
        <v>0</v>
      </c>
      <c r="AC123" s="240">
        <v>0</v>
      </c>
      <c r="AD123" s="107">
        <f t="shared" si="31"/>
        <v>0</v>
      </c>
    </row>
    <row r="124" spans="2:30" x14ac:dyDescent="0.25">
      <c r="B124" s="311"/>
      <c r="C124" s="171">
        <v>55.7</v>
      </c>
      <c r="D124" s="44" t="s">
        <v>48</v>
      </c>
      <c r="E124" s="44" t="s">
        <v>52</v>
      </c>
      <c r="F124" s="154" t="s">
        <v>212</v>
      </c>
      <c r="G124" s="44">
        <v>2.5</v>
      </c>
      <c r="H124" s="44">
        <f t="shared" si="27"/>
        <v>2500</v>
      </c>
      <c r="I124" s="44">
        <v>288</v>
      </c>
      <c r="J124" s="44">
        <v>108</v>
      </c>
      <c r="K124" s="44">
        <f t="shared" si="20"/>
        <v>1.5652173913043479</v>
      </c>
      <c r="L124" s="50">
        <f t="shared" si="28"/>
        <v>2</v>
      </c>
      <c r="M124" s="44">
        <f t="shared" si="33"/>
        <v>2800</v>
      </c>
      <c r="N124" s="44">
        <f t="shared" si="24"/>
        <v>388</v>
      </c>
      <c r="O124" s="159">
        <v>69</v>
      </c>
      <c r="P124" s="44">
        <f t="shared" si="29"/>
        <v>0.56521739130434789</v>
      </c>
      <c r="Q124" s="44">
        <f t="shared" si="32"/>
        <v>2</v>
      </c>
      <c r="R124" s="162" t="s">
        <v>341</v>
      </c>
      <c r="S124" s="50">
        <v>2</v>
      </c>
      <c r="T124" s="161" t="s">
        <v>339</v>
      </c>
      <c r="U124" s="53" t="s">
        <v>221</v>
      </c>
      <c r="V124" s="84">
        <v>45505</v>
      </c>
      <c r="W124" s="238"/>
      <c r="X124" s="239"/>
      <c r="Y124" s="238"/>
      <c r="Z124" s="239"/>
      <c r="AA124" s="240">
        <v>0</v>
      </c>
      <c r="AB124" s="107">
        <f t="shared" si="30"/>
        <v>0</v>
      </c>
      <c r="AC124" s="240">
        <v>0</v>
      </c>
      <c r="AD124" s="107">
        <f t="shared" si="31"/>
        <v>0</v>
      </c>
    </row>
    <row r="125" spans="2:30" x14ac:dyDescent="0.25">
      <c r="B125" s="311"/>
      <c r="C125" s="171">
        <v>55.8</v>
      </c>
      <c r="D125" s="44" t="s">
        <v>48</v>
      </c>
      <c r="E125" s="44" t="s">
        <v>52</v>
      </c>
      <c r="F125" s="154" t="s">
        <v>212</v>
      </c>
      <c r="G125" s="44">
        <v>2.5</v>
      </c>
      <c r="H125" s="44">
        <f t="shared" si="27"/>
        <v>2500</v>
      </c>
      <c r="I125" s="44">
        <v>288</v>
      </c>
      <c r="J125" s="44">
        <v>108</v>
      </c>
      <c r="K125" s="44">
        <f t="shared" si="20"/>
        <v>1.5652173913043479</v>
      </c>
      <c r="L125" s="50">
        <f t="shared" si="28"/>
        <v>2</v>
      </c>
      <c r="M125" s="44">
        <f t="shared" si="33"/>
        <v>2800</v>
      </c>
      <c r="N125" s="44">
        <f t="shared" si="24"/>
        <v>388</v>
      </c>
      <c r="O125" s="159">
        <v>69</v>
      </c>
      <c r="P125" s="44">
        <f t="shared" si="29"/>
        <v>0.56521739130434789</v>
      </c>
      <c r="Q125" s="44">
        <f t="shared" si="32"/>
        <v>2</v>
      </c>
      <c r="R125" s="162" t="s">
        <v>341</v>
      </c>
      <c r="S125" s="50">
        <v>2</v>
      </c>
      <c r="T125" s="161" t="s">
        <v>339</v>
      </c>
      <c r="U125" s="53" t="s">
        <v>221</v>
      </c>
      <c r="V125" s="84">
        <v>45505</v>
      </c>
      <c r="W125" s="238"/>
      <c r="X125" s="239"/>
      <c r="Y125" s="238"/>
      <c r="Z125" s="239"/>
      <c r="AA125" s="240">
        <v>0</v>
      </c>
      <c r="AB125" s="107">
        <f t="shared" si="30"/>
        <v>0</v>
      </c>
      <c r="AC125" s="240">
        <v>0</v>
      </c>
      <c r="AD125" s="107">
        <f t="shared" si="31"/>
        <v>0</v>
      </c>
    </row>
    <row r="126" spans="2:30" x14ac:dyDescent="0.25">
      <c r="B126" s="311"/>
      <c r="C126" s="171">
        <v>55.9</v>
      </c>
      <c r="D126" s="44" t="s">
        <v>48</v>
      </c>
      <c r="E126" s="44" t="s">
        <v>52</v>
      </c>
      <c r="F126" s="154" t="s">
        <v>212</v>
      </c>
      <c r="G126" s="44">
        <v>2.5</v>
      </c>
      <c r="H126" s="44">
        <f t="shared" si="27"/>
        <v>2500</v>
      </c>
      <c r="I126" s="44">
        <v>288</v>
      </c>
      <c r="J126" s="44">
        <v>108</v>
      </c>
      <c r="K126" s="44">
        <f t="shared" si="20"/>
        <v>1.5652173913043479</v>
      </c>
      <c r="L126" s="50">
        <f t="shared" si="28"/>
        <v>2</v>
      </c>
      <c r="M126" s="44">
        <f t="shared" si="33"/>
        <v>2800</v>
      </c>
      <c r="N126" s="44">
        <f t="shared" si="24"/>
        <v>388</v>
      </c>
      <c r="O126" s="159">
        <v>69</v>
      </c>
      <c r="P126" s="44">
        <f t="shared" si="29"/>
        <v>0.56521739130434789</v>
      </c>
      <c r="Q126" s="44">
        <f t="shared" si="32"/>
        <v>2</v>
      </c>
      <c r="R126" s="162" t="s">
        <v>341</v>
      </c>
      <c r="S126" s="50">
        <v>2</v>
      </c>
      <c r="T126" s="161" t="s">
        <v>339</v>
      </c>
      <c r="U126" s="53" t="s">
        <v>221</v>
      </c>
      <c r="V126" s="84">
        <v>45505</v>
      </c>
      <c r="W126" s="238"/>
      <c r="X126" s="239"/>
      <c r="Y126" s="238"/>
      <c r="Z126" s="239"/>
      <c r="AA126" s="240">
        <v>0</v>
      </c>
      <c r="AB126" s="107">
        <f t="shared" si="30"/>
        <v>0</v>
      </c>
      <c r="AC126" s="240">
        <v>0</v>
      </c>
      <c r="AD126" s="107">
        <f t="shared" si="31"/>
        <v>0</v>
      </c>
    </row>
    <row r="127" spans="2:30" x14ac:dyDescent="0.25">
      <c r="B127" s="311"/>
      <c r="C127" s="173">
        <v>55.1</v>
      </c>
      <c r="D127" s="47" t="s">
        <v>48</v>
      </c>
      <c r="E127" s="47" t="s">
        <v>52</v>
      </c>
      <c r="F127" s="154" t="s">
        <v>212</v>
      </c>
      <c r="G127" s="44">
        <v>2.8</v>
      </c>
      <c r="H127" s="44">
        <f t="shared" si="27"/>
        <v>2800</v>
      </c>
      <c r="I127" s="44">
        <v>288</v>
      </c>
      <c r="J127" s="44">
        <v>108</v>
      </c>
      <c r="K127" s="44">
        <f t="shared" si="20"/>
        <v>1.5652173913043479</v>
      </c>
      <c r="L127" s="50">
        <f t="shared" si="28"/>
        <v>2</v>
      </c>
      <c r="M127" s="44">
        <f t="shared" si="33"/>
        <v>3100</v>
      </c>
      <c r="N127" s="44">
        <f t="shared" si="24"/>
        <v>388</v>
      </c>
      <c r="O127" s="159">
        <v>69</v>
      </c>
      <c r="P127" s="44">
        <f t="shared" si="29"/>
        <v>0.56521739130434789</v>
      </c>
      <c r="Q127" s="44">
        <f t="shared" si="32"/>
        <v>2</v>
      </c>
      <c r="R127" s="162" t="s">
        <v>341</v>
      </c>
      <c r="S127" s="50">
        <v>2</v>
      </c>
      <c r="T127" s="161" t="s">
        <v>339</v>
      </c>
      <c r="U127" s="53" t="s">
        <v>221</v>
      </c>
      <c r="V127" s="84">
        <v>45505</v>
      </c>
      <c r="W127" s="238"/>
      <c r="X127" s="239"/>
      <c r="Y127" s="238"/>
      <c r="Z127" s="239"/>
      <c r="AA127" s="240">
        <v>0</v>
      </c>
      <c r="AB127" s="107">
        <f t="shared" si="30"/>
        <v>0</v>
      </c>
      <c r="AC127" s="240">
        <v>0</v>
      </c>
      <c r="AD127" s="107">
        <f t="shared" si="31"/>
        <v>0</v>
      </c>
    </row>
    <row r="128" spans="2:30" x14ac:dyDescent="0.25">
      <c r="B128" s="311"/>
      <c r="C128" s="171">
        <v>55.11</v>
      </c>
      <c r="D128" s="44" t="s">
        <v>48</v>
      </c>
      <c r="E128" s="44" t="s">
        <v>52</v>
      </c>
      <c r="F128" s="154" t="s">
        <v>212</v>
      </c>
      <c r="G128" s="44">
        <v>3</v>
      </c>
      <c r="H128" s="44">
        <f t="shared" si="27"/>
        <v>3000</v>
      </c>
      <c r="I128" s="44">
        <v>288</v>
      </c>
      <c r="J128" s="44">
        <v>108</v>
      </c>
      <c r="K128" s="44">
        <f t="shared" si="20"/>
        <v>1.5652173913043479</v>
      </c>
      <c r="L128" s="50">
        <f t="shared" si="28"/>
        <v>2</v>
      </c>
      <c r="M128" s="44">
        <f t="shared" si="33"/>
        <v>3300</v>
      </c>
      <c r="N128" s="44">
        <f t="shared" si="24"/>
        <v>388</v>
      </c>
      <c r="O128" s="159">
        <v>69</v>
      </c>
      <c r="P128" s="44">
        <f t="shared" si="29"/>
        <v>0.56521739130434789</v>
      </c>
      <c r="Q128" s="44">
        <f t="shared" si="32"/>
        <v>2</v>
      </c>
      <c r="R128" s="162" t="s">
        <v>341</v>
      </c>
      <c r="S128" s="50">
        <v>2</v>
      </c>
      <c r="T128" s="161" t="s">
        <v>339</v>
      </c>
      <c r="U128" s="53" t="s">
        <v>221</v>
      </c>
      <c r="V128" s="84">
        <v>45505</v>
      </c>
      <c r="W128" s="238"/>
      <c r="X128" s="239"/>
      <c r="Y128" s="238"/>
      <c r="Z128" s="239"/>
      <c r="AA128" s="240">
        <v>0</v>
      </c>
      <c r="AB128" s="107">
        <f t="shared" si="30"/>
        <v>0</v>
      </c>
      <c r="AC128" s="240">
        <v>0</v>
      </c>
      <c r="AD128" s="107">
        <f t="shared" si="31"/>
        <v>0</v>
      </c>
    </row>
    <row r="129" spans="2:30" x14ac:dyDescent="0.25">
      <c r="B129" s="311"/>
      <c r="C129" s="171">
        <v>55.12</v>
      </c>
      <c r="D129" s="44" t="s">
        <v>48</v>
      </c>
      <c r="E129" s="44" t="s">
        <v>52</v>
      </c>
      <c r="F129" s="154" t="s">
        <v>212</v>
      </c>
      <c r="G129" s="44">
        <v>2.5</v>
      </c>
      <c r="H129" s="44">
        <f t="shared" si="27"/>
        <v>2500</v>
      </c>
      <c r="I129" s="44">
        <v>288</v>
      </c>
      <c r="J129" s="44">
        <v>108</v>
      </c>
      <c r="K129" s="44">
        <f t="shared" si="20"/>
        <v>1.5652173913043479</v>
      </c>
      <c r="L129" s="50">
        <f t="shared" si="28"/>
        <v>2</v>
      </c>
      <c r="M129" s="44">
        <f t="shared" si="33"/>
        <v>2800</v>
      </c>
      <c r="N129" s="44">
        <f t="shared" si="24"/>
        <v>388</v>
      </c>
      <c r="O129" s="159">
        <v>69</v>
      </c>
      <c r="P129" s="44">
        <f t="shared" si="29"/>
        <v>0.56521739130434789</v>
      </c>
      <c r="Q129" s="44">
        <f t="shared" si="32"/>
        <v>2</v>
      </c>
      <c r="R129" s="162" t="s">
        <v>341</v>
      </c>
      <c r="S129" s="50">
        <v>2</v>
      </c>
      <c r="T129" s="161" t="s">
        <v>339</v>
      </c>
      <c r="U129" s="53" t="s">
        <v>221</v>
      </c>
      <c r="V129" s="84">
        <v>45505</v>
      </c>
      <c r="W129" s="238"/>
      <c r="X129" s="239"/>
      <c r="Y129" s="238"/>
      <c r="Z129" s="239"/>
      <c r="AA129" s="240">
        <v>0</v>
      </c>
      <c r="AB129" s="107">
        <f t="shared" si="30"/>
        <v>0</v>
      </c>
      <c r="AC129" s="240">
        <v>0</v>
      </c>
      <c r="AD129" s="107">
        <f t="shared" si="31"/>
        <v>0</v>
      </c>
    </row>
    <row r="130" spans="2:30" x14ac:dyDescent="0.25">
      <c r="B130" s="311"/>
      <c r="C130" s="171">
        <v>55.13</v>
      </c>
      <c r="D130" s="44" t="s">
        <v>48</v>
      </c>
      <c r="E130" s="44" t="s">
        <v>52</v>
      </c>
      <c r="F130" s="154" t="s">
        <v>212</v>
      </c>
      <c r="G130" s="44">
        <v>2.6</v>
      </c>
      <c r="H130" s="44">
        <f t="shared" si="27"/>
        <v>2600</v>
      </c>
      <c r="I130" s="44">
        <v>288</v>
      </c>
      <c r="J130" s="44">
        <v>108</v>
      </c>
      <c r="K130" s="44">
        <f t="shared" si="20"/>
        <v>1.5652173913043479</v>
      </c>
      <c r="L130" s="50">
        <f t="shared" si="28"/>
        <v>2</v>
      </c>
      <c r="M130" s="44">
        <f t="shared" si="33"/>
        <v>2900</v>
      </c>
      <c r="N130" s="44">
        <f t="shared" si="24"/>
        <v>388</v>
      </c>
      <c r="O130" s="159">
        <v>69</v>
      </c>
      <c r="P130" s="44">
        <f t="shared" si="29"/>
        <v>0.56521739130434789</v>
      </c>
      <c r="Q130" s="44">
        <f t="shared" si="32"/>
        <v>2</v>
      </c>
      <c r="R130" s="162" t="s">
        <v>341</v>
      </c>
      <c r="S130" s="50">
        <v>2</v>
      </c>
      <c r="T130" s="161" t="s">
        <v>339</v>
      </c>
      <c r="U130" s="53" t="s">
        <v>221</v>
      </c>
      <c r="V130" s="84">
        <v>45505</v>
      </c>
      <c r="W130" s="238"/>
      <c r="X130" s="239"/>
      <c r="Y130" s="238"/>
      <c r="Z130" s="239"/>
      <c r="AA130" s="240">
        <v>0</v>
      </c>
      <c r="AB130" s="107">
        <f t="shared" si="30"/>
        <v>0</v>
      </c>
      <c r="AC130" s="240">
        <v>0</v>
      </c>
      <c r="AD130" s="107">
        <f t="shared" si="31"/>
        <v>0</v>
      </c>
    </row>
    <row r="131" spans="2:30" x14ac:dyDescent="0.25">
      <c r="B131" s="311"/>
      <c r="C131" s="171">
        <v>55.14</v>
      </c>
      <c r="D131" s="44" t="s">
        <v>48</v>
      </c>
      <c r="E131" s="44" t="s">
        <v>26</v>
      </c>
      <c r="F131" s="154" t="s">
        <v>212</v>
      </c>
      <c r="G131" s="44">
        <v>2.5</v>
      </c>
      <c r="H131" s="44">
        <f t="shared" si="27"/>
        <v>2500</v>
      </c>
      <c r="I131" s="44">
        <v>288</v>
      </c>
      <c r="J131" s="44">
        <v>108</v>
      </c>
      <c r="K131" s="44">
        <f t="shared" si="20"/>
        <v>1.5652173913043479</v>
      </c>
      <c r="L131" s="50">
        <f t="shared" si="28"/>
        <v>2</v>
      </c>
      <c r="M131" s="44">
        <f t="shared" si="33"/>
        <v>2800</v>
      </c>
      <c r="N131" s="44">
        <f t="shared" si="24"/>
        <v>388</v>
      </c>
      <c r="O131" s="159">
        <v>69</v>
      </c>
      <c r="P131" s="44">
        <f t="shared" si="29"/>
        <v>0.56521739130434789</v>
      </c>
      <c r="Q131" s="44">
        <f t="shared" si="32"/>
        <v>2</v>
      </c>
      <c r="R131" s="162" t="s">
        <v>341</v>
      </c>
      <c r="S131" s="50">
        <v>2</v>
      </c>
      <c r="T131" s="161" t="s">
        <v>339</v>
      </c>
      <c r="U131" s="53" t="s">
        <v>221</v>
      </c>
      <c r="V131" s="84">
        <v>45505</v>
      </c>
      <c r="W131" s="238"/>
      <c r="X131" s="239"/>
      <c r="Y131" s="238"/>
      <c r="Z131" s="239"/>
      <c r="AA131" s="240">
        <v>0</v>
      </c>
      <c r="AB131" s="107">
        <f t="shared" si="30"/>
        <v>0</v>
      </c>
      <c r="AC131" s="240">
        <v>0</v>
      </c>
      <c r="AD131" s="107">
        <f t="shared" si="31"/>
        <v>0</v>
      </c>
    </row>
    <row r="132" spans="2:30" s="66" customFormat="1" ht="15.75" thickBot="1" x14ac:dyDescent="0.3">
      <c r="B132" s="313"/>
      <c r="C132" s="185" t="s">
        <v>260</v>
      </c>
      <c r="D132" s="179"/>
      <c r="E132" s="179"/>
      <c r="F132" s="179"/>
      <c r="G132" s="179"/>
      <c r="H132" s="179"/>
      <c r="I132" s="179"/>
      <c r="J132" s="179"/>
      <c r="K132" s="179"/>
      <c r="L132" s="179"/>
      <c r="M132" s="179"/>
      <c r="N132" s="179"/>
      <c r="O132" s="179"/>
      <c r="P132" s="179"/>
      <c r="Q132" s="179">
        <f>SUM(Q103:Q131)</f>
        <v>68</v>
      </c>
      <c r="R132" s="186"/>
      <c r="S132" s="180">
        <f>SUM(S103:S131)</f>
        <v>58</v>
      </c>
      <c r="T132" s="180"/>
      <c r="U132" s="180"/>
      <c r="V132" s="181"/>
      <c r="W132" s="181"/>
      <c r="X132" s="182"/>
      <c r="Y132" s="181"/>
      <c r="Z132" s="182"/>
      <c r="AA132" s="181"/>
      <c r="AB132" s="183">
        <f>SUM(AB103:AB131)</f>
        <v>0</v>
      </c>
      <c r="AC132" s="181"/>
      <c r="AD132" s="184">
        <f>SUM(AD103:AD131)</f>
        <v>0</v>
      </c>
    </row>
    <row r="133" spans="2:30" ht="15" customHeight="1" x14ac:dyDescent="0.25">
      <c r="B133" s="310" t="s">
        <v>349</v>
      </c>
      <c r="C133" s="171">
        <v>56.5</v>
      </c>
      <c r="D133" s="44" t="s">
        <v>48</v>
      </c>
      <c r="E133" s="44" t="s">
        <v>52</v>
      </c>
      <c r="F133" s="154" t="s">
        <v>212</v>
      </c>
      <c r="G133" s="44">
        <v>2.5</v>
      </c>
      <c r="H133" s="44">
        <f t="shared" ref="H133:H163" si="34">CONVERT(G133,"m","mm")</f>
        <v>2500</v>
      </c>
      <c r="I133" s="44">
        <v>288</v>
      </c>
      <c r="J133" s="44">
        <v>101.6</v>
      </c>
      <c r="K133" s="44">
        <f t="shared" si="20"/>
        <v>1.472463768115942</v>
      </c>
      <c r="L133" s="50">
        <f t="shared" ref="L133:L163" si="35">ROUNDUP(K133,0)</f>
        <v>2</v>
      </c>
      <c r="M133" s="44">
        <f t="shared" si="33"/>
        <v>2800</v>
      </c>
      <c r="N133" s="44">
        <f t="shared" si="24"/>
        <v>388</v>
      </c>
      <c r="O133" s="44">
        <v>69</v>
      </c>
      <c r="P133" s="44">
        <f t="shared" ref="P133:P163" si="36">(K133-1)</f>
        <v>0.47246376811594204</v>
      </c>
      <c r="Q133" s="44">
        <f>(L133-1)*2</f>
        <v>2</v>
      </c>
      <c r="R133" s="162" t="s">
        <v>341</v>
      </c>
      <c r="S133" s="50">
        <v>2</v>
      </c>
      <c r="T133" s="161" t="s">
        <v>339</v>
      </c>
      <c r="U133" s="53" t="s">
        <v>221</v>
      </c>
      <c r="V133" s="84">
        <v>45597</v>
      </c>
      <c r="W133" s="238"/>
      <c r="X133" s="239"/>
      <c r="Y133" s="238"/>
      <c r="Z133" s="239"/>
      <c r="AA133" s="240">
        <v>0</v>
      </c>
      <c r="AB133" s="107">
        <f t="shared" ref="AB133:AB163" si="37">(AA133*Q133)</f>
        <v>0</v>
      </c>
      <c r="AC133" s="240">
        <v>0</v>
      </c>
      <c r="AD133" s="107">
        <f t="shared" ref="AD133:AD163" si="38">(AC133*S133)</f>
        <v>0</v>
      </c>
    </row>
    <row r="134" spans="2:30" x14ac:dyDescent="0.25">
      <c r="B134" s="311"/>
      <c r="C134" s="171">
        <v>56.6</v>
      </c>
      <c r="D134" s="44" t="s">
        <v>48</v>
      </c>
      <c r="E134" s="44" t="s">
        <v>52</v>
      </c>
      <c r="F134" s="154" t="s">
        <v>212</v>
      </c>
      <c r="G134" s="44">
        <v>2.5</v>
      </c>
      <c r="H134" s="44">
        <f t="shared" si="34"/>
        <v>2500</v>
      </c>
      <c r="I134" s="44">
        <v>288</v>
      </c>
      <c r="J134" s="44">
        <v>101.6</v>
      </c>
      <c r="K134" s="44">
        <f t="shared" si="20"/>
        <v>1.472463768115942</v>
      </c>
      <c r="L134" s="50">
        <f t="shared" si="35"/>
        <v>2</v>
      </c>
      <c r="M134" s="44">
        <f t="shared" si="33"/>
        <v>2800</v>
      </c>
      <c r="N134" s="44">
        <f t="shared" si="24"/>
        <v>388</v>
      </c>
      <c r="O134" s="159">
        <v>69</v>
      </c>
      <c r="P134" s="44">
        <f t="shared" si="36"/>
        <v>0.47246376811594204</v>
      </c>
      <c r="Q134" s="44">
        <f t="shared" ref="Q134:Q163" si="39">(L134-1)*2</f>
        <v>2</v>
      </c>
      <c r="R134" s="162" t="s">
        <v>341</v>
      </c>
      <c r="S134" s="50">
        <v>2</v>
      </c>
      <c r="T134" s="161" t="s">
        <v>339</v>
      </c>
      <c r="U134" s="53" t="s">
        <v>221</v>
      </c>
      <c r="V134" s="84">
        <v>45597</v>
      </c>
      <c r="W134" s="238"/>
      <c r="X134" s="239"/>
      <c r="Y134" s="238"/>
      <c r="Z134" s="239"/>
      <c r="AA134" s="240">
        <v>0</v>
      </c>
      <c r="AB134" s="107">
        <f t="shared" si="37"/>
        <v>0</v>
      </c>
      <c r="AC134" s="240">
        <v>0</v>
      </c>
      <c r="AD134" s="107">
        <f t="shared" si="38"/>
        <v>0</v>
      </c>
    </row>
    <row r="135" spans="2:30" x14ac:dyDescent="0.25">
      <c r="B135" s="311"/>
      <c r="C135" s="171">
        <v>56.7</v>
      </c>
      <c r="D135" s="44" t="s">
        <v>48</v>
      </c>
      <c r="E135" s="44" t="s">
        <v>52</v>
      </c>
      <c r="F135" s="154" t="s">
        <v>212</v>
      </c>
      <c r="G135" s="44">
        <v>2.5</v>
      </c>
      <c r="H135" s="44">
        <f t="shared" si="34"/>
        <v>2500</v>
      </c>
      <c r="I135" s="44">
        <v>288</v>
      </c>
      <c r="J135" s="44">
        <v>101.6</v>
      </c>
      <c r="K135" s="44">
        <f t="shared" si="20"/>
        <v>1.472463768115942</v>
      </c>
      <c r="L135" s="50">
        <f t="shared" si="35"/>
        <v>2</v>
      </c>
      <c r="M135" s="44">
        <f t="shared" si="33"/>
        <v>2800</v>
      </c>
      <c r="N135" s="44">
        <f t="shared" si="24"/>
        <v>388</v>
      </c>
      <c r="O135" s="159">
        <v>69</v>
      </c>
      <c r="P135" s="44">
        <f t="shared" si="36"/>
        <v>0.47246376811594204</v>
      </c>
      <c r="Q135" s="44">
        <f t="shared" si="39"/>
        <v>2</v>
      </c>
      <c r="R135" s="162" t="s">
        <v>341</v>
      </c>
      <c r="S135" s="50">
        <v>2</v>
      </c>
      <c r="T135" s="161" t="s">
        <v>339</v>
      </c>
      <c r="U135" s="53" t="s">
        <v>221</v>
      </c>
      <c r="V135" s="84">
        <v>45597</v>
      </c>
      <c r="W135" s="238"/>
      <c r="X135" s="239"/>
      <c r="Y135" s="238"/>
      <c r="Z135" s="239"/>
      <c r="AA135" s="240">
        <v>0</v>
      </c>
      <c r="AB135" s="107">
        <f t="shared" si="37"/>
        <v>0</v>
      </c>
      <c r="AC135" s="240">
        <v>0</v>
      </c>
      <c r="AD135" s="107">
        <f t="shared" si="38"/>
        <v>0</v>
      </c>
    </row>
    <row r="136" spans="2:30" x14ac:dyDescent="0.25">
      <c r="B136" s="311"/>
      <c r="C136" s="171">
        <v>56.8</v>
      </c>
      <c r="D136" s="44" t="s">
        <v>48</v>
      </c>
      <c r="E136" s="44" t="s">
        <v>52</v>
      </c>
      <c r="F136" s="154" t="s">
        <v>212</v>
      </c>
      <c r="G136" s="44">
        <v>2.5</v>
      </c>
      <c r="H136" s="44">
        <f t="shared" si="34"/>
        <v>2500</v>
      </c>
      <c r="I136" s="44">
        <v>288</v>
      </c>
      <c r="J136" s="44">
        <v>101.6</v>
      </c>
      <c r="K136" s="44">
        <f t="shared" si="20"/>
        <v>1.472463768115942</v>
      </c>
      <c r="L136" s="50">
        <f t="shared" si="35"/>
        <v>2</v>
      </c>
      <c r="M136" s="44">
        <f t="shared" si="33"/>
        <v>2800</v>
      </c>
      <c r="N136" s="44">
        <f t="shared" si="24"/>
        <v>388</v>
      </c>
      <c r="O136" s="159">
        <v>69</v>
      </c>
      <c r="P136" s="44">
        <f t="shared" si="36"/>
        <v>0.47246376811594204</v>
      </c>
      <c r="Q136" s="44">
        <f t="shared" si="39"/>
        <v>2</v>
      </c>
      <c r="R136" s="162" t="s">
        <v>341</v>
      </c>
      <c r="S136" s="50">
        <v>2</v>
      </c>
      <c r="T136" s="161" t="s">
        <v>339</v>
      </c>
      <c r="U136" s="53" t="s">
        <v>221</v>
      </c>
      <c r="V136" s="84">
        <v>45597</v>
      </c>
      <c r="W136" s="238"/>
      <c r="X136" s="239"/>
      <c r="Y136" s="238"/>
      <c r="Z136" s="239"/>
      <c r="AA136" s="240">
        <v>0</v>
      </c>
      <c r="AB136" s="107">
        <f t="shared" si="37"/>
        <v>0</v>
      </c>
      <c r="AC136" s="240">
        <v>0</v>
      </c>
      <c r="AD136" s="107">
        <f t="shared" si="38"/>
        <v>0</v>
      </c>
    </row>
    <row r="137" spans="2:30" x14ac:dyDescent="0.25">
      <c r="B137" s="311"/>
      <c r="C137" s="171">
        <v>56.9</v>
      </c>
      <c r="D137" s="44" t="s">
        <v>48</v>
      </c>
      <c r="E137" s="44" t="s">
        <v>52</v>
      </c>
      <c r="F137" s="154" t="s">
        <v>212</v>
      </c>
      <c r="G137" s="44">
        <v>2.8</v>
      </c>
      <c r="H137" s="44">
        <f t="shared" si="34"/>
        <v>2800</v>
      </c>
      <c r="I137" s="44">
        <v>288</v>
      </c>
      <c r="J137" s="44">
        <v>101.6</v>
      </c>
      <c r="K137" s="44">
        <f t="shared" si="20"/>
        <v>1.472463768115942</v>
      </c>
      <c r="L137" s="50">
        <f t="shared" si="35"/>
        <v>2</v>
      </c>
      <c r="M137" s="44">
        <f t="shared" si="33"/>
        <v>3100</v>
      </c>
      <c r="N137" s="44">
        <f t="shared" si="24"/>
        <v>388</v>
      </c>
      <c r="O137" s="159">
        <v>69</v>
      </c>
      <c r="P137" s="44">
        <f t="shared" si="36"/>
        <v>0.47246376811594204</v>
      </c>
      <c r="Q137" s="44">
        <f t="shared" si="39"/>
        <v>2</v>
      </c>
      <c r="R137" s="162" t="s">
        <v>341</v>
      </c>
      <c r="S137" s="50">
        <v>2</v>
      </c>
      <c r="T137" s="161" t="s">
        <v>339</v>
      </c>
      <c r="U137" s="53" t="s">
        <v>221</v>
      </c>
      <c r="V137" s="84">
        <v>45597</v>
      </c>
      <c r="W137" s="238"/>
      <c r="X137" s="239"/>
      <c r="Y137" s="238"/>
      <c r="Z137" s="239"/>
      <c r="AA137" s="240">
        <v>0</v>
      </c>
      <c r="AB137" s="107">
        <f t="shared" si="37"/>
        <v>0</v>
      </c>
      <c r="AC137" s="240">
        <v>0</v>
      </c>
      <c r="AD137" s="107">
        <f t="shared" si="38"/>
        <v>0</v>
      </c>
    </row>
    <row r="138" spans="2:30" x14ac:dyDescent="0.25">
      <c r="B138" s="311"/>
      <c r="C138" s="173">
        <v>56.1</v>
      </c>
      <c r="D138" s="47" t="s">
        <v>48</v>
      </c>
      <c r="E138" s="47" t="s">
        <v>52</v>
      </c>
      <c r="F138" s="154" t="s">
        <v>212</v>
      </c>
      <c r="G138" s="44">
        <v>3</v>
      </c>
      <c r="H138" s="44">
        <f t="shared" si="34"/>
        <v>3000</v>
      </c>
      <c r="I138" s="44">
        <v>288</v>
      </c>
      <c r="J138" s="44">
        <v>101.6</v>
      </c>
      <c r="K138" s="44">
        <f t="shared" ref="K138:K201" si="40">(J138/O138)</f>
        <v>1.472463768115942</v>
      </c>
      <c r="L138" s="50">
        <f t="shared" si="35"/>
        <v>2</v>
      </c>
      <c r="M138" s="44">
        <f t="shared" si="33"/>
        <v>3300</v>
      </c>
      <c r="N138" s="44">
        <f t="shared" si="24"/>
        <v>388</v>
      </c>
      <c r="O138" s="159">
        <v>69</v>
      </c>
      <c r="P138" s="44">
        <f t="shared" si="36"/>
        <v>0.47246376811594204</v>
      </c>
      <c r="Q138" s="44">
        <f t="shared" si="39"/>
        <v>2</v>
      </c>
      <c r="R138" s="162" t="s">
        <v>341</v>
      </c>
      <c r="S138" s="50">
        <v>2</v>
      </c>
      <c r="T138" s="161" t="s">
        <v>339</v>
      </c>
      <c r="U138" s="53" t="s">
        <v>221</v>
      </c>
      <c r="V138" s="84">
        <v>45597</v>
      </c>
      <c r="W138" s="238"/>
      <c r="X138" s="239"/>
      <c r="Y138" s="238"/>
      <c r="Z138" s="239"/>
      <c r="AA138" s="240">
        <v>0</v>
      </c>
      <c r="AB138" s="107">
        <f t="shared" si="37"/>
        <v>0</v>
      </c>
      <c r="AC138" s="240">
        <v>0</v>
      </c>
      <c r="AD138" s="107">
        <f t="shared" si="38"/>
        <v>0</v>
      </c>
    </row>
    <row r="139" spans="2:30" x14ac:dyDescent="0.25">
      <c r="B139" s="311"/>
      <c r="C139" s="171">
        <v>56.11</v>
      </c>
      <c r="D139" s="44" t="s">
        <v>48</v>
      </c>
      <c r="E139" s="44" t="s">
        <v>52</v>
      </c>
      <c r="F139" s="154" t="s">
        <v>212</v>
      </c>
      <c r="G139" s="44">
        <v>2.5</v>
      </c>
      <c r="H139" s="44">
        <f t="shared" si="34"/>
        <v>2500</v>
      </c>
      <c r="I139" s="44">
        <v>288</v>
      </c>
      <c r="J139" s="44">
        <v>101.6</v>
      </c>
      <c r="K139" s="44">
        <f t="shared" si="40"/>
        <v>1.472463768115942</v>
      </c>
      <c r="L139" s="50">
        <f t="shared" si="35"/>
        <v>2</v>
      </c>
      <c r="M139" s="44">
        <f t="shared" si="33"/>
        <v>2800</v>
      </c>
      <c r="N139" s="44">
        <f t="shared" si="24"/>
        <v>388</v>
      </c>
      <c r="O139" s="159">
        <v>69</v>
      </c>
      <c r="P139" s="44">
        <f t="shared" si="36"/>
        <v>0.47246376811594204</v>
      </c>
      <c r="Q139" s="44">
        <f t="shared" si="39"/>
        <v>2</v>
      </c>
      <c r="R139" s="162" t="s">
        <v>341</v>
      </c>
      <c r="S139" s="50">
        <v>2</v>
      </c>
      <c r="T139" s="161" t="s">
        <v>339</v>
      </c>
      <c r="U139" s="53" t="s">
        <v>221</v>
      </c>
      <c r="V139" s="84">
        <v>45597</v>
      </c>
      <c r="W139" s="238"/>
      <c r="X139" s="239"/>
      <c r="Y139" s="238"/>
      <c r="Z139" s="239"/>
      <c r="AA139" s="240">
        <v>0</v>
      </c>
      <c r="AB139" s="107">
        <f t="shared" si="37"/>
        <v>0</v>
      </c>
      <c r="AC139" s="240">
        <v>0</v>
      </c>
      <c r="AD139" s="107">
        <f t="shared" si="38"/>
        <v>0</v>
      </c>
    </row>
    <row r="140" spans="2:30" x14ac:dyDescent="0.25">
      <c r="B140" s="311"/>
      <c r="C140" s="171">
        <v>56.12</v>
      </c>
      <c r="D140" s="44" t="s">
        <v>48</v>
      </c>
      <c r="E140" s="44" t="s">
        <v>52</v>
      </c>
      <c r="F140" s="154" t="s">
        <v>212</v>
      </c>
      <c r="G140" s="44">
        <v>2.6</v>
      </c>
      <c r="H140" s="44">
        <f t="shared" si="34"/>
        <v>2600</v>
      </c>
      <c r="I140" s="44">
        <v>288</v>
      </c>
      <c r="J140" s="44">
        <v>101.6</v>
      </c>
      <c r="K140" s="44">
        <f t="shared" si="40"/>
        <v>1.472463768115942</v>
      </c>
      <c r="L140" s="50">
        <f t="shared" si="35"/>
        <v>2</v>
      </c>
      <c r="M140" s="44">
        <f t="shared" si="33"/>
        <v>2900</v>
      </c>
      <c r="N140" s="44">
        <f t="shared" ref="N140:N203" si="41">(I140+100)</f>
        <v>388</v>
      </c>
      <c r="O140" s="159">
        <v>69</v>
      </c>
      <c r="P140" s="44">
        <f t="shared" si="36"/>
        <v>0.47246376811594204</v>
      </c>
      <c r="Q140" s="44">
        <f t="shared" si="39"/>
        <v>2</v>
      </c>
      <c r="R140" s="162" t="s">
        <v>341</v>
      </c>
      <c r="S140" s="50">
        <v>2</v>
      </c>
      <c r="T140" s="161" t="s">
        <v>339</v>
      </c>
      <c r="U140" s="53" t="s">
        <v>221</v>
      </c>
      <c r="V140" s="84">
        <v>45597</v>
      </c>
      <c r="W140" s="238"/>
      <c r="X140" s="239"/>
      <c r="Y140" s="238"/>
      <c r="Z140" s="239"/>
      <c r="AA140" s="240">
        <v>0</v>
      </c>
      <c r="AB140" s="107">
        <f t="shared" si="37"/>
        <v>0</v>
      </c>
      <c r="AC140" s="240">
        <v>0</v>
      </c>
      <c r="AD140" s="107">
        <f t="shared" si="38"/>
        <v>0</v>
      </c>
    </row>
    <row r="141" spans="2:30" x14ac:dyDescent="0.25">
      <c r="B141" s="311"/>
      <c r="C141" s="171">
        <v>56.13</v>
      </c>
      <c r="D141" s="44" t="s">
        <v>48</v>
      </c>
      <c r="E141" s="44" t="s">
        <v>26</v>
      </c>
      <c r="F141" s="154" t="s">
        <v>212</v>
      </c>
      <c r="G141" s="44">
        <v>2.5</v>
      </c>
      <c r="H141" s="44">
        <f t="shared" si="34"/>
        <v>2500</v>
      </c>
      <c r="I141" s="44">
        <v>288</v>
      </c>
      <c r="J141" s="44">
        <v>101.6</v>
      </c>
      <c r="K141" s="44">
        <f t="shared" si="40"/>
        <v>1.472463768115942</v>
      </c>
      <c r="L141" s="50">
        <f t="shared" si="35"/>
        <v>2</v>
      </c>
      <c r="M141" s="44">
        <f t="shared" si="33"/>
        <v>2800</v>
      </c>
      <c r="N141" s="44">
        <f t="shared" si="41"/>
        <v>388</v>
      </c>
      <c r="O141" s="159">
        <v>69</v>
      </c>
      <c r="P141" s="44">
        <f t="shared" si="36"/>
        <v>0.47246376811594204</v>
      </c>
      <c r="Q141" s="44">
        <f t="shared" si="39"/>
        <v>2</v>
      </c>
      <c r="R141" s="162" t="s">
        <v>341</v>
      </c>
      <c r="S141" s="50">
        <v>2</v>
      </c>
      <c r="T141" s="161" t="s">
        <v>339</v>
      </c>
      <c r="U141" s="53" t="s">
        <v>221</v>
      </c>
      <c r="V141" s="84">
        <v>45597</v>
      </c>
      <c r="W141" s="238"/>
      <c r="X141" s="239"/>
      <c r="Y141" s="238"/>
      <c r="Z141" s="239"/>
      <c r="AA141" s="240">
        <v>0</v>
      </c>
      <c r="AB141" s="107">
        <f t="shared" si="37"/>
        <v>0</v>
      </c>
      <c r="AC141" s="240">
        <v>0</v>
      </c>
      <c r="AD141" s="107">
        <f t="shared" si="38"/>
        <v>0</v>
      </c>
    </row>
    <row r="142" spans="2:30" x14ac:dyDescent="0.25">
      <c r="B142" s="311"/>
      <c r="C142" s="171">
        <v>57.4</v>
      </c>
      <c r="D142" s="44" t="s">
        <v>48</v>
      </c>
      <c r="E142" s="44" t="s">
        <v>52</v>
      </c>
      <c r="F142" s="154" t="s">
        <v>212</v>
      </c>
      <c r="G142" s="44">
        <v>2.5</v>
      </c>
      <c r="H142" s="44">
        <f t="shared" si="34"/>
        <v>2500</v>
      </c>
      <c r="I142" s="44">
        <v>288</v>
      </c>
      <c r="J142" s="44">
        <v>89</v>
      </c>
      <c r="K142" s="44">
        <f t="shared" si="40"/>
        <v>1.2898550724637681</v>
      </c>
      <c r="L142" s="50">
        <f t="shared" si="35"/>
        <v>2</v>
      </c>
      <c r="M142" s="44">
        <f t="shared" si="33"/>
        <v>2800</v>
      </c>
      <c r="N142" s="44">
        <f t="shared" si="41"/>
        <v>388</v>
      </c>
      <c r="O142" s="159">
        <v>69</v>
      </c>
      <c r="P142" s="44">
        <f t="shared" si="36"/>
        <v>0.28985507246376807</v>
      </c>
      <c r="Q142" s="44">
        <f t="shared" si="39"/>
        <v>2</v>
      </c>
      <c r="R142" s="162" t="s">
        <v>341</v>
      </c>
      <c r="S142" s="50">
        <v>2</v>
      </c>
      <c r="T142" s="161" t="s">
        <v>339</v>
      </c>
      <c r="U142" s="53" t="s">
        <v>221</v>
      </c>
      <c r="V142" s="84">
        <v>45597</v>
      </c>
      <c r="W142" s="238"/>
      <c r="X142" s="239"/>
      <c r="Y142" s="238"/>
      <c r="Z142" s="239"/>
      <c r="AA142" s="240">
        <v>0</v>
      </c>
      <c r="AB142" s="107">
        <f t="shared" si="37"/>
        <v>0</v>
      </c>
      <c r="AC142" s="240">
        <v>0</v>
      </c>
      <c r="AD142" s="107">
        <f t="shared" si="38"/>
        <v>0</v>
      </c>
    </row>
    <row r="143" spans="2:30" x14ac:dyDescent="0.25">
      <c r="B143" s="311"/>
      <c r="C143" s="171">
        <v>57.5</v>
      </c>
      <c r="D143" s="44" t="s">
        <v>48</v>
      </c>
      <c r="E143" s="44" t="s">
        <v>52</v>
      </c>
      <c r="F143" s="154" t="s">
        <v>212</v>
      </c>
      <c r="G143" s="44">
        <v>2.5</v>
      </c>
      <c r="H143" s="44">
        <f t="shared" si="34"/>
        <v>2500</v>
      </c>
      <c r="I143" s="44">
        <v>288</v>
      </c>
      <c r="J143" s="44">
        <v>89</v>
      </c>
      <c r="K143" s="44">
        <f t="shared" si="40"/>
        <v>1.2898550724637681</v>
      </c>
      <c r="L143" s="50">
        <f t="shared" si="35"/>
        <v>2</v>
      </c>
      <c r="M143" s="44">
        <f t="shared" si="33"/>
        <v>2800</v>
      </c>
      <c r="N143" s="44">
        <f t="shared" si="41"/>
        <v>388</v>
      </c>
      <c r="O143" s="159">
        <v>69</v>
      </c>
      <c r="P143" s="44">
        <f t="shared" si="36"/>
        <v>0.28985507246376807</v>
      </c>
      <c r="Q143" s="44">
        <f t="shared" si="39"/>
        <v>2</v>
      </c>
      <c r="R143" s="162" t="s">
        <v>341</v>
      </c>
      <c r="S143" s="50">
        <v>2</v>
      </c>
      <c r="T143" s="161" t="s">
        <v>339</v>
      </c>
      <c r="U143" s="53" t="s">
        <v>221</v>
      </c>
      <c r="V143" s="84">
        <v>45597</v>
      </c>
      <c r="W143" s="238"/>
      <c r="X143" s="239"/>
      <c r="Y143" s="238"/>
      <c r="Z143" s="239"/>
      <c r="AA143" s="240">
        <v>0</v>
      </c>
      <c r="AB143" s="107">
        <f t="shared" si="37"/>
        <v>0</v>
      </c>
      <c r="AC143" s="240">
        <v>0</v>
      </c>
      <c r="AD143" s="107">
        <f t="shared" si="38"/>
        <v>0</v>
      </c>
    </row>
    <row r="144" spans="2:30" x14ac:dyDescent="0.25">
      <c r="B144" s="311"/>
      <c r="C144" s="171">
        <v>57.6</v>
      </c>
      <c r="D144" s="44" t="s">
        <v>48</v>
      </c>
      <c r="E144" s="44" t="s">
        <v>52</v>
      </c>
      <c r="F144" s="154" t="s">
        <v>212</v>
      </c>
      <c r="G144" s="44">
        <v>2.5</v>
      </c>
      <c r="H144" s="44">
        <f t="shared" si="34"/>
        <v>2500</v>
      </c>
      <c r="I144" s="44">
        <v>288</v>
      </c>
      <c r="J144" s="44">
        <v>89</v>
      </c>
      <c r="K144" s="44">
        <f t="shared" si="40"/>
        <v>1.2898550724637681</v>
      </c>
      <c r="L144" s="50">
        <f t="shared" si="35"/>
        <v>2</v>
      </c>
      <c r="M144" s="44">
        <f t="shared" si="33"/>
        <v>2800</v>
      </c>
      <c r="N144" s="44">
        <f t="shared" si="41"/>
        <v>388</v>
      </c>
      <c r="O144" s="159">
        <v>69</v>
      </c>
      <c r="P144" s="44">
        <f t="shared" si="36"/>
        <v>0.28985507246376807</v>
      </c>
      <c r="Q144" s="44">
        <f t="shared" si="39"/>
        <v>2</v>
      </c>
      <c r="R144" s="162" t="s">
        <v>341</v>
      </c>
      <c r="S144" s="50">
        <v>2</v>
      </c>
      <c r="T144" s="161" t="s">
        <v>339</v>
      </c>
      <c r="U144" s="53" t="s">
        <v>221</v>
      </c>
      <c r="V144" s="84">
        <v>45597</v>
      </c>
      <c r="W144" s="238"/>
      <c r="X144" s="239"/>
      <c r="Y144" s="238"/>
      <c r="Z144" s="239"/>
      <c r="AA144" s="240">
        <v>0</v>
      </c>
      <c r="AB144" s="107">
        <f t="shared" si="37"/>
        <v>0</v>
      </c>
      <c r="AC144" s="240">
        <v>0</v>
      </c>
      <c r="AD144" s="107">
        <f t="shared" si="38"/>
        <v>0</v>
      </c>
    </row>
    <row r="145" spans="2:30" x14ac:dyDescent="0.25">
      <c r="B145" s="311"/>
      <c r="C145" s="171">
        <v>57.7</v>
      </c>
      <c r="D145" s="44" t="s">
        <v>48</v>
      </c>
      <c r="E145" s="44" t="s">
        <v>52</v>
      </c>
      <c r="F145" s="154" t="s">
        <v>212</v>
      </c>
      <c r="G145" s="44">
        <v>2.5</v>
      </c>
      <c r="H145" s="44">
        <f t="shared" si="34"/>
        <v>2500</v>
      </c>
      <c r="I145" s="44">
        <v>288</v>
      </c>
      <c r="J145" s="44">
        <v>89</v>
      </c>
      <c r="K145" s="44">
        <f t="shared" si="40"/>
        <v>1.2898550724637681</v>
      </c>
      <c r="L145" s="50">
        <f t="shared" si="35"/>
        <v>2</v>
      </c>
      <c r="M145" s="44">
        <f t="shared" si="33"/>
        <v>2800</v>
      </c>
      <c r="N145" s="44">
        <f t="shared" si="41"/>
        <v>388</v>
      </c>
      <c r="O145" s="159">
        <v>69</v>
      </c>
      <c r="P145" s="44">
        <f t="shared" si="36"/>
        <v>0.28985507246376807</v>
      </c>
      <c r="Q145" s="44">
        <f t="shared" si="39"/>
        <v>2</v>
      </c>
      <c r="R145" s="162" t="s">
        <v>341</v>
      </c>
      <c r="S145" s="50">
        <v>2</v>
      </c>
      <c r="T145" s="161" t="s">
        <v>339</v>
      </c>
      <c r="U145" s="53" t="s">
        <v>221</v>
      </c>
      <c r="V145" s="84">
        <v>45597</v>
      </c>
      <c r="W145" s="238"/>
      <c r="X145" s="239"/>
      <c r="Y145" s="238"/>
      <c r="Z145" s="239"/>
      <c r="AA145" s="240">
        <v>0</v>
      </c>
      <c r="AB145" s="107">
        <f t="shared" si="37"/>
        <v>0</v>
      </c>
      <c r="AC145" s="240">
        <v>0</v>
      </c>
      <c r="AD145" s="107">
        <f t="shared" si="38"/>
        <v>0</v>
      </c>
    </row>
    <row r="146" spans="2:30" x14ac:dyDescent="0.25">
      <c r="B146" s="311"/>
      <c r="C146" s="171">
        <v>57.8</v>
      </c>
      <c r="D146" s="44" t="s">
        <v>48</v>
      </c>
      <c r="E146" s="44" t="s">
        <v>52</v>
      </c>
      <c r="F146" s="154" t="s">
        <v>212</v>
      </c>
      <c r="G146" s="44">
        <v>2.8</v>
      </c>
      <c r="H146" s="44">
        <f t="shared" si="34"/>
        <v>2800</v>
      </c>
      <c r="I146" s="44">
        <v>288</v>
      </c>
      <c r="J146" s="44">
        <v>89</v>
      </c>
      <c r="K146" s="44">
        <f t="shared" si="40"/>
        <v>1.2898550724637681</v>
      </c>
      <c r="L146" s="50">
        <f t="shared" si="35"/>
        <v>2</v>
      </c>
      <c r="M146" s="44">
        <f t="shared" si="33"/>
        <v>3100</v>
      </c>
      <c r="N146" s="44">
        <f t="shared" si="41"/>
        <v>388</v>
      </c>
      <c r="O146" s="159">
        <v>69</v>
      </c>
      <c r="P146" s="44">
        <f t="shared" si="36"/>
        <v>0.28985507246376807</v>
      </c>
      <c r="Q146" s="44">
        <f t="shared" si="39"/>
        <v>2</v>
      </c>
      <c r="R146" s="162" t="s">
        <v>341</v>
      </c>
      <c r="S146" s="50">
        <v>2</v>
      </c>
      <c r="T146" s="161" t="s">
        <v>339</v>
      </c>
      <c r="U146" s="53" t="s">
        <v>221</v>
      </c>
      <c r="V146" s="84">
        <v>45597</v>
      </c>
      <c r="W146" s="238"/>
      <c r="X146" s="239"/>
      <c r="Y146" s="238"/>
      <c r="Z146" s="239"/>
      <c r="AA146" s="240">
        <v>0</v>
      </c>
      <c r="AB146" s="107">
        <f t="shared" si="37"/>
        <v>0</v>
      </c>
      <c r="AC146" s="240">
        <v>0</v>
      </c>
      <c r="AD146" s="107">
        <f t="shared" si="38"/>
        <v>0</v>
      </c>
    </row>
    <row r="147" spans="2:30" x14ac:dyDescent="0.25">
      <c r="B147" s="311"/>
      <c r="C147" s="171">
        <v>57.9</v>
      </c>
      <c r="D147" s="44" t="s">
        <v>48</v>
      </c>
      <c r="E147" s="44" t="s">
        <v>52</v>
      </c>
      <c r="F147" s="154" t="s">
        <v>212</v>
      </c>
      <c r="G147" s="44">
        <v>3</v>
      </c>
      <c r="H147" s="44">
        <f t="shared" si="34"/>
        <v>3000</v>
      </c>
      <c r="I147" s="44">
        <v>288</v>
      </c>
      <c r="J147" s="44">
        <v>89</v>
      </c>
      <c r="K147" s="44">
        <f t="shared" si="40"/>
        <v>1.2898550724637681</v>
      </c>
      <c r="L147" s="50">
        <f t="shared" si="35"/>
        <v>2</v>
      </c>
      <c r="M147" s="44">
        <f t="shared" si="33"/>
        <v>3300</v>
      </c>
      <c r="N147" s="44">
        <f t="shared" si="41"/>
        <v>388</v>
      </c>
      <c r="O147" s="159">
        <v>69</v>
      </c>
      <c r="P147" s="44">
        <f t="shared" si="36"/>
        <v>0.28985507246376807</v>
      </c>
      <c r="Q147" s="44">
        <f t="shared" si="39"/>
        <v>2</v>
      </c>
      <c r="R147" s="162" t="s">
        <v>341</v>
      </c>
      <c r="S147" s="50">
        <v>2</v>
      </c>
      <c r="T147" s="161" t="s">
        <v>339</v>
      </c>
      <c r="U147" s="53" t="s">
        <v>221</v>
      </c>
      <c r="V147" s="84">
        <v>45597</v>
      </c>
      <c r="W147" s="238"/>
      <c r="X147" s="239"/>
      <c r="Y147" s="238"/>
      <c r="Z147" s="239"/>
      <c r="AA147" s="240">
        <v>0</v>
      </c>
      <c r="AB147" s="107">
        <f t="shared" si="37"/>
        <v>0</v>
      </c>
      <c r="AC147" s="240">
        <v>0</v>
      </c>
      <c r="AD147" s="107">
        <f t="shared" si="38"/>
        <v>0</v>
      </c>
    </row>
    <row r="148" spans="2:30" x14ac:dyDescent="0.25">
      <c r="B148" s="311"/>
      <c r="C148" s="173">
        <v>57.1</v>
      </c>
      <c r="D148" s="47" t="s">
        <v>48</v>
      </c>
      <c r="E148" s="47" t="s">
        <v>52</v>
      </c>
      <c r="F148" s="156" t="s">
        <v>213</v>
      </c>
      <c r="G148" s="44">
        <v>7.3</v>
      </c>
      <c r="H148" s="44">
        <f t="shared" si="34"/>
        <v>7300</v>
      </c>
      <c r="I148" s="44">
        <v>288</v>
      </c>
      <c r="J148" s="44">
        <v>89</v>
      </c>
      <c r="K148" s="44">
        <f t="shared" si="40"/>
        <v>1.2898550724637681</v>
      </c>
      <c r="L148" s="50">
        <f t="shared" si="35"/>
        <v>2</v>
      </c>
      <c r="M148" s="44">
        <f t="shared" si="33"/>
        <v>7600</v>
      </c>
      <c r="N148" s="44">
        <f t="shared" si="41"/>
        <v>388</v>
      </c>
      <c r="O148" s="159">
        <v>69</v>
      </c>
      <c r="P148" s="44">
        <f t="shared" si="36"/>
        <v>0.28985507246376807</v>
      </c>
      <c r="Q148" s="44">
        <f t="shared" si="39"/>
        <v>2</v>
      </c>
      <c r="R148" s="165" t="s">
        <v>342</v>
      </c>
      <c r="S148" s="50">
        <v>2</v>
      </c>
      <c r="T148" s="166" t="s">
        <v>340</v>
      </c>
      <c r="U148" s="53" t="s">
        <v>221</v>
      </c>
      <c r="V148" s="84">
        <v>45597</v>
      </c>
      <c r="W148" s="238"/>
      <c r="X148" s="239"/>
      <c r="Y148" s="238"/>
      <c r="Z148" s="239"/>
      <c r="AA148" s="240">
        <v>0</v>
      </c>
      <c r="AB148" s="107">
        <f t="shared" si="37"/>
        <v>0</v>
      </c>
      <c r="AC148" s="240">
        <v>0</v>
      </c>
      <c r="AD148" s="107">
        <f t="shared" si="38"/>
        <v>0</v>
      </c>
    </row>
    <row r="149" spans="2:30" ht="15" customHeight="1" x14ac:dyDescent="0.25">
      <c r="B149" s="311"/>
      <c r="C149" s="171">
        <v>57.11</v>
      </c>
      <c r="D149" s="44" t="s">
        <v>48</v>
      </c>
      <c r="E149" s="44" t="s">
        <v>105</v>
      </c>
      <c r="F149" s="156" t="s">
        <v>213</v>
      </c>
      <c r="G149" s="44">
        <v>7.3</v>
      </c>
      <c r="H149" s="44">
        <f t="shared" si="34"/>
        <v>7300</v>
      </c>
      <c r="I149" s="44">
        <v>380</v>
      </c>
      <c r="J149" s="44">
        <v>89</v>
      </c>
      <c r="K149" s="44">
        <f t="shared" si="40"/>
        <v>1.2898550724637681</v>
      </c>
      <c r="L149" s="50">
        <f t="shared" si="35"/>
        <v>2</v>
      </c>
      <c r="M149" s="44">
        <f t="shared" si="33"/>
        <v>7600</v>
      </c>
      <c r="N149" s="44">
        <f t="shared" si="41"/>
        <v>480</v>
      </c>
      <c r="O149" s="159">
        <v>69</v>
      </c>
      <c r="P149" s="44">
        <f t="shared" si="36"/>
        <v>0.28985507246376807</v>
      </c>
      <c r="Q149" s="44">
        <f t="shared" si="39"/>
        <v>2</v>
      </c>
      <c r="R149" s="165" t="s">
        <v>342</v>
      </c>
      <c r="S149" s="50">
        <v>2</v>
      </c>
      <c r="T149" s="166" t="s">
        <v>340</v>
      </c>
      <c r="U149" s="53" t="s">
        <v>221</v>
      </c>
      <c r="V149" s="84">
        <v>45597</v>
      </c>
      <c r="W149" s="238"/>
      <c r="X149" s="239"/>
      <c r="Y149" s="238"/>
      <c r="Z149" s="239"/>
      <c r="AA149" s="240">
        <v>0</v>
      </c>
      <c r="AB149" s="107">
        <f t="shared" si="37"/>
        <v>0</v>
      </c>
      <c r="AC149" s="240">
        <v>0</v>
      </c>
      <c r="AD149" s="107">
        <f t="shared" si="38"/>
        <v>0</v>
      </c>
    </row>
    <row r="150" spans="2:30" ht="15" customHeight="1" x14ac:dyDescent="0.25">
      <c r="B150" s="311"/>
      <c r="C150" s="171">
        <v>58.3</v>
      </c>
      <c r="D150" s="44" t="s">
        <v>48</v>
      </c>
      <c r="E150" s="44" t="s">
        <v>96</v>
      </c>
      <c r="F150" s="156" t="s">
        <v>213</v>
      </c>
      <c r="G150" s="44">
        <v>7.4</v>
      </c>
      <c r="H150" s="44">
        <f t="shared" si="34"/>
        <v>7400</v>
      </c>
      <c r="I150" s="44">
        <v>464</v>
      </c>
      <c r="J150" s="44">
        <v>101.6</v>
      </c>
      <c r="K150" s="44">
        <f t="shared" si="40"/>
        <v>1.472463768115942</v>
      </c>
      <c r="L150" s="50">
        <f t="shared" si="35"/>
        <v>2</v>
      </c>
      <c r="M150" s="44">
        <f t="shared" si="33"/>
        <v>7700</v>
      </c>
      <c r="N150" s="44">
        <f t="shared" si="41"/>
        <v>564</v>
      </c>
      <c r="O150" s="159">
        <v>69</v>
      </c>
      <c r="P150" s="44">
        <f t="shared" si="36"/>
        <v>0.47246376811594204</v>
      </c>
      <c r="Q150" s="44">
        <f t="shared" si="39"/>
        <v>2</v>
      </c>
      <c r="R150" s="165" t="s">
        <v>342</v>
      </c>
      <c r="S150" s="50">
        <v>2</v>
      </c>
      <c r="T150" s="166" t="s">
        <v>340</v>
      </c>
      <c r="U150" s="53" t="s">
        <v>221</v>
      </c>
      <c r="V150" s="84">
        <v>45597</v>
      </c>
      <c r="W150" s="238"/>
      <c r="X150" s="239"/>
      <c r="Y150" s="238"/>
      <c r="Z150" s="239"/>
      <c r="AA150" s="240">
        <v>0</v>
      </c>
      <c r="AB150" s="107">
        <f t="shared" si="37"/>
        <v>0</v>
      </c>
      <c r="AC150" s="240">
        <v>0</v>
      </c>
      <c r="AD150" s="107">
        <f t="shared" si="38"/>
        <v>0</v>
      </c>
    </row>
    <row r="151" spans="2:30" ht="15" customHeight="1" x14ac:dyDescent="0.25">
      <c r="B151" s="311"/>
      <c r="C151" s="171">
        <v>58.4</v>
      </c>
      <c r="D151" s="44" t="s">
        <v>48</v>
      </c>
      <c r="E151" s="44" t="s">
        <v>97</v>
      </c>
      <c r="F151" s="156" t="s">
        <v>213</v>
      </c>
      <c r="G151" s="44">
        <v>7.4</v>
      </c>
      <c r="H151" s="44">
        <f t="shared" si="34"/>
        <v>7400</v>
      </c>
      <c r="I151" s="44">
        <v>359</v>
      </c>
      <c r="J151" s="44">
        <v>101.6</v>
      </c>
      <c r="K151" s="44">
        <f t="shared" si="40"/>
        <v>1.472463768115942</v>
      </c>
      <c r="L151" s="50">
        <f t="shared" si="35"/>
        <v>2</v>
      </c>
      <c r="M151" s="44">
        <f t="shared" si="33"/>
        <v>7700</v>
      </c>
      <c r="N151" s="44">
        <f t="shared" si="41"/>
        <v>459</v>
      </c>
      <c r="O151" s="159">
        <v>69</v>
      </c>
      <c r="P151" s="44">
        <f t="shared" si="36"/>
        <v>0.47246376811594204</v>
      </c>
      <c r="Q151" s="44">
        <f t="shared" si="39"/>
        <v>2</v>
      </c>
      <c r="R151" s="165" t="s">
        <v>342</v>
      </c>
      <c r="S151" s="50">
        <v>2</v>
      </c>
      <c r="T151" s="166" t="s">
        <v>340</v>
      </c>
      <c r="U151" s="53" t="s">
        <v>221</v>
      </c>
      <c r="V151" s="84">
        <v>45597</v>
      </c>
      <c r="W151" s="238"/>
      <c r="X151" s="239"/>
      <c r="Y151" s="238"/>
      <c r="Z151" s="239"/>
      <c r="AA151" s="240">
        <v>0</v>
      </c>
      <c r="AB151" s="107">
        <f t="shared" si="37"/>
        <v>0</v>
      </c>
      <c r="AC151" s="240">
        <v>0</v>
      </c>
      <c r="AD151" s="107">
        <f t="shared" si="38"/>
        <v>0</v>
      </c>
    </row>
    <row r="152" spans="2:30" ht="15" customHeight="1" x14ac:dyDescent="0.25">
      <c r="B152" s="311"/>
      <c r="C152" s="171">
        <v>58.5</v>
      </c>
      <c r="D152" s="44" t="s">
        <v>48</v>
      </c>
      <c r="E152" s="44" t="s">
        <v>98</v>
      </c>
      <c r="F152" s="156" t="s">
        <v>213</v>
      </c>
      <c r="G152" s="44">
        <v>10.3</v>
      </c>
      <c r="H152" s="44">
        <f t="shared" si="34"/>
        <v>10300</v>
      </c>
      <c r="I152" s="44">
        <v>407</v>
      </c>
      <c r="J152" s="44">
        <v>101.6</v>
      </c>
      <c r="K152" s="44">
        <f t="shared" si="40"/>
        <v>1.472463768115942</v>
      </c>
      <c r="L152" s="50">
        <f t="shared" si="35"/>
        <v>2</v>
      </c>
      <c r="M152" s="44">
        <f t="shared" si="33"/>
        <v>10600</v>
      </c>
      <c r="N152" s="44">
        <f t="shared" si="41"/>
        <v>507</v>
      </c>
      <c r="O152" s="159">
        <v>69</v>
      </c>
      <c r="P152" s="44">
        <f t="shared" si="36"/>
        <v>0.47246376811594204</v>
      </c>
      <c r="Q152" s="44">
        <f t="shared" si="39"/>
        <v>2</v>
      </c>
      <c r="R152" s="165" t="s">
        <v>342</v>
      </c>
      <c r="S152" s="50">
        <v>2</v>
      </c>
      <c r="T152" s="166" t="s">
        <v>340</v>
      </c>
      <c r="U152" s="53" t="s">
        <v>221</v>
      </c>
      <c r="V152" s="84">
        <v>45597</v>
      </c>
      <c r="W152" s="238"/>
      <c r="X152" s="239"/>
      <c r="Y152" s="238"/>
      <c r="Z152" s="239"/>
      <c r="AA152" s="240">
        <v>0</v>
      </c>
      <c r="AB152" s="107">
        <f t="shared" si="37"/>
        <v>0</v>
      </c>
      <c r="AC152" s="240">
        <v>0</v>
      </c>
      <c r="AD152" s="107">
        <f t="shared" si="38"/>
        <v>0</v>
      </c>
    </row>
    <row r="153" spans="2:30" ht="15" customHeight="1" x14ac:dyDescent="0.25">
      <c r="B153" s="311"/>
      <c r="C153" s="171">
        <v>58.6</v>
      </c>
      <c r="D153" s="44" t="s">
        <v>48</v>
      </c>
      <c r="E153" s="44" t="s">
        <v>100</v>
      </c>
      <c r="F153" s="156" t="s">
        <v>213</v>
      </c>
      <c r="G153" s="44">
        <v>7.4</v>
      </c>
      <c r="H153" s="44">
        <f t="shared" si="34"/>
        <v>7400</v>
      </c>
      <c r="I153" s="44">
        <v>427</v>
      </c>
      <c r="J153" s="44">
        <v>101.6</v>
      </c>
      <c r="K153" s="44">
        <f t="shared" si="40"/>
        <v>1.472463768115942</v>
      </c>
      <c r="L153" s="50">
        <f t="shared" si="35"/>
        <v>2</v>
      </c>
      <c r="M153" s="44">
        <f t="shared" si="33"/>
        <v>7700</v>
      </c>
      <c r="N153" s="44">
        <f t="shared" si="41"/>
        <v>527</v>
      </c>
      <c r="O153" s="159">
        <v>69</v>
      </c>
      <c r="P153" s="44">
        <f t="shared" si="36"/>
        <v>0.47246376811594204</v>
      </c>
      <c r="Q153" s="44">
        <f t="shared" si="39"/>
        <v>2</v>
      </c>
      <c r="R153" s="165" t="s">
        <v>342</v>
      </c>
      <c r="S153" s="50">
        <v>2</v>
      </c>
      <c r="T153" s="166" t="s">
        <v>340</v>
      </c>
      <c r="U153" s="53" t="s">
        <v>221</v>
      </c>
      <c r="V153" s="84">
        <v>45597</v>
      </c>
      <c r="W153" s="238"/>
      <c r="X153" s="239"/>
      <c r="Y153" s="238"/>
      <c r="Z153" s="239"/>
      <c r="AA153" s="240">
        <v>0</v>
      </c>
      <c r="AB153" s="107">
        <f t="shared" si="37"/>
        <v>0</v>
      </c>
      <c r="AC153" s="240">
        <v>0</v>
      </c>
      <c r="AD153" s="107">
        <f t="shared" si="38"/>
        <v>0</v>
      </c>
    </row>
    <row r="154" spans="2:30" x14ac:dyDescent="0.25">
      <c r="B154" s="311"/>
      <c r="C154" s="171">
        <v>58.7</v>
      </c>
      <c r="D154" s="44" t="s">
        <v>48</v>
      </c>
      <c r="E154" s="44" t="s">
        <v>26</v>
      </c>
      <c r="F154" s="156" t="s">
        <v>213</v>
      </c>
      <c r="G154" s="44">
        <v>7.4</v>
      </c>
      <c r="H154" s="44">
        <f t="shared" si="34"/>
        <v>7400</v>
      </c>
      <c r="I154" s="44">
        <v>299</v>
      </c>
      <c r="J154" s="44">
        <v>101.6</v>
      </c>
      <c r="K154" s="44">
        <f t="shared" si="40"/>
        <v>1.472463768115942</v>
      </c>
      <c r="L154" s="50">
        <f t="shared" si="35"/>
        <v>2</v>
      </c>
      <c r="M154" s="44">
        <f t="shared" si="33"/>
        <v>7700</v>
      </c>
      <c r="N154" s="44">
        <f t="shared" si="41"/>
        <v>399</v>
      </c>
      <c r="O154" s="159">
        <v>69</v>
      </c>
      <c r="P154" s="44">
        <f t="shared" si="36"/>
        <v>0.47246376811594204</v>
      </c>
      <c r="Q154" s="44">
        <f t="shared" si="39"/>
        <v>2</v>
      </c>
      <c r="R154" s="165" t="s">
        <v>342</v>
      </c>
      <c r="S154" s="50">
        <v>2</v>
      </c>
      <c r="T154" s="166" t="s">
        <v>340</v>
      </c>
      <c r="U154" s="53" t="s">
        <v>221</v>
      </c>
      <c r="V154" s="84">
        <v>45597</v>
      </c>
      <c r="W154" s="238"/>
      <c r="X154" s="239"/>
      <c r="Y154" s="238"/>
      <c r="Z154" s="239"/>
      <c r="AA154" s="240">
        <v>0</v>
      </c>
      <c r="AB154" s="107">
        <f t="shared" si="37"/>
        <v>0</v>
      </c>
      <c r="AC154" s="240">
        <v>0</v>
      </c>
      <c r="AD154" s="107">
        <f t="shared" si="38"/>
        <v>0</v>
      </c>
    </row>
    <row r="155" spans="2:30" x14ac:dyDescent="0.25">
      <c r="B155" s="311"/>
      <c r="C155" s="171">
        <v>59.4</v>
      </c>
      <c r="D155" s="44" t="s">
        <v>48</v>
      </c>
      <c r="E155" s="44" t="s">
        <v>52</v>
      </c>
      <c r="F155" s="156" t="s">
        <v>213</v>
      </c>
      <c r="G155" s="44">
        <v>7.4</v>
      </c>
      <c r="H155" s="44">
        <f t="shared" si="34"/>
        <v>7400</v>
      </c>
      <c r="I155" s="44">
        <v>299</v>
      </c>
      <c r="J155" s="44">
        <v>101.6</v>
      </c>
      <c r="K155" s="44">
        <f t="shared" si="40"/>
        <v>1.472463768115942</v>
      </c>
      <c r="L155" s="50">
        <f t="shared" si="35"/>
        <v>2</v>
      </c>
      <c r="M155" s="44">
        <f t="shared" si="33"/>
        <v>7700</v>
      </c>
      <c r="N155" s="44">
        <f t="shared" si="41"/>
        <v>399</v>
      </c>
      <c r="O155" s="159">
        <v>69</v>
      </c>
      <c r="P155" s="44">
        <f t="shared" si="36"/>
        <v>0.47246376811594204</v>
      </c>
      <c r="Q155" s="44">
        <f t="shared" si="39"/>
        <v>2</v>
      </c>
      <c r="R155" s="165" t="s">
        <v>342</v>
      </c>
      <c r="S155" s="50">
        <v>2</v>
      </c>
      <c r="T155" s="166" t="s">
        <v>340</v>
      </c>
      <c r="U155" s="53" t="s">
        <v>221</v>
      </c>
      <c r="V155" s="84">
        <v>45597</v>
      </c>
      <c r="W155" s="238"/>
      <c r="X155" s="239"/>
      <c r="Y155" s="238"/>
      <c r="Z155" s="239"/>
      <c r="AA155" s="240">
        <v>0</v>
      </c>
      <c r="AB155" s="107">
        <f t="shared" si="37"/>
        <v>0</v>
      </c>
      <c r="AC155" s="240">
        <v>0</v>
      </c>
      <c r="AD155" s="107">
        <f t="shared" si="38"/>
        <v>0</v>
      </c>
    </row>
    <row r="156" spans="2:30" x14ac:dyDescent="0.25">
      <c r="B156" s="311"/>
      <c r="C156" s="171">
        <v>59.5</v>
      </c>
      <c r="D156" s="44" t="s">
        <v>48</v>
      </c>
      <c r="E156" s="44" t="s">
        <v>52</v>
      </c>
      <c r="F156" s="156" t="s">
        <v>213</v>
      </c>
      <c r="G156" s="44">
        <v>7.4</v>
      </c>
      <c r="H156" s="44">
        <f t="shared" si="34"/>
        <v>7400</v>
      </c>
      <c r="I156" s="44">
        <v>299</v>
      </c>
      <c r="J156" s="44">
        <v>101.6</v>
      </c>
      <c r="K156" s="44">
        <f t="shared" si="40"/>
        <v>1.472463768115942</v>
      </c>
      <c r="L156" s="50">
        <f t="shared" si="35"/>
        <v>2</v>
      </c>
      <c r="M156" s="44">
        <f t="shared" si="33"/>
        <v>7700</v>
      </c>
      <c r="N156" s="44">
        <f t="shared" si="41"/>
        <v>399</v>
      </c>
      <c r="O156" s="159">
        <v>69</v>
      </c>
      <c r="P156" s="44">
        <f t="shared" si="36"/>
        <v>0.47246376811594204</v>
      </c>
      <c r="Q156" s="44">
        <f t="shared" si="39"/>
        <v>2</v>
      </c>
      <c r="R156" s="165" t="s">
        <v>342</v>
      </c>
      <c r="S156" s="50">
        <v>2</v>
      </c>
      <c r="T156" s="166" t="s">
        <v>340</v>
      </c>
      <c r="U156" s="53" t="s">
        <v>221</v>
      </c>
      <c r="V156" s="84">
        <v>45597</v>
      </c>
      <c r="W156" s="238"/>
      <c r="X156" s="239"/>
      <c r="Y156" s="238"/>
      <c r="Z156" s="239"/>
      <c r="AA156" s="240">
        <v>0</v>
      </c>
      <c r="AB156" s="107">
        <f t="shared" si="37"/>
        <v>0</v>
      </c>
      <c r="AC156" s="240">
        <v>0</v>
      </c>
      <c r="AD156" s="107">
        <f t="shared" si="38"/>
        <v>0</v>
      </c>
    </row>
    <row r="157" spans="2:30" x14ac:dyDescent="0.25">
      <c r="B157" s="311"/>
      <c r="C157" s="171">
        <v>59.6</v>
      </c>
      <c r="D157" s="44" t="s">
        <v>48</v>
      </c>
      <c r="E157" s="44" t="s">
        <v>52</v>
      </c>
      <c r="F157" s="156" t="s">
        <v>213</v>
      </c>
      <c r="G157" s="44">
        <v>10.8</v>
      </c>
      <c r="H157" s="44">
        <f t="shared" si="34"/>
        <v>10800</v>
      </c>
      <c r="I157" s="44">
        <v>299</v>
      </c>
      <c r="J157" s="44">
        <v>101.6</v>
      </c>
      <c r="K157" s="44">
        <f t="shared" si="40"/>
        <v>1.472463768115942</v>
      </c>
      <c r="L157" s="50">
        <f t="shared" si="35"/>
        <v>2</v>
      </c>
      <c r="M157" s="44">
        <f t="shared" si="33"/>
        <v>11100</v>
      </c>
      <c r="N157" s="44">
        <f t="shared" si="41"/>
        <v>399</v>
      </c>
      <c r="O157" s="159">
        <v>69</v>
      </c>
      <c r="P157" s="44">
        <f t="shared" si="36"/>
        <v>0.47246376811594204</v>
      </c>
      <c r="Q157" s="44">
        <f t="shared" si="39"/>
        <v>2</v>
      </c>
      <c r="R157" s="165" t="s">
        <v>342</v>
      </c>
      <c r="S157" s="50">
        <v>2</v>
      </c>
      <c r="T157" s="166" t="s">
        <v>340</v>
      </c>
      <c r="U157" s="53" t="s">
        <v>221</v>
      </c>
      <c r="V157" s="84">
        <v>45597</v>
      </c>
      <c r="W157" s="238"/>
      <c r="X157" s="239"/>
      <c r="Y157" s="238"/>
      <c r="Z157" s="239"/>
      <c r="AA157" s="240">
        <v>0</v>
      </c>
      <c r="AB157" s="107">
        <f t="shared" si="37"/>
        <v>0</v>
      </c>
      <c r="AC157" s="240">
        <v>0</v>
      </c>
      <c r="AD157" s="107">
        <f t="shared" si="38"/>
        <v>0</v>
      </c>
    </row>
    <row r="158" spans="2:30" x14ac:dyDescent="0.25">
      <c r="B158" s="311"/>
      <c r="C158" s="171">
        <v>59.7</v>
      </c>
      <c r="D158" s="44" t="s">
        <v>48</v>
      </c>
      <c r="E158" s="44" t="s">
        <v>26</v>
      </c>
      <c r="F158" s="156" t="s">
        <v>213</v>
      </c>
      <c r="G158" s="44">
        <v>7.4</v>
      </c>
      <c r="H158" s="44">
        <f t="shared" si="34"/>
        <v>7400</v>
      </c>
      <c r="I158" s="44">
        <v>299</v>
      </c>
      <c r="J158" s="44">
        <v>101.6</v>
      </c>
      <c r="K158" s="44">
        <f t="shared" si="40"/>
        <v>1.472463768115942</v>
      </c>
      <c r="L158" s="50">
        <f t="shared" si="35"/>
        <v>2</v>
      </c>
      <c r="M158" s="44">
        <f t="shared" si="33"/>
        <v>7700</v>
      </c>
      <c r="N158" s="44">
        <f t="shared" si="41"/>
        <v>399</v>
      </c>
      <c r="O158" s="159">
        <v>69</v>
      </c>
      <c r="P158" s="44">
        <f t="shared" si="36"/>
        <v>0.47246376811594204</v>
      </c>
      <c r="Q158" s="44">
        <f t="shared" si="39"/>
        <v>2</v>
      </c>
      <c r="R158" s="165" t="s">
        <v>342</v>
      </c>
      <c r="S158" s="50">
        <v>2</v>
      </c>
      <c r="T158" s="166" t="s">
        <v>340</v>
      </c>
      <c r="U158" s="53" t="s">
        <v>221</v>
      </c>
      <c r="V158" s="84">
        <v>45597</v>
      </c>
      <c r="W158" s="238"/>
      <c r="X158" s="239"/>
      <c r="Y158" s="238"/>
      <c r="Z158" s="239"/>
      <c r="AA158" s="240">
        <v>0</v>
      </c>
      <c r="AB158" s="107">
        <f t="shared" si="37"/>
        <v>0</v>
      </c>
      <c r="AC158" s="240">
        <v>0</v>
      </c>
      <c r="AD158" s="107">
        <f t="shared" si="38"/>
        <v>0</v>
      </c>
    </row>
    <row r="159" spans="2:30" x14ac:dyDescent="0.25">
      <c r="B159" s="311"/>
      <c r="C159" s="171">
        <v>59.8</v>
      </c>
      <c r="D159" s="44" t="s">
        <v>48</v>
      </c>
      <c r="E159" s="44" t="s">
        <v>26</v>
      </c>
      <c r="F159" s="156" t="s">
        <v>213</v>
      </c>
      <c r="G159" s="44">
        <v>7.4</v>
      </c>
      <c r="H159" s="44">
        <f t="shared" si="34"/>
        <v>7400</v>
      </c>
      <c r="I159" s="44">
        <v>299</v>
      </c>
      <c r="J159" s="44">
        <v>101.6</v>
      </c>
      <c r="K159" s="44">
        <f t="shared" si="40"/>
        <v>1.472463768115942</v>
      </c>
      <c r="L159" s="50">
        <f t="shared" si="35"/>
        <v>2</v>
      </c>
      <c r="M159" s="44">
        <f t="shared" si="33"/>
        <v>7700</v>
      </c>
      <c r="N159" s="44">
        <f t="shared" si="41"/>
        <v>399</v>
      </c>
      <c r="O159" s="159">
        <v>69</v>
      </c>
      <c r="P159" s="44">
        <f t="shared" si="36"/>
        <v>0.47246376811594204</v>
      </c>
      <c r="Q159" s="44">
        <f t="shared" si="39"/>
        <v>2</v>
      </c>
      <c r="R159" s="165" t="s">
        <v>342</v>
      </c>
      <c r="S159" s="50">
        <v>2</v>
      </c>
      <c r="T159" s="166" t="s">
        <v>340</v>
      </c>
      <c r="U159" s="53" t="s">
        <v>221</v>
      </c>
      <c r="V159" s="84">
        <v>45597</v>
      </c>
      <c r="W159" s="238"/>
      <c r="X159" s="239"/>
      <c r="Y159" s="238"/>
      <c r="Z159" s="239"/>
      <c r="AA159" s="240">
        <v>0</v>
      </c>
      <c r="AB159" s="107">
        <f t="shared" si="37"/>
        <v>0</v>
      </c>
      <c r="AC159" s="240">
        <v>0</v>
      </c>
      <c r="AD159" s="107">
        <f t="shared" si="38"/>
        <v>0</v>
      </c>
    </row>
    <row r="160" spans="2:30" x14ac:dyDescent="0.25">
      <c r="B160" s="311"/>
      <c r="C160" s="171">
        <v>60.4</v>
      </c>
      <c r="D160" s="44" t="s">
        <v>48</v>
      </c>
      <c r="E160" s="44" t="s">
        <v>52</v>
      </c>
      <c r="F160" s="156" t="s">
        <v>213</v>
      </c>
      <c r="G160" s="44">
        <v>7.4</v>
      </c>
      <c r="H160" s="44">
        <f t="shared" si="34"/>
        <v>7400</v>
      </c>
      <c r="I160" s="44">
        <v>299</v>
      </c>
      <c r="J160" s="44">
        <v>101.6</v>
      </c>
      <c r="K160" s="44">
        <f t="shared" si="40"/>
        <v>1.472463768115942</v>
      </c>
      <c r="L160" s="50">
        <f t="shared" si="35"/>
        <v>2</v>
      </c>
      <c r="M160" s="44">
        <f t="shared" si="33"/>
        <v>7700</v>
      </c>
      <c r="N160" s="44">
        <f t="shared" si="41"/>
        <v>399</v>
      </c>
      <c r="O160" s="159">
        <v>69</v>
      </c>
      <c r="P160" s="44">
        <f t="shared" si="36"/>
        <v>0.47246376811594204</v>
      </c>
      <c r="Q160" s="44">
        <f t="shared" si="39"/>
        <v>2</v>
      </c>
      <c r="R160" s="165" t="s">
        <v>342</v>
      </c>
      <c r="S160" s="50">
        <v>2</v>
      </c>
      <c r="T160" s="166" t="s">
        <v>340</v>
      </c>
      <c r="U160" s="53" t="s">
        <v>221</v>
      </c>
      <c r="V160" s="84">
        <v>45597</v>
      </c>
      <c r="W160" s="238"/>
      <c r="X160" s="239"/>
      <c r="Y160" s="238"/>
      <c r="Z160" s="239"/>
      <c r="AA160" s="240">
        <v>0</v>
      </c>
      <c r="AB160" s="107">
        <f t="shared" si="37"/>
        <v>0</v>
      </c>
      <c r="AC160" s="240">
        <v>0</v>
      </c>
      <c r="AD160" s="107">
        <f t="shared" si="38"/>
        <v>0</v>
      </c>
    </row>
    <row r="161" spans="2:30" x14ac:dyDescent="0.25">
      <c r="B161" s="311"/>
      <c r="C161" s="171">
        <v>60.5</v>
      </c>
      <c r="D161" s="44" t="s">
        <v>48</v>
      </c>
      <c r="E161" s="44" t="s">
        <v>52</v>
      </c>
      <c r="F161" s="156" t="s">
        <v>213</v>
      </c>
      <c r="G161" s="44">
        <v>9</v>
      </c>
      <c r="H161" s="44">
        <f t="shared" si="34"/>
        <v>9000</v>
      </c>
      <c r="I161" s="44">
        <v>299</v>
      </c>
      <c r="J161" s="44">
        <v>101.6</v>
      </c>
      <c r="K161" s="44">
        <f t="shared" si="40"/>
        <v>1.472463768115942</v>
      </c>
      <c r="L161" s="50">
        <f t="shared" si="35"/>
        <v>2</v>
      </c>
      <c r="M161" s="44">
        <f t="shared" si="33"/>
        <v>9300</v>
      </c>
      <c r="N161" s="44">
        <f t="shared" si="41"/>
        <v>399</v>
      </c>
      <c r="O161" s="159">
        <v>69</v>
      </c>
      <c r="P161" s="44">
        <f t="shared" si="36"/>
        <v>0.47246376811594204</v>
      </c>
      <c r="Q161" s="44">
        <f t="shared" si="39"/>
        <v>2</v>
      </c>
      <c r="R161" s="165" t="s">
        <v>342</v>
      </c>
      <c r="S161" s="50">
        <v>2</v>
      </c>
      <c r="T161" s="166" t="s">
        <v>340</v>
      </c>
      <c r="U161" s="53" t="s">
        <v>221</v>
      </c>
      <c r="V161" s="84">
        <v>45597</v>
      </c>
      <c r="W161" s="238"/>
      <c r="X161" s="239"/>
      <c r="Y161" s="238"/>
      <c r="Z161" s="239"/>
      <c r="AA161" s="240">
        <v>0</v>
      </c>
      <c r="AB161" s="107">
        <f t="shared" si="37"/>
        <v>0</v>
      </c>
      <c r="AC161" s="240">
        <v>0</v>
      </c>
      <c r="AD161" s="107">
        <f t="shared" si="38"/>
        <v>0</v>
      </c>
    </row>
    <row r="162" spans="2:30" x14ac:dyDescent="0.25">
      <c r="B162" s="311"/>
      <c r="C162" s="171">
        <v>60.6</v>
      </c>
      <c r="D162" s="44" t="s">
        <v>48</v>
      </c>
      <c r="E162" s="44" t="s">
        <v>52</v>
      </c>
      <c r="F162" s="156" t="s">
        <v>213</v>
      </c>
      <c r="G162" s="44">
        <v>9</v>
      </c>
      <c r="H162" s="44">
        <f t="shared" si="34"/>
        <v>9000</v>
      </c>
      <c r="I162" s="44">
        <v>299</v>
      </c>
      <c r="J162" s="44">
        <v>101.6</v>
      </c>
      <c r="K162" s="44">
        <f t="shared" si="40"/>
        <v>1.472463768115942</v>
      </c>
      <c r="L162" s="50">
        <f t="shared" si="35"/>
        <v>2</v>
      </c>
      <c r="M162" s="44">
        <f t="shared" si="33"/>
        <v>9300</v>
      </c>
      <c r="N162" s="44">
        <f t="shared" si="41"/>
        <v>399</v>
      </c>
      <c r="O162" s="159">
        <v>69</v>
      </c>
      <c r="P162" s="44">
        <f t="shared" si="36"/>
        <v>0.47246376811594204</v>
      </c>
      <c r="Q162" s="44">
        <f t="shared" si="39"/>
        <v>2</v>
      </c>
      <c r="R162" s="165" t="s">
        <v>342</v>
      </c>
      <c r="S162" s="50">
        <v>2</v>
      </c>
      <c r="T162" s="166" t="s">
        <v>340</v>
      </c>
      <c r="U162" s="53" t="s">
        <v>221</v>
      </c>
      <c r="V162" s="84">
        <v>45597</v>
      </c>
      <c r="W162" s="238"/>
      <c r="X162" s="239"/>
      <c r="Y162" s="238"/>
      <c r="Z162" s="239"/>
      <c r="AA162" s="240">
        <v>0</v>
      </c>
      <c r="AB162" s="107">
        <f t="shared" si="37"/>
        <v>0</v>
      </c>
      <c r="AC162" s="240">
        <v>0</v>
      </c>
      <c r="AD162" s="107">
        <f t="shared" si="38"/>
        <v>0</v>
      </c>
    </row>
    <row r="163" spans="2:30" x14ac:dyDescent="0.25">
      <c r="B163" s="311"/>
      <c r="C163" s="171">
        <v>60.7</v>
      </c>
      <c r="D163" s="44" t="s">
        <v>48</v>
      </c>
      <c r="E163" s="44" t="s">
        <v>26</v>
      </c>
      <c r="F163" s="156" t="s">
        <v>213</v>
      </c>
      <c r="G163" s="44">
        <v>7.4</v>
      </c>
      <c r="H163" s="44">
        <f t="shared" si="34"/>
        <v>7400</v>
      </c>
      <c r="I163" s="44">
        <v>299</v>
      </c>
      <c r="J163" s="44">
        <v>101.6</v>
      </c>
      <c r="K163" s="44">
        <f t="shared" si="40"/>
        <v>1.472463768115942</v>
      </c>
      <c r="L163" s="50">
        <f t="shared" si="35"/>
        <v>2</v>
      </c>
      <c r="M163" s="44">
        <f t="shared" si="33"/>
        <v>7700</v>
      </c>
      <c r="N163" s="44">
        <f t="shared" si="41"/>
        <v>399</v>
      </c>
      <c r="O163" s="159">
        <v>69</v>
      </c>
      <c r="P163" s="44">
        <f t="shared" si="36"/>
        <v>0.47246376811594204</v>
      </c>
      <c r="Q163" s="44">
        <f t="shared" si="39"/>
        <v>2</v>
      </c>
      <c r="R163" s="165" t="s">
        <v>342</v>
      </c>
      <c r="S163" s="50">
        <v>2</v>
      </c>
      <c r="T163" s="166" t="s">
        <v>340</v>
      </c>
      <c r="U163" s="53" t="s">
        <v>221</v>
      </c>
      <c r="V163" s="84">
        <v>45597</v>
      </c>
      <c r="W163" s="238"/>
      <c r="X163" s="239"/>
      <c r="Y163" s="238"/>
      <c r="Z163" s="239"/>
      <c r="AA163" s="240">
        <v>0</v>
      </c>
      <c r="AB163" s="107">
        <f t="shared" si="37"/>
        <v>0</v>
      </c>
      <c r="AC163" s="240">
        <v>0</v>
      </c>
      <c r="AD163" s="107">
        <f t="shared" si="38"/>
        <v>0</v>
      </c>
    </row>
    <row r="164" spans="2:30" s="66" customFormat="1" ht="15.75" thickBot="1" x14ac:dyDescent="0.3">
      <c r="B164" s="313"/>
      <c r="C164" s="185" t="s">
        <v>261</v>
      </c>
      <c r="D164" s="179"/>
      <c r="E164" s="179"/>
      <c r="F164" s="179"/>
      <c r="G164" s="179"/>
      <c r="H164" s="179"/>
      <c r="I164" s="179"/>
      <c r="J164" s="179"/>
      <c r="K164" s="179"/>
      <c r="L164" s="179"/>
      <c r="M164" s="179"/>
      <c r="N164" s="179"/>
      <c r="O164" s="179"/>
      <c r="P164" s="179"/>
      <c r="Q164" s="179">
        <f>SUM(Q133:Q163)</f>
        <v>62</v>
      </c>
      <c r="R164" s="186"/>
      <c r="S164" s="180">
        <f>SUM(S133:S163)</f>
        <v>62</v>
      </c>
      <c r="T164" s="180"/>
      <c r="U164" s="180"/>
      <c r="V164" s="181"/>
      <c r="W164" s="181"/>
      <c r="X164" s="182"/>
      <c r="Y164" s="181"/>
      <c r="Z164" s="182"/>
      <c r="AA164" s="181"/>
      <c r="AB164" s="183">
        <f>SUM(AB133:AB163)</f>
        <v>0</v>
      </c>
      <c r="AC164" s="181"/>
      <c r="AD164" s="184">
        <f>SUM(AD133:AD163)</f>
        <v>0</v>
      </c>
    </row>
    <row r="165" spans="2:30" ht="15" customHeight="1" x14ac:dyDescent="0.25">
      <c r="B165" s="310" t="s">
        <v>350</v>
      </c>
      <c r="C165" s="171">
        <v>61.3</v>
      </c>
      <c r="D165" s="44" t="s">
        <v>48</v>
      </c>
      <c r="E165" s="44" t="s">
        <v>84</v>
      </c>
      <c r="F165" s="156" t="s">
        <v>213</v>
      </c>
      <c r="G165" s="44">
        <v>7.3</v>
      </c>
      <c r="H165" s="44">
        <f t="shared" ref="H165:H194" si="42">CONVERT(G165,"m","mm")</f>
        <v>7300</v>
      </c>
      <c r="I165" s="44">
        <v>422</v>
      </c>
      <c r="J165" s="44">
        <v>76.2</v>
      </c>
      <c r="K165" s="44">
        <f t="shared" si="40"/>
        <v>1.1043478260869566</v>
      </c>
      <c r="L165" s="50">
        <f t="shared" ref="L165:L194" si="43">ROUNDUP(K165,0)</f>
        <v>2</v>
      </c>
      <c r="M165" s="44">
        <f t="shared" si="33"/>
        <v>7600</v>
      </c>
      <c r="N165" s="44">
        <f t="shared" si="41"/>
        <v>522</v>
      </c>
      <c r="O165" s="44">
        <v>69</v>
      </c>
      <c r="P165" s="44">
        <f t="shared" ref="P165:P194" si="44">(K165-1)</f>
        <v>0.10434782608695659</v>
      </c>
      <c r="Q165" s="44">
        <f>(L165-1)*2</f>
        <v>2</v>
      </c>
      <c r="R165" s="165" t="s">
        <v>342</v>
      </c>
      <c r="S165" s="50">
        <v>2</v>
      </c>
      <c r="T165" s="166" t="s">
        <v>340</v>
      </c>
      <c r="U165" s="53" t="s">
        <v>221</v>
      </c>
      <c r="V165" s="84">
        <v>45717</v>
      </c>
      <c r="W165" s="238"/>
      <c r="X165" s="239"/>
      <c r="Y165" s="238"/>
      <c r="Z165" s="239"/>
      <c r="AA165" s="240">
        <v>0</v>
      </c>
      <c r="AB165" s="107">
        <f t="shared" ref="AB165:AB194" si="45">(AA165*Q165)</f>
        <v>0</v>
      </c>
      <c r="AC165" s="240">
        <v>0</v>
      </c>
      <c r="AD165" s="107">
        <f t="shared" ref="AD165:AD194" si="46">(AC165*S165)</f>
        <v>0</v>
      </c>
    </row>
    <row r="166" spans="2:30" x14ac:dyDescent="0.25">
      <c r="B166" s="311"/>
      <c r="C166" s="171">
        <v>61.4</v>
      </c>
      <c r="D166" s="44" t="s">
        <v>48</v>
      </c>
      <c r="E166" s="44" t="s">
        <v>52</v>
      </c>
      <c r="F166" s="156" t="s">
        <v>213</v>
      </c>
      <c r="G166" s="44">
        <v>10.6</v>
      </c>
      <c r="H166" s="44">
        <f t="shared" si="42"/>
        <v>10600</v>
      </c>
      <c r="I166" s="44">
        <v>267</v>
      </c>
      <c r="J166" s="44">
        <v>76.2</v>
      </c>
      <c r="K166" s="44">
        <f t="shared" si="40"/>
        <v>1.1043478260869566</v>
      </c>
      <c r="L166" s="50">
        <f t="shared" si="43"/>
        <v>2</v>
      </c>
      <c r="M166" s="44">
        <f t="shared" si="33"/>
        <v>10900</v>
      </c>
      <c r="N166" s="44">
        <f t="shared" si="41"/>
        <v>367</v>
      </c>
      <c r="O166" s="159">
        <v>69</v>
      </c>
      <c r="P166" s="44">
        <f t="shared" si="44"/>
        <v>0.10434782608695659</v>
      </c>
      <c r="Q166" s="44">
        <f t="shared" ref="Q166:Q194" si="47">(L166-1)*2</f>
        <v>2</v>
      </c>
      <c r="R166" s="165" t="s">
        <v>342</v>
      </c>
      <c r="S166" s="50">
        <v>2</v>
      </c>
      <c r="T166" s="166" t="s">
        <v>340</v>
      </c>
      <c r="U166" s="53" t="s">
        <v>221</v>
      </c>
      <c r="V166" s="84">
        <v>45717</v>
      </c>
      <c r="W166" s="238"/>
      <c r="X166" s="239"/>
      <c r="Y166" s="238"/>
      <c r="Z166" s="239"/>
      <c r="AA166" s="240">
        <v>0</v>
      </c>
      <c r="AB166" s="107">
        <f t="shared" si="45"/>
        <v>0</v>
      </c>
      <c r="AC166" s="240">
        <v>0</v>
      </c>
      <c r="AD166" s="107">
        <f t="shared" si="46"/>
        <v>0</v>
      </c>
    </row>
    <row r="167" spans="2:30" x14ac:dyDescent="0.25">
      <c r="B167" s="311"/>
      <c r="C167" s="171">
        <v>61.5</v>
      </c>
      <c r="D167" s="44" t="s">
        <v>48</v>
      </c>
      <c r="E167" s="44" t="s">
        <v>52</v>
      </c>
      <c r="F167" s="156" t="s">
        <v>213</v>
      </c>
      <c r="G167" s="44">
        <v>7.3</v>
      </c>
      <c r="H167" s="44">
        <f t="shared" si="42"/>
        <v>7300</v>
      </c>
      <c r="I167" s="44">
        <v>267</v>
      </c>
      <c r="J167" s="44">
        <v>76.2</v>
      </c>
      <c r="K167" s="44">
        <f t="shared" si="40"/>
        <v>1.1043478260869566</v>
      </c>
      <c r="L167" s="50">
        <f t="shared" si="43"/>
        <v>2</v>
      </c>
      <c r="M167" s="44">
        <f t="shared" si="33"/>
        <v>7600</v>
      </c>
      <c r="N167" s="44">
        <f t="shared" si="41"/>
        <v>367</v>
      </c>
      <c r="O167" s="159">
        <v>69</v>
      </c>
      <c r="P167" s="44">
        <f t="shared" si="44"/>
        <v>0.10434782608695659</v>
      </c>
      <c r="Q167" s="44">
        <f t="shared" si="47"/>
        <v>2</v>
      </c>
      <c r="R167" s="165" t="s">
        <v>342</v>
      </c>
      <c r="S167" s="50">
        <v>2</v>
      </c>
      <c r="T167" s="166" t="s">
        <v>340</v>
      </c>
      <c r="U167" s="53" t="s">
        <v>221</v>
      </c>
      <c r="V167" s="84">
        <v>45717</v>
      </c>
      <c r="W167" s="238"/>
      <c r="X167" s="239"/>
      <c r="Y167" s="238"/>
      <c r="Z167" s="239"/>
      <c r="AA167" s="240">
        <v>0</v>
      </c>
      <c r="AB167" s="107">
        <f t="shared" si="45"/>
        <v>0</v>
      </c>
      <c r="AC167" s="240">
        <v>0</v>
      </c>
      <c r="AD167" s="107">
        <f t="shared" si="46"/>
        <v>0</v>
      </c>
    </row>
    <row r="168" spans="2:30" x14ac:dyDescent="0.25">
      <c r="B168" s="311"/>
      <c r="C168" s="171">
        <v>61.6</v>
      </c>
      <c r="D168" s="44" t="s">
        <v>48</v>
      </c>
      <c r="E168" s="44" t="s">
        <v>52</v>
      </c>
      <c r="F168" s="156" t="s">
        <v>213</v>
      </c>
      <c r="G168" s="44">
        <v>7.4</v>
      </c>
      <c r="H168" s="44">
        <f t="shared" si="42"/>
        <v>7400</v>
      </c>
      <c r="I168" s="44">
        <v>267</v>
      </c>
      <c r="J168" s="44">
        <v>76.2</v>
      </c>
      <c r="K168" s="44">
        <f t="shared" si="40"/>
        <v>1.1043478260869566</v>
      </c>
      <c r="L168" s="50">
        <f t="shared" si="43"/>
        <v>2</v>
      </c>
      <c r="M168" s="44">
        <f t="shared" si="33"/>
        <v>7700</v>
      </c>
      <c r="N168" s="44">
        <f t="shared" si="41"/>
        <v>367</v>
      </c>
      <c r="O168" s="159">
        <v>69</v>
      </c>
      <c r="P168" s="44">
        <f t="shared" si="44"/>
        <v>0.10434782608695659</v>
      </c>
      <c r="Q168" s="44">
        <f t="shared" si="47"/>
        <v>2</v>
      </c>
      <c r="R168" s="165" t="s">
        <v>342</v>
      </c>
      <c r="S168" s="50">
        <v>2</v>
      </c>
      <c r="T168" s="166" t="s">
        <v>340</v>
      </c>
      <c r="U168" s="53" t="s">
        <v>221</v>
      </c>
      <c r="V168" s="84">
        <v>45717</v>
      </c>
      <c r="W168" s="238"/>
      <c r="X168" s="239"/>
      <c r="Y168" s="238"/>
      <c r="Z168" s="239"/>
      <c r="AA168" s="240">
        <v>0</v>
      </c>
      <c r="AB168" s="107">
        <f t="shared" si="45"/>
        <v>0</v>
      </c>
      <c r="AC168" s="240">
        <v>0</v>
      </c>
      <c r="AD168" s="107">
        <f t="shared" si="46"/>
        <v>0</v>
      </c>
    </row>
    <row r="169" spans="2:30" ht="15" customHeight="1" x14ac:dyDescent="0.25">
      <c r="B169" s="311"/>
      <c r="C169" s="171">
        <v>61.7</v>
      </c>
      <c r="D169" s="44" t="s">
        <v>48</v>
      </c>
      <c r="E169" s="44" t="s">
        <v>85</v>
      </c>
      <c r="F169" s="154" t="s">
        <v>212</v>
      </c>
      <c r="G169" s="44">
        <v>4.3</v>
      </c>
      <c r="H169" s="44">
        <f t="shared" si="42"/>
        <v>4300</v>
      </c>
      <c r="I169" s="44">
        <v>341</v>
      </c>
      <c r="J169" s="44">
        <v>76.2</v>
      </c>
      <c r="K169" s="44">
        <f t="shared" si="40"/>
        <v>1.1043478260869566</v>
      </c>
      <c r="L169" s="50">
        <f t="shared" si="43"/>
        <v>2</v>
      </c>
      <c r="M169" s="44">
        <f t="shared" si="33"/>
        <v>4600</v>
      </c>
      <c r="N169" s="44">
        <f t="shared" si="41"/>
        <v>441</v>
      </c>
      <c r="O169" s="159">
        <v>69</v>
      </c>
      <c r="P169" s="44">
        <f t="shared" si="44"/>
        <v>0.10434782608695659</v>
      </c>
      <c r="Q169" s="44">
        <f t="shared" si="47"/>
        <v>2</v>
      </c>
      <c r="R169" s="162" t="s">
        <v>341</v>
      </c>
      <c r="S169" s="50">
        <v>2</v>
      </c>
      <c r="T169" s="161" t="s">
        <v>339</v>
      </c>
      <c r="U169" s="53" t="s">
        <v>221</v>
      </c>
      <c r="V169" s="84">
        <v>45717</v>
      </c>
      <c r="W169" s="238"/>
      <c r="X169" s="239"/>
      <c r="Y169" s="238"/>
      <c r="Z169" s="239"/>
      <c r="AA169" s="240">
        <v>0</v>
      </c>
      <c r="AB169" s="107">
        <f t="shared" si="45"/>
        <v>0</v>
      </c>
      <c r="AC169" s="240">
        <v>0</v>
      </c>
      <c r="AD169" s="107">
        <f t="shared" si="46"/>
        <v>0</v>
      </c>
    </row>
    <row r="170" spans="2:30" x14ac:dyDescent="0.25">
      <c r="B170" s="311"/>
      <c r="C170" s="171">
        <v>62.5</v>
      </c>
      <c r="D170" s="44" t="s">
        <v>48</v>
      </c>
      <c r="E170" s="44" t="s">
        <v>52</v>
      </c>
      <c r="F170" s="156" t="s">
        <v>213</v>
      </c>
      <c r="G170" s="44">
        <v>8.4</v>
      </c>
      <c r="H170" s="44">
        <f t="shared" si="42"/>
        <v>8400</v>
      </c>
      <c r="I170" s="44">
        <v>267</v>
      </c>
      <c r="J170" s="44">
        <v>76.2</v>
      </c>
      <c r="K170" s="44">
        <f t="shared" si="40"/>
        <v>1.1043478260869566</v>
      </c>
      <c r="L170" s="50">
        <f t="shared" si="43"/>
        <v>2</v>
      </c>
      <c r="M170" s="44">
        <f t="shared" si="33"/>
        <v>8700</v>
      </c>
      <c r="N170" s="44">
        <f t="shared" si="41"/>
        <v>367</v>
      </c>
      <c r="O170" s="159">
        <v>69</v>
      </c>
      <c r="P170" s="44">
        <f t="shared" si="44"/>
        <v>0.10434782608695659</v>
      </c>
      <c r="Q170" s="44">
        <f t="shared" si="47"/>
        <v>2</v>
      </c>
      <c r="R170" s="165" t="s">
        <v>342</v>
      </c>
      <c r="S170" s="50">
        <v>2</v>
      </c>
      <c r="T170" s="166" t="s">
        <v>340</v>
      </c>
      <c r="U170" s="53" t="s">
        <v>221</v>
      </c>
      <c r="V170" s="84">
        <v>45717</v>
      </c>
      <c r="W170" s="238"/>
      <c r="X170" s="239"/>
      <c r="Y170" s="238"/>
      <c r="Z170" s="239"/>
      <c r="AA170" s="240">
        <v>0</v>
      </c>
      <c r="AB170" s="107">
        <f t="shared" si="45"/>
        <v>0</v>
      </c>
      <c r="AC170" s="240">
        <v>0</v>
      </c>
      <c r="AD170" s="107">
        <f t="shared" si="46"/>
        <v>0</v>
      </c>
    </row>
    <row r="171" spans="2:30" x14ac:dyDescent="0.25">
      <c r="B171" s="311"/>
      <c r="C171" s="171">
        <v>62.6</v>
      </c>
      <c r="D171" s="44" t="s">
        <v>48</v>
      </c>
      <c r="E171" s="44" t="s">
        <v>52</v>
      </c>
      <c r="F171" s="156" t="s">
        <v>213</v>
      </c>
      <c r="G171" s="44">
        <v>7</v>
      </c>
      <c r="H171" s="44">
        <f t="shared" si="42"/>
        <v>7000</v>
      </c>
      <c r="I171" s="44">
        <v>267</v>
      </c>
      <c r="J171" s="44">
        <v>76.2</v>
      </c>
      <c r="K171" s="44">
        <f t="shared" si="40"/>
        <v>1.1043478260869566</v>
      </c>
      <c r="L171" s="50">
        <f t="shared" si="43"/>
        <v>2</v>
      </c>
      <c r="M171" s="44">
        <f t="shared" si="33"/>
        <v>7300</v>
      </c>
      <c r="N171" s="44">
        <f t="shared" si="41"/>
        <v>367</v>
      </c>
      <c r="O171" s="159">
        <v>69</v>
      </c>
      <c r="P171" s="44">
        <f t="shared" si="44"/>
        <v>0.10434782608695659</v>
      </c>
      <c r="Q171" s="44">
        <f t="shared" si="47"/>
        <v>2</v>
      </c>
      <c r="R171" s="165" t="s">
        <v>342</v>
      </c>
      <c r="S171" s="50">
        <v>2</v>
      </c>
      <c r="T171" s="166" t="s">
        <v>340</v>
      </c>
      <c r="U171" s="53" t="s">
        <v>221</v>
      </c>
      <c r="V171" s="84">
        <v>45717</v>
      </c>
      <c r="W171" s="238"/>
      <c r="X171" s="239"/>
      <c r="Y171" s="238"/>
      <c r="Z171" s="239"/>
      <c r="AA171" s="240">
        <v>0</v>
      </c>
      <c r="AB171" s="107">
        <f t="shared" si="45"/>
        <v>0</v>
      </c>
      <c r="AC171" s="240">
        <v>0</v>
      </c>
      <c r="AD171" s="107">
        <f t="shared" si="46"/>
        <v>0</v>
      </c>
    </row>
    <row r="172" spans="2:30" x14ac:dyDescent="0.25">
      <c r="B172" s="311"/>
      <c r="C172" s="171">
        <v>62.7</v>
      </c>
      <c r="D172" s="44" t="s">
        <v>48</v>
      </c>
      <c r="E172" s="44" t="s">
        <v>52</v>
      </c>
      <c r="F172" s="154" t="s">
        <v>212</v>
      </c>
      <c r="G172" s="44">
        <v>4.8</v>
      </c>
      <c r="H172" s="44">
        <f t="shared" si="42"/>
        <v>4800</v>
      </c>
      <c r="I172" s="44">
        <v>267</v>
      </c>
      <c r="J172" s="44">
        <v>76.2</v>
      </c>
      <c r="K172" s="44">
        <f t="shared" si="40"/>
        <v>1.1043478260869566</v>
      </c>
      <c r="L172" s="50">
        <f t="shared" si="43"/>
        <v>2</v>
      </c>
      <c r="M172" s="44">
        <f t="shared" si="33"/>
        <v>5100</v>
      </c>
      <c r="N172" s="44">
        <f t="shared" si="41"/>
        <v>367</v>
      </c>
      <c r="O172" s="159">
        <v>69</v>
      </c>
      <c r="P172" s="44">
        <f t="shared" si="44"/>
        <v>0.10434782608695659</v>
      </c>
      <c r="Q172" s="44">
        <f t="shared" si="47"/>
        <v>2</v>
      </c>
      <c r="R172" s="162" t="s">
        <v>341</v>
      </c>
      <c r="S172" s="50">
        <v>2</v>
      </c>
      <c r="T172" s="161" t="s">
        <v>339</v>
      </c>
      <c r="U172" s="53" t="s">
        <v>221</v>
      </c>
      <c r="V172" s="84">
        <v>45717</v>
      </c>
      <c r="W172" s="238"/>
      <c r="X172" s="239"/>
      <c r="Y172" s="238"/>
      <c r="Z172" s="239"/>
      <c r="AA172" s="240">
        <v>0</v>
      </c>
      <c r="AB172" s="107">
        <f t="shared" si="45"/>
        <v>0</v>
      </c>
      <c r="AC172" s="240">
        <v>0</v>
      </c>
      <c r="AD172" s="107">
        <f t="shared" si="46"/>
        <v>0</v>
      </c>
    </row>
    <row r="173" spans="2:30" x14ac:dyDescent="0.25">
      <c r="B173" s="311"/>
      <c r="C173" s="171">
        <v>62.8</v>
      </c>
      <c r="D173" s="44" t="s">
        <v>48</v>
      </c>
      <c r="E173" s="44" t="s">
        <v>52</v>
      </c>
      <c r="F173" s="154" t="s">
        <v>212</v>
      </c>
      <c r="G173" s="44">
        <v>2.5</v>
      </c>
      <c r="H173" s="44">
        <f t="shared" si="42"/>
        <v>2500</v>
      </c>
      <c r="I173" s="44">
        <v>267</v>
      </c>
      <c r="J173" s="44">
        <v>76.2</v>
      </c>
      <c r="K173" s="44">
        <f t="shared" si="40"/>
        <v>1.1043478260869566</v>
      </c>
      <c r="L173" s="50">
        <f t="shared" si="43"/>
        <v>2</v>
      </c>
      <c r="M173" s="44">
        <f t="shared" si="33"/>
        <v>2800</v>
      </c>
      <c r="N173" s="44">
        <f t="shared" si="41"/>
        <v>367</v>
      </c>
      <c r="O173" s="159">
        <v>69</v>
      </c>
      <c r="P173" s="44">
        <f t="shared" si="44"/>
        <v>0.10434782608695659</v>
      </c>
      <c r="Q173" s="44">
        <f t="shared" si="47"/>
        <v>2</v>
      </c>
      <c r="R173" s="162" t="s">
        <v>341</v>
      </c>
      <c r="S173" s="50">
        <v>2</v>
      </c>
      <c r="T173" s="161" t="s">
        <v>339</v>
      </c>
      <c r="U173" s="53" t="s">
        <v>221</v>
      </c>
      <c r="V173" s="84">
        <v>45717</v>
      </c>
      <c r="W173" s="238"/>
      <c r="X173" s="239"/>
      <c r="Y173" s="238"/>
      <c r="Z173" s="239"/>
      <c r="AA173" s="240">
        <v>0</v>
      </c>
      <c r="AB173" s="107">
        <f t="shared" si="45"/>
        <v>0</v>
      </c>
      <c r="AC173" s="240">
        <v>0</v>
      </c>
      <c r="AD173" s="107">
        <f t="shared" si="46"/>
        <v>0</v>
      </c>
    </row>
    <row r="174" spans="2:30" x14ac:dyDescent="0.25">
      <c r="B174" s="311"/>
      <c r="C174" s="171">
        <v>62.9</v>
      </c>
      <c r="D174" s="44" t="s">
        <v>48</v>
      </c>
      <c r="E174" s="44" t="s">
        <v>52</v>
      </c>
      <c r="F174" s="154" t="s">
        <v>212</v>
      </c>
      <c r="G174" s="44">
        <v>2.6</v>
      </c>
      <c r="H174" s="44">
        <f t="shared" si="42"/>
        <v>2600</v>
      </c>
      <c r="I174" s="44">
        <v>267</v>
      </c>
      <c r="J174" s="44">
        <v>76.2</v>
      </c>
      <c r="K174" s="44">
        <f t="shared" si="40"/>
        <v>1.1043478260869566</v>
      </c>
      <c r="L174" s="50">
        <f t="shared" si="43"/>
        <v>2</v>
      </c>
      <c r="M174" s="44">
        <f t="shared" si="33"/>
        <v>2900</v>
      </c>
      <c r="N174" s="44">
        <f t="shared" si="41"/>
        <v>367</v>
      </c>
      <c r="O174" s="159">
        <v>69</v>
      </c>
      <c r="P174" s="44">
        <f t="shared" si="44"/>
        <v>0.10434782608695659</v>
      </c>
      <c r="Q174" s="44">
        <f t="shared" si="47"/>
        <v>2</v>
      </c>
      <c r="R174" s="162" t="s">
        <v>341</v>
      </c>
      <c r="S174" s="50">
        <v>2</v>
      </c>
      <c r="T174" s="161" t="s">
        <v>339</v>
      </c>
      <c r="U174" s="53" t="s">
        <v>221</v>
      </c>
      <c r="V174" s="84">
        <v>45717</v>
      </c>
      <c r="W174" s="238"/>
      <c r="X174" s="239"/>
      <c r="Y174" s="238"/>
      <c r="Z174" s="239"/>
      <c r="AA174" s="240">
        <v>0</v>
      </c>
      <c r="AB174" s="107">
        <f t="shared" si="45"/>
        <v>0</v>
      </c>
      <c r="AC174" s="240">
        <v>0</v>
      </c>
      <c r="AD174" s="107">
        <f t="shared" si="46"/>
        <v>0</v>
      </c>
    </row>
    <row r="175" spans="2:30" x14ac:dyDescent="0.25">
      <c r="B175" s="311"/>
      <c r="C175" s="171">
        <v>62.1</v>
      </c>
      <c r="D175" s="44" t="s">
        <v>48</v>
      </c>
      <c r="E175" s="44" t="s">
        <v>26</v>
      </c>
      <c r="F175" s="154" t="s">
        <v>212</v>
      </c>
      <c r="G175" s="44">
        <v>2.7</v>
      </c>
      <c r="H175" s="44">
        <f t="shared" si="42"/>
        <v>2700</v>
      </c>
      <c r="I175" s="44">
        <v>267</v>
      </c>
      <c r="J175" s="44">
        <v>76.2</v>
      </c>
      <c r="K175" s="44">
        <f t="shared" si="40"/>
        <v>1.1043478260869566</v>
      </c>
      <c r="L175" s="50">
        <f t="shared" si="43"/>
        <v>2</v>
      </c>
      <c r="M175" s="44">
        <f t="shared" si="33"/>
        <v>3000</v>
      </c>
      <c r="N175" s="44">
        <f t="shared" si="41"/>
        <v>367</v>
      </c>
      <c r="O175" s="159">
        <v>69</v>
      </c>
      <c r="P175" s="44">
        <f t="shared" si="44"/>
        <v>0.10434782608695659</v>
      </c>
      <c r="Q175" s="44">
        <f t="shared" si="47"/>
        <v>2</v>
      </c>
      <c r="R175" s="162" t="s">
        <v>341</v>
      </c>
      <c r="S175" s="50">
        <v>2</v>
      </c>
      <c r="T175" s="161" t="s">
        <v>339</v>
      </c>
      <c r="U175" s="53" t="s">
        <v>221</v>
      </c>
      <c r="V175" s="84">
        <v>45717</v>
      </c>
      <c r="W175" s="238"/>
      <c r="X175" s="239"/>
      <c r="Y175" s="238"/>
      <c r="Z175" s="239"/>
      <c r="AA175" s="240">
        <v>0</v>
      </c>
      <c r="AB175" s="107">
        <f t="shared" si="45"/>
        <v>0</v>
      </c>
      <c r="AC175" s="240">
        <v>0</v>
      </c>
      <c r="AD175" s="107">
        <f t="shared" si="46"/>
        <v>0</v>
      </c>
    </row>
    <row r="176" spans="2:30" x14ac:dyDescent="0.25">
      <c r="B176" s="311"/>
      <c r="C176" s="171">
        <v>63.5</v>
      </c>
      <c r="D176" s="44" t="s">
        <v>48</v>
      </c>
      <c r="E176" s="44" t="s">
        <v>52</v>
      </c>
      <c r="F176" s="154" t="s">
        <v>212</v>
      </c>
      <c r="G176" s="44">
        <v>2.6</v>
      </c>
      <c r="H176" s="44">
        <f t="shared" si="42"/>
        <v>2600</v>
      </c>
      <c r="I176" s="44">
        <v>267</v>
      </c>
      <c r="J176" s="44">
        <v>76.2</v>
      </c>
      <c r="K176" s="44">
        <f t="shared" si="40"/>
        <v>1.1043478260869566</v>
      </c>
      <c r="L176" s="50">
        <f t="shared" si="43"/>
        <v>2</v>
      </c>
      <c r="M176" s="44">
        <f t="shared" si="33"/>
        <v>2900</v>
      </c>
      <c r="N176" s="44">
        <f t="shared" si="41"/>
        <v>367</v>
      </c>
      <c r="O176" s="159">
        <v>69</v>
      </c>
      <c r="P176" s="44">
        <f t="shared" si="44"/>
        <v>0.10434782608695659</v>
      </c>
      <c r="Q176" s="44">
        <f t="shared" si="47"/>
        <v>2</v>
      </c>
      <c r="R176" s="162" t="s">
        <v>341</v>
      </c>
      <c r="S176" s="50">
        <v>2</v>
      </c>
      <c r="T176" s="161" t="s">
        <v>339</v>
      </c>
      <c r="U176" s="53" t="s">
        <v>221</v>
      </c>
      <c r="V176" s="84">
        <v>45717</v>
      </c>
      <c r="W176" s="238"/>
      <c r="X176" s="239"/>
      <c r="Y176" s="238"/>
      <c r="Z176" s="239"/>
      <c r="AA176" s="240">
        <v>0</v>
      </c>
      <c r="AB176" s="107">
        <f t="shared" si="45"/>
        <v>0</v>
      </c>
      <c r="AC176" s="240">
        <v>0</v>
      </c>
      <c r="AD176" s="107">
        <f t="shared" si="46"/>
        <v>0</v>
      </c>
    </row>
    <row r="177" spans="2:30" x14ac:dyDescent="0.25">
      <c r="B177" s="311"/>
      <c r="C177" s="171">
        <v>63.6</v>
      </c>
      <c r="D177" s="44" t="s">
        <v>48</v>
      </c>
      <c r="E177" s="44" t="s">
        <v>52</v>
      </c>
      <c r="F177" s="154" t="s">
        <v>212</v>
      </c>
      <c r="G177" s="44">
        <v>2.6</v>
      </c>
      <c r="H177" s="44">
        <f t="shared" si="42"/>
        <v>2600</v>
      </c>
      <c r="I177" s="44">
        <v>267</v>
      </c>
      <c r="J177" s="44">
        <v>76.2</v>
      </c>
      <c r="K177" s="44">
        <f t="shared" si="40"/>
        <v>1.1043478260869566</v>
      </c>
      <c r="L177" s="50">
        <f t="shared" si="43"/>
        <v>2</v>
      </c>
      <c r="M177" s="44">
        <f t="shared" si="33"/>
        <v>2900</v>
      </c>
      <c r="N177" s="44">
        <f t="shared" si="41"/>
        <v>367</v>
      </c>
      <c r="O177" s="159">
        <v>69</v>
      </c>
      <c r="P177" s="44">
        <f t="shared" si="44"/>
        <v>0.10434782608695659</v>
      </c>
      <c r="Q177" s="44">
        <f t="shared" si="47"/>
        <v>2</v>
      </c>
      <c r="R177" s="162" t="s">
        <v>341</v>
      </c>
      <c r="S177" s="50">
        <v>2</v>
      </c>
      <c r="T177" s="161" t="s">
        <v>339</v>
      </c>
      <c r="U177" s="53" t="s">
        <v>221</v>
      </c>
      <c r="V177" s="84">
        <v>45717</v>
      </c>
      <c r="W177" s="238"/>
      <c r="X177" s="239"/>
      <c r="Y177" s="238"/>
      <c r="Z177" s="239"/>
      <c r="AA177" s="240">
        <v>0</v>
      </c>
      <c r="AB177" s="107">
        <f t="shared" si="45"/>
        <v>0</v>
      </c>
      <c r="AC177" s="240">
        <v>0</v>
      </c>
      <c r="AD177" s="107">
        <f t="shared" si="46"/>
        <v>0</v>
      </c>
    </row>
    <row r="178" spans="2:30" x14ac:dyDescent="0.25">
      <c r="B178" s="311"/>
      <c r="C178" s="171">
        <v>63.7</v>
      </c>
      <c r="D178" s="44" t="s">
        <v>48</v>
      </c>
      <c r="E178" s="44" t="s">
        <v>52</v>
      </c>
      <c r="F178" s="154" t="s">
        <v>212</v>
      </c>
      <c r="G178" s="44">
        <v>2.6</v>
      </c>
      <c r="H178" s="44">
        <f t="shared" si="42"/>
        <v>2600</v>
      </c>
      <c r="I178" s="44">
        <v>267</v>
      </c>
      <c r="J178" s="44">
        <v>76.2</v>
      </c>
      <c r="K178" s="44">
        <f t="shared" si="40"/>
        <v>1.1043478260869566</v>
      </c>
      <c r="L178" s="50">
        <f t="shared" si="43"/>
        <v>2</v>
      </c>
      <c r="M178" s="44">
        <f t="shared" si="33"/>
        <v>2900</v>
      </c>
      <c r="N178" s="44">
        <f t="shared" si="41"/>
        <v>367</v>
      </c>
      <c r="O178" s="159">
        <v>69</v>
      </c>
      <c r="P178" s="44">
        <f t="shared" si="44"/>
        <v>0.10434782608695659</v>
      </c>
      <c r="Q178" s="44">
        <f>(L178-1)*2</f>
        <v>2</v>
      </c>
      <c r="R178" s="162" t="s">
        <v>341</v>
      </c>
      <c r="S178" s="50">
        <v>2</v>
      </c>
      <c r="T178" s="161" t="s">
        <v>339</v>
      </c>
      <c r="U178" s="53" t="s">
        <v>221</v>
      </c>
      <c r="V178" s="84">
        <v>45717</v>
      </c>
      <c r="W178" s="238"/>
      <c r="X178" s="239"/>
      <c r="Y178" s="238"/>
      <c r="Z178" s="239"/>
      <c r="AA178" s="240">
        <v>0</v>
      </c>
      <c r="AB178" s="107">
        <f t="shared" si="45"/>
        <v>0</v>
      </c>
      <c r="AC178" s="240">
        <v>0</v>
      </c>
      <c r="AD178" s="107">
        <f t="shared" si="46"/>
        <v>0</v>
      </c>
    </row>
    <row r="179" spans="2:30" x14ac:dyDescent="0.25">
      <c r="B179" s="311"/>
      <c r="C179" s="171">
        <v>63.8</v>
      </c>
      <c r="D179" s="44" t="s">
        <v>48</v>
      </c>
      <c r="E179" s="44" t="s">
        <v>52</v>
      </c>
      <c r="F179" s="154" t="s">
        <v>212</v>
      </c>
      <c r="G179" s="44">
        <v>2.6</v>
      </c>
      <c r="H179" s="44">
        <f t="shared" si="42"/>
        <v>2600</v>
      </c>
      <c r="I179" s="44">
        <v>267</v>
      </c>
      <c r="J179" s="44">
        <v>76.2</v>
      </c>
      <c r="K179" s="44">
        <f t="shared" si="40"/>
        <v>1.1043478260869566</v>
      </c>
      <c r="L179" s="50">
        <f t="shared" si="43"/>
        <v>2</v>
      </c>
      <c r="M179" s="44">
        <f t="shared" si="33"/>
        <v>2900</v>
      </c>
      <c r="N179" s="44">
        <f t="shared" si="41"/>
        <v>367</v>
      </c>
      <c r="O179" s="159">
        <v>69</v>
      </c>
      <c r="P179" s="44">
        <f t="shared" si="44"/>
        <v>0.10434782608695659</v>
      </c>
      <c r="Q179" s="44">
        <f t="shared" si="47"/>
        <v>2</v>
      </c>
      <c r="R179" s="162" t="s">
        <v>341</v>
      </c>
      <c r="S179" s="50">
        <v>2</v>
      </c>
      <c r="T179" s="161" t="s">
        <v>339</v>
      </c>
      <c r="U179" s="53" t="s">
        <v>221</v>
      </c>
      <c r="V179" s="84">
        <v>45717</v>
      </c>
      <c r="W179" s="238"/>
      <c r="X179" s="239"/>
      <c r="Y179" s="238"/>
      <c r="Z179" s="239"/>
      <c r="AA179" s="240">
        <v>0</v>
      </c>
      <c r="AB179" s="107">
        <f t="shared" si="45"/>
        <v>0</v>
      </c>
      <c r="AC179" s="240">
        <v>0</v>
      </c>
      <c r="AD179" s="107">
        <f t="shared" si="46"/>
        <v>0</v>
      </c>
    </row>
    <row r="180" spans="2:30" x14ac:dyDescent="0.25">
      <c r="B180" s="311"/>
      <c r="C180" s="171">
        <v>63.9</v>
      </c>
      <c r="D180" s="44" t="s">
        <v>48</v>
      </c>
      <c r="E180" s="44" t="s">
        <v>52</v>
      </c>
      <c r="F180" s="154" t="s">
        <v>212</v>
      </c>
      <c r="G180" s="44">
        <v>2.9</v>
      </c>
      <c r="H180" s="44">
        <f t="shared" si="42"/>
        <v>2900</v>
      </c>
      <c r="I180" s="44">
        <v>267</v>
      </c>
      <c r="J180" s="44">
        <v>76.2</v>
      </c>
      <c r="K180" s="44">
        <f t="shared" si="40"/>
        <v>1.1043478260869566</v>
      </c>
      <c r="L180" s="50">
        <f t="shared" si="43"/>
        <v>2</v>
      </c>
      <c r="M180" s="44">
        <f t="shared" si="33"/>
        <v>3200</v>
      </c>
      <c r="N180" s="44">
        <f t="shared" si="41"/>
        <v>367</v>
      </c>
      <c r="O180" s="159">
        <v>69</v>
      </c>
      <c r="P180" s="44">
        <f t="shared" si="44"/>
        <v>0.10434782608695659</v>
      </c>
      <c r="Q180" s="44">
        <f t="shared" si="47"/>
        <v>2</v>
      </c>
      <c r="R180" s="162" t="s">
        <v>341</v>
      </c>
      <c r="S180" s="50">
        <v>2</v>
      </c>
      <c r="T180" s="161" t="s">
        <v>339</v>
      </c>
      <c r="U180" s="53" t="s">
        <v>221</v>
      </c>
      <c r="V180" s="84">
        <v>45717</v>
      </c>
      <c r="W180" s="238"/>
      <c r="X180" s="239"/>
      <c r="Y180" s="238"/>
      <c r="Z180" s="239"/>
      <c r="AA180" s="240">
        <v>0</v>
      </c>
      <c r="AB180" s="107">
        <f t="shared" si="45"/>
        <v>0</v>
      </c>
      <c r="AC180" s="240">
        <v>0</v>
      </c>
      <c r="AD180" s="107">
        <f t="shared" si="46"/>
        <v>0</v>
      </c>
    </row>
    <row r="181" spans="2:30" x14ac:dyDescent="0.25">
      <c r="B181" s="311"/>
      <c r="C181" s="171">
        <v>63.1</v>
      </c>
      <c r="D181" s="44" t="s">
        <v>48</v>
      </c>
      <c r="E181" s="44" t="s">
        <v>52</v>
      </c>
      <c r="F181" s="154" t="s">
        <v>212</v>
      </c>
      <c r="G181" s="44">
        <v>2.6</v>
      </c>
      <c r="H181" s="44">
        <f t="shared" si="42"/>
        <v>2600</v>
      </c>
      <c r="I181" s="44">
        <v>267</v>
      </c>
      <c r="J181" s="44">
        <v>76.2</v>
      </c>
      <c r="K181" s="44">
        <f t="shared" si="40"/>
        <v>1.1043478260869566</v>
      </c>
      <c r="L181" s="50">
        <f t="shared" si="43"/>
        <v>2</v>
      </c>
      <c r="M181" s="44">
        <f t="shared" ref="M181:M235" si="48">(H181+300)</f>
        <v>2900</v>
      </c>
      <c r="N181" s="44">
        <f t="shared" si="41"/>
        <v>367</v>
      </c>
      <c r="O181" s="159">
        <v>69</v>
      </c>
      <c r="P181" s="44">
        <f t="shared" si="44"/>
        <v>0.10434782608695659</v>
      </c>
      <c r="Q181" s="44">
        <f t="shared" si="47"/>
        <v>2</v>
      </c>
      <c r="R181" s="162" t="s">
        <v>341</v>
      </c>
      <c r="S181" s="50">
        <v>2</v>
      </c>
      <c r="T181" s="161" t="s">
        <v>339</v>
      </c>
      <c r="U181" s="53" t="s">
        <v>221</v>
      </c>
      <c r="V181" s="84">
        <v>45717</v>
      </c>
      <c r="W181" s="238"/>
      <c r="X181" s="239"/>
      <c r="Y181" s="238"/>
      <c r="Z181" s="239"/>
      <c r="AA181" s="240">
        <v>0</v>
      </c>
      <c r="AB181" s="107">
        <f t="shared" si="45"/>
        <v>0</v>
      </c>
      <c r="AC181" s="240">
        <v>0</v>
      </c>
      <c r="AD181" s="107">
        <f t="shared" si="46"/>
        <v>0</v>
      </c>
    </row>
    <row r="182" spans="2:30" x14ac:dyDescent="0.25">
      <c r="B182" s="311"/>
      <c r="C182" s="171">
        <v>63.11</v>
      </c>
      <c r="D182" s="44" t="s">
        <v>48</v>
      </c>
      <c r="E182" s="44" t="s">
        <v>52</v>
      </c>
      <c r="F182" s="154" t="s">
        <v>212</v>
      </c>
      <c r="G182" s="44">
        <v>2.5</v>
      </c>
      <c r="H182" s="44">
        <f t="shared" si="42"/>
        <v>2500</v>
      </c>
      <c r="I182" s="44">
        <v>267</v>
      </c>
      <c r="J182" s="44">
        <v>76.2</v>
      </c>
      <c r="K182" s="44">
        <f t="shared" si="40"/>
        <v>1.1043478260869566</v>
      </c>
      <c r="L182" s="50">
        <f t="shared" si="43"/>
        <v>2</v>
      </c>
      <c r="M182" s="44">
        <f t="shared" si="48"/>
        <v>2800</v>
      </c>
      <c r="N182" s="44">
        <f t="shared" si="41"/>
        <v>367</v>
      </c>
      <c r="O182" s="159">
        <v>69</v>
      </c>
      <c r="P182" s="44">
        <f t="shared" si="44"/>
        <v>0.10434782608695659</v>
      </c>
      <c r="Q182" s="44">
        <f t="shared" si="47"/>
        <v>2</v>
      </c>
      <c r="R182" s="162" t="s">
        <v>341</v>
      </c>
      <c r="S182" s="50">
        <v>2</v>
      </c>
      <c r="T182" s="161" t="s">
        <v>339</v>
      </c>
      <c r="U182" s="53" t="s">
        <v>221</v>
      </c>
      <c r="V182" s="84">
        <v>45717</v>
      </c>
      <c r="W182" s="238"/>
      <c r="X182" s="239"/>
      <c r="Y182" s="238"/>
      <c r="Z182" s="239"/>
      <c r="AA182" s="240">
        <v>0</v>
      </c>
      <c r="AB182" s="107">
        <f t="shared" si="45"/>
        <v>0</v>
      </c>
      <c r="AC182" s="240">
        <v>0</v>
      </c>
      <c r="AD182" s="107">
        <f t="shared" si="46"/>
        <v>0</v>
      </c>
    </row>
    <row r="183" spans="2:30" x14ac:dyDescent="0.25">
      <c r="B183" s="311"/>
      <c r="C183" s="171">
        <v>63.12</v>
      </c>
      <c r="D183" s="44" t="s">
        <v>48</v>
      </c>
      <c r="E183" s="44" t="s">
        <v>26</v>
      </c>
      <c r="F183" s="154" t="s">
        <v>212</v>
      </c>
      <c r="G183" s="44">
        <v>2.6</v>
      </c>
      <c r="H183" s="44">
        <f t="shared" si="42"/>
        <v>2600</v>
      </c>
      <c r="I183" s="44">
        <v>267</v>
      </c>
      <c r="J183" s="44">
        <v>76.2</v>
      </c>
      <c r="K183" s="44">
        <f t="shared" si="40"/>
        <v>1.1043478260869566</v>
      </c>
      <c r="L183" s="50">
        <f t="shared" si="43"/>
        <v>2</v>
      </c>
      <c r="M183" s="44">
        <f t="shared" si="48"/>
        <v>2900</v>
      </c>
      <c r="N183" s="44">
        <f t="shared" si="41"/>
        <v>367</v>
      </c>
      <c r="O183" s="159">
        <v>69</v>
      </c>
      <c r="P183" s="44">
        <f t="shared" si="44"/>
        <v>0.10434782608695659</v>
      </c>
      <c r="Q183" s="44">
        <f t="shared" si="47"/>
        <v>2</v>
      </c>
      <c r="R183" s="162" t="s">
        <v>341</v>
      </c>
      <c r="S183" s="50">
        <v>2</v>
      </c>
      <c r="T183" s="161" t="s">
        <v>339</v>
      </c>
      <c r="U183" s="53" t="s">
        <v>221</v>
      </c>
      <c r="V183" s="84">
        <v>45717</v>
      </c>
      <c r="W183" s="238"/>
      <c r="X183" s="239"/>
      <c r="Y183" s="238"/>
      <c r="Z183" s="239"/>
      <c r="AA183" s="240">
        <v>0</v>
      </c>
      <c r="AB183" s="107">
        <f t="shared" si="45"/>
        <v>0</v>
      </c>
      <c r="AC183" s="240">
        <v>0</v>
      </c>
      <c r="AD183" s="107">
        <f t="shared" si="46"/>
        <v>0</v>
      </c>
    </row>
    <row r="184" spans="2:30" x14ac:dyDescent="0.25">
      <c r="B184" s="311"/>
      <c r="C184" s="171">
        <v>63.13</v>
      </c>
      <c r="D184" s="44" t="s">
        <v>48</v>
      </c>
      <c r="E184" s="44" t="s">
        <v>26</v>
      </c>
      <c r="F184" s="154" t="s">
        <v>212</v>
      </c>
      <c r="G184" s="44">
        <v>2.7</v>
      </c>
      <c r="H184" s="44">
        <f t="shared" si="42"/>
        <v>2700</v>
      </c>
      <c r="I184" s="44">
        <v>267</v>
      </c>
      <c r="J184" s="44">
        <v>76.2</v>
      </c>
      <c r="K184" s="44">
        <f t="shared" si="40"/>
        <v>1.1043478260869566</v>
      </c>
      <c r="L184" s="50">
        <f t="shared" si="43"/>
        <v>2</v>
      </c>
      <c r="M184" s="44">
        <f t="shared" si="48"/>
        <v>3000</v>
      </c>
      <c r="N184" s="44">
        <f t="shared" si="41"/>
        <v>367</v>
      </c>
      <c r="O184" s="159">
        <v>69</v>
      </c>
      <c r="P184" s="44">
        <f t="shared" si="44"/>
        <v>0.10434782608695659</v>
      </c>
      <c r="Q184" s="44">
        <f t="shared" si="47"/>
        <v>2</v>
      </c>
      <c r="R184" s="162" t="s">
        <v>341</v>
      </c>
      <c r="S184" s="50">
        <v>2</v>
      </c>
      <c r="T184" s="161" t="s">
        <v>339</v>
      </c>
      <c r="U184" s="53" t="s">
        <v>221</v>
      </c>
      <c r="V184" s="84">
        <v>45717</v>
      </c>
      <c r="W184" s="238"/>
      <c r="X184" s="239"/>
      <c r="Y184" s="238"/>
      <c r="Z184" s="239"/>
      <c r="AA184" s="240">
        <v>0</v>
      </c>
      <c r="AB184" s="107">
        <f t="shared" si="45"/>
        <v>0</v>
      </c>
      <c r="AC184" s="240">
        <v>0</v>
      </c>
      <c r="AD184" s="107">
        <f t="shared" si="46"/>
        <v>0</v>
      </c>
    </row>
    <row r="185" spans="2:30" x14ac:dyDescent="0.25">
      <c r="B185" s="311"/>
      <c r="C185" s="171">
        <v>64.3</v>
      </c>
      <c r="D185" s="44" t="s">
        <v>48</v>
      </c>
      <c r="E185" s="44" t="s">
        <v>52</v>
      </c>
      <c r="F185" s="154" t="s">
        <v>212</v>
      </c>
      <c r="G185" s="44">
        <v>2.6</v>
      </c>
      <c r="H185" s="44">
        <f t="shared" si="42"/>
        <v>2600</v>
      </c>
      <c r="I185" s="44">
        <v>267</v>
      </c>
      <c r="J185" s="44">
        <v>76.2</v>
      </c>
      <c r="K185" s="44">
        <f t="shared" si="40"/>
        <v>1.1043478260869566</v>
      </c>
      <c r="L185" s="50">
        <f t="shared" si="43"/>
        <v>2</v>
      </c>
      <c r="M185" s="44">
        <f t="shared" si="48"/>
        <v>2900</v>
      </c>
      <c r="N185" s="44">
        <f t="shared" si="41"/>
        <v>367</v>
      </c>
      <c r="O185" s="159">
        <v>69</v>
      </c>
      <c r="P185" s="44">
        <f t="shared" si="44"/>
        <v>0.10434782608695659</v>
      </c>
      <c r="Q185" s="44">
        <f t="shared" si="47"/>
        <v>2</v>
      </c>
      <c r="R185" s="162" t="s">
        <v>341</v>
      </c>
      <c r="S185" s="50">
        <v>2</v>
      </c>
      <c r="T185" s="161" t="s">
        <v>339</v>
      </c>
      <c r="U185" s="53" t="s">
        <v>221</v>
      </c>
      <c r="V185" s="84">
        <v>45717</v>
      </c>
      <c r="W185" s="238"/>
      <c r="X185" s="239"/>
      <c r="Y185" s="238"/>
      <c r="Z185" s="239"/>
      <c r="AA185" s="240">
        <v>0</v>
      </c>
      <c r="AB185" s="107">
        <f t="shared" si="45"/>
        <v>0</v>
      </c>
      <c r="AC185" s="240">
        <v>0</v>
      </c>
      <c r="AD185" s="107">
        <f t="shared" si="46"/>
        <v>0</v>
      </c>
    </row>
    <row r="186" spans="2:30" x14ac:dyDescent="0.25">
      <c r="B186" s="311"/>
      <c r="C186" s="171">
        <v>64.400000000000006</v>
      </c>
      <c r="D186" s="44" t="s">
        <v>48</v>
      </c>
      <c r="E186" s="44" t="s">
        <v>52</v>
      </c>
      <c r="F186" s="154" t="s">
        <v>212</v>
      </c>
      <c r="G186" s="44">
        <v>2.6</v>
      </c>
      <c r="H186" s="44">
        <f t="shared" si="42"/>
        <v>2600</v>
      </c>
      <c r="I186" s="44">
        <v>267</v>
      </c>
      <c r="J186" s="44">
        <v>76.2</v>
      </c>
      <c r="K186" s="44">
        <f t="shared" si="40"/>
        <v>1.1043478260869566</v>
      </c>
      <c r="L186" s="50">
        <f t="shared" si="43"/>
        <v>2</v>
      </c>
      <c r="M186" s="44">
        <f t="shared" si="48"/>
        <v>2900</v>
      </c>
      <c r="N186" s="44">
        <f t="shared" si="41"/>
        <v>367</v>
      </c>
      <c r="O186" s="159">
        <v>69</v>
      </c>
      <c r="P186" s="44">
        <f t="shared" si="44"/>
        <v>0.10434782608695659</v>
      </c>
      <c r="Q186" s="44">
        <f t="shared" si="47"/>
        <v>2</v>
      </c>
      <c r="R186" s="162" t="s">
        <v>341</v>
      </c>
      <c r="S186" s="50">
        <v>2</v>
      </c>
      <c r="T186" s="161" t="s">
        <v>339</v>
      </c>
      <c r="U186" s="53" t="s">
        <v>221</v>
      </c>
      <c r="V186" s="84">
        <v>45717</v>
      </c>
      <c r="W186" s="238"/>
      <c r="X186" s="239"/>
      <c r="Y186" s="238"/>
      <c r="Z186" s="239"/>
      <c r="AA186" s="240">
        <v>0</v>
      </c>
      <c r="AB186" s="107">
        <f t="shared" si="45"/>
        <v>0</v>
      </c>
      <c r="AC186" s="240">
        <v>0</v>
      </c>
      <c r="AD186" s="107">
        <f t="shared" si="46"/>
        <v>0</v>
      </c>
    </row>
    <row r="187" spans="2:30" x14ac:dyDescent="0.25">
      <c r="B187" s="311"/>
      <c r="C187" s="171">
        <v>64.5</v>
      </c>
      <c r="D187" s="44" t="s">
        <v>48</v>
      </c>
      <c r="E187" s="44" t="s">
        <v>52</v>
      </c>
      <c r="F187" s="154" t="s">
        <v>212</v>
      </c>
      <c r="G187" s="44">
        <v>2.6</v>
      </c>
      <c r="H187" s="44">
        <f t="shared" si="42"/>
        <v>2600</v>
      </c>
      <c r="I187" s="44">
        <v>267</v>
      </c>
      <c r="J187" s="44">
        <v>76.2</v>
      </c>
      <c r="K187" s="44">
        <f t="shared" si="40"/>
        <v>1.1043478260869566</v>
      </c>
      <c r="L187" s="50">
        <f t="shared" si="43"/>
        <v>2</v>
      </c>
      <c r="M187" s="44">
        <f t="shared" si="48"/>
        <v>2900</v>
      </c>
      <c r="N187" s="44">
        <f t="shared" si="41"/>
        <v>367</v>
      </c>
      <c r="O187" s="159">
        <v>69</v>
      </c>
      <c r="P187" s="44">
        <f t="shared" si="44"/>
        <v>0.10434782608695659</v>
      </c>
      <c r="Q187" s="44">
        <f>(L187-1)*2</f>
        <v>2</v>
      </c>
      <c r="R187" s="162" t="s">
        <v>341</v>
      </c>
      <c r="S187" s="50">
        <v>2</v>
      </c>
      <c r="T187" s="161" t="s">
        <v>339</v>
      </c>
      <c r="U187" s="53" t="s">
        <v>221</v>
      </c>
      <c r="V187" s="84">
        <v>45717</v>
      </c>
      <c r="W187" s="238"/>
      <c r="X187" s="239"/>
      <c r="Y187" s="238"/>
      <c r="Z187" s="239"/>
      <c r="AA187" s="240">
        <v>0</v>
      </c>
      <c r="AB187" s="107">
        <f t="shared" si="45"/>
        <v>0</v>
      </c>
      <c r="AC187" s="240">
        <v>0</v>
      </c>
      <c r="AD187" s="107">
        <f t="shared" si="46"/>
        <v>0</v>
      </c>
    </row>
    <row r="188" spans="2:30" x14ac:dyDescent="0.25">
      <c r="B188" s="311"/>
      <c r="C188" s="171">
        <v>64.599999999999994</v>
      </c>
      <c r="D188" s="44" t="s">
        <v>48</v>
      </c>
      <c r="E188" s="44" t="s">
        <v>52</v>
      </c>
      <c r="F188" s="154" t="s">
        <v>212</v>
      </c>
      <c r="G188" s="44">
        <v>2.6</v>
      </c>
      <c r="H188" s="44">
        <f t="shared" si="42"/>
        <v>2600</v>
      </c>
      <c r="I188" s="44">
        <v>267</v>
      </c>
      <c r="J188" s="44">
        <v>76.2</v>
      </c>
      <c r="K188" s="44">
        <f t="shared" si="40"/>
        <v>1.1043478260869566</v>
      </c>
      <c r="L188" s="50">
        <f t="shared" si="43"/>
        <v>2</v>
      </c>
      <c r="M188" s="44">
        <f t="shared" si="48"/>
        <v>2900</v>
      </c>
      <c r="N188" s="44">
        <f t="shared" si="41"/>
        <v>367</v>
      </c>
      <c r="O188" s="159">
        <v>69</v>
      </c>
      <c r="P188" s="44">
        <f t="shared" si="44"/>
        <v>0.10434782608695659</v>
      </c>
      <c r="Q188" s="44">
        <f t="shared" si="47"/>
        <v>2</v>
      </c>
      <c r="R188" s="162" t="s">
        <v>341</v>
      </c>
      <c r="S188" s="50">
        <v>2</v>
      </c>
      <c r="T188" s="161" t="s">
        <v>339</v>
      </c>
      <c r="U188" s="53" t="s">
        <v>221</v>
      </c>
      <c r="V188" s="84">
        <v>45717</v>
      </c>
      <c r="W188" s="238"/>
      <c r="X188" s="239"/>
      <c r="Y188" s="238"/>
      <c r="Z188" s="239"/>
      <c r="AA188" s="240">
        <v>0</v>
      </c>
      <c r="AB188" s="107">
        <f t="shared" si="45"/>
        <v>0</v>
      </c>
      <c r="AC188" s="240">
        <v>0</v>
      </c>
      <c r="AD188" s="107">
        <f t="shared" si="46"/>
        <v>0</v>
      </c>
    </row>
    <row r="189" spans="2:30" x14ac:dyDescent="0.25">
      <c r="B189" s="311"/>
      <c r="C189" s="171">
        <v>64.7</v>
      </c>
      <c r="D189" s="44" t="s">
        <v>48</v>
      </c>
      <c r="E189" s="44" t="s">
        <v>52</v>
      </c>
      <c r="F189" s="154" t="s">
        <v>212</v>
      </c>
      <c r="G189" s="44">
        <v>2.6</v>
      </c>
      <c r="H189" s="44">
        <f t="shared" si="42"/>
        <v>2600</v>
      </c>
      <c r="I189" s="44">
        <v>267</v>
      </c>
      <c r="J189" s="44">
        <v>76.2</v>
      </c>
      <c r="K189" s="44">
        <f t="shared" si="40"/>
        <v>1.1043478260869566</v>
      </c>
      <c r="L189" s="50">
        <f t="shared" si="43"/>
        <v>2</v>
      </c>
      <c r="M189" s="44">
        <f t="shared" si="48"/>
        <v>2900</v>
      </c>
      <c r="N189" s="44">
        <f t="shared" si="41"/>
        <v>367</v>
      </c>
      <c r="O189" s="159">
        <v>69</v>
      </c>
      <c r="P189" s="44">
        <f t="shared" si="44"/>
        <v>0.10434782608695659</v>
      </c>
      <c r="Q189" s="44">
        <f t="shared" si="47"/>
        <v>2</v>
      </c>
      <c r="R189" s="162" t="s">
        <v>341</v>
      </c>
      <c r="S189" s="50">
        <v>2</v>
      </c>
      <c r="T189" s="161" t="s">
        <v>339</v>
      </c>
      <c r="U189" s="53" t="s">
        <v>221</v>
      </c>
      <c r="V189" s="84">
        <v>45717</v>
      </c>
      <c r="W189" s="238"/>
      <c r="X189" s="239"/>
      <c r="Y189" s="238"/>
      <c r="Z189" s="239"/>
      <c r="AA189" s="240">
        <v>0</v>
      </c>
      <c r="AB189" s="107">
        <f t="shared" si="45"/>
        <v>0</v>
      </c>
      <c r="AC189" s="240">
        <v>0</v>
      </c>
      <c r="AD189" s="107">
        <f t="shared" si="46"/>
        <v>0</v>
      </c>
    </row>
    <row r="190" spans="2:30" x14ac:dyDescent="0.25">
      <c r="B190" s="311"/>
      <c r="C190" s="171">
        <v>64.8</v>
      </c>
      <c r="D190" s="44" t="s">
        <v>48</v>
      </c>
      <c r="E190" s="44" t="s">
        <v>52</v>
      </c>
      <c r="F190" s="154" t="s">
        <v>212</v>
      </c>
      <c r="G190" s="44">
        <v>2.9</v>
      </c>
      <c r="H190" s="44">
        <f t="shared" si="42"/>
        <v>2900</v>
      </c>
      <c r="I190" s="44">
        <v>267</v>
      </c>
      <c r="J190" s="44">
        <v>76.2</v>
      </c>
      <c r="K190" s="44">
        <f t="shared" si="40"/>
        <v>1.1043478260869566</v>
      </c>
      <c r="L190" s="50">
        <f t="shared" si="43"/>
        <v>2</v>
      </c>
      <c r="M190" s="44">
        <f t="shared" si="48"/>
        <v>3200</v>
      </c>
      <c r="N190" s="44">
        <f t="shared" si="41"/>
        <v>367</v>
      </c>
      <c r="O190" s="159">
        <v>69</v>
      </c>
      <c r="P190" s="44">
        <f t="shared" si="44"/>
        <v>0.10434782608695659</v>
      </c>
      <c r="Q190" s="44">
        <f t="shared" si="47"/>
        <v>2</v>
      </c>
      <c r="R190" s="162" t="s">
        <v>341</v>
      </c>
      <c r="S190" s="50">
        <v>2</v>
      </c>
      <c r="T190" s="161" t="s">
        <v>339</v>
      </c>
      <c r="U190" s="53" t="s">
        <v>221</v>
      </c>
      <c r="V190" s="84">
        <v>45717</v>
      </c>
      <c r="W190" s="238"/>
      <c r="X190" s="239"/>
      <c r="Y190" s="238"/>
      <c r="Z190" s="239"/>
      <c r="AA190" s="240">
        <v>0</v>
      </c>
      <c r="AB190" s="107">
        <f t="shared" si="45"/>
        <v>0</v>
      </c>
      <c r="AC190" s="240">
        <v>0</v>
      </c>
      <c r="AD190" s="107">
        <f t="shared" si="46"/>
        <v>0</v>
      </c>
    </row>
    <row r="191" spans="2:30" x14ac:dyDescent="0.25">
      <c r="B191" s="311"/>
      <c r="C191" s="171">
        <v>64.900000000000006</v>
      </c>
      <c r="D191" s="44" t="s">
        <v>48</v>
      </c>
      <c r="E191" s="44" t="s">
        <v>52</v>
      </c>
      <c r="F191" s="154" t="s">
        <v>212</v>
      </c>
      <c r="G191" s="44">
        <v>2.6</v>
      </c>
      <c r="H191" s="44">
        <f t="shared" si="42"/>
        <v>2600</v>
      </c>
      <c r="I191" s="44">
        <v>267</v>
      </c>
      <c r="J191" s="44">
        <v>76.2</v>
      </c>
      <c r="K191" s="44">
        <f t="shared" si="40"/>
        <v>1.1043478260869566</v>
      </c>
      <c r="L191" s="50">
        <f t="shared" si="43"/>
        <v>2</v>
      </c>
      <c r="M191" s="44">
        <f t="shared" si="48"/>
        <v>2900</v>
      </c>
      <c r="N191" s="44">
        <f t="shared" si="41"/>
        <v>367</v>
      </c>
      <c r="O191" s="159">
        <v>69</v>
      </c>
      <c r="P191" s="44">
        <f t="shared" si="44"/>
        <v>0.10434782608695659</v>
      </c>
      <c r="Q191" s="44">
        <f t="shared" si="47"/>
        <v>2</v>
      </c>
      <c r="R191" s="162" t="s">
        <v>341</v>
      </c>
      <c r="S191" s="50">
        <v>2</v>
      </c>
      <c r="T191" s="161" t="s">
        <v>339</v>
      </c>
      <c r="U191" s="53" t="s">
        <v>221</v>
      </c>
      <c r="V191" s="84">
        <v>45717</v>
      </c>
      <c r="W191" s="238"/>
      <c r="X191" s="239"/>
      <c r="Y191" s="238"/>
      <c r="Z191" s="239"/>
      <c r="AA191" s="240">
        <v>0</v>
      </c>
      <c r="AB191" s="107">
        <f t="shared" si="45"/>
        <v>0</v>
      </c>
      <c r="AC191" s="240">
        <v>0</v>
      </c>
      <c r="AD191" s="107">
        <f t="shared" si="46"/>
        <v>0</v>
      </c>
    </row>
    <row r="192" spans="2:30" x14ac:dyDescent="0.25">
      <c r="B192" s="311"/>
      <c r="C192" s="171">
        <v>64.099999999999994</v>
      </c>
      <c r="D192" s="44" t="s">
        <v>48</v>
      </c>
      <c r="E192" s="44" t="s">
        <v>52</v>
      </c>
      <c r="F192" s="154" t="s">
        <v>212</v>
      </c>
      <c r="G192" s="44">
        <v>2.5</v>
      </c>
      <c r="H192" s="44">
        <f t="shared" si="42"/>
        <v>2500</v>
      </c>
      <c r="I192" s="44">
        <v>267</v>
      </c>
      <c r="J192" s="44">
        <v>76.2</v>
      </c>
      <c r="K192" s="44">
        <f t="shared" si="40"/>
        <v>1.1043478260869566</v>
      </c>
      <c r="L192" s="50">
        <f t="shared" si="43"/>
        <v>2</v>
      </c>
      <c r="M192" s="44">
        <f t="shared" si="48"/>
        <v>2800</v>
      </c>
      <c r="N192" s="44">
        <f t="shared" si="41"/>
        <v>367</v>
      </c>
      <c r="O192" s="159">
        <v>69</v>
      </c>
      <c r="P192" s="44">
        <f t="shared" si="44"/>
        <v>0.10434782608695659</v>
      </c>
      <c r="Q192" s="44">
        <f t="shared" si="47"/>
        <v>2</v>
      </c>
      <c r="R192" s="162" t="s">
        <v>341</v>
      </c>
      <c r="S192" s="50">
        <v>2</v>
      </c>
      <c r="T192" s="161" t="s">
        <v>339</v>
      </c>
      <c r="U192" s="53" t="s">
        <v>221</v>
      </c>
      <c r="V192" s="84">
        <v>45717</v>
      </c>
      <c r="W192" s="238"/>
      <c r="X192" s="239"/>
      <c r="Y192" s="238"/>
      <c r="Z192" s="239"/>
      <c r="AA192" s="240">
        <v>0</v>
      </c>
      <c r="AB192" s="107">
        <f t="shared" si="45"/>
        <v>0</v>
      </c>
      <c r="AC192" s="240">
        <v>0</v>
      </c>
      <c r="AD192" s="107">
        <f t="shared" si="46"/>
        <v>0</v>
      </c>
    </row>
    <row r="193" spans="2:30" x14ac:dyDescent="0.25">
      <c r="B193" s="311"/>
      <c r="C193" s="171">
        <v>64.11</v>
      </c>
      <c r="D193" s="44" t="s">
        <v>48</v>
      </c>
      <c r="E193" s="44" t="s">
        <v>26</v>
      </c>
      <c r="F193" s="154" t="s">
        <v>212</v>
      </c>
      <c r="G193" s="44">
        <v>2.6</v>
      </c>
      <c r="H193" s="44">
        <f t="shared" si="42"/>
        <v>2600</v>
      </c>
      <c r="I193" s="44">
        <v>267</v>
      </c>
      <c r="J193" s="44">
        <v>76.2</v>
      </c>
      <c r="K193" s="44">
        <f t="shared" si="40"/>
        <v>1.1043478260869566</v>
      </c>
      <c r="L193" s="50">
        <f t="shared" si="43"/>
        <v>2</v>
      </c>
      <c r="M193" s="44">
        <f t="shared" si="48"/>
        <v>2900</v>
      </c>
      <c r="N193" s="44">
        <f t="shared" si="41"/>
        <v>367</v>
      </c>
      <c r="O193" s="159">
        <v>69</v>
      </c>
      <c r="P193" s="44">
        <f t="shared" si="44"/>
        <v>0.10434782608695659</v>
      </c>
      <c r="Q193" s="44">
        <f t="shared" si="47"/>
        <v>2</v>
      </c>
      <c r="R193" s="162" t="s">
        <v>341</v>
      </c>
      <c r="S193" s="50">
        <v>2</v>
      </c>
      <c r="T193" s="161" t="s">
        <v>339</v>
      </c>
      <c r="U193" s="53" t="s">
        <v>221</v>
      </c>
      <c r="V193" s="84">
        <v>45717</v>
      </c>
      <c r="W193" s="238"/>
      <c r="X193" s="239"/>
      <c r="Y193" s="238"/>
      <c r="Z193" s="239"/>
      <c r="AA193" s="240">
        <v>0</v>
      </c>
      <c r="AB193" s="107">
        <f t="shared" si="45"/>
        <v>0</v>
      </c>
      <c r="AC193" s="240">
        <v>0</v>
      </c>
      <c r="AD193" s="107">
        <f t="shared" si="46"/>
        <v>0</v>
      </c>
    </row>
    <row r="194" spans="2:30" x14ac:dyDescent="0.25">
      <c r="B194" s="311"/>
      <c r="C194" s="171">
        <v>64.12</v>
      </c>
      <c r="D194" s="44" t="s">
        <v>48</v>
      </c>
      <c r="E194" s="44" t="s">
        <v>26</v>
      </c>
      <c r="F194" s="154" t="s">
        <v>212</v>
      </c>
      <c r="G194" s="44">
        <v>4.3</v>
      </c>
      <c r="H194" s="44">
        <f t="shared" si="42"/>
        <v>4300</v>
      </c>
      <c r="I194" s="44">
        <v>267</v>
      </c>
      <c r="J194" s="44">
        <v>76.2</v>
      </c>
      <c r="K194" s="44">
        <f t="shared" si="40"/>
        <v>1.1043478260869566</v>
      </c>
      <c r="L194" s="50">
        <f t="shared" si="43"/>
        <v>2</v>
      </c>
      <c r="M194" s="44">
        <f t="shared" si="48"/>
        <v>4600</v>
      </c>
      <c r="N194" s="44">
        <f t="shared" si="41"/>
        <v>367</v>
      </c>
      <c r="O194" s="159">
        <v>69</v>
      </c>
      <c r="P194" s="44">
        <f t="shared" si="44"/>
        <v>0.10434782608695659</v>
      </c>
      <c r="Q194" s="44">
        <f t="shared" si="47"/>
        <v>2</v>
      </c>
      <c r="R194" s="162" t="s">
        <v>341</v>
      </c>
      <c r="S194" s="50">
        <v>2</v>
      </c>
      <c r="T194" s="161" t="s">
        <v>339</v>
      </c>
      <c r="U194" s="53" t="s">
        <v>221</v>
      </c>
      <c r="V194" s="84">
        <v>45717</v>
      </c>
      <c r="W194" s="238"/>
      <c r="X194" s="239"/>
      <c r="Y194" s="238"/>
      <c r="Z194" s="239"/>
      <c r="AA194" s="240">
        <v>0</v>
      </c>
      <c r="AB194" s="107">
        <f t="shared" si="45"/>
        <v>0</v>
      </c>
      <c r="AC194" s="240">
        <v>0</v>
      </c>
      <c r="AD194" s="107">
        <f t="shared" si="46"/>
        <v>0</v>
      </c>
    </row>
    <row r="195" spans="2:30" s="66" customFormat="1" ht="15.75" thickBot="1" x14ac:dyDescent="0.3">
      <c r="B195" s="313"/>
      <c r="C195" s="185" t="s">
        <v>262</v>
      </c>
      <c r="D195" s="179"/>
      <c r="E195" s="179"/>
      <c r="F195" s="179"/>
      <c r="G195" s="179"/>
      <c r="H195" s="179"/>
      <c r="I195" s="179"/>
      <c r="J195" s="179"/>
      <c r="K195" s="179"/>
      <c r="L195" s="179"/>
      <c r="M195" s="179"/>
      <c r="N195" s="179"/>
      <c r="O195" s="179"/>
      <c r="P195" s="179"/>
      <c r="Q195" s="179">
        <f>SUM(Q165:Q194)</f>
        <v>60</v>
      </c>
      <c r="R195" s="186"/>
      <c r="S195" s="180">
        <f>SUM(S165:S194)</f>
        <v>60</v>
      </c>
      <c r="T195" s="180"/>
      <c r="U195" s="180"/>
      <c r="V195" s="181"/>
      <c r="W195" s="181"/>
      <c r="X195" s="182"/>
      <c r="Y195" s="181"/>
      <c r="Z195" s="182"/>
      <c r="AA195" s="181"/>
      <c r="AB195" s="183">
        <f>SUM(AB165:AB194)</f>
        <v>0</v>
      </c>
      <c r="AC195" s="181"/>
      <c r="AD195" s="184">
        <f>SUM(AD165:AD194)</f>
        <v>0</v>
      </c>
    </row>
    <row r="196" spans="2:30" ht="15" customHeight="1" x14ac:dyDescent="0.25">
      <c r="B196" s="310" t="s">
        <v>351</v>
      </c>
      <c r="C196" s="171">
        <v>65.400000000000006</v>
      </c>
      <c r="D196" s="44" t="s">
        <v>48</v>
      </c>
      <c r="E196" s="44" t="s">
        <v>52</v>
      </c>
      <c r="F196" s="154" t="s">
        <v>212</v>
      </c>
      <c r="G196" s="44">
        <v>2.6</v>
      </c>
      <c r="H196" s="44">
        <f t="shared" ref="H196:H217" si="49">CONVERT(G196,"m","mm")</f>
        <v>2600</v>
      </c>
      <c r="I196" s="44">
        <v>267</v>
      </c>
      <c r="J196" s="44">
        <v>76.2</v>
      </c>
      <c r="K196" s="44">
        <f t="shared" si="40"/>
        <v>1.1043478260869566</v>
      </c>
      <c r="L196" s="50">
        <f t="shared" ref="L196:L217" si="50">ROUNDUP(K196,0)</f>
        <v>2</v>
      </c>
      <c r="M196" s="44">
        <f t="shared" si="48"/>
        <v>2900</v>
      </c>
      <c r="N196" s="44">
        <f t="shared" si="41"/>
        <v>367</v>
      </c>
      <c r="O196" s="44">
        <v>69</v>
      </c>
      <c r="P196" s="44">
        <f t="shared" ref="P196:P217" si="51">(K196-1)</f>
        <v>0.10434782608695659</v>
      </c>
      <c r="Q196" s="44">
        <f>(L196-1)*2</f>
        <v>2</v>
      </c>
      <c r="R196" s="162" t="s">
        <v>341</v>
      </c>
      <c r="S196" s="50">
        <v>2</v>
      </c>
      <c r="T196" s="161" t="s">
        <v>339</v>
      </c>
      <c r="U196" s="53" t="s">
        <v>221</v>
      </c>
      <c r="V196" s="84">
        <v>45839</v>
      </c>
      <c r="W196" s="238"/>
      <c r="X196" s="239"/>
      <c r="Y196" s="238"/>
      <c r="Z196" s="239"/>
      <c r="AA196" s="240">
        <v>0</v>
      </c>
      <c r="AB196" s="107">
        <f t="shared" ref="AB196:AB217" si="52">(AA196*Q196)</f>
        <v>0</v>
      </c>
      <c r="AC196" s="240">
        <v>0</v>
      </c>
      <c r="AD196" s="107">
        <f t="shared" ref="AD196:AD217" si="53">(AC196*S196)</f>
        <v>0</v>
      </c>
    </row>
    <row r="197" spans="2:30" x14ac:dyDescent="0.25">
      <c r="B197" s="311"/>
      <c r="C197" s="171">
        <v>65.5</v>
      </c>
      <c r="D197" s="44" t="s">
        <v>48</v>
      </c>
      <c r="E197" s="44" t="s">
        <v>52</v>
      </c>
      <c r="F197" s="154" t="s">
        <v>212</v>
      </c>
      <c r="G197" s="44">
        <v>2.6</v>
      </c>
      <c r="H197" s="44">
        <f t="shared" si="49"/>
        <v>2600</v>
      </c>
      <c r="I197" s="44">
        <v>267</v>
      </c>
      <c r="J197" s="44">
        <v>76.2</v>
      </c>
      <c r="K197" s="44">
        <f t="shared" si="40"/>
        <v>1.1043478260869566</v>
      </c>
      <c r="L197" s="50">
        <f t="shared" si="50"/>
        <v>2</v>
      </c>
      <c r="M197" s="44">
        <f t="shared" si="48"/>
        <v>2900</v>
      </c>
      <c r="N197" s="44">
        <f t="shared" si="41"/>
        <v>367</v>
      </c>
      <c r="O197" s="159">
        <v>69</v>
      </c>
      <c r="P197" s="44">
        <f t="shared" si="51"/>
        <v>0.10434782608695659</v>
      </c>
      <c r="Q197" s="44">
        <f t="shared" ref="Q197:Q217" si="54">(L197-1)*2</f>
        <v>2</v>
      </c>
      <c r="R197" s="162" t="s">
        <v>341</v>
      </c>
      <c r="S197" s="50">
        <v>2</v>
      </c>
      <c r="T197" s="161" t="s">
        <v>339</v>
      </c>
      <c r="U197" s="53" t="s">
        <v>221</v>
      </c>
      <c r="V197" s="84">
        <v>45839</v>
      </c>
      <c r="W197" s="238"/>
      <c r="X197" s="239"/>
      <c r="Y197" s="238"/>
      <c r="Z197" s="239"/>
      <c r="AA197" s="240">
        <v>0</v>
      </c>
      <c r="AB197" s="107">
        <f t="shared" si="52"/>
        <v>0</v>
      </c>
      <c r="AC197" s="240">
        <v>0</v>
      </c>
      <c r="AD197" s="107">
        <f t="shared" si="53"/>
        <v>0</v>
      </c>
    </row>
    <row r="198" spans="2:30" x14ac:dyDescent="0.25">
      <c r="B198" s="311"/>
      <c r="C198" s="171">
        <v>65.599999999999994</v>
      </c>
      <c r="D198" s="44" t="s">
        <v>48</v>
      </c>
      <c r="E198" s="44" t="s">
        <v>52</v>
      </c>
      <c r="F198" s="154" t="s">
        <v>212</v>
      </c>
      <c r="G198" s="44">
        <v>2.6</v>
      </c>
      <c r="H198" s="44">
        <f t="shared" si="49"/>
        <v>2600</v>
      </c>
      <c r="I198" s="44">
        <v>267</v>
      </c>
      <c r="J198" s="44">
        <v>76.2</v>
      </c>
      <c r="K198" s="44">
        <f t="shared" si="40"/>
        <v>1.1043478260869566</v>
      </c>
      <c r="L198" s="50">
        <f t="shared" si="50"/>
        <v>2</v>
      </c>
      <c r="M198" s="44">
        <f t="shared" si="48"/>
        <v>2900</v>
      </c>
      <c r="N198" s="44">
        <f t="shared" si="41"/>
        <v>367</v>
      </c>
      <c r="O198" s="159">
        <v>69</v>
      </c>
      <c r="P198" s="44">
        <f t="shared" si="51"/>
        <v>0.10434782608695659</v>
      </c>
      <c r="Q198" s="44">
        <f t="shared" si="54"/>
        <v>2</v>
      </c>
      <c r="R198" s="162" t="s">
        <v>341</v>
      </c>
      <c r="S198" s="50">
        <v>2</v>
      </c>
      <c r="T198" s="161" t="s">
        <v>339</v>
      </c>
      <c r="U198" s="53" t="s">
        <v>221</v>
      </c>
      <c r="V198" s="84">
        <v>45839</v>
      </c>
      <c r="W198" s="238"/>
      <c r="X198" s="239"/>
      <c r="Y198" s="238"/>
      <c r="Z198" s="239"/>
      <c r="AA198" s="240">
        <v>0</v>
      </c>
      <c r="AB198" s="107">
        <f t="shared" si="52"/>
        <v>0</v>
      </c>
      <c r="AC198" s="240">
        <v>0</v>
      </c>
      <c r="AD198" s="107">
        <f t="shared" si="53"/>
        <v>0</v>
      </c>
    </row>
    <row r="199" spans="2:30" x14ac:dyDescent="0.25">
      <c r="B199" s="311"/>
      <c r="C199" s="171">
        <v>65.7</v>
      </c>
      <c r="D199" s="44" t="s">
        <v>48</v>
      </c>
      <c r="E199" s="44" t="s">
        <v>52</v>
      </c>
      <c r="F199" s="154" t="s">
        <v>212</v>
      </c>
      <c r="G199" s="44">
        <v>2.6</v>
      </c>
      <c r="H199" s="44">
        <f t="shared" si="49"/>
        <v>2600</v>
      </c>
      <c r="I199" s="44">
        <v>267</v>
      </c>
      <c r="J199" s="44">
        <v>76.2</v>
      </c>
      <c r="K199" s="44">
        <f t="shared" si="40"/>
        <v>1.1043478260869566</v>
      </c>
      <c r="L199" s="50">
        <f t="shared" si="50"/>
        <v>2</v>
      </c>
      <c r="M199" s="44">
        <f t="shared" si="48"/>
        <v>2900</v>
      </c>
      <c r="N199" s="44">
        <f t="shared" si="41"/>
        <v>367</v>
      </c>
      <c r="O199" s="159">
        <v>69</v>
      </c>
      <c r="P199" s="44">
        <f t="shared" si="51"/>
        <v>0.10434782608695659</v>
      </c>
      <c r="Q199" s="44">
        <f t="shared" si="54"/>
        <v>2</v>
      </c>
      <c r="R199" s="162" t="s">
        <v>341</v>
      </c>
      <c r="S199" s="50">
        <v>2</v>
      </c>
      <c r="T199" s="161" t="s">
        <v>339</v>
      </c>
      <c r="U199" s="53" t="s">
        <v>221</v>
      </c>
      <c r="V199" s="84">
        <v>45839</v>
      </c>
      <c r="W199" s="238"/>
      <c r="X199" s="239"/>
      <c r="Y199" s="238"/>
      <c r="Z199" s="239"/>
      <c r="AA199" s="240">
        <v>0</v>
      </c>
      <c r="AB199" s="107">
        <f t="shared" si="52"/>
        <v>0</v>
      </c>
      <c r="AC199" s="240">
        <v>0</v>
      </c>
      <c r="AD199" s="107">
        <f t="shared" si="53"/>
        <v>0</v>
      </c>
    </row>
    <row r="200" spans="2:30" x14ac:dyDescent="0.25">
      <c r="B200" s="311"/>
      <c r="C200" s="171">
        <v>65.8</v>
      </c>
      <c r="D200" s="44" t="s">
        <v>48</v>
      </c>
      <c r="E200" s="44" t="s">
        <v>52</v>
      </c>
      <c r="F200" s="154" t="s">
        <v>212</v>
      </c>
      <c r="G200" s="44">
        <v>2.9</v>
      </c>
      <c r="H200" s="44">
        <f t="shared" si="49"/>
        <v>2900</v>
      </c>
      <c r="I200" s="44">
        <v>267</v>
      </c>
      <c r="J200" s="44">
        <v>76.2</v>
      </c>
      <c r="K200" s="44">
        <f t="shared" si="40"/>
        <v>1.1043478260869566</v>
      </c>
      <c r="L200" s="50">
        <f t="shared" si="50"/>
        <v>2</v>
      </c>
      <c r="M200" s="44">
        <f t="shared" si="48"/>
        <v>3200</v>
      </c>
      <c r="N200" s="44">
        <f t="shared" si="41"/>
        <v>367</v>
      </c>
      <c r="O200" s="159">
        <v>69</v>
      </c>
      <c r="P200" s="44">
        <f t="shared" si="51"/>
        <v>0.10434782608695659</v>
      </c>
      <c r="Q200" s="44">
        <f t="shared" si="54"/>
        <v>2</v>
      </c>
      <c r="R200" s="162" t="s">
        <v>341</v>
      </c>
      <c r="S200" s="50">
        <v>2</v>
      </c>
      <c r="T200" s="161" t="s">
        <v>339</v>
      </c>
      <c r="U200" s="53" t="s">
        <v>221</v>
      </c>
      <c r="V200" s="84">
        <v>45839</v>
      </c>
      <c r="W200" s="238"/>
      <c r="X200" s="239"/>
      <c r="Y200" s="238"/>
      <c r="Z200" s="239"/>
      <c r="AA200" s="240">
        <v>0</v>
      </c>
      <c r="AB200" s="107">
        <f t="shared" si="52"/>
        <v>0</v>
      </c>
      <c r="AC200" s="240">
        <v>0</v>
      </c>
      <c r="AD200" s="107">
        <f t="shared" si="53"/>
        <v>0</v>
      </c>
    </row>
    <row r="201" spans="2:30" x14ac:dyDescent="0.25">
      <c r="B201" s="311"/>
      <c r="C201" s="171">
        <v>65.900000000000006</v>
      </c>
      <c r="D201" s="44" t="s">
        <v>48</v>
      </c>
      <c r="E201" s="44" t="s">
        <v>52</v>
      </c>
      <c r="F201" s="154" t="s">
        <v>212</v>
      </c>
      <c r="G201" s="44">
        <v>2.6</v>
      </c>
      <c r="H201" s="44">
        <f t="shared" si="49"/>
        <v>2600</v>
      </c>
      <c r="I201" s="44">
        <v>267</v>
      </c>
      <c r="J201" s="44">
        <v>76.2</v>
      </c>
      <c r="K201" s="44">
        <f t="shared" si="40"/>
        <v>1.1043478260869566</v>
      </c>
      <c r="L201" s="50">
        <f t="shared" si="50"/>
        <v>2</v>
      </c>
      <c r="M201" s="44">
        <f t="shared" si="48"/>
        <v>2900</v>
      </c>
      <c r="N201" s="44">
        <f t="shared" si="41"/>
        <v>367</v>
      </c>
      <c r="O201" s="159">
        <v>69</v>
      </c>
      <c r="P201" s="44">
        <f t="shared" si="51"/>
        <v>0.10434782608695659</v>
      </c>
      <c r="Q201" s="44">
        <f t="shared" si="54"/>
        <v>2</v>
      </c>
      <c r="R201" s="162" t="s">
        <v>341</v>
      </c>
      <c r="S201" s="50">
        <v>2</v>
      </c>
      <c r="T201" s="161" t="s">
        <v>339</v>
      </c>
      <c r="U201" s="53" t="s">
        <v>221</v>
      </c>
      <c r="V201" s="84">
        <v>45839</v>
      </c>
      <c r="W201" s="238"/>
      <c r="X201" s="239"/>
      <c r="Y201" s="238"/>
      <c r="Z201" s="239"/>
      <c r="AA201" s="240">
        <v>0</v>
      </c>
      <c r="AB201" s="107">
        <f t="shared" si="52"/>
        <v>0</v>
      </c>
      <c r="AC201" s="240">
        <v>0</v>
      </c>
      <c r="AD201" s="107">
        <f t="shared" si="53"/>
        <v>0</v>
      </c>
    </row>
    <row r="202" spans="2:30" x14ac:dyDescent="0.25">
      <c r="B202" s="311"/>
      <c r="C202" s="171">
        <v>65.099999999999994</v>
      </c>
      <c r="D202" s="44" t="s">
        <v>48</v>
      </c>
      <c r="E202" s="44" t="s">
        <v>26</v>
      </c>
      <c r="F202" s="154" t="s">
        <v>213</v>
      </c>
      <c r="G202" s="44">
        <v>7.1</v>
      </c>
      <c r="H202" s="44">
        <f t="shared" si="49"/>
        <v>7100</v>
      </c>
      <c r="I202" s="44">
        <v>267</v>
      </c>
      <c r="J202" s="44">
        <v>76.2</v>
      </c>
      <c r="K202" s="44">
        <f t="shared" ref="K202:K235" si="55">(J202/O202)</f>
        <v>1.1043478260869566</v>
      </c>
      <c r="L202" s="50">
        <f t="shared" si="50"/>
        <v>2</v>
      </c>
      <c r="M202" s="44">
        <f t="shared" si="48"/>
        <v>7400</v>
      </c>
      <c r="N202" s="44">
        <f t="shared" si="41"/>
        <v>367</v>
      </c>
      <c r="O202" s="159">
        <v>69</v>
      </c>
      <c r="P202" s="44">
        <f t="shared" si="51"/>
        <v>0.10434782608695659</v>
      </c>
      <c r="Q202" s="44">
        <f t="shared" si="54"/>
        <v>2</v>
      </c>
      <c r="R202" s="165" t="s">
        <v>342</v>
      </c>
      <c r="S202" s="50">
        <v>2</v>
      </c>
      <c r="T202" s="166" t="s">
        <v>340</v>
      </c>
      <c r="U202" s="53" t="s">
        <v>221</v>
      </c>
      <c r="V202" s="84">
        <v>45839</v>
      </c>
      <c r="W202" s="238"/>
      <c r="X202" s="239"/>
      <c r="Y202" s="238"/>
      <c r="Z202" s="239"/>
      <c r="AA202" s="240">
        <v>0</v>
      </c>
      <c r="AB202" s="107">
        <f t="shared" si="52"/>
        <v>0</v>
      </c>
      <c r="AC202" s="240">
        <v>0</v>
      </c>
      <c r="AD202" s="107">
        <f t="shared" si="53"/>
        <v>0</v>
      </c>
    </row>
    <row r="203" spans="2:30" x14ac:dyDescent="0.25">
      <c r="B203" s="311"/>
      <c r="C203" s="171">
        <v>65.11</v>
      </c>
      <c r="D203" s="44" t="s">
        <v>48</v>
      </c>
      <c r="E203" s="44" t="s">
        <v>26</v>
      </c>
      <c r="F203" s="154" t="s">
        <v>213</v>
      </c>
      <c r="G203" s="44">
        <v>7.4</v>
      </c>
      <c r="H203" s="44">
        <f t="shared" si="49"/>
        <v>7400</v>
      </c>
      <c r="I203" s="44">
        <v>267</v>
      </c>
      <c r="J203" s="44">
        <v>76.2</v>
      </c>
      <c r="K203" s="44">
        <f t="shared" si="55"/>
        <v>1.1043478260869566</v>
      </c>
      <c r="L203" s="50">
        <f t="shared" si="50"/>
        <v>2</v>
      </c>
      <c r="M203" s="44">
        <f t="shared" si="48"/>
        <v>7700</v>
      </c>
      <c r="N203" s="44">
        <f t="shared" si="41"/>
        <v>367</v>
      </c>
      <c r="O203" s="159">
        <v>69</v>
      </c>
      <c r="P203" s="44">
        <f t="shared" si="51"/>
        <v>0.10434782608695659</v>
      </c>
      <c r="Q203" s="44">
        <f t="shared" si="54"/>
        <v>2</v>
      </c>
      <c r="R203" s="165" t="s">
        <v>342</v>
      </c>
      <c r="S203" s="50">
        <v>2</v>
      </c>
      <c r="T203" s="166" t="s">
        <v>340</v>
      </c>
      <c r="U203" s="53" t="s">
        <v>221</v>
      </c>
      <c r="V203" s="84">
        <v>45839</v>
      </c>
      <c r="W203" s="238"/>
      <c r="X203" s="239"/>
      <c r="Y203" s="238"/>
      <c r="Z203" s="239"/>
      <c r="AA203" s="240">
        <v>0</v>
      </c>
      <c r="AB203" s="107">
        <f t="shared" si="52"/>
        <v>0</v>
      </c>
      <c r="AC203" s="240">
        <v>0</v>
      </c>
      <c r="AD203" s="107">
        <f t="shared" si="53"/>
        <v>0</v>
      </c>
    </row>
    <row r="204" spans="2:30" ht="15" customHeight="1" x14ac:dyDescent="0.25">
      <c r="B204" s="311"/>
      <c r="C204" s="171">
        <v>66.3</v>
      </c>
      <c r="D204" s="44" t="s">
        <v>48</v>
      </c>
      <c r="E204" s="44" t="s">
        <v>70</v>
      </c>
      <c r="F204" s="154" t="s">
        <v>213</v>
      </c>
      <c r="G204" s="44">
        <v>7.4</v>
      </c>
      <c r="H204" s="44">
        <f t="shared" si="49"/>
        <v>7400</v>
      </c>
      <c r="I204" s="44">
        <v>400</v>
      </c>
      <c r="J204" s="44">
        <v>101.6</v>
      </c>
      <c r="K204" s="44">
        <f t="shared" si="55"/>
        <v>1.472463768115942</v>
      </c>
      <c r="L204" s="50">
        <f t="shared" si="50"/>
        <v>2</v>
      </c>
      <c r="M204" s="44">
        <f t="shared" si="48"/>
        <v>7700</v>
      </c>
      <c r="N204" s="44">
        <f t="shared" ref="N204:N235" si="56">(I204+100)</f>
        <v>500</v>
      </c>
      <c r="O204" s="159">
        <v>69</v>
      </c>
      <c r="P204" s="44">
        <f t="shared" si="51"/>
        <v>0.47246376811594204</v>
      </c>
      <c r="Q204" s="44">
        <f t="shared" si="54"/>
        <v>2</v>
      </c>
      <c r="R204" s="165" t="s">
        <v>342</v>
      </c>
      <c r="S204" s="50">
        <v>2</v>
      </c>
      <c r="T204" s="166" t="s">
        <v>340</v>
      </c>
      <c r="U204" s="53" t="s">
        <v>221</v>
      </c>
      <c r="V204" s="84">
        <v>45839</v>
      </c>
      <c r="W204" s="238"/>
      <c r="X204" s="239"/>
      <c r="Y204" s="238"/>
      <c r="Z204" s="239"/>
      <c r="AA204" s="240">
        <v>0</v>
      </c>
      <c r="AB204" s="107">
        <f t="shared" si="52"/>
        <v>0</v>
      </c>
      <c r="AC204" s="240">
        <v>0</v>
      </c>
      <c r="AD204" s="107">
        <f t="shared" si="53"/>
        <v>0</v>
      </c>
    </row>
    <row r="205" spans="2:30" ht="15" customHeight="1" x14ac:dyDescent="0.25">
      <c r="B205" s="311"/>
      <c r="C205" s="171">
        <v>66.400000000000006</v>
      </c>
      <c r="D205" s="44" t="s">
        <v>48</v>
      </c>
      <c r="E205" s="44" t="s">
        <v>71</v>
      </c>
      <c r="F205" s="154" t="s">
        <v>213</v>
      </c>
      <c r="G205" s="44">
        <v>8.1999999999999993</v>
      </c>
      <c r="H205" s="44">
        <f t="shared" si="49"/>
        <v>8200</v>
      </c>
      <c r="I205" s="44">
        <v>370</v>
      </c>
      <c r="J205" s="44">
        <v>101.6</v>
      </c>
      <c r="K205" s="44">
        <f t="shared" si="55"/>
        <v>1.472463768115942</v>
      </c>
      <c r="L205" s="50">
        <f t="shared" si="50"/>
        <v>2</v>
      </c>
      <c r="M205" s="44">
        <f t="shared" si="48"/>
        <v>8500</v>
      </c>
      <c r="N205" s="44">
        <f t="shared" si="56"/>
        <v>470</v>
      </c>
      <c r="O205" s="159">
        <v>69</v>
      </c>
      <c r="P205" s="44">
        <f t="shared" si="51"/>
        <v>0.47246376811594204</v>
      </c>
      <c r="Q205" s="44">
        <f t="shared" si="54"/>
        <v>2</v>
      </c>
      <c r="R205" s="165" t="s">
        <v>342</v>
      </c>
      <c r="S205" s="50">
        <v>2</v>
      </c>
      <c r="T205" s="166" t="s">
        <v>340</v>
      </c>
      <c r="U205" s="53" t="s">
        <v>221</v>
      </c>
      <c r="V205" s="84">
        <v>45839</v>
      </c>
      <c r="W205" s="238"/>
      <c r="X205" s="239"/>
      <c r="Y205" s="238"/>
      <c r="Z205" s="239"/>
      <c r="AA205" s="240">
        <v>0</v>
      </c>
      <c r="AB205" s="107">
        <f t="shared" si="52"/>
        <v>0</v>
      </c>
      <c r="AC205" s="240">
        <v>0</v>
      </c>
      <c r="AD205" s="107">
        <f t="shared" si="53"/>
        <v>0</v>
      </c>
    </row>
    <row r="206" spans="2:30" ht="16.5" customHeight="1" x14ac:dyDescent="0.25">
      <c r="B206" s="311"/>
      <c r="C206" s="171">
        <v>66.5</v>
      </c>
      <c r="D206" s="44" t="s">
        <v>48</v>
      </c>
      <c r="E206" s="44" t="s">
        <v>72</v>
      </c>
      <c r="F206" s="154" t="s">
        <v>213</v>
      </c>
      <c r="G206" s="44">
        <v>11.1</v>
      </c>
      <c r="H206" s="44">
        <f t="shared" si="49"/>
        <v>11100</v>
      </c>
      <c r="I206" s="44">
        <v>475</v>
      </c>
      <c r="J206" s="44">
        <v>101.6</v>
      </c>
      <c r="K206" s="44">
        <f t="shared" si="55"/>
        <v>1.472463768115942</v>
      </c>
      <c r="L206" s="50">
        <f t="shared" si="50"/>
        <v>2</v>
      </c>
      <c r="M206" s="44">
        <f t="shared" si="48"/>
        <v>11400</v>
      </c>
      <c r="N206" s="44">
        <f t="shared" si="56"/>
        <v>575</v>
      </c>
      <c r="O206" s="159">
        <v>69</v>
      </c>
      <c r="P206" s="44">
        <f t="shared" si="51"/>
        <v>0.47246376811594204</v>
      </c>
      <c r="Q206" s="44">
        <f t="shared" si="54"/>
        <v>2</v>
      </c>
      <c r="R206" s="165" t="s">
        <v>342</v>
      </c>
      <c r="S206" s="50">
        <v>2</v>
      </c>
      <c r="T206" s="166" t="s">
        <v>340</v>
      </c>
      <c r="U206" s="53" t="s">
        <v>221</v>
      </c>
      <c r="V206" s="84">
        <v>45839</v>
      </c>
      <c r="W206" s="238"/>
      <c r="X206" s="239"/>
      <c r="Y206" s="238"/>
      <c r="Z206" s="239"/>
      <c r="AA206" s="240">
        <v>0</v>
      </c>
      <c r="AB206" s="107">
        <f t="shared" si="52"/>
        <v>0</v>
      </c>
      <c r="AC206" s="240">
        <v>0</v>
      </c>
      <c r="AD206" s="107">
        <f t="shared" si="53"/>
        <v>0</v>
      </c>
    </row>
    <row r="207" spans="2:30" x14ac:dyDescent="0.25">
      <c r="B207" s="311"/>
      <c r="C207" s="171">
        <v>66.599999999999994</v>
      </c>
      <c r="D207" s="44" t="s">
        <v>48</v>
      </c>
      <c r="E207" s="44" t="s">
        <v>26</v>
      </c>
      <c r="F207" s="154" t="s">
        <v>213</v>
      </c>
      <c r="G207" s="44">
        <v>8</v>
      </c>
      <c r="H207" s="44">
        <f t="shared" si="49"/>
        <v>8000</v>
      </c>
      <c r="I207" s="44">
        <v>355</v>
      </c>
      <c r="J207" s="44">
        <v>101.6</v>
      </c>
      <c r="K207" s="44">
        <f t="shared" si="55"/>
        <v>1.472463768115942</v>
      </c>
      <c r="L207" s="50">
        <f t="shared" si="50"/>
        <v>2</v>
      </c>
      <c r="M207" s="44">
        <f t="shared" si="48"/>
        <v>8300</v>
      </c>
      <c r="N207" s="44">
        <f t="shared" si="56"/>
        <v>455</v>
      </c>
      <c r="O207" s="159">
        <v>69</v>
      </c>
      <c r="P207" s="44">
        <f t="shared" si="51"/>
        <v>0.47246376811594204</v>
      </c>
      <c r="Q207" s="44">
        <f t="shared" si="54"/>
        <v>2</v>
      </c>
      <c r="R207" s="165" t="s">
        <v>342</v>
      </c>
      <c r="S207" s="50">
        <v>2</v>
      </c>
      <c r="T207" s="166" t="s">
        <v>340</v>
      </c>
      <c r="U207" s="53" t="s">
        <v>221</v>
      </c>
      <c r="V207" s="84">
        <v>45839</v>
      </c>
      <c r="W207" s="238"/>
      <c r="X207" s="239"/>
      <c r="Y207" s="238"/>
      <c r="Z207" s="239"/>
      <c r="AA207" s="240">
        <v>0</v>
      </c>
      <c r="AB207" s="107">
        <f t="shared" si="52"/>
        <v>0</v>
      </c>
      <c r="AC207" s="240">
        <v>0</v>
      </c>
      <c r="AD207" s="107">
        <f t="shared" si="53"/>
        <v>0</v>
      </c>
    </row>
    <row r="208" spans="2:30" x14ac:dyDescent="0.25">
      <c r="B208" s="311"/>
      <c r="C208" s="171">
        <v>67.2</v>
      </c>
      <c r="D208" s="44" t="s">
        <v>48</v>
      </c>
      <c r="E208" s="44" t="s">
        <v>26</v>
      </c>
      <c r="F208" s="154" t="s">
        <v>213</v>
      </c>
      <c r="G208" s="44">
        <v>9.1999999999999993</v>
      </c>
      <c r="H208" s="44">
        <f t="shared" si="49"/>
        <v>9200</v>
      </c>
      <c r="I208" s="44">
        <v>355</v>
      </c>
      <c r="J208" s="44">
        <v>101.6</v>
      </c>
      <c r="K208" s="44">
        <f t="shared" si="55"/>
        <v>1.472463768115942</v>
      </c>
      <c r="L208" s="50">
        <f t="shared" si="50"/>
        <v>2</v>
      </c>
      <c r="M208" s="44">
        <f t="shared" si="48"/>
        <v>9500</v>
      </c>
      <c r="N208" s="44">
        <f t="shared" si="56"/>
        <v>455</v>
      </c>
      <c r="O208" s="159">
        <v>69</v>
      </c>
      <c r="P208" s="44">
        <f t="shared" si="51"/>
        <v>0.47246376811594204</v>
      </c>
      <c r="Q208" s="44">
        <f t="shared" si="54"/>
        <v>2</v>
      </c>
      <c r="R208" s="165" t="s">
        <v>342</v>
      </c>
      <c r="S208" s="50">
        <v>2</v>
      </c>
      <c r="T208" s="166" t="s">
        <v>340</v>
      </c>
      <c r="U208" s="53" t="s">
        <v>221</v>
      </c>
      <c r="V208" s="84">
        <v>45839</v>
      </c>
      <c r="W208" s="238"/>
      <c r="X208" s="239"/>
      <c r="Y208" s="238"/>
      <c r="Z208" s="239"/>
      <c r="AA208" s="240">
        <v>0</v>
      </c>
      <c r="AB208" s="107">
        <f t="shared" si="52"/>
        <v>0</v>
      </c>
      <c r="AC208" s="240">
        <v>0</v>
      </c>
      <c r="AD208" s="107">
        <f t="shared" si="53"/>
        <v>0</v>
      </c>
    </row>
    <row r="209" spans="2:30" x14ac:dyDescent="0.25">
      <c r="B209" s="311"/>
      <c r="C209" s="171">
        <v>67.3</v>
      </c>
      <c r="D209" s="44" t="s">
        <v>48</v>
      </c>
      <c r="E209" s="44" t="s">
        <v>52</v>
      </c>
      <c r="F209" s="154" t="s">
        <v>213</v>
      </c>
      <c r="G209" s="44">
        <v>8.6999999999999993</v>
      </c>
      <c r="H209" s="44">
        <f t="shared" si="49"/>
        <v>8700</v>
      </c>
      <c r="I209" s="44">
        <v>355</v>
      </c>
      <c r="J209" s="44">
        <v>101.6</v>
      </c>
      <c r="K209" s="44">
        <f t="shared" si="55"/>
        <v>1.472463768115942</v>
      </c>
      <c r="L209" s="50">
        <f t="shared" si="50"/>
        <v>2</v>
      </c>
      <c r="M209" s="44">
        <f t="shared" si="48"/>
        <v>9000</v>
      </c>
      <c r="N209" s="44">
        <f t="shared" si="56"/>
        <v>455</v>
      </c>
      <c r="O209" s="159">
        <v>69</v>
      </c>
      <c r="P209" s="44">
        <f t="shared" si="51"/>
        <v>0.47246376811594204</v>
      </c>
      <c r="Q209" s="44">
        <f t="shared" si="54"/>
        <v>2</v>
      </c>
      <c r="R209" s="165" t="s">
        <v>342</v>
      </c>
      <c r="S209" s="50">
        <v>2</v>
      </c>
      <c r="T209" s="166" t="s">
        <v>340</v>
      </c>
      <c r="U209" s="53" t="s">
        <v>221</v>
      </c>
      <c r="V209" s="84">
        <v>45839</v>
      </c>
      <c r="W209" s="238"/>
      <c r="X209" s="239"/>
      <c r="Y209" s="238"/>
      <c r="Z209" s="239"/>
      <c r="AA209" s="240">
        <v>0</v>
      </c>
      <c r="AB209" s="107">
        <f t="shared" si="52"/>
        <v>0</v>
      </c>
      <c r="AC209" s="240">
        <v>0</v>
      </c>
      <c r="AD209" s="107">
        <f t="shared" si="53"/>
        <v>0</v>
      </c>
    </row>
    <row r="210" spans="2:30" x14ac:dyDescent="0.25">
      <c r="B210" s="311"/>
      <c r="C210" s="171">
        <v>67.400000000000006</v>
      </c>
      <c r="D210" s="44" t="s">
        <v>48</v>
      </c>
      <c r="E210" s="44" t="s">
        <v>52</v>
      </c>
      <c r="F210" s="154" t="s">
        <v>213</v>
      </c>
      <c r="G210" s="44">
        <v>11.1</v>
      </c>
      <c r="H210" s="44">
        <f t="shared" si="49"/>
        <v>11100</v>
      </c>
      <c r="I210" s="44">
        <v>355</v>
      </c>
      <c r="J210" s="44">
        <v>101.6</v>
      </c>
      <c r="K210" s="44">
        <f t="shared" si="55"/>
        <v>1.472463768115942</v>
      </c>
      <c r="L210" s="50">
        <f t="shared" si="50"/>
        <v>2</v>
      </c>
      <c r="M210" s="44">
        <f t="shared" si="48"/>
        <v>11400</v>
      </c>
      <c r="N210" s="44">
        <f t="shared" si="56"/>
        <v>455</v>
      </c>
      <c r="O210" s="159">
        <v>69</v>
      </c>
      <c r="P210" s="44">
        <f t="shared" si="51"/>
        <v>0.47246376811594204</v>
      </c>
      <c r="Q210" s="44">
        <f t="shared" si="54"/>
        <v>2</v>
      </c>
      <c r="R210" s="165" t="s">
        <v>342</v>
      </c>
      <c r="S210" s="50">
        <v>2</v>
      </c>
      <c r="T210" s="166" t="s">
        <v>340</v>
      </c>
      <c r="U210" s="53" t="s">
        <v>221</v>
      </c>
      <c r="V210" s="84">
        <v>45839</v>
      </c>
      <c r="W210" s="238"/>
      <c r="X210" s="239"/>
      <c r="Y210" s="238"/>
      <c r="Z210" s="239"/>
      <c r="AA210" s="240">
        <v>0</v>
      </c>
      <c r="AB210" s="107">
        <f t="shared" si="52"/>
        <v>0</v>
      </c>
      <c r="AC210" s="240">
        <v>0</v>
      </c>
      <c r="AD210" s="107">
        <f t="shared" si="53"/>
        <v>0</v>
      </c>
    </row>
    <row r="211" spans="2:30" x14ac:dyDescent="0.25">
      <c r="B211" s="311"/>
      <c r="C211" s="171">
        <v>67.5</v>
      </c>
      <c r="D211" s="44" t="s">
        <v>48</v>
      </c>
      <c r="E211" s="44" t="s">
        <v>26</v>
      </c>
      <c r="F211" s="154" t="s">
        <v>213</v>
      </c>
      <c r="G211" s="44">
        <v>8.5</v>
      </c>
      <c r="H211" s="44">
        <f t="shared" si="49"/>
        <v>8500</v>
      </c>
      <c r="I211" s="44">
        <v>355</v>
      </c>
      <c r="J211" s="44">
        <v>101.6</v>
      </c>
      <c r="K211" s="44">
        <f t="shared" si="55"/>
        <v>1.472463768115942</v>
      </c>
      <c r="L211" s="50">
        <f t="shared" si="50"/>
        <v>2</v>
      </c>
      <c r="M211" s="44">
        <f t="shared" si="48"/>
        <v>8800</v>
      </c>
      <c r="N211" s="44">
        <f t="shared" si="56"/>
        <v>455</v>
      </c>
      <c r="O211" s="159">
        <v>69</v>
      </c>
      <c r="P211" s="44">
        <f t="shared" si="51"/>
        <v>0.47246376811594204</v>
      </c>
      <c r="Q211" s="44">
        <f t="shared" si="54"/>
        <v>2</v>
      </c>
      <c r="R211" s="165" t="s">
        <v>342</v>
      </c>
      <c r="S211" s="50">
        <v>2</v>
      </c>
      <c r="T211" s="166" t="s">
        <v>340</v>
      </c>
      <c r="U211" s="53" t="s">
        <v>221</v>
      </c>
      <c r="V211" s="84">
        <v>45839</v>
      </c>
      <c r="W211" s="238"/>
      <c r="X211" s="239"/>
      <c r="Y211" s="238"/>
      <c r="Z211" s="239"/>
      <c r="AA211" s="240">
        <v>0</v>
      </c>
      <c r="AB211" s="107">
        <f t="shared" si="52"/>
        <v>0</v>
      </c>
      <c r="AC211" s="240">
        <v>0</v>
      </c>
      <c r="AD211" s="107">
        <f t="shared" si="53"/>
        <v>0</v>
      </c>
    </row>
    <row r="212" spans="2:30" x14ac:dyDescent="0.25">
      <c r="B212" s="311"/>
      <c r="C212" s="171">
        <v>67.599999999999994</v>
      </c>
      <c r="D212" s="44" t="s">
        <v>48</v>
      </c>
      <c r="E212" s="44" t="s">
        <v>26</v>
      </c>
      <c r="F212" s="154" t="s">
        <v>213</v>
      </c>
      <c r="G212" s="44">
        <v>7.4</v>
      </c>
      <c r="H212" s="44">
        <f t="shared" si="49"/>
        <v>7400</v>
      </c>
      <c r="I212" s="44">
        <v>355</v>
      </c>
      <c r="J212" s="44">
        <v>101.6</v>
      </c>
      <c r="K212" s="44">
        <f t="shared" si="55"/>
        <v>1.472463768115942</v>
      </c>
      <c r="L212" s="50">
        <f t="shared" si="50"/>
        <v>2</v>
      </c>
      <c r="M212" s="44">
        <f t="shared" si="48"/>
        <v>7700</v>
      </c>
      <c r="N212" s="44">
        <f t="shared" si="56"/>
        <v>455</v>
      </c>
      <c r="O212" s="159">
        <v>69</v>
      </c>
      <c r="P212" s="44">
        <f t="shared" si="51"/>
        <v>0.47246376811594204</v>
      </c>
      <c r="Q212" s="44">
        <f t="shared" si="54"/>
        <v>2</v>
      </c>
      <c r="R212" s="165" t="s">
        <v>342</v>
      </c>
      <c r="S212" s="50">
        <v>2</v>
      </c>
      <c r="T212" s="166" t="s">
        <v>340</v>
      </c>
      <c r="U212" s="53" t="s">
        <v>221</v>
      </c>
      <c r="V212" s="84">
        <v>45839</v>
      </c>
      <c r="W212" s="238"/>
      <c r="X212" s="239"/>
      <c r="Y212" s="238"/>
      <c r="Z212" s="239"/>
      <c r="AA212" s="240">
        <v>0</v>
      </c>
      <c r="AB212" s="107">
        <f t="shared" si="52"/>
        <v>0</v>
      </c>
      <c r="AC212" s="240">
        <v>0</v>
      </c>
      <c r="AD212" s="107">
        <f t="shared" si="53"/>
        <v>0</v>
      </c>
    </row>
    <row r="213" spans="2:30" x14ac:dyDescent="0.25">
      <c r="B213" s="311"/>
      <c r="C213" s="171">
        <v>68.3</v>
      </c>
      <c r="D213" s="44" t="s">
        <v>48</v>
      </c>
      <c r="E213" s="44" t="s">
        <v>52</v>
      </c>
      <c r="F213" s="154" t="s">
        <v>212</v>
      </c>
      <c r="G213" s="44">
        <v>3.5</v>
      </c>
      <c r="H213" s="44">
        <f t="shared" si="49"/>
        <v>3500</v>
      </c>
      <c r="I213" s="44">
        <v>203.2</v>
      </c>
      <c r="J213" s="44">
        <v>76.2</v>
      </c>
      <c r="K213" s="44">
        <f t="shared" si="55"/>
        <v>1.1043478260869566</v>
      </c>
      <c r="L213" s="50">
        <f t="shared" si="50"/>
        <v>2</v>
      </c>
      <c r="M213" s="44">
        <f t="shared" si="48"/>
        <v>3800</v>
      </c>
      <c r="N213" s="44">
        <f t="shared" si="56"/>
        <v>303.2</v>
      </c>
      <c r="O213" s="159">
        <v>69</v>
      </c>
      <c r="P213" s="44">
        <f t="shared" si="51"/>
        <v>0.10434782608695659</v>
      </c>
      <c r="Q213" s="44">
        <f t="shared" si="54"/>
        <v>2</v>
      </c>
      <c r="R213" s="162" t="s">
        <v>341</v>
      </c>
      <c r="S213" s="50">
        <v>2</v>
      </c>
      <c r="T213" s="161" t="s">
        <v>339</v>
      </c>
      <c r="U213" s="53" t="s">
        <v>221</v>
      </c>
      <c r="V213" s="84">
        <v>45839</v>
      </c>
      <c r="W213" s="238"/>
      <c r="X213" s="239"/>
      <c r="Y213" s="238"/>
      <c r="Z213" s="239"/>
      <c r="AA213" s="240">
        <v>0</v>
      </c>
      <c r="AB213" s="107">
        <f t="shared" si="52"/>
        <v>0</v>
      </c>
      <c r="AC213" s="240">
        <v>0</v>
      </c>
      <c r="AD213" s="107">
        <f t="shared" si="53"/>
        <v>0</v>
      </c>
    </row>
    <row r="214" spans="2:30" x14ac:dyDescent="0.25">
      <c r="B214" s="311"/>
      <c r="C214" s="171">
        <v>68.400000000000006</v>
      </c>
      <c r="D214" s="44" t="s">
        <v>48</v>
      </c>
      <c r="E214" s="44" t="s">
        <v>52</v>
      </c>
      <c r="F214" s="154" t="s">
        <v>212</v>
      </c>
      <c r="G214" s="44">
        <v>2.2000000000000002</v>
      </c>
      <c r="H214" s="44">
        <f t="shared" si="49"/>
        <v>2200</v>
      </c>
      <c r="I214" s="44">
        <v>285</v>
      </c>
      <c r="J214" s="44">
        <v>76.2</v>
      </c>
      <c r="K214" s="44">
        <f t="shared" si="55"/>
        <v>1.1043478260869566</v>
      </c>
      <c r="L214" s="50">
        <f t="shared" si="50"/>
        <v>2</v>
      </c>
      <c r="M214" s="44">
        <f t="shared" si="48"/>
        <v>2500</v>
      </c>
      <c r="N214" s="44">
        <f t="shared" si="56"/>
        <v>385</v>
      </c>
      <c r="O214" s="159">
        <v>69</v>
      </c>
      <c r="P214" s="44">
        <f t="shared" si="51"/>
        <v>0.10434782608695659</v>
      </c>
      <c r="Q214" s="44">
        <f t="shared" si="54"/>
        <v>2</v>
      </c>
      <c r="R214" s="162" t="s">
        <v>341</v>
      </c>
      <c r="S214" s="50">
        <v>2</v>
      </c>
      <c r="T214" s="161" t="s">
        <v>339</v>
      </c>
      <c r="U214" s="53" t="s">
        <v>221</v>
      </c>
      <c r="V214" s="84">
        <v>45839</v>
      </c>
      <c r="W214" s="238"/>
      <c r="X214" s="239"/>
      <c r="Y214" s="238"/>
      <c r="Z214" s="239"/>
      <c r="AA214" s="240">
        <v>0</v>
      </c>
      <c r="AB214" s="107">
        <f t="shared" si="52"/>
        <v>0</v>
      </c>
      <c r="AC214" s="240">
        <v>0</v>
      </c>
      <c r="AD214" s="107">
        <f t="shared" si="53"/>
        <v>0</v>
      </c>
    </row>
    <row r="215" spans="2:30" x14ac:dyDescent="0.25">
      <c r="B215" s="311"/>
      <c r="C215" s="171">
        <v>68.5</v>
      </c>
      <c r="D215" s="44" t="s">
        <v>48</v>
      </c>
      <c r="E215" s="44" t="s">
        <v>26</v>
      </c>
      <c r="F215" s="154" t="s">
        <v>213</v>
      </c>
      <c r="G215" s="44">
        <v>7.4</v>
      </c>
      <c r="H215" s="44">
        <f t="shared" si="49"/>
        <v>7400</v>
      </c>
      <c r="I215" s="44">
        <v>285</v>
      </c>
      <c r="J215" s="44">
        <v>76.2</v>
      </c>
      <c r="K215" s="44">
        <f t="shared" si="55"/>
        <v>1.1043478260869566</v>
      </c>
      <c r="L215" s="50">
        <f t="shared" si="50"/>
        <v>2</v>
      </c>
      <c r="M215" s="44">
        <f t="shared" si="48"/>
        <v>7700</v>
      </c>
      <c r="N215" s="44">
        <f t="shared" si="56"/>
        <v>385</v>
      </c>
      <c r="O215" s="159">
        <v>69</v>
      </c>
      <c r="P215" s="44">
        <f t="shared" si="51"/>
        <v>0.10434782608695659</v>
      </c>
      <c r="Q215" s="44">
        <f t="shared" si="54"/>
        <v>2</v>
      </c>
      <c r="R215" s="165" t="s">
        <v>342</v>
      </c>
      <c r="S215" s="50">
        <v>2</v>
      </c>
      <c r="T215" s="166" t="s">
        <v>340</v>
      </c>
      <c r="U215" s="53" t="s">
        <v>221</v>
      </c>
      <c r="V215" s="84">
        <v>45839</v>
      </c>
      <c r="W215" s="238"/>
      <c r="X215" s="239"/>
      <c r="Y215" s="238"/>
      <c r="Z215" s="239"/>
      <c r="AA215" s="240">
        <v>0</v>
      </c>
      <c r="AB215" s="107">
        <f t="shared" si="52"/>
        <v>0</v>
      </c>
      <c r="AC215" s="240">
        <v>0</v>
      </c>
      <c r="AD215" s="107">
        <f t="shared" si="53"/>
        <v>0</v>
      </c>
    </row>
    <row r="216" spans="2:30" ht="15" customHeight="1" x14ac:dyDescent="0.25">
      <c r="B216" s="311"/>
      <c r="C216" s="171">
        <v>68.599999999999994</v>
      </c>
      <c r="D216" s="44" t="s">
        <v>48</v>
      </c>
      <c r="E216" s="44" t="s">
        <v>64</v>
      </c>
      <c r="F216" s="154" t="s">
        <v>213</v>
      </c>
      <c r="G216" s="44">
        <v>6.8</v>
      </c>
      <c r="H216" s="44">
        <f t="shared" si="49"/>
        <v>6800</v>
      </c>
      <c r="I216" s="44">
        <v>310</v>
      </c>
      <c r="J216" s="44">
        <v>76.2</v>
      </c>
      <c r="K216" s="44">
        <f t="shared" si="55"/>
        <v>1.1043478260869566</v>
      </c>
      <c r="L216" s="50">
        <f t="shared" si="50"/>
        <v>2</v>
      </c>
      <c r="M216" s="44">
        <f t="shared" si="48"/>
        <v>7100</v>
      </c>
      <c r="N216" s="44">
        <f t="shared" si="56"/>
        <v>410</v>
      </c>
      <c r="O216" s="159">
        <v>69</v>
      </c>
      <c r="P216" s="44">
        <f t="shared" si="51"/>
        <v>0.10434782608695659</v>
      </c>
      <c r="Q216" s="44">
        <f t="shared" si="54"/>
        <v>2</v>
      </c>
      <c r="R216" s="165" t="s">
        <v>342</v>
      </c>
      <c r="S216" s="50">
        <v>2</v>
      </c>
      <c r="T216" s="166" t="s">
        <v>340</v>
      </c>
      <c r="U216" s="53" t="s">
        <v>221</v>
      </c>
      <c r="V216" s="84">
        <v>45839</v>
      </c>
      <c r="W216" s="238"/>
      <c r="X216" s="239"/>
      <c r="Y216" s="238"/>
      <c r="Z216" s="239"/>
      <c r="AA216" s="240">
        <v>0</v>
      </c>
      <c r="AB216" s="107">
        <f t="shared" si="52"/>
        <v>0</v>
      </c>
      <c r="AC216" s="240">
        <v>0</v>
      </c>
      <c r="AD216" s="107">
        <f t="shared" si="53"/>
        <v>0</v>
      </c>
    </row>
    <row r="217" spans="2:30" x14ac:dyDescent="0.25">
      <c r="B217" s="311"/>
      <c r="C217" s="171">
        <v>68.7</v>
      </c>
      <c r="D217" s="44" t="s">
        <v>48</v>
      </c>
      <c r="E217" s="44" t="s">
        <v>26</v>
      </c>
      <c r="F217" s="154" t="s">
        <v>212</v>
      </c>
      <c r="G217" s="44">
        <v>4.4000000000000004</v>
      </c>
      <c r="H217" s="44">
        <f t="shared" si="49"/>
        <v>4400</v>
      </c>
      <c r="I217" s="44">
        <v>265</v>
      </c>
      <c r="J217" s="44">
        <v>76.2</v>
      </c>
      <c r="K217" s="44">
        <f t="shared" si="55"/>
        <v>1.1043478260869566</v>
      </c>
      <c r="L217" s="50">
        <f t="shared" si="50"/>
        <v>2</v>
      </c>
      <c r="M217" s="44">
        <f t="shared" si="48"/>
        <v>4700</v>
      </c>
      <c r="N217" s="44">
        <f t="shared" si="56"/>
        <v>365</v>
      </c>
      <c r="O217" s="159">
        <v>69</v>
      </c>
      <c r="P217" s="44">
        <f t="shared" si="51"/>
        <v>0.10434782608695659</v>
      </c>
      <c r="Q217" s="44">
        <f t="shared" si="54"/>
        <v>2</v>
      </c>
      <c r="R217" s="162" t="s">
        <v>341</v>
      </c>
      <c r="S217" s="50">
        <v>2</v>
      </c>
      <c r="T217" s="161" t="s">
        <v>339</v>
      </c>
      <c r="U217" s="53" t="s">
        <v>221</v>
      </c>
      <c r="V217" s="84">
        <v>45839</v>
      </c>
      <c r="W217" s="238"/>
      <c r="X217" s="239"/>
      <c r="Y217" s="238"/>
      <c r="Z217" s="239"/>
      <c r="AA217" s="240">
        <v>0</v>
      </c>
      <c r="AB217" s="107">
        <f t="shared" si="52"/>
        <v>0</v>
      </c>
      <c r="AC217" s="240">
        <v>0</v>
      </c>
      <c r="AD217" s="107">
        <f t="shared" si="53"/>
        <v>0</v>
      </c>
    </row>
    <row r="218" spans="2:30" s="66" customFormat="1" ht="15.75" thickBot="1" x14ac:dyDescent="0.3">
      <c r="B218" s="313"/>
      <c r="C218" s="185" t="s">
        <v>263</v>
      </c>
      <c r="D218" s="179"/>
      <c r="E218" s="179"/>
      <c r="F218" s="179"/>
      <c r="G218" s="179"/>
      <c r="H218" s="179"/>
      <c r="I218" s="179"/>
      <c r="J218" s="179"/>
      <c r="K218" s="179"/>
      <c r="L218" s="179"/>
      <c r="M218" s="179"/>
      <c r="N218" s="179"/>
      <c r="O218" s="179"/>
      <c r="P218" s="179"/>
      <c r="Q218" s="179">
        <f>SUM(Q196:Q217)</f>
        <v>44</v>
      </c>
      <c r="R218" s="179"/>
      <c r="S218" s="180">
        <f>SUM(S196:S217)</f>
        <v>44</v>
      </c>
      <c r="T218" s="180"/>
      <c r="U218" s="180"/>
      <c r="V218" s="181"/>
      <c r="W218" s="181"/>
      <c r="X218" s="182"/>
      <c r="Y218" s="181"/>
      <c r="Z218" s="182"/>
      <c r="AA218" s="181"/>
      <c r="AB218" s="183">
        <f>SUM(AB196:AB217)</f>
        <v>0</v>
      </c>
      <c r="AC218" s="181"/>
      <c r="AD218" s="184">
        <f>SUM(AD196:AD217)</f>
        <v>0</v>
      </c>
    </row>
    <row r="219" spans="2:30" ht="15" customHeight="1" x14ac:dyDescent="0.25">
      <c r="B219" s="310" t="s">
        <v>352</v>
      </c>
      <c r="C219" s="171">
        <v>69.3</v>
      </c>
      <c r="D219" s="44" t="s">
        <v>48</v>
      </c>
      <c r="E219" s="44" t="s">
        <v>52</v>
      </c>
      <c r="F219" s="154" t="s">
        <v>213</v>
      </c>
      <c r="G219" s="44">
        <v>5.8</v>
      </c>
      <c r="H219" s="44">
        <f t="shared" ref="H219:H231" si="57">CONVERT(G219,"m","mm")</f>
        <v>5800</v>
      </c>
      <c r="I219" s="44">
        <v>203.2</v>
      </c>
      <c r="J219" s="44">
        <v>76.2</v>
      </c>
      <c r="K219" s="44">
        <f t="shared" si="55"/>
        <v>1.1043478260869566</v>
      </c>
      <c r="L219" s="50">
        <f t="shared" ref="L219:L231" si="58">ROUNDUP(K219,0)</f>
        <v>2</v>
      </c>
      <c r="M219" s="44">
        <f t="shared" si="48"/>
        <v>6100</v>
      </c>
      <c r="N219" s="44">
        <f t="shared" si="56"/>
        <v>303.2</v>
      </c>
      <c r="O219" s="44">
        <v>69</v>
      </c>
      <c r="P219" s="44">
        <f t="shared" ref="P219:P231" si="59">(K219-1)</f>
        <v>0.10434782608695659</v>
      </c>
      <c r="Q219" s="44">
        <f>(L219-1)*2</f>
        <v>2</v>
      </c>
      <c r="R219" s="165" t="s">
        <v>342</v>
      </c>
      <c r="S219" s="50">
        <v>2</v>
      </c>
      <c r="T219" s="166" t="s">
        <v>340</v>
      </c>
      <c r="U219" s="53" t="s">
        <v>221</v>
      </c>
      <c r="V219" s="84">
        <v>45931</v>
      </c>
      <c r="W219" s="238"/>
      <c r="X219" s="239"/>
      <c r="Y219" s="238"/>
      <c r="Z219" s="239"/>
      <c r="AA219" s="240">
        <v>0</v>
      </c>
      <c r="AB219" s="107">
        <f t="shared" ref="AB219:AB231" si="60">(AA219*Q219)</f>
        <v>0</v>
      </c>
      <c r="AC219" s="240">
        <v>0</v>
      </c>
      <c r="AD219" s="107">
        <f t="shared" ref="AD219:AD231" si="61">(AC219*S219)</f>
        <v>0</v>
      </c>
    </row>
    <row r="220" spans="2:30" x14ac:dyDescent="0.25">
      <c r="B220" s="311"/>
      <c r="C220" s="171">
        <v>69.400000000000006</v>
      </c>
      <c r="D220" s="44" t="s">
        <v>48</v>
      </c>
      <c r="E220" s="44" t="s">
        <v>52</v>
      </c>
      <c r="F220" s="154" t="s">
        <v>213</v>
      </c>
      <c r="G220" s="44">
        <v>5.8</v>
      </c>
      <c r="H220" s="44">
        <f t="shared" si="57"/>
        <v>5800</v>
      </c>
      <c r="I220" s="44">
        <v>285</v>
      </c>
      <c r="J220" s="44">
        <v>76.2</v>
      </c>
      <c r="K220" s="44">
        <f t="shared" si="55"/>
        <v>1.1043478260869566</v>
      </c>
      <c r="L220" s="50">
        <f t="shared" si="58"/>
        <v>2</v>
      </c>
      <c r="M220" s="44">
        <f t="shared" si="48"/>
        <v>6100</v>
      </c>
      <c r="N220" s="44">
        <f t="shared" si="56"/>
        <v>385</v>
      </c>
      <c r="O220" s="159">
        <v>69</v>
      </c>
      <c r="P220" s="44">
        <f t="shared" si="59"/>
        <v>0.10434782608695659</v>
      </c>
      <c r="Q220" s="44">
        <f t="shared" ref="Q220:Q231" si="62">(L220-1)*2</f>
        <v>2</v>
      </c>
      <c r="R220" s="165" t="s">
        <v>342</v>
      </c>
      <c r="S220" s="50">
        <v>2</v>
      </c>
      <c r="T220" s="166" t="s">
        <v>340</v>
      </c>
      <c r="U220" s="53" t="s">
        <v>221</v>
      </c>
      <c r="V220" s="84">
        <v>45931</v>
      </c>
      <c r="W220" s="238"/>
      <c r="X220" s="239"/>
      <c r="Y220" s="238"/>
      <c r="Z220" s="239"/>
      <c r="AA220" s="240">
        <v>0</v>
      </c>
      <c r="AB220" s="107">
        <f t="shared" si="60"/>
        <v>0</v>
      </c>
      <c r="AC220" s="240">
        <v>0</v>
      </c>
      <c r="AD220" s="107">
        <f t="shared" si="61"/>
        <v>0</v>
      </c>
    </row>
    <row r="221" spans="2:30" x14ac:dyDescent="0.25">
      <c r="B221" s="311"/>
      <c r="C221" s="171">
        <v>69.5</v>
      </c>
      <c r="D221" s="44" t="s">
        <v>48</v>
      </c>
      <c r="E221" s="44" t="s">
        <v>26</v>
      </c>
      <c r="F221" s="154" t="s">
        <v>213</v>
      </c>
      <c r="G221" s="44">
        <v>7.4</v>
      </c>
      <c r="H221" s="44">
        <f t="shared" si="57"/>
        <v>7400</v>
      </c>
      <c r="I221" s="44">
        <v>280</v>
      </c>
      <c r="J221" s="44">
        <v>76.2</v>
      </c>
      <c r="K221" s="44">
        <f t="shared" si="55"/>
        <v>1.1043478260869566</v>
      </c>
      <c r="L221" s="50">
        <f t="shared" si="58"/>
        <v>2</v>
      </c>
      <c r="M221" s="44">
        <f t="shared" si="48"/>
        <v>7700</v>
      </c>
      <c r="N221" s="44">
        <f t="shared" si="56"/>
        <v>380</v>
      </c>
      <c r="O221" s="159">
        <v>69</v>
      </c>
      <c r="P221" s="44">
        <f t="shared" si="59"/>
        <v>0.10434782608695659</v>
      </c>
      <c r="Q221" s="44">
        <f t="shared" si="62"/>
        <v>2</v>
      </c>
      <c r="R221" s="165" t="s">
        <v>342</v>
      </c>
      <c r="S221" s="50">
        <v>2</v>
      </c>
      <c r="T221" s="166" t="s">
        <v>340</v>
      </c>
      <c r="U221" s="53" t="s">
        <v>221</v>
      </c>
      <c r="V221" s="84">
        <v>45931</v>
      </c>
      <c r="W221" s="238"/>
      <c r="X221" s="239"/>
      <c r="Y221" s="238"/>
      <c r="Z221" s="239"/>
      <c r="AA221" s="240"/>
      <c r="AB221" s="107">
        <f t="shared" si="60"/>
        <v>0</v>
      </c>
      <c r="AC221" s="240"/>
      <c r="AD221" s="107">
        <f t="shared" si="61"/>
        <v>0</v>
      </c>
    </row>
    <row r="222" spans="2:30" x14ac:dyDescent="0.25">
      <c r="B222" s="311"/>
      <c r="C222" s="171">
        <v>69.599999999999994</v>
      </c>
      <c r="D222" s="44" t="s">
        <v>48</v>
      </c>
      <c r="E222" s="44" t="s">
        <v>26</v>
      </c>
      <c r="F222" s="154" t="s">
        <v>212</v>
      </c>
      <c r="G222" s="44">
        <v>2.5</v>
      </c>
      <c r="H222" s="44">
        <f t="shared" si="57"/>
        <v>2500</v>
      </c>
      <c r="I222" s="44">
        <v>265</v>
      </c>
      <c r="J222" s="44">
        <v>76.2</v>
      </c>
      <c r="K222" s="44">
        <f t="shared" si="55"/>
        <v>1.1043478260869566</v>
      </c>
      <c r="L222" s="50">
        <f t="shared" si="58"/>
        <v>2</v>
      </c>
      <c r="M222" s="44">
        <f t="shared" si="48"/>
        <v>2800</v>
      </c>
      <c r="N222" s="44">
        <f t="shared" si="56"/>
        <v>365</v>
      </c>
      <c r="O222" s="159">
        <v>69</v>
      </c>
      <c r="P222" s="44">
        <f t="shared" si="59"/>
        <v>0.10434782608695659</v>
      </c>
      <c r="Q222" s="44">
        <f t="shared" si="62"/>
        <v>2</v>
      </c>
      <c r="R222" s="162" t="s">
        <v>341</v>
      </c>
      <c r="S222" s="50">
        <v>2</v>
      </c>
      <c r="T222" s="161" t="s">
        <v>339</v>
      </c>
      <c r="U222" s="53" t="s">
        <v>221</v>
      </c>
      <c r="V222" s="84">
        <v>45931</v>
      </c>
      <c r="W222" s="238"/>
      <c r="X222" s="239"/>
      <c r="Y222" s="238"/>
      <c r="Z222" s="239"/>
      <c r="AA222" s="240">
        <v>0</v>
      </c>
      <c r="AB222" s="107">
        <f t="shared" si="60"/>
        <v>0</v>
      </c>
      <c r="AC222" s="240">
        <v>0</v>
      </c>
      <c r="AD222" s="107">
        <f t="shared" si="61"/>
        <v>0</v>
      </c>
    </row>
    <row r="223" spans="2:30" x14ac:dyDescent="0.25">
      <c r="B223" s="311"/>
      <c r="C223" s="171">
        <v>70.099999999999994</v>
      </c>
      <c r="D223" s="44" t="s">
        <v>48</v>
      </c>
      <c r="E223" s="44" t="s">
        <v>52</v>
      </c>
      <c r="F223" s="154" t="s">
        <v>213</v>
      </c>
      <c r="G223" s="44">
        <v>6.6</v>
      </c>
      <c r="H223" s="44">
        <f t="shared" si="57"/>
        <v>6600</v>
      </c>
      <c r="I223" s="44">
        <v>285</v>
      </c>
      <c r="J223" s="44">
        <v>76.2</v>
      </c>
      <c r="K223" s="44">
        <f t="shared" si="55"/>
        <v>1.1043478260869566</v>
      </c>
      <c r="L223" s="50">
        <f t="shared" si="58"/>
        <v>2</v>
      </c>
      <c r="M223" s="44">
        <f t="shared" si="48"/>
        <v>6900</v>
      </c>
      <c r="N223" s="44">
        <f t="shared" si="56"/>
        <v>385</v>
      </c>
      <c r="O223" s="159">
        <v>69</v>
      </c>
      <c r="P223" s="44">
        <f t="shared" si="59"/>
        <v>0.10434782608695659</v>
      </c>
      <c r="Q223" s="44">
        <f t="shared" si="62"/>
        <v>2</v>
      </c>
      <c r="R223" s="165" t="s">
        <v>342</v>
      </c>
      <c r="S223" s="50">
        <v>2</v>
      </c>
      <c r="T223" s="166" t="s">
        <v>340</v>
      </c>
      <c r="U223" s="53" t="s">
        <v>221</v>
      </c>
      <c r="V223" s="84">
        <v>45931</v>
      </c>
      <c r="W223" s="238"/>
      <c r="X223" s="239"/>
      <c r="Y223" s="238"/>
      <c r="Z223" s="239"/>
      <c r="AA223" s="240">
        <v>0</v>
      </c>
      <c r="AB223" s="107">
        <f t="shared" si="60"/>
        <v>0</v>
      </c>
      <c r="AC223" s="240">
        <v>0</v>
      </c>
      <c r="AD223" s="107">
        <f t="shared" si="61"/>
        <v>0</v>
      </c>
    </row>
    <row r="224" spans="2:30" x14ac:dyDescent="0.25">
      <c r="B224" s="311"/>
      <c r="C224" s="171">
        <v>70.2</v>
      </c>
      <c r="D224" s="44" t="s">
        <v>48</v>
      </c>
      <c r="E224" s="44" t="s">
        <v>52</v>
      </c>
      <c r="F224" s="154" t="s">
        <v>212</v>
      </c>
      <c r="G224" s="44">
        <v>2.7</v>
      </c>
      <c r="H224" s="44">
        <f t="shared" si="57"/>
        <v>2700</v>
      </c>
      <c r="I224" s="44">
        <v>280</v>
      </c>
      <c r="J224" s="44">
        <v>76.2</v>
      </c>
      <c r="K224" s="44">
        <f t="shared" si="55"/>
        <v>1.1043478260869566</v>
      </c>
      <c r="L224" s="50">
        <f t="shared" si="58"/>
        <v>2</v>
      </c>
      <c r="M224" s="44">
        <f t="shared" si="48"/>
        <v>3000</v>
      </c>
      <c r="N224" s="44">
        <f t="shared" si="56"/>
        <v>380</v>
      </c>
      <c r="O224" s="159">
        <v>69</v>
      </c>
      <c r="P224" s="44">
        <f t="shared" si="59"/>
        <v>0.10434782608695659</v>
      </c>
      <c r="Q224" s="44">
        <f t="shared" si="62"/>
        <v>2</v>
      </c>
      <c r="R224" s="162" t="s">
        <v>341</v>
      </c>
      <c r="S224" s="50">
        <v>2</v>
      </c>
      <c r="T224" s="161" t="s">
        <v>339</v>
      </c>
      <c r="U224" s="53" t="s">
        <v>221</v>
      </c>
      <c r="V224" s="84">
        <v>45931</v>
      </c>
      <c r="W224" s="238"/>
      <c r="X224" s="239"/>
      <c r="Y224" s="238"/>
      <c r="Z224" s="239"/>
      <c r="AA224" s="240">
        <v>0</v>
      </c>
      <c r="AB224" s="107">
        <f t="shared" si="60"/>
        <v>0</v>
      </c>
      <c r="AC224" s="240">
        <v>0</v>
      </c>
      <c r="AD224" s="107">
        <f t="shared" si="61"/>
        <v>0</v>
      </c>
    </row>
    <row r="225" spans="2:30" x14ac:dyDescent="0.25">
      <c r="B225" s="311"/>
      <c r="C225" s="171">
        <v>70.3</v>
      </c>
      <c r="D225" s="44" t="s">
        <v>48</v>
      </c>
      <c r="E225" s="44" t="s">
        <v>26</v>
      </c>
      <c r="F225" s="154" t="s">
        <v>212</v>
      </c>
      <c r="G225" s="44">
        <v>2.4</v>
      </c>
      <c r="H225" s="44">
        <f t="shared" si="57"/>
        <v>2400</v>
      </c>
      <c r="I225" s="44">
        <v>275</v>
      </c>
      <c r="J225" s="44">
        <v>76.2</v>
      </c>
      <c r="K225" s="44">
        <f t="shared" si="55"/>
        <v>1.1043478260869566</v>
      </c>
      <c r="L225" s="50">
        <f t="shared" si="58"/>
        <v>2</v>
      </c>
      <c r="M225" s="44">
        <f t="shared" si="48"/>
        <v>2700</v>
      </c>
      <c r="N225" s="44">
        <f t="shared" si="56"/>
        <v>375</v>
      </c>
      <c r="O225" s="159">
        <v>69</v>
      </c>
      <c r="P225" s="44">
        <f t="shared" si="59"/>
        <v>0.10434782608695659</v>
      </c>
      <c r="Q225" s="44">
        <f t="shared" si="62"/>
        <v>2</v>
      </c>
      <c r="R225" s="162" t="s">
        <v>341</v>
      </c>
      <c r="S225" s="50">
        <v>2</v>
      </c>
      <c r="T225" s="161" t="s">
        <v>339</v>
      </c>
      <c r="U225" s="53" t="s">
        <v>221</v>
      </c>
      <c r="V225" s="84">
        <v>45931</v>
      </c>
      <c r="W225" s="238"/>
      <c r="X225" s="239"/>
      <c r="Y225" s="238"/>
      <c r="Z225" s="239"/>
      <c r="AA225" s="240">
        <v>0</v>
      </c>
      <c r="AB225" s="107">
        <f t="shared" si="60"/>
        <v>0</v>
      </c>
      <c r="AC225" s="240">
        <v>0</v>
      </c>
      <c r="AD225" s="107">
        <f t="shared" si="61"/>
        <v>0</v>
      </c>
    </row>
    <row r="226" spans="2:30" x14ac:dyDescent="0.25">
      <c r="B226" s="311"/>
      <c r="C226" s="171">
        <v>70.400000000000006</v>
      </c>
      <c r="D226" s="44" t="s">
        <v>48</v>
      </c>
      <c r="E226" s="44" t="s">
        <v>26</v>
      </c>
      <c r="F226" s="154" t="s">
        <v>212</v>
      </c>
      <c r="G226" s="44">
        <v>2.5</v>
      </c>
      <c r="H226" s="44">
        <f t="shared" si="57"/>
        <v>2500</v>
      </c>
      <c r="I226" s="44">
        <v>265</v>
      </c>
      <c r="J226" s="44">
        <v>76.2</v>
      </c>
      <c r="K226" s="44">
        <f t="shared" si="55"/>
        <v>1.1043478260869566</v>
      </c>
      <c r="L226" s="50">
        <f t="shared" si="58"/>
        <v>2</v>
      </c>
      <c r="M226" s="44">
        <f t="shared" si="48"/>
        <v>2800</v>
      </c>
      <c r="N226" s="44">
        <f t="shared" si="56"/>
        <v>365</v>
      </c>
      <c r="O226" s="159">
        <v>69</v>
      </c>
      <c r="P226" s="44">
        <f t="shared" si="59"/>
        <v>0.10434782608695659</v>
      </c>
      <c r="Q226" s="44">
        <f t="shared" si="62"/>
        <v>2</v>
      </c>
      <c r="R226" s="162" t="s">
        <v>341</v>
      </c>
      <c r="S226" s="50">
        <v>2</v>
      </c>
      <c r="T226" s="161" t="s">
        <v>339</v>
      </c>
      <c r="U226" s="53" t="s">
        <v>221</v>
      </c>
      <c r="V226" s="84">
        <v>45931</v>
      </c>
      <c r="W226" s="238"/>
      <c r="X226" s="239"/>
      <c r="Y226" s="238"/>
      <c r="Z226" s="239"/>
      <c r="AA226" s="240">
        <v>0</v>
      </c>
      <c r="AB226" s="107">
        <f t="shared" si="60"/>
        <v>0</v>
      </c>
      <c r="AC226" s="240">
        <v>0</v>
      </c>
      <c r="AD226" s="107">
        <f t="shared" si="61"/>
        <v>0</v>
      </c>
    </row>
    <row r="227" spans="2:30" x14ac:dyDescent="0.25">
      <c r="B227" s="311"/>
      <c r="C227" s="171">
        <v>71.099999999999994</v>
      </c>
      <c r="D227" s="44" t="s">
        <v>48</v>
      </c>
      <c r="E227" s="44" t="s">
        <v>52</v>
      </c>
      <c r="F227" s="154" t="s">
        <v>212</v>
      </c>
      <c r="G227" s="44">
        <v>2</v>
      </c>
      <c r="H227" s="44">
        <f t="shared" si="57"/>
        <v>2000</v>
      </c>
      <c r="I227" s="44">
        <v>285</v>
      </c>
      <c r="J227" s="44">
        <v>76.2</v>
      </c>
      <c r="K227" s="44">
        <f t="shared" si="55"/>
        <v>1.1043478260869566</v>
      </c>
      <c r="L227" s="50">
        <f t="shared" si="58"/>
        <v>2</v>
      </c>
      <c r="M227" s="44">
        <f t="shared" si="48"/>
        <v>2300</v>
      </c>
      <c r="N227" s="44">
        <f t="shared" si="56"/>
        <v>385</v>
      </c>
      <c r="O227" s="159">
        <v>69</v>
      </c>
      <c r="P227" s="44">
        <f t="shared" si="59"/>
        <v>0.10434782608695659</v>
      </c>
      <c r="Q227" s="44">
        <f t="shared" si="62"/>
        <v>2</v>
      </c>
      <c r="R227" s="162" t="s">
        <v>341</v>
      </c>
      <c r="S227" s="50">
        <v>2</v>
      </c>
      <c r="T227" s="161" t="s">
        <v>339</v>
      </c>
      <c r="U227" s="53" t="s">
        <v>221</v>
      </c>
      <c r="V227" s="84">
        <v>45931</v>
      </c>
      <c r="W227" s="238"/>
      <c r="X227" s="238"/>
      <c r="Y227" s="238"/>
      <c r="Z227" s="239"/>
      <c r="AA227" s="240">
        <v>0</v>
      </c>
      <c r="AB227" s="107">
        <f t="shared" si="60"/>
        <v>0</v>
      </c>
      <c r="AC227" s="240">
        <v>0</v>
      </c>
      <c r="AD227" s="107">
        <f t="shared" si="61"/>
        <v>0</v>
      </c>
    </row>
    <row r="228" spans="2:30" x14ac:dyDescent="0.25">
      <c r="B228" s="311"/>
      <c r="C228" s="171">
        <v>71.2</v>
      </c>
      <c r="D228" s="44" t="s">
        <v>48</v>
      </c>
      <c r="E228" s="44" t="s">
        <v>52</v>
      </c>
      <c r="F228" s="154" t="s">
        <v>212</v>
      </c>
      <c r="G228" s="44">
        <v>3</v>
      </c>
      <c r="H228" s="44">
        <f t="shared" si="57"/>
        <v>3000</v>
      </c>
      <c r="I228" s="44">
        <v>285</v>
      </c>
      <c r="J228" s="44">
        <v>76.2</v>
      </c>
      <c r="K228" s="44">
        <f t="shared" si="55"/>
        <v>1.1043478260869566</v>
      </c>
      <c r="L228" s="50">
        <f t="shared" si="58"/>
        <v>2</v>
      </c>
      <c r="M228" s="44">
        <f t="shared" si="48"/>
        <v>3300</v>
      </c>
      <c r="N228" s="44">
        <f t="shared" si="56"/>
        <v>385</v>
      </c>
      <c r="O228" s="159">
        <v>69</v>
      </c>
      <c r="P228" s="44">
        <f t="shared" si="59"/>
        <v>0.10434782608695659</v>
      </c>
      <c r="Q228" s="44">
        <f t="shared" si="62"/>
        <v>2</v>
      </c>
      <c r="R228" s="162" t="s">
        <v>341</v>
      </c>
      <c r="S228" s="50">
        <v>2</v>
      </c>
      <c r="T228" s="161" t="s">
        <v>339</v>
      </c>
      <c r="U228" s="53" t="s">
        <v>221</v>
      </c>
      <c r="V228" s="84">
        <v>45931</v>
      </c>
      <c r="W228" s="238"/>
      <c r="X228" s="239"/>
      <c r="Y228" s="238"/>
      <c r="Z228" s="239"/>
      <c r="AA228" s="240">
        <v>0</v>
      </c>
      <c r="AB228" s="107">
        <f t="shared" si="60"/>
        <v>0</v>
      </c>
      <c r="AC228" s="240">
        <v>0</v>
      </c>
      <c r="AD228" s="107">
        <f t="shared" si="61"/>
        <v>0</v>
      </c>
    </row>
    <row r="229" spans="2:30" x14ac:dyDescent="0.25">
      <c r="B229" s="311"/>
      <c r="C229" s="171">
        <v>71.3</v>
      </c>
      <c r="D229" s="44" t="s">
        <v>48</v>
      </c>
      <c r="E229" s="44" t="s">
        <v>52</v>
      </c>
      <c r="F229" s="154" t="s">
        <v>212</v>
      </c>
      <c r="G229" s="44">
        <v>2.7</v>
      </c>
      <c r="H229" s="44">
        <f t="shared" si="57"/>
        <v>2700</v>
      </c>
      <c r="I229" s="44">
        <v>280</v>
      </c>
      <c r="J229" s="44">
        <v>76.2</v>
      </c>
      <c r="K229" s="44">
        <f t="shared" si="55"/>
        <v>1.1043478260869566</v>
      </c>
      <c r="L229" s="50">
        <f t="shared" si="58"/>
        <v>2</v>
      </c>
      <c r="M229" s="44">
        <f t="shared" si="48"/>
        <v>3000</v>
      </c>
      <c r="N229" s="44">
        <f t="shared" si="56"/>
        <v>380</v>
      </c>
      <c r="O229" s="159">
        <v>69</v>
      </c>
      <c r="P229" s="44">
        <f t="shared" si="59"/>
        <v>0.10434782608695659</v>
      </c>
      <c r="Q229" s="44">
        <f t="shared" si="62"/>
        <v>2</v>
      </c>
      <c r="R229" s="162" t="s">
        <v>341</v>
      </c>
      <c r="S229" s="50">
        <v>2</v>
      </c>
      <c r="T229" s="161" t="s">
        <v>339</v>
      </c>
      <c r="U229" s="53" t="s">
        <v>221</v>
      </c>
      <c r="V229" s="84">
        <v>45931</v>
      </c>
      <c r="W229" s="238"/>
      <c r="X229" s="239"/>
      <c r="Y229" s="238"/>
      <c r="Z229" s="239"/>
      <c r="AA229" s="240">
        <v>0</v>
      </c>
      <c r="AB229" s="107">
        <f t="shared" si="60"/>
        <v>0</v>
      </c>
      <c r="AC229" s="240">
        <v>0</v>
      </c>
      <c r="AD229" s="107">
        <f t="shared" si="61"/>
        <v>0</v>
      </c>
    </row>
    <row r="230" spans="2:30" x14ac:dyDescent="0.25">
      <c r="B230" s="311"/>
      <c r="C230" s="171">
        <v>71.400000000000006</v>
      </c>
      <c r="D230" s="44" t="s">
        <v>48</v>
      </c>
      <c r="E230" s="44" t="s">
        <v>26</v>
      </c>
      <c r="F230" s="154" t="s">
        <v>212</v>
      </c>
      <c r="G230" s="44">
        <v>2.4</v>
      </c>
      <c r="H230" s="44">
        <f t="shared" si="57"/>
        <v>2400</v>
      </c>
      <c r="I230" s="44">
        <v>275</v>
      </c>
      <c r="J230" s="44">
        <v>76.2</v>
      </c>
      <c r="K230" s="44">
        <f t="shared" si="55"/>
        <v>1.1043478260869566</v>
      </c>
      <c r="L230" s="50">
        <f t="shared" si="58"/>
        <v>2</v>
      </c>
      <c r="M230" s="44">
        <f t="shared" si="48"/>
        <v>2700</v>
      </c>
      <c r="N230" s="44">
        <f t="shared" si="56"/>
        <v>375</v>
      </c>
      <c r="O230" s="159">
        <v>69</v>
      </c>
      <c r="P230" s="44">
        <f t="shared" si="59"/>
        <v>0.10434782608695659</v>
      </c>
      <c r="Q230" s="44">
        <f t="shared" si="62"/>
        <v>2</v>
      </c>
      <c r="R230" s="162" t="s">
        <v>341</v>
      </c>
      <c r="S230" s="50">
        <v>2</v>
      </c>
      <c r="T230" s="161" t="s">
        <v>339</v>
      </c>
      <c r="U230" s="53" t="s">
        <v>221</v>
      </c>
      <c r="V230" s="84">
        <v>45931</v>
      </c>
      <c r="W230" s="238"/>
      <c r="X230" s="239"/>
      <c r="Y230" s="238"/>
      <c r="Z230" s="239"/>
      <c r="AA230" s="240">
        <v>0</v>
      </c>
      <c r="AB230" s="107">
        <f t="shared" si="60"/>
        <v>0</v>
      </c>
      <c r="AC230" s="240">
        <v>0</v>
      </c>
      <c r="AD230" s="107">
        <f t="shared" si="61"/>
        <v>0</v>
      </c>
    </row>
    <row r="231" spans="2:30" ht="15" customHeight="1" x14ac:dyDescent="0.25">
      <c r="B231" s="311"/>
      <c r="C231" s="171">
        <v>71.5</v>
      </c>
      <c r="D231" s="44" t="s">
        <v>48</v>
      </c>
      <c r="E231" s="44" t="s">
        <v>53</v>
      </c>
      <c r="F231" s="154" t="s">
        <v>213</v>
      </c>
      <c r="G231" s="44">
        <v>8.4</v>
      </c>
      <c r="H231" s="44">
        <f t="shared" si="57"/>
        <v>8400</v>
      </c>
      <c r="I231" s="44">
        <v>355</v>
      </c>
      <c r="J231" s="44">
        <v>76.2</v>
      </c>
      <c r="K231" s="44">
        <f t="shared" si="55"/>
        <v>1.1043478260869566</v>
      </c>
      <c r="L231" s="50">
        <f t="shared" si="58"/>
        <v>2</v>
      </c>
      <c r="M231" s="44">
        <f t="shared" si="48"/>
        <v>8700</v>
      </c>
      <c r="N231" s="44">
        <f t="shared" si="56"/>
        <v>455</v>
      </c>
      <c r="O231" s="159">
        <v>69</v>
      </c>
      <c r="P231" s="44">
        <f t="shared" si="59"/>
        <v>0.10434782608695659</v>
      </c>
      <c r="Q231" s="44">
        <f t="shared" si="62"/>
        <v>2</v>
      </c>
      <c r="R231" s="165" t="s">
        <v>342</v>
      </c>
      <c r="S231" s="50">
        <v>2</v>
      </c>
      <c r="T231" s="166" t="s">
        <v>340</v>
      </c>
      <c r="U231" s="53" t="s">
        <v>221</v>
      </c>
      <c r="V231" s="84">
        <v>45931</v>
      </c>
      <c r="W231" s="238"/>
      <c r="X231" s="239"/>
      <c r="Y231" s="238"/>
      <c r="Z231" s="239"/>
      <c r="AA231" s="240">
        <v>0</v>
      </c>
      <c r="AB231" s="107">
        <f t="shared" si="60"/>
        <v>0</v>
      </c>
      <c r="AC231" s="240">
        <v>0</v>
      </c>
      <c r="AD231" s="107">
        <f t="shared" si="61"/>
        <v>0</v>
      </c>
    </row>
    <row r="232" spans="2:30" s="66" customFormat="1" ht="15.75" thickBot="1" x14ac:dyDescent="0.3">
      <c r="B232" s="313"/>
      <c r="C232" s="185" t="s">
        <v>264</v>
      </c>
      <c r="D232" s="179"/>
      <c r="E232" s="179"/>
      <c r="F232" s="179"/>
      <c r="G232" s="179"/>
      <c r="H232" s="179"/>
      <c r="I232" s="179"/>
      <c r="J232" s="179"/>
      <c r="K232" s="179"/>
      <c r="L232" s="180"/>
      <c r="M232" s="179"/>
      <c r="N232" s="179"/>
      <c r="O232" s="179"/>
      <c r="P232" s="179"/>
      <c r="Q232" s="179">
        <f>SUM(Q219:Q231)</f>
        <v>26</v>
      </c>
      <c r="R232" s="186"/>
      <c r="S232" s="180">
        <f>SUM(S219:S231)</f>
        <v>26</v>
      </c>
      <c r="T232" s="180"/>
      <c r="U232" s="180"/>
      <c r="V232" s="181"/>
      <c r="W232" s="181"/>
      <c r="X232" s="182"/>
      <c r="Y232" s="181"/>
      <c r="Z232" s="182"/>
      <c r="AA232" s="181"/>
      <c r="AB232" s="183">
        <f>SUM(AB219:AB231)</f>
        <v>0</v>
      </c>
      <c r="AC232" s="181"/>
      <c r="AD232" s="184">
        <f>SUM(AD219:AD231)</f>
        <v>0</v>
      </c>
    </row>
    <row r="233" spans="2:30" x14ac:dyDescent="0.25">
      <c r="B233" s="310" t="s">
        <v>353</v>
      </c>
      <c r="C233" s="171">
        <v>72.099999999999994</v>
      </c>
      <c r="D233" s="44" t="s">
        <v>48</v>
      </c>
      <c r="E233" s="44" t="s">
        <v>52</v>
      </c>
      <c r="F233" s="154" t="s">
        <v>212</v>
      </c>
      <c r="G233" s="44">
        <v>4.3</v>
      </c>
      <c r="H233" s="44">
        <f>CONVERT(G233,"m","mm")</f>
        <v>4300</v>
      </c>
      <c r="I233" s="44">
        <v>285</v>
      </c>
      <c r="J233" s="44">
        <v>76.2</v>
      </c>
      <c r="K233" s="44">
        <f t="shared" si="55"/>
        <v>1.1043478260869566</v>
      </c>
      <c r="L233" s="50">
        <f>ROUNDUP(K233,0)</f>
        <v>2</v>
      </c>
      <c r="M233" s="44">
        <f t="shared" si="48"/>
        <v>4600</v>
      </c>
      <c r="N233" s="44">
        <f t="shared" si="56"/>
        <v>385</v>
      </c>
      <c r="O233" s="44">
        <v>69</v>
      </c>
      <c r="P233" s="44">
        <f>(K233-1)</f>
        <v>0.10434782608695659</v>
      </c>
      <c r="Q233" s="44">
        <f>(L233-1)*2</f>
        <v>2</v>
      </c>
      <c r="R233" s="162" t="s">
        <v>341</v>
      </c>
      <c r="S233" s="50">
        <v>2</v>
      </c>
      <c r="T233" s="161" t="s">
        <v>339</v>
      </c>
      <c r="U233" s="53" t="s">
        <v>221</v>
      </c>
      <c r="V233" s="84">
        <v>46054</v>
      </c>
      <c r="W233" s="238"/>
      <c r="X233" s="239"/>
      <c r="Y233" s="238"/>
      <c r="Z233" s="239"/>
      <c r="AA233" s="240">
        <v>0</v>
      </c>
      <c r="AB233" s="107">
        <f>(AA233*Q233)</f>
        <v>0</v>
      </c>
      <c r="AC233" s="240">
        <v>0</v>
      </c>
      <c r="AD233" s="107">
        <f>(AC233*S233)</f>
        <v>0</v>
      </c>
    </row>
    <row r="234" spans="2:30" x14ac:dyDescent="0.25">
      <c r="B234" s="311"/>
      <c r="C234" s="171">
        <v>72.2</v>
      </c>
      <c r="D234" s="44" t="s">
        <v>48</v>
      </c>
      <c r="E234" s="44" t="s">
        <v>52</v>
      </c>
      <c r="F234" s="154" t="s">
        <v>213</v>
      </c>
      <c r="G234" s="44">
        <v>7.3</v>
      </c>
      <c r="H234" s="44">
        <f>CONVERT(G234,"m","mm")</f>
        <v>7300</v>
      </c>
      <c r="I234" s="44">
        <v>285</v>
      </c>
      <c r="J234" s="44">
        <v>76.2</v>
      </c>
      <c r="K234" s="44">
        <f t="shared" si="55"/>
        <v>1.1043478260869566</v>
      </c>
      <c r="L234" s="50">
        <f>ROUNDUP(K234,0)</f>
        <v>2</v>
      </c>
      <c r="M234" s="44">
        <f t="shared" si="48"/>
        <v>7600</v>
      </c>
      <c r="N234" s="44">
        <f t="shared" si="56"/>
        <v>385</v>
      </c>
      <c r="O234" s="159">
        <v>69</v>
      </c>
      <c r="P234" s="44">
        <f>(K234-1)</f>
        <v>0.10434782608695659</v>
      </c>
      <c r="Q234" s="44">
        <f>(L234-1)*2</f>
        <v>2</v>
      </c>
      <c r="R234" s="165" t="s">
        <v>342</v>
      </c>
      <c r="S234" s="50">
        <v>2</v>
      </c>
      <c r="T234" s="166" t="s">
        <v>340</v>
      </c>
      <c r="U234" s="53" t="s">
        <v>221</v>
      </c>
      <c r="V234" s="84">
        <v>46054</v>
      </c>
      <c r="W234" s="238"/>
      <c r="X234" s="239"/>
      <c r="Y234" s="238"/>
      <c r="Z234" s="239"/>
      <c r="AA234" s="240">
        <v>0</v>
      </c>
      <c r="AB234" s="107">
        <f>(AA234*Q234)</f>
        <v>0</v>
      </c>
      <c r="AC234" s="240">
        <v>0</v>
      </c>
      <c r="AD234" s="107">
        <f>(AC234*S234)</f>
        <v>0</v>
      </c>
    </row>
    <row r="235" spans="2:30" x14ac:dyDescent="0.25">
      <c r="B235" s="311"/>
      <c r="C235" s="171">
        <v>72.3</v>
      </c>
      <c r="D235" s="44" t="s">
        <v>48</v>
      </c>
      <c r="E235" s="44" t="s">
        <v>26</v>
      </c>
      <c r="F235" s="154" t="s">
        <v>213</v>
      </c>
      <c r="G235" s="44">
        <v>7.3</v>
      </c>
      <c r="H235" s="44">
        <f>CONVERT(G235,"m","mm")</f>
        <v>7300</v>
      </c>
      <c r="I235" s="44">
        <v>265</v>
      </c>
      <c r="J235" s="44">
        <v>76.2</v>
      </c>
      <c r="K235" s="44">
        <f t="shared" si="55"/>
        <v>1.1043478260869566</v>
      </c>
      <c r="L235" s="50">
        <f>ROUNDUP(K235,0)</f>
        <v>2</v>
      </c>
      <c r="M235" s="44">
        <f t="shared" si="48"/>
        <v>7600</v>
      </c>
      <c r="N235" s="44">
        <f t="shared" si="56"/>
        <v>365</v>
      </c>
      <c r="O235" s="159">
        <v>69</v>
      </c>
      <c r="P235" s="44">
        <f>(K235-1)</f>
        <v>0.10434782608695659</v>
      </c>
      <c r="Q235" s="44">
        <f>(L235-1)*2</f>
        <v>2</v>
      </c>
      <c r="R235" s="165" t="s">
        <v>342</v>
      </c>
      <c r="S235" s="50">
        <v>2</v>
      </c>
      <c r="T235" s="166" t="s">
        <v>340</v>
      </c>
      <c r="U235" s="53" t="s">
        <v>221</v>
      </c>
      <c r="V235" s="84">
        <v>46054</v>
      </c>
      <c r="W235" s="238"/>
      <c r="X235" s="239"/>
      <c r="Y235" s="238"/>
      <c r="Z235" s="239"/>
      <c r="AA235" s="240">
        <v>0</v>
      </c>
      <c r="AB235" s="107">
        <f>(AA235*Q235)</f>
        <v>0</v>
      </c>
      <c r="AC235" s="240">
        <v>0</v>
      </c>
      <c r="AD235" s="107">
        <f>(AC235*S235)</f>
        <v>0</v>
      </c>
    </row>
    <row r="236" spans="2:30" s="66" customFormat="1" ht="15.75" thickBot="1" x14ac:dyDescent="0.3">
      <c r="B236" s="312"/>
      <c r="C236" s="180" t="s">
        <v>265</v>
      </c>
      <c r="D236" s="180"/>
      <c r="E236" s="180"/>
      <c r="F236" s="180"/>
      <c r="G236" s="180"/>
      <c r="H236" s="180"/>
      <c r="I236" s="180"/>
      <c r="J236" s="180"/>
      <c r="K236" s="180"/>
      <c r="L236" s="180"/>
      <c r="M236" s="180"/>
      <c r="N236" s="180"/>
      <c r="O236" s="180"/>
      <c r="P236" s="180"/>
      <c r="Q236" s="188">
        <f>SUM(Q233:Q235)</f>
        <v>6</v>
      </c>
      <c r="R236" s="180"/>
      <c r="S236" s="188">
        <f>SUM(S233:S235)</f>
        <v>6</v>
      </c>
      <c r="T236" s="180"/>
      <c r="U236" s="180"/>
      <c r="V236" s="181"/>
      <c r="W236" s="181"/>
      <c r="X236" s="182"/>
      <c r="Y236" s="181"/>
      <c r="Z236" s="182"/>
      <c r="AA236" s="187"/>
      <c r="AB236" s="184">
        <f>SUM(AB233:AB235)</f>
        <v>0</v>
      </c>
      <c r="AC236" s="187"/>
      <c r="AD236" s="184">
        <f>SUM(AD233:AD235)</f>
        <v>0</v>
      </c>
    </row>
    <row r="237" spans="2:30" ht="15" customHeight="1" thickBot="1" x14ac:dyDescent="0.3">
      <c r="B237" s="125"/>
      <c r="C237" s="174"/>
      <c r="D237" s="172"/>
      <c r="P237" s="85"/>
      <c r="Q237" s="207">
        <f>SUM(Q236,Q232,Q218,Q195,Q164,Q132,Q102,Q74,Q48,Q28)</f>
        <v>656</v>
      </c>
      <c r="S237" s="207">
        <f>SUM(S236,S232,S218,S195,S164,S132,S102,S74,S48,S28)</f>
        <v>436</v>
      </c>
      <c r="AB237" s="208">
        <f>SUM(AB236,AB232,AB218,AB195,AB164,AB132,AB102,AB74,AB48,AB28)</f>
        <v>0</v>
      </c>
      <c r="AD237" s="208">
        <f>SUM(AD236,AD232,AD218,AD195,AD164,AD132,AD102,AD74,AD48,AD28)</f>
        <v>0</v>
      </c>
    </row>
    <row r="238" spans="2:30" x14ac:dyDescent="0.25">
      <c r="B238" s="125"/>
      <c r="C238" s="125"/>
      <c r="D238" s="125"/>
      <c r="E238" s="174"/>
    </row>
    <row r="239" spans="2:30" x14ac:dyDescent="0.25">
      <c r="B239" s="125"/>
      <c r="C239" s="174"/>
      <c r="D239" s="174"/>
      <c r="E239" s="174"/>
    </row>
    <row r="240" spans="2:30" x14ac:dyDescent="0.25">
      <c r="B240" s="125"/>
      <c r="C240" s="174"/>
      <c r="D240" s="174"/>
      <c r="E240" s="174"/>
    </row>
    <row r="241" spans="2:5" x14ac:dyDescent="0.25">
      <c r="B241" s="125"/>
      <c r="C241" s="174"/>
      <c r="D241" s="174"/>
      <c r="E241" s="174"/>
    </row>
  </sheetData>
  <autoFilter ref="C7:AD237" xr:uid="{BD9B0400-D68E-4944-AE9A-BF03AD0EEC2C}"/>
  <mergeCells count="19">
    <mergeCell ref="M3:O3"/>
    <mergeCell ref="B233:B236"/>
    <mergeCell ref="B133:B164"/>
    <mergeCell ref="B165:B195"/>
    <mergeCell ref="B9:B28"/>
    <mergeCell ref="B29:B48"/>
    <mergeCell ref="B49:B74"/>
    <mergeCell ref="B75:B102"/>
    <mergeCell ref="B103:B132"/>
    <mergeCell ref="B196:B218"/>
    <mergeCell ref="B219:B232"/>
    <mergeCell ref="AA5:AA6"/>
    <mergeCell ref="AC5:AC6"/>
    <mergeCell ref="M5:O6"/>
    <mergeCell ref="G6:J6"/>
    <mergeCell ref="Z5:Z6"/>
    <mergeCell ref="Y5:Y6"/>
    <mergeCell ref="X5:X6"/>
    <mergeCell ref="W5:W6"/>
  </mergeCells>
  <phoneticPr fontId="9" type="noConversion"/>
  <conditionalFormatting sqref="W9:Y236">
    <cfRule type="containsText" dxfId="43" priority="1" operator="containsText" text="N">
      <formula>NOT(ISERROR(SEARCH("N",W9)))</formula>
    </cfRule>
    <cfRule type="containsText" dxfId="42" priority="2" operator="containsText" text="Y">
      <formula>NOT(ISERROR(SEARCH("Y",W9)))</formula>
    </cfRule>
  </conditionalFormatting>
  <printOptions gridLines="1"/>
  <pageMargins left="0.31496062992125984" right="0.31496062992125984" top="0.94488188976377963" bottom="0.55118110236220474" header="0.31496062992125984" footer="0.31496062992125984"/>
  <pageSetup paperSize="8" scale="81" fitToHeight="0" orientation="landscape" r:id="rId1"/>
  <headerFooter>
    <oddHeader>&amp;C&amp;"-,Bold"&amp;12HMS VICTORY
TIMBER SUPPLY FRAMEWORK&amp;R&amp;G</oddHeader>
    <oddFooter>Page &amp;P of &amp;N</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2C3288A-B339-423C-889E-2F4EDBACA917}">
          <x14:formula1>
            <xm:f>'Pick List'!$B$3:$B$5</xm:f>
          </x14:formula1>
          <xm:sqref>F9:F47 F49:F235 G28:O28</xm:sqref>
        </x14:dataValidation>
        <x14:dataValidation type="list" allowBlank="1" showInputMessage="1" showErrorMessage="1" xr:uid="{CEBB6578-9E60-4853-B838-9A86B4B60206}">
          <x14:formula1>
            <xm:f>'Pick List'!$D$2:$D$4</xm:f>
          </x14:formula1>
          <xm:sqref>O9:O27 O29:O235</xm:sqref>
        </x14:dataValidation>
        <x14:dataValidation type="list" allowBlank="1" showInputMessage="1" showErrorMessage="1" xr:uid="{AD479673-8F05-4D3F-88A5-4F2A2EBDDA23}">
          <x14:formula1>
            <xm:f>'Pick List'!$F$2:$F$3</xm:f>
          </x14:formula1>
          <xm:sqref>W29:W236 W9:W27 Y9:Y27 Y29:Y236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79BD-F6CD-4CAD-81FC-FD9636FE765B}">
  <sheetPr>
    <tabColor rgb="FFFFC000"/>
    <pageSetUpPr fitToPage="1"/>
  </sheetPr>
  <dimension ref="B2:Z62"/>
  <sheetViews>
    <sheetView showGridLines="0" zoomScale="90" zoomScaleNormal="90" workbookViewId="0">
      <selection activeCell="Q3" sqref="Q3"/>
    </sheetView>
  </sheetViews>
  <sheetFormatPr defaultRowHeight="15" x14ac:dyDescent="0.25"/>
  <cols>
    <col min="1" max="1" width="9" customWidth="1"/>
    <col min="2" max="2" width="5.7109375" customWidth="1"/>
    <col min="3" max="3" width="12" customWidth="1"/>
    <col min="4" max="4" width="35.42578125" hidden="1" customWidth="1"/>
    <col min="5" max="5" width="94.42578125" hidden="1" customWidth="1"/>
    <col min="6" max="6" width="11.42578125" customWidth="1"/>
    <col min="7" max="7" width="11.5703125" hidden="1" customWidth="1"/>
    <col min="8" max="10" width="15.7109375" hidden="1" customWidth="1"/>
    <col min="11" max="11" width="23.7109375" hidden="1" customWidth="1"/>
    <col min="12" max="12" width="23.85546875" hidden="1" customWidth="1"/>
    <col min="13" max="13" width="10.28515625" customWidth="1"/>
    <col min="14" max="14" width="11.140625" customWidth="1"/>
    <col min="15" max="15" width="11.28515625" customWidth="1"/>
    <col min="16" max="16" width="23.7109375" hidden="1" customWidth="1"/>
    <col min="17" max="17" width="16.28515625" customWidth="1"/>
    <col min="18" max="18" width="13" customWidth="1"/>
    <col min="19" max="19" width="15.42578125" customWidth="1"/>
    <col min="20" max="20" width="15.7109375" customWidth="1"/>
    <col min="21" max="26" width="14.7109375" customWidth="1"/>
  </cols>
  <sheetData>
    <row r="2" spans="2:26" ht="36" customHeight="1" thickBot="1" x14ac:dyDescent="0.3">
      <c r="C2" s="71" t="s">
        <v>464</v>
      </c>
    </row>
    <row r="3" spans="2:26" ht="21.6" customHeight="1" thickBot="1" x14ac:dyDescent="0.3">
      <c r="C3" s="286" t="s">
        <v>461</v>
      </c>
      <c r="D3" s="273"/>
      <c r="E3" s="274"/>
      <c r="F3" s="174"/>
      <c r="G3" s="274"/>
      <c r="H3" s="275"/>
      <c r="I3" s="276"/>
      <c r="J3" s="275"/>
      <c r="K3" s="276"/>
      <c r="L3" s="282"/>
      <c r="M3" s="307"/>
      <c r="N3" s="308"/>
      <c r="O3" s="309"/>
      <c r="P3" s="96"/>
      <c r="Q3" s="95"/>
      <c r="R3" s="96"/>
      <c r="S3" s="95"/>
      <c r="T3" s="96"/>
      <c r="U3" s="96"/>
      <c r="V3" s="96"/>
      <c r="W3" s="96"/>
      <c r="X3" s="96"/>
      <c r="Y3" s="95"/>
      <c r="Z3" s="96"/>
    </row>
    <row r="4" spans="2:26" ht="15" customHeight="1" thickBot="1" x14ac:dyDescent="0.3">
      <c r="C4" s="280"/>
      <c r="D4" s="280"/>
      <c r="E4" s="174"/>
      <c r="F4" s="174"/>
      <c r="G4" s="174"/>
      <c r="H4" s="174"/>
      <c r="I4" s="174"/>
      <c r="J4" s="174"/>
      <c r="K4" s="174"/>
      <c r="L4" s="174"/>
      <c r="M4" s="174"/>
      <c r="N4" s="174"/>
      <c r="O4" s="174"/>
      <c r="P4" s="174"/>
      <c r="Q4" s="174"/>
      <c r="R4" s="174"/>
      <c r="S4" s="95"/>
      <c r="T4" s="96"/>
      <c r="U4" s="96"/>
      <c r="V4" s="96"/>
      <c r="W4" s="96"/>
      <c r="X4" s="96"/>
      <c r="Y4" s="95"/>
      <c r="Z4" s="96"/>
    </row>
    <row r="5" spans="2:26" ht="17.25" customHeight="1" x14ac:dyDescent="0.25">
      <c r="C5" s="71"/>
      <c r="G5" s="314" t="s">
        <v>436</v>
      </c>
      <c r="H5" s="314"/>
      <c r="I5" s="314"/>
      <c r="J5" s="314"/>
      <c r="M5" s="315" t="s">
        <v>493</v>
      </c>
      <c r="N5" s="314"/>
      <c r="O5" s="316"/>
      <c r="U5" s="296" t="s">
        <v>239</v>
      </c>
      <c r="V5" s="296" t="s">
        <v>239</v>
      </c>
      <c r="W5" s="296" t="s">
        <v>239</v>
      </c>
      <c r="X5" s="296" t="s">
        <v>239</v>
      </c>
      <c r="Y5" s="296" t="s">
        <v>239</v>
      </c>
    </row>
    <row r="6" spans="2:26" ht="26.45" customHeight="1" thickBot="1" x14ac:dyDescent="0.3">
      <c r="C6" s="43"/>
      <c r="D6" s="43"/>
      <c r="E6" s="43"/>
      <c r="F6" s="43"/>
      <c r="G6" s="302"/>
      <c r="H6" s="302"/>
      <c r="I6" s="302"/>
      <c r="J6" s="302"/>
      <c r="K6" s="43"/>
      <c r="L6" s="42"/>
      <c r="M6" s="301"/>
      <c r="N6" s="302"/>
      <c r="O6" s="303"/>
      <c r="P6" s="69"/>
      <c r="Q6" s="69"/>
      <c r="R6" s="69"/>
      <c r="S6" s="42"/>
      <c r="T6" s="42"/>
      <c r="U6" s="297"/>
      <c r="V6" s="297"/>
      <c r="W6" s="297"/>
      <c r="X6" s="297"/>
      <c r="Y6" s="297"/>
    </row>
    <row r="7" spans="2:26" ht="68.25" customHeight="1" thickBot="1" x14ac:dyDescent="0.3">
      <c r="C7" s="100" t="s">
        <v>247</v>
      </c>
      <c r="D7" s="100" t="s">
        <v>208</v>
      </c>
      <c r="E7" s="100" t="s">
        <v>209</v>
      </c>
      <c r="F7" s="100" t="s">
        <v>244</v>
      </c>
      <c r="G7" s="98" t="s">
        <v>206</v>
      </c>
      <c r="H7" s="101" t="s">
        <v>215</v>
      </c>
      <c r="I7" s="100" t="s">
        <v>233</v>
      </c>
      <c r="J7" s="100" t="s">
        <v>234</v>
      </c>
      <c r="K7" s="100" t="s">
        <v>238</v>
      </c>
      <c r="L7" s="100" t="s">
        <v>237</v>
      </c>
      <c r="M7" s="101" t="s">
        <v>215</v>
      </c>
      <c r="N7" s="101" t="s">
        <v>233</v>
      </c>
      <c r="O7" s="100" t="s">
        <v>435</v>
      </c>
      <c r="P7" s="100" t="s">
        <v>434</v>
      </c>
      <c r="Q7" s="100" t="s">
        <v>432</v>
      </c>
      <c r="R7" s="100" t="s">
        <v>217</v>
      </c>
      <c r="S7" s="100" t="s">
        <v>253</v>
      </c>
      <c r="T7" s="100" t="s">
        <v>210</v>
      </c>
      <c r="U7" s="78" t="s">
        <v>330</v>
      </c>
      <c r="V7" s="78" t="s">
        <v>335</v>
      </c>
      <c r="W7" s="78" t="s">
        <v>329</v>
      </c>
      <c r="X7" s="78" t="s">
        <v>336</v>
      </c>
      <c r="Y7" s="78" t="s">
        <v>458</v>
      </c>
      <c r="Z7" s="100" t="s">
        <v>251</v>
      </c>
    </row>
    <row r="8" spans="2:26" ht="15" customHeight="1" thickBot="1" x14ac:dyDescent="0.3">
      <c r="C8" s="203">
        <v>1</v>
      </c>
      <c r="D8" s="146">
        <v>2</v>
      </c>
      <c r="E8" s="167">
        <v>3</v>
      </c>
      <c r="F8" s="144">
        <v>4</v>
      </c>
      <c r="G8" s="143">
        <v>5</v>
      </c>
      <c r="H8" s="103">
        <v>6</v>
      </c>
      <c r="I8" s="102">
        <v>7</v>
      </c>
      <c r="J8" s="103">
        <v>8</v>
      </c>
      <c r="K8" s="102">
        <v>9</v>
      </c>
      <c r="L8" s="145">
        <v>10</v>
      </c>
      <c r="M8" s="167">
        <v>11</v>
      </c>
      <c r="N8" s="144">
        <v>12</v>
      </c>
      <c r="O8" s="167">
        <v>13</v>
      </c>
      <c r="P8" s="146">
        <v>14</v>
      </c>
      <c r="Q8" s="167">
        <v>15</v>
      </c>
      <c r="R8" s="146">
        <v>16</v>
      </c>
      <c r="S8" s="167">
        <v>17</v>
      </c>
      <c r="T8" s="146">
        <v>18</v>
      </c>
      <c r="U8" s="168">
        <v>19</v>
      </c>
      <c r="V8" s="227">
        <v>20</v>
      </c>
      <c r="W8" s="168">
        <v>21</v>
      </c>
      <c r="X8" s="227">
        <v>22</v>
      </c>
      <c r="Y8" s="168">
        <v>23</v>
      </c>
      <c r="Z8" s="146">
        <v>24</v>
      </c>
    </row>
    <row r="9" spans="2:26" ht="15" customHeight="1" x14ac:dyDescent="0.25">
      <c r="B9" s="310" t="s">
        <v>462</v>
      </c>
      <c r="C9" s="220" t="s">
        <v>406</v>
      </c>
      <c r="D9" s="164" t="s">
        <v>376</v>
      </c>
      <c r="E9" s="164" t="s">
        <v>397</v>
      </c>
      <c r="F9" s="164" t="s">
        <v>213</v>
      </c>
      <c r="G9" s="159"/>
      <c r="H9" s="159">
        <v>8850</v>
      </c>
      <c r="I9" s="159">
        <v>255</v>
      </c>
      <c r="J9" s="159">
        <v>105</v>
      </c>
      <c r="K9" s="164">
        <f t="shared" ref="K9:K40" si="0">(J9/O9)</f>
        <v>1.5217391304347827</v>
      </c>
      <c r="L9" s="166">
        <f t="shared" ref="L9:L24" si="1">ROUNDUP(K9,0)</f>
        <v>2</v>
      </c>
      <c r="M9" s="164">
        <f>H9</f>
        <v>8850</v>
      </c>
      <c r="N9" s="164">
        <f>I9</f>
        <v>255</v>
      </c>
      <c r="O9" s="164">
        <v>69</v>
      </c>
      <c r="P9" s="159">
        <f t="shared" ref="P9:P40" si="2">(K9-1)</f>
        <v>0.52173913043478271</v>
      </c>
      <c r="Q9" s="164">
        <f t="shared" ref="Q9:Q40" si="3">(L9-1)*2</f>
        <v>2</v>
      </c>
      <c r="R9" s="165" t="s">
        <v>342</v>
      </c>
      <c r="S9" s="62" t="s">
        <v>221</v>
      </c>
      <c r="T9" s="83">
        <v>44896</v>
      </c>
      <c r="U9" s="255"/>
      <c r="V9" s="256"/>
      <c r="W9" s="255"/>
      <c r="X9" s="256"/>
      <c r="Y9" s="257">
        <v>0</v>
      </c>
      <c r="Z9" s="106">
        <f>(Y9*Q9)</f>
        <v>0</v>
      </c>
    </row>
    <row r="10" spans="2:26" x14ac:dyDescent="0.25">
      <c r="B10" s="311"/>
      <c r="C10" s="220" t="s">
        <v>406</v>
      </c>
      <c r="D10" s="159" t="s">
        <v>377</v>
      </c>
      <c r="E10" s="164"/>
      <c r="F10" s="159" t="s">
        <v>213</v>
      </c>
      <c r="G10" s="159"/>
      <c r="H10" s="159">
        <v>8250</v>
      </c>
      <c r="I10" s="159">
        <v>280</v>
      </c>
      <c r="J10" s="159">
        <v>105</v>
      </c>
      <c r="K10" s="159">
        <f t="shared" si="0"/>
        <v>1.5217391304347827</v>
      </c>
      <c r="L10" s="161">
        <f t="shared" si="1"/>
        <v>2</v>
      </c>
      <c r="M10" s="164">
        <f t="shared" ref="M10:M48" si="4">H10</f>
        <v>8250</v>
      </c>
      <c r="N10" s="164">
        <f t="shared" ref="N10:N48" si="5">I10</f>
        <v>280</v>
      </c>
      <c r="O10" s="164">
        <v>69</v>
      </c>
      <c r="P10" s="159">
        <f t="shared" si="2"/>
        <v>0.52173913043478271</v>
      </c>
      <c r="Q10" s="159">
        <f t="shared" si="3"/>
        <v>2</v>
      </c>
      <c r="R10" s="165" t="s">
        <v>342</v>
      </c>
      <c r="S10" s="53" t="s">
        <v>221</v>
      </c>
      <c r="T10" s="83">
        <v>44896</v>
      </c>
      <c r="U10" s="238"/>
      <c r="V10" s="239"/>
      <c r="W10" s="238"/>
      <c r="X10" s="239"/>
      <c r="Y10" s="240">
        <v>0</v>
      </c>
      <c r="Z10" s="107">
        <f>(Y10*Q10)</f>
        <v>0</v>
      </c>
    </row>
    <row r="11" spans="2:26" x14ac:dyDescent="0.25">
      <c r="B11" s="311"/>
      <c r="C11" s="220" t="s">
        <v>406</v>
      </c>
      <c r="D11" s="159" t="s">
        <v>378</v>
      </c>
      <c r="E11" s="164" t="s">
        <v>398</v>
      </c>
      <c r="F11" s="211" t="s">
        <v>212</v>
      </c>
      <c r="G11" s="159"/>
      <c r="H11" s="159">
        <v>2500</v>
      </c>
      <c r="I11" s="159">
        <v>300</v>
      </c>
      <c r="J11" s="159">
        <v>76</v>
      </c>
      <c r="K11" s="159">
        <f t="shared" si="0"/>
        <v>1.1014492753623188</v>
      </c>
      <c r="L11" s="161">
        <f t="shared" si="1"/>
        <v>2</v>
      </c>
      <c r="M11" s="164">
        <f t="shared" si="4"/>
        <v>2500</v>
      </c>
      <c r="N11" s="164">
        <f t="shared" si="5"/>
        <v>300</v>
      </c>
      <c r="O11" s="164">
        <v>69</v>
      </c>
      <c r="P11" s="159">
        <f t="shared" si="2"/>
        <v>0.10144927536231885</v>
      </c>
      <c r="Q11" s="159">
        <f t="shared" si="3"/>
        <v>2</v>
      </c>
      <c r="R11" s="165" t="s">
        <v>342</v>
      </c>
      <c r="S11" s="53" t="s">
        <v>221</v>
      </c>
      <c r="T11" s="83">
        <v>44896</v>
      </c>
      <c r="U11" s="238"/>
      <c r="V11" s="239"/>
      <c r="W11" s="238"/>
      <c r="X11" s="239"/>
      <c r="Y11" s="258">
        <v>0</v>
      </c>
      <c r="Z11" s="107">
        <f>(Y11*Q11)</f>
        <v>0</v>
      </c>
    </row>
    <row r="12" spans="2:26" x14ac:dyDescent="0.25">
      <c r="B12" s="311"/>
      <c r="C12" s="221" t="s">
        <v>407</v>
      </c>
      <c r="D12" s="159" t="s">
        <v>376</v>
      </c>
      <c r="E12" s="164" t="s">
        <v>397</v>
      </c>
      <c r="F12" s="211" t="s">
        <v>212</v>
      </c>
      <c r="G12" s="159"/>
      <c r="H12" s="159">
        <v>5800</v>
      </c>
      <c r="I12" s="159">
        <v>255</v>
      </c>
      <c r="J12" s="159">
        <v>105</v>
      </c>
      <c r="K12" s="159">
        <f t="shared" si="0"/>
        <v>1.5217391304347827</v>
      </c>
      <c r="L12" s="161">
        <f t="shared" si="1"/>
        <v>2</v>
      </c>
      <c r="M12" s="164">
        <f t="shared" si="4"/>
        <v>5800</v>
      </c>
      <c r="N12" s="164">
        <f t="shared" si="5"/>
        <v>255</v>
      </c>
      <c r="O12" s="164">
        <v>69</v>
      </c>
      <c r="P12" s="159">
        <f t="shared" si="2"/>
        <v>0.52173913043478271</v>
      </c>
      <c r="Q12" s="159">
        <f t="shared" si="3"/>
        <v>2</v>
      </c>
      <c r="R12" s="165" t="s">
        <v>342</v>
      </c>
      <c r="S12" s="53" t="s">
        <v>221</v>
      </c>
      <c r="T12" s="83">
        <v>44896</v>
      </c>
      <c r="U12" s="238"/>
      <c r="V12" s="239"/>
      <c r="W12" s="238"/>
      <c r="X12" s="239"/>
      <c r="Y12" s="240">
        <v>0</v>
      </c>
      <c r="Z12" s="132">
        <v>0</v>
      </c>
    </row>
    <row r="13" spans="2:26" x14ac:dyDescent="0.25">
      <c r="B13" s="311"/>
      <c r="C13" s="221" t="s">
        <v>407</v>
      </c>
      <c r="D13" s="159" t="s">
        <v>377</v>
      </c>
      <c r="E13" s="164"/>
      <c r="F13" s="211" t="s">
        <v>213</v>
      </c>
      <c r="G13" s="159"/>
      <c r="H13" s="159">
        <v>10100</v>
      </c>
      <c r="I13" s="159">
        <v>280</v>
      </c>
      <c r="J13" s="159">
        <v>105</v>
      </c>
      <c r="K13" s="159">
        <f t="shared" si="0"/>
        <v>1.5217391304347827</v>
      </c>
      <c r="L13" s="161">
        <f t="shared" si="1"/>
        <v>2</v>
      </c>
      <c r="M13" s="164">
        <f t="shared" si="4"/>
        <v>10100</v>
      </c>
      <c r="N13" s="164">
        <f t="shared" si="5"/>
        <v>280</v>
      </c>
      <c r="O13" s="164">
        <v>69</v>
      </c>
      <c r="P13" s="159">
        <f t="shared" si="2"/>
        <v>0.52173913043478271</v>
      </c>
      <c r="Q13" s="159">
        <f t="shared" si="3"/>
        <v>2</v>
      </c>
      <c r="R13" s="165" t="s">
        <v>342</v>
      </c>
      <c r="S13" s="53" t="s">
        <v>221</v>
      </c>
      <c r="T13" s="83">
        <v>44896</v>
      </c>
      <c r="U13" s="238"/>
      <c r="V13" s="239"/>
      <c r="W13" s="238"/>
      <c r="X13" s="239"/>
      <c r="Y13" s="240">
        <v>0</v>
      </c>
      <c r="Z13" s="107">
        <f t="shared" ref="Z13:Z57" si="6">(Y13*Q13)</f>
        <v>0</v>
      </c>
    </row>
    <row r="14" spans="2:26" x14ac:dyDescent="0.25">
      <c r="B14" s="311"/>
      <c r="C14" s="221" t="s">
        <v>407</v>
      </c>
      <c r="D14" s="159" t="s">
        <v>380</v>
      </c>
      <c r="E14" s="164"/>
      <c r="F14" s="211" t="s">
        <v>212</v>
      </c>
      <c r="G14" s="159"/>
      <c r="H14" s="159">
        <v>1730</v>
      </c>
      <c r="I14" s="159">
        <v>260</v>
      </c>
      <c r="J14" s="159">
        <v>210</v>
      </c>
      <c r="K14" s="159">
        <f t="shared" si="0"/>
        <v>3.0434782608695654</v>
      </c>
      <c r="L14" s="161">
        <f t="shared" si="1"/>
        <v>4</v>
      </c>
      <c r="M14" s="164">
        <f t="shared" si="4"/>
        <v>1730</v>
      </c>
      <c r="N14" s="164">
        <f t="shared" si="5"/>
        <v>260</v>
      </c>
      <c r="O14" s="164">
        <v>69</v>
      </c>
      <c r="P14" s="159">
        <f t="shared" si="2"/>
        <v>2.0434782608695654</v>
      </c>
      <c r="Q14" s="159">
        <f t="shared" si="3"/>
        <v>6</v>
      </c>
      <c r="R14" s="165" t="s">
        <v>342</v>
      </c>
      <c r="S14" s="53" t="s">
        <v>221</v>
      </c>
      <c r="T14" s="83">
        <v>44896</v>
      </c>
      <c r="U14" s="238"/>
      <c r="V14" s="239"/>
      <c r="W14" s="238"/>
      <c r="X14" s="239"/>
      <c r="Y14" s="240">
        <v>0</v>
      </c>
      <c r="Z14" s="107">
        <f t="shared" si="6"/>
        <v>0</v>
      </c>
    </row>
    <row r="15" spans="2:26" x14ac:dyDescent="0.25">
      <c r="B15" s="311"/>
      <c r="C15" s="221" t="s">
        <v>408</v>
      </c>
      <c r="D15" s="159" t="s">
        <v>381</v>
      </c>
      <c r="E15" s="164"/>
      <c r="F15" s="211" t="s">
        <v>212</v>
      </c>
      <c r="G15" s="159"/>
      <c r="H15" s="159">
        <v>5200</v>
      </c>
      <c r="I15" s="159">
        <v>330</v>
      </c>
      <c r="J15" s="159">
        <v>102</v>
      </c>
      <c r="K15" s="159">
        <f t="shared" si="0"/>
        <v>1.4782608695652173</v>
      </c>
      <c r="L15" s="161">
        <f t="shared" si="1"/>
        <v>2</v>
      </c>
      <c r="M15" s="164">
        <f t="shared" si="4"/>
        <v>5200</v>
      </c>
      <c r="N15" s="164">
        <f t="shared" si="5"/>
        <v>330</v>
      </c>
      <c r="O15" s="164">
        <v>69</v>
      </c>
      <c r="P15" s="159">
        <f t="shared" si="2"/>
        <v>0.47826086956521729</v>
      </c>
      <c r="Q15" s="159">
        <f t="shared" si="3"/>
        <v>2</v>
      </c>
      <c r="R15" s="165" t="s">
        <v>342</v>
      </c>
      <c r="S15" s="53" t="s">
        <v>221</v>
      </c>
      <c r="T15" s="83">
        <v>44896</v>
      </c>
      <c r="U15" s="238"/>
      <c r="V15" s="239"/>
      <c r="W15" s="238"/>
      <c r="X15" s="239"/>
      <c r="Y15" s="240">
        <v>0</v>
      </c>
      <c r="Z15" s="107">
        <f t="shared" si="6"/>
        <v>0</v>
      </c>
    </row>
    <row r="16" spans="2:26" x14ac:dyDescent="0.25">
      <c r="B16" s="311"/>
      <c r="C16" s="221" t="s">
        <v>408</v>
      </c>
      <c r="D16" s="159" t="s">
        <v>382</v>
      </c>
      <c r="E16" s="164"/>
      <c r="F16" s="211" t="s">
        <v>212</v>
      </c>
      <c r="G16" s="159"/>
      <c r="H16" s="159">
        <v>5720</v>
      </c>
      <c r="I16" s="159">
        <v>255</v>
      </c>
      <c r="J16" s="159">
        <v>102</v>
      </c>
      <c r="K16" s="159">
        <f t="shared" si="0"/>
        <v>1.4782608695652173</v>
      </c>
      <c r="L16" s="161">
        <f t="shared" si="1"/>
        <v>2</v>
      </c>
      <c r="M16" s="164">
        <f t="shared" si="4"/>
        <v>5720</v>
      </c>
      <c r="N16" s="164">
        <f t="shared" si="5"/>
        <v>255</v>
      </c>
      <c r="O16" s="164">
        <v>69</v>
      </c>
      <c r="P16" s="159">
        <f t="shared" si="2"/>
        <v>0.47826086956521729</v>
      </c>
      <c r="Q16" s="159">
        <f t="shared" si="3"/>
        <v>2</v>
      </c>
      <c r="R16" s="165" t="s">
        <v>342</v>
      </c>
      <c r="S16" s="53" t="s">
        <v>221</v>
      </c>
      <c r="T16" s="83">
        <v>44896</v>
      </c>
      <c r="U16" s="238"/>
      <c r="V16" s="239"/>
      <c r="W16" s="238"/>
      <c r="X16" s="239"/>
      <c r="Y16" s="240">
        <v>0</v>
      </c>
      <c r="Z16" s="107">
        <f t="shared" si="6"/>
        <v>0</v>
      </c>
    </row>
    <row r="17" spans="2:26" x14ac:dyDescent="0.25">
      <c r="B17" s="311"/>
      <c r="C17" s="221" t="s">
        <v>408</v>
      </c>
      <c r="D17" s="159" t="s">
        <v>378</v>
      </c>
      <c r="E17" s="164"/>
      <c r="F17" s="211" t="s">
        <v>212</v>
      </c>
      <c r="G17" s="159"/>
      <c r="H17" s="159">
        <v>2700</v>
      </c>
      <c r="I17" s="159">
        <v>300</v>
      </c>
      <c r="J17" s="159">
        <v>76</v>
      </c>
      <c r="K17" s="159">
        <f t="shared" si="0"/>
        <v>1.1014492753623188</v>
      </c>
      <c r="L17" s="161">
        <f t="shared" si="1"/>
        <v>2</v>
      </c>
      <c r="M17" s="164">
        <f t="shared" si="4"/>
        <v>2700</v>
      </c>
      <c r="N17" s="164">
        <f t="shared" si="5"/>
        <v>300</v>
      </c>
      <c r="O17" s="164">
        <v>69</v>
      </c>
      <c r="P17" s="159">
        <f t="shared" si="2"/>
        <v>0.10144927536231885</v>
      </c>
      <c r="Q17" s="159">
        <f t="shared" si="3"/>
        <v>2</v>
      </c>
      <c r="R17" s="165" t="s">
        <v>342</v>
      </c>
      <c r="S17" s="53" t="s">
        <v>221</v>
      </c>
      <c r="T17" s="83">
        <v>44896</v>
      </c>
      <c r="U17" s="238"/>
      <c r="V17" s="239"/>
      <c r="W17" s="238"/>
      <c r="X17" s="239"/>
      <c r="Y17" s="240">
        <v>0</v>
      </c>
      <c r="Z17" s="107">
        <f t="shared" si="6"/>
        <v>0</v>
      </c>
    </row>
    <row r="18" spans="2:26" x14ac:dyDescent="0.25">
      <c r="B18" s="311"/>
      <c r="C18" s="221" t="s">
        <v>409</v>
      </c>
      <c r="D18" s="159" t="s">
        <v>381</v>
      </c>
      <c r="E18" s="164"/>
      <c r="F18" s="211" t="s">
        <v>213</v>
      </c>
      <c r="G18" s="159"/>
      <c r="H18" s="159">
        <v>6100</v>
      </c>
      <c r="I18" s="159">
        <v>300</v>
      </c>
      <c r="J18" s="159">
        <v>102</v>
      </c>
      <c r="K18" s="159">
        <f t="shared" si="0"/>
        <v>1.4782608695652173</v>
      </c>
      <c r="L18" s="161">
        <f t="shared" si="1"/>
        <v>2</v>
      </c>
      <c r="M18" s="164">
        <f t="shared" si="4"/>
        <v>6100</v>
      </c>
      <c r="N18" s="164">
        <f t="shared" si="5"/>
        <v>300</v>
      </c>
      <c r="O18" s="164">
        <v>69</v>
      </c>
      <c r="P18" s="159">
        <f t="shared" si="2"/>
        <v>0.47826086956521729</v>
      </c>
      <c r="Q18" s="159">
        <f t="shared" si="3"/>
        <v>2</v>
      </c>
      <c r="R18" s="165" t="s">
        <v>342</v>
      </c>
      <c r="S18" s="53" t="s">
        <v>221</v>
      </c>
      <c r="T18" s="83">
        <v>44896</v>
      </c>
      <c r="U18" s="238"/>
      <c r="V18" s="239"/>
      <c r="W18" s="238"/>
      <c r="X18" s="239"/>
      <c r="Y18" s="240">
        <v>0</v>
      </c>
      <c r="Z18" s="107">
        <f t="shared" si="6"/>
        <v>0</v>
      </c>
    </row>
    <row r="19" spans="2:26" x14ac:dyDescent="0.25">
      <c r="B19" s="311"/>
      <c r="C19" s="221" t="s">
        <v>409</v>
      </c>
      <c r="D19" s="159" t="s">
        <v>378</v>
      </c>
      <c r="E19" s="164"/>
      <c r="F19" s="211" t="s">
        <v>212</v>
      </c>
      <c r="G19" s="159"/>
      <c r="H19" s="159">
        <v>2550</v>
      </c>
      <c r="I19" s="159">
        <v>300</v>
      </c>
      <c r="J19" s="159">
        <v>76</v>
      </c>
      <c r="K19" s="159">
        <f t="shared" si="0"/>
        <v>1.1014492753623188</v>
      </c>
      <c r="L19" s="161">
        <f t="shared" si="1"/>
        <v>2</v>
      </c>
      <c r="M19" s="164">
        <f t="shared" si="4"/>
        <v>2550</v>
      </c>
      <c r="N19" s="164">
        <f t="shared" si="5"/>
        <v>300</v>
      </c>
      <c r="O19" s="164">
        <v>69</v>
      </c>
      <c r="P19" s="159">
        <f t="shared" si="2"/>
        <v>0.10144927536231885</v>
      </c>
      <c r="Q19" s="159">
        <f t="shared" si="3"/>
        <v>2</v>
      </c>
      <c r="R19" s="165" t="s">
        <v>342</v>
      </c>
      <c r="S19" s="53" t="s">
        <v>221</v>
      </c>
      <c r="T19" s="83">
        <v>44896</v>
      </c>
      <c r="U19" s="238"/>
      <c r="V19" s="239"/>
      <c r="W19" s="238"/>
      <c r="X19" s="239"/>
      <c r="Y19" s="240">
        <v>0</v>
      </c>
      <c r="Z19" s="107">
        <f t="shared" si="6"/>
        <v>0</v>
      </c>
    </row>
    <row r="20" spans="2:26" x14ac:dyDescent="0.25">
      <c r="B20" s="311"/>
      <c r="C20" s="221" t="s">
        <v>409</v>
      </c>
      <c r="D20" s="159" t="s">
        <v>378</v>
      </c>
      <c r="E20" s="164"/>
      <c r="F20" s="211" t="s">
        <v>212</v>
      </c>
      <c r="G20" s="159"/>
      <c r="H20" s="159">
        <v>2600</v>
      </c>
      <c r="I20" s="159">
        <v>300</v>
      </c>
      <c r="J20" s="159">
        <v>76</v>
      </c>
      <c r="K20" s="159">
        <f t="shared" si="0"/>
        <v>1.1014492753623188</v>
      </c>
      <c r="L20" s="161">
        <f t="shared" si="1"/>
        <v>2</v>
      </c>
      <c r="M20" s="164">
        <f t="shared" si="4"/>
        <v>2600</v>
      </c>
      <c r="N20" s="164">
        <f t="shared" si="5"/>
        <v>300</v>
      </c>
      <c r="O20" s="164">
        <v>69</v>
      </c>
      <c r="P20" s="159">
        <f t="shared" si="2"/>
        <v>0.10144927536231885</v>
      </c>
      <c r="Q20" s="159">
        <f t="shared" si="3"/>
        <v>2</v>
      </c>
      <c r="R20" s="165" t="s">
        <v>342</v>
      </c>
      <c r="S20" s="53" t="s">
        <v>221</v>
      </c>
      <c r="T20" s="83">
        <v>44896</v>
      </c>
      <c r="U20" s="238"/>
      <c r="V20" s="239"/>
      <c r="W20" s="238"/>
      <c r="X20" s="239"/>
      <c r="Y20" s="240">
        <v>0</v>
      </c>
      <c r="Z20" s="107">
        <f t="shared" si="6"/>
        <v>0</v>
      </c>
    </row>
    <row r="21" spans="2:26" ht="15.75" customHeight="1" x14ac:dyDescent="0.25">
      <c r="B21" s="311"/>
      <c r="C21" s="221" t="s">
        <v>410</v>
      </c>
      <c r="D21" s="159" t="s">
        <v>378</v>
      </c>
      <c r="E21" s="164" t="s">
        <v>399</v>
      </c>
      <c r="F21" s="211" t="s">
        <v>212</v>
      </c>
      <c r="G21" s="159"/>
      <c r="H21" s="159">
        <v>2800</v>
      </c>
      <c r="I21" s="159">
        <v>310</v>
      </c>
      <c r="J21" s="159">
        <v>76</v>
      </c>
      <c r="K21" s="159">
        <f t="shared" si="0"/>
        <v>1.1014492753623188</v>
      </c>
      <c r="L21" s="161">
        <f t="shared" si="1"/>
        <v>2</v>
      </c>
      <c r="M21" s="164">
        <f t="shared" si="4"/>
        <v>2800</v>
      </c>
      <c r="N21" s="164">
        <f t="shared" si="5"/>
        <v>310</v>
      </c>
      <c r="O21" s="164">
        <v>69</v>
      </c>
      <c r="P21" s="159">
        <f t="shared" si="2"/>
        <v>0.10144927536231885</v>
      </c>
      <c r="Q21" s="159">
        <f t="shared" si="3"/>
        <v>2</v>
      </c>
      <c r="R21" s="165" t="s">
        <v>342</v>
      </c>
      <c r="S21" s="53" t="s">
        <v>221</v>
      </c>
      <c r="T21" s="83">
        <v>44896</v>
      </c>
      <c r="U21" s="238"/>
      <c r="V21" s="239"/>
      <c r="W21" s="238"/>
      <c r="X21" s="239"/>
      <c r="Y21" s="240">
        <v>0</v>
      </c>
      <c r="Z21" s="107">
        <f t="shared" si="6"/>
        <v>0</v>
      </c>
    </row>
    <row r="22" spans="2:26" x14ac:dyDescent="0.25">
      <c r="B22" s="311"/>
      <c r="C22" s="222" t="s">
        <v>411</v>
      </c>
      <c r="D22" s="157" t="s">
        <v>383</v>
      </c>
      <c r="E22" s="164" t="s">
        <v>398</v>
      </c>
      <c r="F22" s="211" t="s">
        <v>212</v>
      </c>
      <c r="G22" s="159"/>
      <c r="H22" s="159">
        <v>2530</v>
      </c>
      <c r="I22" s="159">
        <v>290</v>
      </c>
      <c r="J22" s="159">
        <v>76</v>
      </c>
      <c r="K22" s="159">
        <f t="shared" si="0"/>
        <v>1.1014492753623188</v>
      </c>
      <c r="L22" s="161">
        <f t="shared" si="1"/>
        <v>2</v>
      </c>
      <c r="M22" s="164">
        <f t="shared" si="4"/>
        <v>2530</v>
      </c>
      <c r="N22" s="164">
        <f t="shared" si="5"/>
        <v>290</v>
      </c>
      <c r="O22" s="164">
        <v>69</v>
      </c>
      <c r="P22" s="159">
        <f t="shared" si="2"/>
        <v>0.10144927536231885</v>
      </c>
      <c r="Q22" s="159">
        <f t="shared" si="3"/>
        <v>2</v>
      </c>
      <c r="R22" s="165" t="s">
        <v>342</v>
      </c>
      <c r="S22" s="53" t="s">
        <v>221</v>
      </c>
      <c r="T22" s="83">
        <v>44896</v>
      </c>
      <c r="U22" s="238"/>
      <c r="V22" s="239"/>
      <c r="W22" s="238"/>
      <c r="X22" s="239"/>
      <c r="Y22" s="240">
        <v>0</v>
      </c>
      <c r="Z22" s="107">
        <f t="shared" si="6"/>
        <v>0</v>
      </c>
    </row>
    <row r="23" spans="2:26" x14ac:dyDescent="0.25">
      <c r="B23" s="311"/>
      <c r="C23" s="222" t="s">
        <v>412</v>
      </c>
      <c r="D23" s="157" t="s">
        <v>384</v>
      </c>
      <c r="E23" s="164" t="s">
        <v>400</v>
      </c>
      <c r="F23" s="211" t="s">
        <v>212</v>
      </c>
      <c r="G23" s="159"/>
      <c r="H23" s="159">
        <v>1450</v>
      </c>
      <c r="I23" s="159">
        <v>203</v>
      </c>
      <c r="J23" s="159">
        <v>178</v>
      </c>
      <c r="K23" s="159">
        <f t="shared" si="0"/>
        <v>2.5797101449275361</v>
      </c>
      <c r="L23" s="161">
        <f t="shared" si="1"/>
        <v>3</v>
      </c>
      <c r="M23" s="164">
        <f t="shared" si="4"/>
        <v>1450</v>
      </c>
      <c r="N23" s="164">
        <f t="shared" si="5"/>
        <v>203</v>
      </c>
      <c r="O23" s="164">
        <v>69</v>
      </c>
      <c r="P23" s="159">
        <f t="shared" si="2"/>
        <v>1.5797101449275361</v>
      </c>
      <c r="Q23" s="159">
        <f t="shared" si="3"/>
        <v>4</v>
      </c>
      <c r="R23" s="165" t="s">
        <v>342</v>
      </c>
      <c r="S23" s="53" t="s">
        <v>221</v>
      </c>
      <c r="T23" s="83">
        <v>44896</v>
      </c>
      <c r="U23" s="238"/>
      <c r="V23" s="239"/>
      <c r="W23" s="238"/>
      <c r="X23" s="239"/>
      <c r="Y23" s="240">
        <v>0</v>
      </c>
      <c r="Z23" s="107">
        <f t="shared" si="6"/>
        <v>0</v>
      </c>
    </row>
    <row r="24" spans="2:26" x14ac:dyDescent="0.25">
      <c r="B24" s="311"/>
      <c r="C24" s="222" t="s">
        <v>413</v>
      </c>
      <c r="D24" s="157" t="s">
        <v>378</v>
      </c>
      <c r="E24" s="164"/>
      <c r="F24" s="211" t="s">
        <v>212</v>
      </c>
      <c r="G24" s="159"/>
      <c r="H24" s="159">
        <v>2460</v>
      </c>
      <c r="I24" s="159">
        <v>300</v>
      </c>
      <c r="J24" s="159">
        <v>76</v>
      </c>
      <c r="K24" s="159">
        <f t="shared" si="0"/>
        <v>1.1014492753623188</v>
      </c>
      <c r="L24" s="161">
        <f t="shared" si="1"/>
        <v>2</v>
      </c>
      <c r="M24" s="164">
        <f t="shared" si="4"/>
        <v>2460</v>
      </c>
      <c r="N24" s="164">
        <f t="shared" si="5"/>
        <v>300</v>
      </c>
      <c r="O24" s="164">
        <v>69</v>
      </c>
      <c r="P24" s="159">
        <f t="shared" si="2"/>
        <v>0.10144927536231885</v>
      </c>
      <c r="Q24" s="159">
        <f t="shared" si="3"/>
        <v>2</v>
      </c>
      <c r="R24" s="165" t="s">
        <v>342</v>
      </c>
      <c r="S24" s="53" t="s">
        <v>221</v>
      </c>
      <c r="T24" s="83">
        <v>44896</v>
      </c>
      <c r="U24" s="238"/>
      <c r="V24" s="239"/>
      <c r="W24" s="238"/>
      <c r="X24" s="239"/>
      <c r="Y24" s="240">
        <v>0</v>
      </c>
      <c r="Z24" s="107">
        <f t="shared" si="6"/>
        <v>0</v>
      </c>
    </row>
    <row r="25" spans="2:26" ht="15" customHeight="1" x14ac:dyDescent="0.25">
      <c r="B25" s="311"/>
      <c r="C25" s="222" t="s">
        <v>414</v>
      </c>
      <c r="D25" s="157" t="s">
        <v>378</v>
      </c>
      <c r="E25" s="164"/>
      <c r="F25" s="211" t="s">
        <v>212</v>
      </c>
      <c r="G25" s="159"/>
      <c r="H25" s="159">
        <v>2530</v>
      </c>
      <c r="I25" s="159">
        <v>300</v>
      </c>
      <c r="J25" s="159">
        <v>76</v>
      </c>
      <c r="K25" s="159">
        <f t="shared" si="0"/>
        <v>1.1014492753623188</v>
      </c>
      <c r="L25" s="161">
        <f t="shared" ref="L25:L48" si="7">ROUNDUP(K25,0)</f>
        <v>2</v>
      </c>
      <c r="M25" s="164">
        <f t="shared" si="4"/>
        <v>2530</v>
      </c>
      <c r="N25" s="164">
        <f t="shared" si="5"/>
        <v>300</v>
      </c>
      <c r="O25" s="164">
        <v>69</v>
      </c>
      <c r="P25" s="159">
        <f t="shared" si="2"/>
        <v>0.10144927536231885</v>
      </c>
      <c r="Q25" s="159">
        <f t="shared" si="3"/>
        <v>2</v>
      </c>
      <c r="R25" s="165" t="s">
        <v>342</v>
      </c>
      <c r="S25" s="53" t="s">
        <v>221</v>
      </c>
      <c r="T25" s="83">
        <v>44896</v>
      </c>
      <c r="U25" s="238"/>
      <c r="V25" s="239"/>
      <c r="W25" s="238"/>
      <c r="X25" s="239"/>
      <c r="Y25" s="240">
        <v>0</v>
      </c>
      <c r="Z25" s="107">
        <f t="shared" si="6"/>
        <v>0</v>
      </c>
    </row>
    <row r="26" spans="2:26" x14ac:dyDescent="0.25">
      <c r="B26" s="311"/>
      <c r="C26" s="222" t="s">
        <v>415</v>
      </c>
      <c r="D26" s="157" t="s">
        <v>378</v>
      </c>
      <c r="E26" s="164"/>
      <c r="F26" s="211" t="s">
        <v>212</v>
      </c>
      <c r="G26" s="159"/>
      <c r="H26" s="159">
        <v>2800</v>
      </c>
      <c r="I26" s="159">
        <v>300</v>
      </c>
      <c r="J26" s="159">
        <v>76</v>
      </c>
      <c r="K26" s="159">
        <f t="shared" si="0"/>
        <v>1.1014492753623188</v>
      </c>
      <c r="L26" s="161">
        <f t="shared" si="7"/>
        <v>2</v>
      </c>
      <c r="M26" s="164">
        <f t="shared" si="4"/>
        <v>2800</v>
      </c>
      <c r="N26" s="164">
        <f t="shared" si="5"/>
        <v>300</v>
      </c>
      <c r="O26" s="164">
        <v>69</v>
      </c>
      <c r="P26" s="159">
        <f t="shared" si="2"/>
        <v>0.10144927536231885</v>
      </c>
      <c r="Q26" s="159">
        <f t="shared" si="3"/>
        <v>2</v>
      </c>
      <c r="R26" s="165" t="s">
        <v>342</v>
      </c>
      <c r="S26" s="53" t="s">
        <v>221</v>
      </c>
      <c r="T26" s="83">
        <v>44896</v>
      </c>
      <c r="U26" s="238"/>
      <c r="V26" s="239"/>
      <c r="W26" s="238"/>
      <c r="X26" s="239"/>
      <c r="Y26" s="240">
        <v>0</v>
      </c>
      <c r="Z26" s="107">
        <f t="shared" si="6"/>
        <v>0</v>
      </c>
    </row>
    <row r="27" spans="2:26" x14ac:dyDescent="0.25">
      <c r="B27" s="311"/>
      <c r="C27" s="222" t="s">
        <v>416</v>
      </c>
      <c r="D27" s="157" t="s">
        <v>387</v>
      </c>
      <c r="E27" s="164"/>
      <c r="F27" s="211" t="s">
        <v>212</v>
      </c>
      <c r="G27" s="159"/>
      <c r="H27" s="159">
        <v>4630</v>
      </c>
      <c r="I27" s="159">
        <v>240</v>
      </c>
      <c r="J27" s="159">
        <v>158</v>
      </c>
      <c r="K27" s="159">
        <f t="shared" si="0"/>
        <v>2.2898550724637681</v>
      </c>
      <c r="L27" s="161">
        <f t="shared" si="7"/>
        <v>3</v>
      </c>
      <c r="M27" s="164">
        <f t="shared" si="4"/>
        <v>4630</v>
      </c>
      <c r="N27" s="164">
        <f t="shared" si="5"/>
        <v>240</v>
      </c>
      <c r="O27" s="164">
        <v>69</v>
      </c>
      <c r="P27" s="159">
        <f t="shared" si="2"/>
        <v>1.2898550724637681</v>
      </c>
      <c r="Q27" s="159">
        <f t="shared" si="3"/>
        <v>4</v>
      </c>
      <c r="R27" s="165" t="s">
        <v>342</v>
      </c>
      <c r="S27" s="53" t="s">
        <v>221</v>
      </c>
      <c r="T27" s="83">
        <v>44896</v>
      </c>
      <c r="U27" s="238"/>
      <c r="V27" s="239"/>
      <c r="W27" s="238"/>
      <c r="X27" s="239"/>
      <c r="Y27" s="240">
        <v>0</v>
      </c>
      <c r="Z27" s="107">
        <f t="shared" si="6"/>
        <v>0</v>
      </c>
    </row>
    <row r="28" spans="2:26" x14ac:dyDescent="0.25">
      <c r="B28" s="311"/>
      <c r="C28" s="222" t="s">
        <v>417</v>
      </c>
      <c r="D28" s="157" t="s">
        <v>377</v>
      </c>
      <c r="E28" s="164" t="s">
        <v>401</v>
      </c>
      <c r="F28" s="211" t="s">
        <v>213</v>
      </c>
      <c r="G28" s="159"/>
      <c r="H28" s="159">
        <v>6600</v>
      </c>
      <c r="I28" s="159">
        <v>360</v>
      </c>
      <c r="J28" s="159">
        <v>203</v>
      </c>
      <c r="K28" s="159">
        <f t="shared" si="0"/>
        <v>2.9420289855072466</v>
      </c>
      <c r="L28" s="161">
        <f t="shared" si="7"/>
        <v>3</v>
      </c>
      <c r="M28" s="164">
        <f t="shared" si="4"/>
        <v>6600</v>
      </c>
      <c r="N28" s="164">
        <f t="shared" si="5"/>
        <v>360</v>
      </c>
      <c r="O28" s="164">
        <v>69</v>
      </c>
      <c r="P28" s="159">
        <f t="shared" si="2"/>
        <v>1.9420289855072466</v>
      </c>
      <c r="Q28" s="159">
        <f t="shared" si="3"/>
        <v>4</v>
      </c>
      <c r="R28" s="165" t="s">
        <v>342</v>
      </c>
      <c r="S28" s="53" t="s">
        <v>221</v>
      </c>
      <c r="T28" s="83">
        <v>44896</v>
      </c>
      <c r="U28" s="238"/>
      <c r="V28" s="239"/>
      <c r="W28" s="238"/>
      <c r="X28" s="239"/>
      <c r="Y28" s="240">
        <v>0</v>
      </c>
      <c r="Z28" s="107">
        <f t="shared" si="6"/>
        <v>0</v>
      </c>
    </row>
    <row r="29" spans="2:26" x14ac:dyDescent="0.25">
      <c r="B29" s="311"/>
      <c r="C29" s="222" t="s">
        <v>417</v>
      </c>
      <c r="D29" s="157" t="s">
        <v>378</v>
      </c>
      <c r="E29" s="164"/>
      <c r="F29" s="211" t="s">
        <v>212</v>
      </c>
      <c r="G29" s="159"/>
      <c r="H29" s="159">
        <v>2500</v>
      </c>
      <c r="I29" s="159">
        <v>280</v>
      </c>
      <c r="J29" s="159">
        <v>102</v>
      </c>
      <c r="K29" s="159">
        <f t="shared" si="0"/>
        <v>1.4782608695652173</v>
      </c>
      <c r="L29" s="161">
        <f t="shared" si="7"/>
        <v>2</v>
      </c>
      <c r="M29" s="164">
        <f t="shared" si="4"/>
        <v>2500</v>
      </c>
      <c r="N29" s="164">
        <f t="shared" si="5"/>
        <v>280</v>
      </c>
      <c r="O29" s="164">
        <v>69</v>
      </c>
      <c r="P29" s="159">
        <f t="shared" si="2"/>
        <v>0.47826086956521729</v>
      </c>
      <c r="Q29" s="159">
        <f t="shared" si="3"/>
        <v>2</v>
      </c>
      <c r="R29" s="165" t="s">
        <v>342</v>
      </c>
      <c r="S29" s="53" t="s">
        <v>221</v>
      </c>
      <c r="T29" s="83">
        <v>44896</v>
      </c>
      <c r="U29" s="238"/>
      <c r="V29" s="239"/>
      <c r="W29" s="238"/>
      <c r="X29" s="239"/>
      <c r="Y29" s="240">
        <v>0</v>
      </c>
      <c r="Z29" s="107">
        <f t="shared" si="6"/>
        <v>0</v>
      </c>
    </row>
    <row r="30" spans="2:26" x14ac:dyDescent="0.25">
      <c r="B30" s="311"/>
      <c r="C30" s="222" t="s">
        <v>417</v>
      </c>
      <c r="D30" s="157" t="s">
        <v>378</v>
      </c>
      <c r="E30" s="164"/>
      <c r="F30" s="211" t="s">
        <v>212</v>
      </c>
      <c r="G30" s="159"/>
      <c r="H30" s="159">
        <v>2390</v>
      </c>
      <c r="I30" s="159">
        <v>280</v>
      </c>
      <c r="J30" s="159">
        <v>102</v>
      </c>
      <c r="K30" s="159">
        <f t="shared" si="0"/>
        <v>1.4782608695652173</v>
      </c>
      <c r="L30" s="161">
        <f t="shared" si="7"/>
        <v>2</v>
      </c>
      <c r="M30" s="164">
        <f t="shared" si="4"/>
        <v>2390</v>
      </c>
      <c r="N30" s="164">
        <f t="shared" si="5"/>
        <v>280</v>
      </c>
      <c r="O30" s="164">
        <v>69</v>
      </c>
      <c r="P30" s="159">
        <f t="shared" si="2"/>
        <v>0.47826086956521729</v>
      </c>
      <c r="Q30" s="159">
        <f t="shared" si="3"/>
        <v>2</v>
      </c>
      <c r="R30" s="165" t="s">
        <v>342</v>
      </c>
      <c r="S30" s="53" t="s">
        <v>221</v>
      </c>
      <c r="T30" s="83">
        <v>44896</v>
      </c>
      <c r="U30" s="238"/>
      <c r="V30" s="239"/>
      <c r="W30" s="238"/>
      <c r="X30" s="239"/>
      <c r="Y30" s="240">
        <v>0</v>
      </c>
      <c r="Z30" s="107">
        <f t="shared" si="6"/>
        <v>0</v>
      </c>
    </row>
    <row r="31" spans="2:26" x14ac:dyDescent="0.25">
      <c r="B31" s="311"/>
      <c r="C31" s="222" t="s">
        <v>417</v>
      </c>
      <c r="D31" s="157" t="s">
        <v>380</v>
      </c>
      <c r="E31" s="164"/>
      <c r="F31" s="211" t="s">
        <v>212</v>
      </c>
      <c r="G31" s="159"/>
      <c r="H31" s="159">
        <v>1650</v>
      </c>
      <c r="I31" s="159">
        <v>250</v>
      </c>
      <c r="J31" s="159">
        <v>203</v>
      </c>
      <c r="K31" s="159">
        <f t="shared" si="0"/>
        <v>2.9420289855072466</v>
      </c>
      <c r="L31" s="161">
        <f t="shared" si="7"/>
        <v>3</v>
      </c>
      <c r="M31" s="164">
        <f t="shared" si="4"/>
        <v>1650</v>
      </c>
      <c r="N31" s="164">
        <f t="shared" si="5"/>
        <v>250</v>
      </c>
      <c r="O31" s="164">
        <v>69</v>
      </c>
      <c r="P31" s="159">
        <f t="shared" si="2"/>
        <v>1.9420289855072466</v>
      </c>
      <c r="Q31" s="159">
        <f t="shared" si="3"/>
        <v>4</v>
      </c>
      <c r="R31" s="165" t="s">
        <v>342</v>
      </c>
      <c r="S31" s="53" t="s">
        <v>221</v>
      </c>
      <c r="T31" s="83">
        <v>44896</v>
      </c>
      <c r="U31" s="238"/>
      <c r="V31" s="239"/>
      <c r="W31" s="238"/>
      <c r="X31" s="239"/>
      <c r="Y31" s="240">
        <v>0</v>
      </c>
      <c r="Z31" s="107">
        <f t="shared" si="6"/>
        <v>0</v>
      </c>
    </row>
    <row r="32" spans="2:26" x14ac:dyDescent="0.25">
      <c r="B32" s="311"/>
      <c r="C32" s="222" t="s">
        <v>418</v>
      </c>
      <c r="D32" s="157" t="s">
        <v>377</v>
      </c>
      <c r="E32" s="164" t="s">
        <v>401</v>
      </c>
      <c r="F32" s="159" t="s">
        <v>213</v>
      </c>
      <c r="G32" s="159"/>
      <c r="H32" s="159">
        <v>7600</v>
      </c>
      <c r="I32" s="159">
        <v>422</v>
      </c>
      <c r="J32" s="159">
        <v>203</v>
      </c>
      <c r="K32" s="159">
        <f t="shared" si="0"/>
        <v>2.9420289855072466</v>
      </c>
      <c r="L32" s="161">
        <f t="shared" si="7"/>
        <v>3</v>
      </c>
      <c r="M32" s="164">
        <f t="shared" si="4"/>
        <v>7600</v>
      </c>
      <c r="N32" s="164">
        <f t="shared" si="5"/>
        <v>422</v>
      </c>
      <c r="O32" s="164">
        <v>69</v>
      </c>
      <c r="P32" s="159">
        <f t="shared" si="2"/>
        <v>1.9420289855072466</v>
      </c>
      <c r="Q32" s="159">
        <f t="shared" si="3"/>
        <v>4</v>
      </c>
      <c r="R32" s="165" t="s">
        <v>342</v>
      </c>
      <c r="S32" s="53" t="s">
        <v>221</v>
      </c>
      <c r="T32" s="83">
        <v>44896</v>
      </c>
      <c r="U32" s="238"/>
      <c r="V32" s="239"/>
      <c r="W32" s="238"/>
      <c r="X32" s="239"/>
      <c r="Y32" s="240">
        <v>0</v>
      </c>
      <c r="Z32" s="107">
        <f t="shared" si="6"/>
        <v>0</v>
      </c>
    </row>
    <row r="33" spans="2:26" ht="16.5" customHeight="1" x14ac:dyDescent="0.25">
      <c r="B33" s="311"/>
      <c r="C33" s="222" t="s">
        <v>418</v>
      </c>
      <c r="D33" s="157" t="s">
        <v>378</v>
      </c>
      <c r="E33" s="164"/>
      <c r="F33" s="211" t="s">
        <v>212</v>
      </c>
      <c r="G33" s="159"/>
      <c r="H33" s="159">
        <v>2400</v>
      </c>
      <c r="I33" s="159">
        <v>280</v>
      </c>
      <c r="J33" s="159">
        <v>102</v>
      </c>
      <c r="K33" s="159">
        <f t="shared" si="0"/>
        <v>1.4782608695652173</v>
      </c>
      <c r="L33" s="161">
        <f t="shared" si="7"/>
        <v>2</v>
      </c>
      <c r="M33" s="164">
        <f t="shared" si="4"/>
        <v>2400</v>
      </c>
      <c r="N33" s="164">
        <f t="shared" si="5"/>
        <v>280</v>
      </c>
      <c r="O33" s="164">
        <v>69</v>
      </c>
      <c r="P33" s="159">
        <f t="shared" si="2"/>
        <v>0.47826086956521729</v>
      </c>
      <c r="Q33" s="159">
        <f t="shared" si="3"/>
        <v>2</v>
      </c>
      <c r="R33" s="165" t="s">
        <v>342</v>
      </c>
      <c r="S33" s="53" t="s">
        <v>221</v>
      </c>
      <c r="T33" s="83">
        <v>44896</v>
      </c>
      <c r="U33" s="238"/>
      <c r="V33" s="239"/>
      <c r="W33" s="238"/>
      <c r="X33" s="239"/>
      <c r="Y33" s="240">
        <v>0</v>
      </c>
      <c r="Z33" s="107">
        <f t="shared" si="6"/>
        <v>0</v>
      </c>
    </row>
    <row r="34" spans="2:26" ht="15" customHeight="1" x14ac:dyDescent="0.25">
      <c r="B34" s="311"/>
      <c r="C34" s="222" t="s">
        <v>418</v>
      </c>
      <c r="D34" s="157" t="s">
        <v>388</v>
      </c>
      <c r="E34" s="164" t="s">
        <v>402</v>
      </c>
      <c r="F34" s="211" t="s">
        <v>212</v>
      </c>
      <c r="G34" s="159"/>
      <c r="H34" s="159">
        <v>2000</v>
      </c>
      <c r="I34" s="159">
        <v>450</v>
      </c>
      <c r="J34" s="159">
        <v>280</v>
      </c>
      <c r="K34" s="159">
        <f t="shared" si="0"/>
        <v>4.0579710144927539</v>
      </c>
      <c r="L34" s="161">
        <f t="shared" si="7"/>
        <v>5</v>
      </c>
      <c r="M34" s="164">
        <f t="shared" si="4"/>
        <v>2000</v>
      </c>
      <c r="N34" s="164">
        <f t="shared" si="5"/>
        <v>450</v>
      </c>
      <c r="O34" s="164">
        <v>69</v>
      </c>
      <c r="P34" s="159">
        <f t="shared" si="2"/>
        <v>3.0579710144927539</v>
      </c>
      <c r="Q34" s="159">
        <f t="shared" si="3"/>
        <v>8</v>
      </c>
      <c r="R34" s="165" t="s">
        <v>342</v>
      </c>
      <c r="S34" s="53" t="s">
        <v>221</v>
      </c>
      <c r="T34" s="83">
        <v>44896</v>
      </c>
      <c r="U34" s="238"/>
      <c r="V34" s="239"/>
      <c r="W34" s="238"/>
      <c r="X34" s="239"/>
      <c r="Y34" s="240">
        <v>0</v>
      </c>
      <c r="Z34" s="107">
        <f t="shared" si="6"/>
        <v>0</v>
      </c>
    </row>
    <row r="35" spans="2:26" ht="15" customHeight="1" x14ac:dyDescent="0.25">
      <c r="B35" s="311"/>
      <c r="C35" s="222" t="s">
        <v>419</v>
      </c>
      <c r="D35" s="157" t="s">
        <v>389</v>
      </c>
      <c r="E35" s="164"/>
      <c r="F35" s="211" t="s">
        <v>213</v>
      </c>
      <c r="G35" s="159"/>
      <c r="H35" s="159">
        <v>6720</v>
      </c>
      <c r="I35" s="159">
        <v>305</v>
      </c>
      <c r="J35" s="159">
        <v>153</v>
      </c>
      <c r="K35" s="159">
        <f t="shared" si="0"/>
        <v>2.2173913043478262</v>
      </c>
      <c r="L35" s="161">
        <f t="shared" si="7"/>
        <v>3</v>
      </c>
      <c r="M35" s="164">
        <f t="shared" si="4"/>
        <v>6720</v>
      </c>
      <c r="N35" s="164">
        <f t="shared" si="5"/>
        <v>305</v>
      </c>
      <c r="O35" s="164">
        <v>69</v>
      </c>
      <c r="P35" s="159">
        <f t="shared" si="2"/>
        <v>1.2173913043478262</v>
      </c>
      <c r="Q35" s="159">
        <f t="shared" si="3"/>
        <v>4</v>
      </c>
      <c r="R35" s="165" t="s">
        <v>342</v>
      </c>
      <c r="S35" s="53" t="s">
        <v>221</v>
      </c>
      <c r="T35" s="83">
        <v>44896</v>
      </c>
      <c r="U35" s="238"/>
      <c r="V35" s="239"/>
      <c r="W35" s="238"/>
      <c r="X35" s="239"/>
      <c r="Y35" s="240">
        <v>0</v>
      </c>
      <c r="Z35" s="107">
        <f t="shared" si="6"/>
        <v>0</v>
      </c>
    </row>
    <row r="36" spans="2:26" x14ac:dyDescent="0.25">
      <c r="B36" s="311"/>
      <c r="C36" s="222" t="s">
        <v>419</v>
      </c>
      <c r="D36" s="157" t="s">
        <v>387</v>
      </c>
      <c r="E36" s="164" t="s">
        <v>403</v>
      </c>
      <c r="F36" s="211" t="s">
        <v>212</v>
      </c>
      <c r="G36" s="159"/>
      <c r="H36" s="159">
        <v>5500</v>
      </c>
      <c r="I36" s="159">
        <v>305</v>
      </c>
      <c r="J36" s="159">
        <v>153</v>
      </c>
      <c r="K36" s="159">
        <f t="shared" si="0"/>
        <v>2.2173913043478262</v>
      </c>
      <c r="L36" s="161">
        <f t="shared" si="7"/>
        <v>3</v>
      </c>
      <c r="M36" s="164">
        <f t="shared" si="4"/>
        <v>5500</v>
      </c>
      <c r="N36" s="164">
        <f t="shared" si="5"/>
        <v>305</v>
      </c>
      <c r="O36" s="164">
        <v>69</v>
      </c>
      <c r="P36" s="159">
        <f t="shared" si="2"/>
        <v>1.2173913043478262</v>
      </c>
      <c r="Q36" s="159">
        <f t="shared" si="3"/>
        <v>4</v>
      </c>
      <c r="R36" s="165" t="s">
        <v>342</v>
      </c>
      <c r="S36" s="53" t="s">
        <v>221</v>
      </c>
      <c r="T36" s="83">
        <v>44896</v>
      </c>
      <c r="U36" s="238"/>
      <c r="V36" s="239"/>
      <c r="W36" s="238"/>
      <c r="X36" s="239"/>
      <c r="Y36" s="240">
        <v>0</v>
      </c>
      <c r="Z36" s="107">
        <f t="shared" si="6"/>
        <v>0</v>
      </c>
    </row>
    <row r="37" spans="2:26" x14ac:dyDescent="0.25">
      <c r="B37" s="311"/>
      <c r="C37" s="222" t="s">
        <v>419</v>
      </c>
      <c r="D37" s="157" t="s">
        <v>378</v>
      </c>
      <c r="E37" s="164"/>
      <c r="F37" s="211" t="s">
        <v>212</v>
      </c>
      <c r="G37" s="159"/>
      <c r="H37" s="159">
        <v>2500</v>
      </c>
      <c r="I37" s="159">
        <v>270</v>
      </c>
      <c r="J37" s="159">
        <v>102</v>
      </c>
      <c r="K37" s="159">
        <f t="shared" si="0"/>
        <v>1.4782608695652173</v>
      </c>
      <c r="L37" s="161">
        <f t="shared" si="7"/>
        <v>2</v>
      </c>
      <c r="M37" s="164">
        <f t="shared" si="4"/>
        <v>2500</v>
      </c>
      <c r="N37" s="164">
        <f t="shared" si="5"/>
        <v>270</v>
      </c>
      <c r="O37" s="164">
        <v>69</v>
      </c>
      <c r="P37" s="159">
        <f t="shared" si="2"/>
        <v>0.47826086956521729</v>
      </c>
      <c r="Q37" s="159">
        <f t="shared" si="3"/>
        <v>2</v>
      </c>
      <c r="R37" s="165" t="s">
        <v>342</v>
      </c>
      <c r="S37" s="53" t="s">
        <v>221</v>
      </c>
      <c r="T37" s="83">
        <v>44896</v>
      </c>
      <c r="U37" s="238"/>
      <c r="V37" s="239"/>
      <c r="W37" s="238"/>
      <c r="X37" s="239"/>
      <c r="Y37" s="240">
        <v>0</v>
      </c>
      <c r="Z37" s="107">
        <f t="shared" si="6"/>
        <v>0</v>
      </c>
    </row>
    <row r="38" spans="2:26" x14ac:dyDescent="0.25">
      <c r="B38" s="311"/>
      <c r="C38" s="222" t="s">
        <v>419</v>
      </c>
      <c r="D38" s="157" t="s">
        <v>378</v>
      </c>
      <c r="E38" s="164"/>
      <c r="F38" s="211" t="s">
        <v>212</v>
      </c>
      <c r="G38" s="159"/>
      <c r="H38" s="159">
        <v>2410</v>
      </c>
      <c r="I38" s="159">
        <v>270</v>
      </c>
      <c r="J38" s="159">
        <v>102</v>
      </c>
      <c r="K38" s="159">
        <f t="shared" si="0"/>
        <v>1.4782608695652173</v>
      </c>
      <c r="L38" s="161">
        <f t="shared" si="7"/>
        <v>2</v>
      </c>
      <c r="M38" s="164">
        <f t="shared" si="4"/>
        <v>2410</v>
      </c>
      <c r="N38" s="164">
        <f t="shared" si="5"/>
        <v>270</v>
      </c>
      <c r="O38" s="164">
        <v>69</v>
      </c>
      <c r="P38" s="159">
        <f t="shared" si="2"/>
        <v>0.47826086956521729</v>
      </c>
      <c r="Q38" s="159">
        <f t="shared" si="3"/>
        <v>2</v>
      </c>
      <c r="R38" s="165" t="s">
        <v>342</v>
      </c>
      <c r="S38" s="53" t="s">
        <v>221</v>
      </c>
      <c r="T38" s="83">
        <v>44896</v>
      </c>
      <c r="U38" s="238"/>
      <c r="V38" s="239"/>
      <c r="W38" s="238"/>
      <c r="X38" s="239"/>
      <c r="Y38" s="240">
        <v>0</v>
      </c>
      <c r="Z38" s="107">
        <f t="shared" si="6"/>
        <v>0</v>
      </c>
    </row>
    <row r="39" spans="2:26" x14ac:dyDescent="0.25">
      <c r="B39" s="311"/>
      <c r="C39" s="222" t="s">
        <v>419</v>
      </c>
      <c r="D39" s="157" t="s">
        <v>377</v>
      </c>
      <c r="E39" s="164"/>
      <c r="F39" s="211" t="s">
        <v>213</v>
      </c>
      <c r="G39" s="159"/>
      <c r="H39" s="159">
        <v>6400</v>
      </c>
      <c r="I39" s="159">
        <v>432</v>
      </c>
      <c r="J39" s="159">
        <v>178</v>
      </c>
      <c r="K39" s="159">
        <f t="shared" si="0"/>
        <v>2.5797101449275361</v>
      </c>
      <c r="L39" s="161">
        <f t="shared" si="7"/>
        <v>3</v>
      </c>
      <c r="M39" s="164">
        <f t="shared" si="4"/>
        <v>6400</v>
      </c>
      <c r="N39" s="164">
        <f t="shared" si="5"/>
        <v>432</v>
      </c>
      <c r="O39" s="164">
        <v>69</v>
      </c>
      <c r="P39" s="159">
        <f t="shared" si="2"/>
        <v>1.5797101449275361</v>
      </c>
      <c r="Q39" s="159">
        <f t="shared" si="3"/>
        <v>4</v>
      </c>
      <c r="R39" s="165" t="s">
        <v>342</v>
      </c>
      <c r="S39" s="53" t="s">
        <v>221</v>
      </c>
      <c r="T39" s="83">
        <v>44896</v>
      </c>
      <c r="U39" s="238"/>
      <c r="V39" s="239"/>
      <c r="W39" s="238"/>
      <c r="X39" s="239"/>
      <c r="Y39" s="240">
        <v>0</v>
      </c>
      <c r="Z39" s="107">
        <f t="shared" si="6"/>
        <v>0</v>
      </c>
    </row>
    <row r="40" spans="2:26" x14ac:dyDescent="0.25">
      <c r="B40" s="311"/>
      <c r="C40" s="222" t="s">
        <v>419</v>
      </c>
      <c r="D40" s="157" t="s">
        <v>378</v>
      </c>
      <c r="E40" s="164"/>
      <c r="F40" s="211" t="s">
        <v>212</v>
      </c>
      <c r="G40" s="159"/>
      <c r="H40" s="159">
        <v>2480</v>
      </c>
      <c r="I40" s="159">
        <v>290</v>
      </c>
      <c r="J40" s="159">
        <v>102</v>
      </c>
      <c r="K40" s="159">
        <f t="shared" si="0"/>
        <v>1.4782608695652173</v>
      </c>
      <c r="L40" s="161">
        <f t="shared" si="7"/>
        <v>2</v>
      </c>
      <c r="M40" s="164">
        <f t="shared" si="4"/>
        <v>2480</v>
      </c>
      <c r="N40" s="164">
        <f t="shared" si="5"/>
        <v>290</v>
      </c>
      <c r="O40" s="164">
        <v>69</v>
      </c>
      <c r="P40" s="159">
        <f t="shared" si="2"/>
        <v>0.47826086956521729</v>
      </c>
      <c r="Q40" s="159">
        <f t="shared" si="3"/>
        <v>2</v>
      </c>
      <c r="R40" s="165" t="s">
        <v>342</v>
      </c>
      <c r="S40" s="53" t="s">
        <v>221</v>
      </c>
      <c r="T40" s="83">
        <v>44896</v>
      </c>
      <c r="U40" s="238"/>
      <c r="V40" s="239"/>
      <c r="W40" s="238"/>
      <c r="X40" s="239"/>
      <c r="Y40" s="240">
        <v>0</v>
      </c>
      <c r="Z40" s="107">
        <f t="shared" si="6"/>
        <v>0</v>
      </c>
    </row>
    <row r="41" spans="2:26" x14ac:dyDescent="0.25">
      <c r="B41" s="311"/>
      <c r="C41" s="222" t="s">
        <v>420</v>
      </c>
      <c r="D41" s="157" t="s">
        <v>378</v>
      </c>
      <c r="E41" s="164"/>
      <c r="F41" s="211" t="s">
        <v>212</v>
      </c>
      <c r="G41" s="159"/>
      <c r="H41" s="159">
        <v>2420</v>
      </c>
      <c r="I41" s="159">
        <v>280</v>
      </c>
      <c r="J41" s="159">
        <v>108</v>
      </c>
      <c r="K41" s="159">
        <f t="shared" ref="K41:K57" si="8">(J41/O41)</f>
        <v>1.5652173913043479</v>
      </c>
      <c r="L41" s="161">
        <f t="shared" si="7"/>
        <v>2</v>
      </c>
      <c r="M41" s="164">
        <f t="shared" si="4"/>
        <v>2420</v>
      </c>
      <c r="N41" s="164">
        <f t="shared" si="5"/>
        <v>280</v>
      </c>
      <c r="O41" s="164">
        <v>69</v>
      </c>
      <c r="P41" s="159">
        <f t="shared" ref="P41:P57" si="9">(K41-1)</f>
        <v>0.56521739130434789</v>
      </c>
      <c r="Q41" s="159">
        <f t="shared" ref="Q41:Q57" si="10">(L41-1)*2</f>
        <v>2</v>
      </c>
      <c r="R41" s="165" t="s">
        <v>342</v>
      </c>
      <c r="S41" s="53" t="s">
        <v>221</v>
      </c>
      <c r="T41" s="83">
        <v>44896</v>
      </c>
      <c r="U41" s="238"/>
      <c r="V41" s="239"/>
      <c r="W41" s="238"/>
      <c r="X41" s="239"/>
      <c r="Y41" s="240">
        <v>0</v>
      </c>
      <c r="Z41" s="107">
        <f t="shared" si="6"/>
        <v>0</v>
      </c>
    </row>
    <row r="42" spans="2:26" x14ac:dyDescent="0.25">
      <c r="B42" s="311"/>
      <c r="C42" s="222" t="s">
        <v>421</v>
      </c>
      <c r="D42" s="157" t="s">
        <v>378</v>
      </c>
      <c r="E42" s="164"/>
      <c r="F42" s="211" t="s">
        <v>212</v>
      </c>
      <c r="G42" s="159"/>
      <c r="H42" s="159">
        <v>2390</v>
      </c>
      <c r="I42" s="159">
        <v>300</v>
      </c>
      <c r="J42" s="159">
        <v>108</v>
      </c>
      <c r="K42" s="159">
        <f t="shared" si="8"/>
        <v>1.5652173913043479</v>
      </c>
      <c r="L42" s="161">
        <f t="shared" si="7"/>
        <v>2</v>
      </c>
      <c r="M42" s="164">
        <f t="shared" si="4"/>
        <v>2390</v>
      </c>
      <c r="N42" s="164">
        <f t="shared" si="5"/>
        <v>300</v>
      </c>
      <c r="O42" s="164">
        <v>69</v>
      </c>
      <c r="P42" s="159">
        <f t="shared" si="9"/>
        <v>0.56521739130434789</v>
      </c>
      <c r="Q42" s="159">
        <f t="shared" si="10"/>
        <v>2</v>
      </c>
      <c r="R42" s="165" t="s">
        <v>342</v>
      </c>
      <c r="S42" s="53" t="s">
        <v>221</v>
      </c>
      <c r="T42" s="83">
        <v>44896</v>
      </c>
      <c r="U42" s="238"/>
      <c r="V42" s="239"/>
      <c r="W42" s="238"/>
      <c r="X42" s="239"/>
      <c r="Y42" s="240">
        <v>0</v>
      </c>
      <c r="Z42" s="107">
        <f t="shared" si="6"/>
        <v>0</v>
      </c>
    </row>
    <row r="43" spans="2:26" x14ac:dyDescent="0.25">
      <c r="B43" s="311"/>
      <c r="C43" s="222" t="s">
        <v>422</v>
      </c>
      <c r="D43" s="157" t="s">
        <v>378</v>
      </c>
      <c r="E43" s="164"/>
      <c r="F43" s="211" t="s">
        <v>212</v>
      </c>
      <c r="G43" s="159"/>
      <c r="H43" s="159">
        <v>2400</v>
      </c>
      <c r="I43" s="159">
        <v>280</v>
      </c>
      <c r="J43" s="159">
        <v>102</v>
      </c>
      <c r="K43" s="159">
        <f t="shared" si="8"/>
        <v>1.4782608695652173</v>
      </c>
      <c r="L43" s="161">
        <f t="shared" si="7"/>
        <v>2</v>
      </c>
      <c r="M43" s="164">
        <f t="shared" si="4"/>
        <v>2400</v>
      </c>
      <c r="N43" s="164">
        <f t="shared" si="5"/>
        <v>280</v>
      </c>
      <c r="O43" s="164">
        <v>69</v>
      </c>
      <c r="P43" s="159">
        <f t="shared" si="9"/>
        <v>0.47826086956521729</v>
      </c>
      <c r="Q43" s="159">
        <f t="shared" si="10"/>
        <v>2</v>
      </c>
      <c r="R43" s="165" t="s">
        <v>342</v>
      </c>
      <c r="S43" s="53" t="s">
        <v>221</v>
      </c>
      <c r="T43" s="83">
        <v>44896</v>
      </c>
      <c r="U43" s="238"/>
      <c r="V43" s="239"/>
      <c r="W43" s="238"/>
      <c r="X43" s="239"/>
      <c r="Y43" s="240">
        <v>0</v>
      </c>
      <c r="Z43" s="107">
        <f t="shared" si="6"/>
        <v>0</v>
      </c>
    </row>
    <row r="44" spans="2:26" x14ac:dyDescent="0.25">
      <c r="B44" s="311"/>
      <c r="C44" s="222" t="s">
        <v>423</v>
      </c>
      <c r="D44" s="157" t="s">
        <v>378</v>
      </c>
      <c r="E44" s="164"/>
      <c r="F44" s="211" t="s">
        <v>212</v>
      </c>
      <c r="G44" s="159"/>
      <c r="H44" s="159">
        <v>2430</v>
      </c>
      <c r="I44" s="159">
        <v>280</v>
      </c>
      <c r="J44" s="159">
        <v>102</v>
      </c>
      <c r="K44" s="159">
        <f t="shared" si="8"/>
        <v>1.4782608695652173</v>
      </c>
      <c r="L44" s="161">
        <f t="shared" si="7"/>
        <v>2</v>
      </c>
      <c r="M44" s="164">
        <f t="shared" si="4"/>
        <v>2430</v>
      </c>
      <c r="N44" s="164">
        <f t="shared" si="5"/>
        <v>280</v>
      </c>
      <c r="O44" s="164">
        <v>69</v>
      </c>
      <c r="P44" s="159">
        <f t="shared" si="9"/>
        <v>0.47826086956521729</v>
      </c>
      <c r="Q44" s="159">
        <f t="shared" si="10"/>
        <v>2</v>
      </c>
      <c r="R44" s="165" t="s">
        <v>342</v>
      </c>
      <c r="S44" s="53" t="s">
        <v>221</v>
      </c>
      <c r="T44" s="83">
        <v>44896</v>
      </c>
      <c r="U44" s="238"/>
      <c r="V44" s="239"/>
      <c r="W44" s="238"/>
      <c r="X44" s="239"/>
      <c r="Y44" s="240">
        <v>0</v>
      </c>
      <c r="Z44" s="107">
        <f t="shared" si="6"/>
        <v>0</v>
      </c>
    </row>
    <row r="45" spans="2:26" x14ac:dyDescent="0.25">
      <c r="B45" s="311"/>
      <c r="C45" s="222" t="s">
        <v>424</v>
      </c>
      <c r="D45" s="157" t="s">
        <v>378</v>
      </c>
      <c r="E45" s="164"/>
      <c r="F45" s="211" t="s">
        <v>212</v>
      </c>
      <c r="G45" s="159"/>
      <c r="H45" s="159">
        <v>3000</v>
      </c>
      <c r="I45" s="159">
        <v>280</v>
      </c>
      <c r="J45" s="159">
        <v>102</v>
      </c>
      <c r="K45" s="159">
        <f t="shared" si="8"/>
        <v>1.4782608695652173</v>
      </c>
      <c r="L45" s="161">
        <f t="shared" si="7"/>
        <v>2</v>
      </c>
      <c r="M45" s="164">
        <f t="shared" si="4"/>
        <v>3000</v>
      </c>
      <c r="N45" s="164">
        <f t="shared" si="5"/>
        <v>280</v>
      </c>
      <c r="O45" s="164">
        <v>69</v>
      </c>
      <c r="P45" s="159">
        <f t="shared" si="9"/>
        <v>0.47826086956521729</v>
      </c>
      <c r="Q45" s="159">
        <f t="shared" si="10"/>
        <v>2</v>
      </c>
      <c r="R45" s="165" t="s">
        <v>342</v>
      </c>
      <c r="S45" s="53" t="s">
        <v>221</v>
      </c>
      <c r="T45" s="83">
        <v>44896</v>
      </c>
      <c r="U45" s="238"/>
      <c r="V45" s="239"/>
      <c r="W45" s="238"/>
      <c r="X45" s="239"/>
      <c r="Y45" s="240">
        <v>0</v>
      </c>
      <c r="Z45" s="107">
        <f t="shared" si="6"/>
        <v>0</v>
      </c>
    </row>
    <row r="46" spans="2:26" x14ac:dyDescent="0.25">
      <c r="B46" s="311"/>
      <c r="C46" s="222" t="s">
        <v>424</v>
      </c>
      <c r="D46" s="157" t="s">
        <v>391</v>
      </c>
      <c r="E46" s="164" t="s">
        <v>400</v>
      </c>
      <c r="F46" s="211" t="s">
        <v>212</v>
      </c>
      <c r="G46" s="159"/>
      <c r="H46" s="159">
        <v>1100</v>
      </c>
      <c r="I46" s="159">
        <v>140</v>
      </c>
      <c r="J46" s="159">
        <v>121</v>
      </c>
      <c r="K46" s="159">
        <f t="shared" si="8"/>
        <v>1.7536231884057971</v>
      </c>
      <c r="L46" s="161">
        <f t="shared" si="7"/>
        <v>2</v>
      </c>
      <c r="M46" s="164">
        <f t="shared" si="4"/>
        <v>1100</v>
      </c>
      <c r="N46" s="164">
        <f t="shared" si="5"/>
        <v>140</v>
      </c>
      <c r="O46" s="164">
        <v>69</v>
      </c>
      <c r="P46" s="159">
        <f t="shared" si="9"/>
        <v>0.75362318840579712</v>
      </c>
      <c r="Q46" s="159">
        <f t="shared" si="10"/>
        <v>2</v>
      </c>
      <c r="R46" s="165" t="s">
        <v>342</v>
      </c>
      <c r="S46" s="53" t="s">
        <v>221</v>
      </c>
      <c r="T46" s="83">
        <v>44896</v>
      </c>
      <c r="U46" s="238"/>
      <c r="V46" s="239"/>
      <c r="W46" s="238"/>
      <c r="X46" s="239"/>
      <c r="Y46" s="240">
        <v>0</v>
      </c>
      <c r="Z46" s="107">
        <f t="shared" si="6"/>
        <v>0</v>
      </c>
    </row>
    <row r="47" spans="2:26" x14ac:dyDescent="0.25">
      <c r="B47" s="311"/>
      <c r="C47" s="222" t="s">
        <v>424</v>
      </c>
      <c r="D47" s="157" t="s">
        <v>392</v>
      </c>
      <c r="E47" s="164"/>
      <c r="F47" s="211" t="s">
        <v>212</v>
      </c>
      <c r="G47" s="159"/>
      <c r="H47" s="159">
        <v>1400</v>
      </c>
      <c r="I47" s="159">
        <v>120</v>
      </c>
      <c r="J47" s="159">
        <v>102</v>
      </c>
      <c r="K47" s="159">
        <f t="shared" si="8"/>
        <v>1.4782608695652173</v>
      </c>
      <c r="L47" s="161">
        <f t="shared" si="7"/>
        <v>2</v>
      </c>
      <c r="M47" s="164">
        <f t="shared" si="4"/>
        <v>1400</v>
      </c>
      <c r="N47" s="164">
        <f t="shared" si="5"/>
        <v>120</v>
      </c>
      <c r="O47" s="164">
        <v>69</v>
      </c>
      <c r="P47" s="159">
        <f t="shared" si="9"/>
        <v>0.47826086956521729</v>
      </c>
      <c r="Q47" s="159">
        <f t="shared" si="10"/>
        <v>2</v>
      </c>
      <c r="R47" s="165" t="s">
        <v>342</v>
      </c>
      <c r="S47" s="53" t="s">
        <v>221</v>
      </c>
      <c r="T47" s="83">
        <v>44896</v>
      </c>
      <c r="U47" s="238"/>
      <c r="V47" s="239"/>
      <c r="W47" s="238"/>
      <c r="X47" s="239"/>
      <c r="Y47" s="240">
        <v>0</v>
      </c>
      <c r="Z47" s="107">
        <f t="shared" si="6"/>
        <v>0</v>
      </c>
    </row>
    <row r="48" spans="2:26" x14ac:dyDescent="0.25">
      <c r="B48" s="311"/>
      <c r="C48" s="222" t="s">
        <v>425</v>
      </c>
      <c r="D48" s="157" t="s">
        <v>378</v>
      </c>
      <c r="E48" s="164"/>
      <c r="F48" s="211" t="s">
        <v>212</v>
      </c>
      <c r="G48" s="159"/>
      <c r="H48" s="159">
        <v>2370</v>
      </c>
      <c r="I48" s="159">
        <v>280</v>
      </c>
      <c r="J48" s="159">
        <v>102</v>
      </c>
      <c r="K48" s="159">
        <f t="shared" si="8"/>
        <v>1.4782608695652173</v>
      </c>
      <c r="L48" s="161">
        <f t="shared" si="7"/>
        <v>2</v>
      </c>
      <c r="M48" s="164">
        <f t="shared" si="4"/>
        <v>2370</v>
      </c>
      <c r="N48" s="164">
        <f t="shared" si="5"/>
        <v>280</v>
      </c>
      <c r="O48" s="164">
        <v>69</v>
      </c>
      <c r="P48" s="159">
        <f t="shared" si="9"/>
        <v>0.47826086956521729</v>
      </c>
      <c r="Q48" s="159">
        <f t="shared" si="10"/>
        <v>2</v>
      </c>
      <c r="R48" s="165" t="s">
        <v>342</v>
      </c>
      <c r="S48" s="53" t="s">
        <v>221</v>
      </c>
      <c r="T48" s="83">
        <v>44896</v>
      </c>
      <c r="U48" s="238"/>
      <c r="V48" s="239"/>
      <c r="W48" s="238"/>
      <c r="X48" s="239"/>
      <c r="Y48" s="240">
        <v>0</v>
      </c>
      <c r="Z48" s="107">
        <f t="shared" si="6"/>
        <v>0</v>
      </c>
    </row>
    <row r="49" spans="2:26" x14ac:dyDescent="0.25">
      <c r="B49" s="311"/>
      <c r="C49" s="222" t="s">
        <v>425</v>
      </c>
      <c r="D49" s="157" t="s">
        <v>393</v>
      </c>
      <c r="E49" s="164" t="s">
        <v>404</v>
      </c>
      <c r="F49" s="211" t="s">
        <v>212</v>
      </c>
      <c r="G49" s="159"/>
      <c r="H49" s="159">
        <v>1900</v>
      </c>
      <c r="I49" s="159">
        <v>368</v>
      </c>
      <c r="J49" s="159">
        <v>318</v>
      </c>
      <c r="K49" s="159">
        <f t="shared" si="8"/>
        <v>4.6086956521739131</v>
      </c>
      <c r="L49" s="161">
        <f t="shared" ref="L49:L57" si="11">ROUNDUP(K49,0)</f>
        <v>5</v>
      </c>
      <c r="M49" s="164">
        <f t="shared" ref="M49:M56" si="12">H49</f>
        <v>1900</v>
      </c>
      <c r="N49" s="164">
        <f t="shared" ref="N49:N57" si="13">I49</f>
        <v>368</v>
      </c>
      <c r="O49" s="164">
        <v>69</v>
      </c>
      <c r="P49" s="159">
        <f t="shared" si="9"/>
        <v>3.6086956521739131</v>
      </c>
      <c r="Q49" s="159">
        <f t="shared" si="10"/>
        <v>8</v>
      </c>
      <c r="R49" s="165" t="s">
        <v>342</v>
      </c>
      <c r="S49" s="53" t="s">
        <v>221</v>
      </c>
      <c r="T49" s="83">
        <v>44896</v>
      </c>
      <c r="U49" s="238"/>
      <c r="V49" s="239"/>
      <c r="W49" s="238"/>
      <c r="X49" s="239"/>
      <c r="Y49" s="240">
        <v>0</v>
      </c>
      <c r="Z49" s="107">
        <f t="shared" si="6"/>
        <v>0</v>
      </c>
    </row>
    <row r="50" spans="2:26" x14ac:dyDescent="0.25">
      <c r="B50" s="311"/>
      <c r="C50" s="222" t="s">
        <v>426</v>
      </c>
      <c r="D50" s="157" t="s">
        <v>393</v>
      </c>
      <c r="E50" s="164"/>
      <c r="F50" s="211" t="s">
        <v>212</v>
      </c>
      <c r="G50" s="159"/>
      <c r="H50" s="159">
        <v>1900</v>
      </c>
      <c r="I50" s="159">
        <v>417</v>
      </c>
      <c r="J50" s="159">
        <v>423</v>
      </c>
      <c r="K50" s="159">
        <f t="shared" si="8"/>
        <v>6.1304347826086953</v>
      </c>
      <c r="L50" s="161">
        <f t="shared" si="11"/>
        <v>7</v>
      </c>
      <c r="M50" s="164">
        <f t="shared" si="12"/>
        <v>1900</v>
      </c>
      <c r="N50" s="164">
        <f t="shared" si="13"/>
        <v>417</v>
      </c>
      <c r="O50" s="164">
        <v>69</v>
      </c>
      <c r="P50" s="159">
        <f t="shared" si="9"/>
        <v>5.1304347826086953</v>
      </c>
      <c r="Q50" s="159">
        <f t="shared" si="10"/>
        <v>12</v>
      </c>
      <c r="R50" s="165" t="s">
        <v>342</v>
      </c>
      <c r="S50" s="53" t="s">
        <v>221</v>
      </c>
      <c r="T50" s="83">
        <v>44896</v>
      </c>
      <c r="U50" s="238"/>
      <c r="V50" s="239"/>
      <c r="W50" s="238"/>
      <c r="X50" s="239"/>
      <c r="Y50" s="240">
        <v>0</v>
      </c>
      <c r="Z50" s="107">
        <f t="shared" si="6"/>
        <v>0</v>
      </c>
    </row>
    <row r="51" spans="2:26" x14ac:dyDescent="0.25">
      <c r="B51" s="311"/>
      <c r="C51" s="222" t="s">
        <v>427</v>
      </c>
      <c r="D51" s="157" t="s">
        <v>395</v>
      </c>
      <c r="E51" s="164" t="s">
        <v>405</v>
      </c>
      <c r="F51" s="211" t="s">
        <v>212</v>
      </c>
      <c r="G51" s="159"/>
      <c r="H51" s="159">
        <v>1220</v>
      </c>
      <c r="I51" s="159">
        <v>146</v>
      </c>
      <c r="J51" s="159">
        <v>127</v>
      </c>
      <c r="K51" s="159">
        <f t="shared" si="8"/>
        <v>1.8405797101449275</v>
      </c>
      <c r="L51" s="161">
        <f t="shared" si="11"/>
        <v>2</v>
      </c>
      <c r="M51" s="164">
        <f t="shared" si="12"/>
        <v>1220</v>
      </c>
      <c r="N51" s="164">
        <f t="shared" si="13"/>
        <v>146</v>
      </c>
      <c r="O51" s="164">
        <v>69</v>
      </c>
      <c r="P51" s="159">
        <f t="shared" si="9"/>
        <v>0.84057971014492749</v>
      </c>
      <c r="Q51" s="159">
        <f t="shared" si="10"/>
        <v>2</v>
      </c>
      <c r="R51" s="165" t="s">
        <v>342</v>
      </c>
      <c r="S51" s="53" t="s">
        <v>221</v>
      </c>
      <c r="T51" s="83">
        <v>44896</v>
      </c>
      <c r="U51" s="238"/>
      <c r="V51" s="239"/>
      <c r="W51" s="238"/>
      <c r="X51" s="239"/>
      <c r="Y51" s="240">
        <v>0</v>
      </c>
      <c r="Z51" s="107">
        <f t="shared" si="6"/>
        <v>0</v>
      </c>
    </row>
    <row r="52" spans="2:26" x14ac:dyDescent="0.25">
      <c r="B52" s="311"/>
      <c r="C52" s="222" t="s">
        <v>428</v>
      </c>
      <c r="D52" s="157" t="s">
        <v>393</v>
      </c>
      <c r="E52" s="164"/>
      <c r="F52" s="211" t="s">
        <v>212</v>
      </c>
      <c r="G52" s="159"/>
      <c r="H52" s="159">
        <v>1900</v>
      </c>
      <c r="I52" s="159">
        <v>394</v>
      </c>
      <c r="J52" s="159">
        <v>419</v>
      </c>
      <c r="K52" s="159">
        <f t="shared" si="8"/>
        <v>6.0724637681159424</v>
      </c>
      <c r="L52" s="161">
        <f t="shared" si="11"/>
        <v>7</v>
      </c>
      <c r="M52" s="164">
        <f t="shared" si="12"/>
        <v>1900</v>
      </c>
      <c r="N52" s="164">
        <f t="shared" si="13"/>
        <v>394</v>
      </c>
      <c r="O52" s="164">
        <v>69</v>
      </c>
      <c r="P52" s="159">
        <f t="shared" si="9"/>
        <v>5.0724637681159424</v>
      </c>
      <c r="Q52" s="159">
        <f t="shared" si="10"/>
        <v>12</v>
      </c>
      <c r="R52" s="165" t="s">
        <v>342</v>
      </c>
      <c r="S52" s="53" t="s">
        <v>221</v>
      </c>
      <c r="T52" s="83">
        <v>44896</v>
      </c>
      <c r="U52" s="238"/>
      <c r="V52" s="239"/>
      <c r="W52" s="238"/>
      <c r="X52" s="239"/>
      <c r="Y52" s="240">
        <v>0</v>
      </c>
      <c r="Z52" s="107">
        <f t="shared" si="6"/>
        <v>0</v>
      </c>
    </row>
    <row r="53" spans="2:26" x14ac:dyDescent="0.25">
      <c r="B53" s="311"/>
      <c r="C53" s="222" t="s">
        <v>428</v>
      </c>
      <c r="D53" s="157" t="s">
        <v>394</v>
      </c>
      <c r="E53" s="164"/>
      <c r="F53" s="211" t="s">
        <v>212</v>
      </c>
      <c r="G53" s="159"/>
      <c r="H53" s="159">
        <v>1600</v>
      </c>
      <c r="I53" s="159">
        <v>362</v>
      </c>
      <c r="J53" s="159">
        <v>533</v>
      </c>
      <c r="K53" s="159">
        <f t="shared" si="8"/>
        <v>7.72463768115942</v>
      </c>
      <c r="L53" s="161">
        <f t="shared" si="11"/>
        <v>8</v>
      </c>
      <c r="M53" s="164">
        <f t="shared" si="12"/>
        <v>1600</v>
      </c>
      <c r="N53" s="164">
        <f t="shared" si="13"/>
        <v>362</v>
      </c>
      <c r="O53" s="164">
        <v>69</v>
      </c>
      <c r="P53" s="159">
        <f t="shared" si="9"/>
        <v>6.72463768115942</v>
      </c>
      <c r="Q53" s="159">
        <f t="shared" si="10"/>
        <v>14</v>
      </c>
      <c r="R53" s="165" t="s">
        <v>342</v>
      </c>
      <c r="S53" s="53" t="s">
        <v>221</v>
      </c>
      <c r="T53" s="83">
        <v>44896</v>
      </c>
      <c r="U53" s="238"/>
      <c r="V53" s="239"/>
      <c r="W53" s="238"/>
      <c r="X53" s="239"/>
      <c r="Y53" s="240">
        <v>0</v>
      </c>
      <c r="Z53" s="107">
        <f t="shared" si="6"/>
        <v>0</v>
      </c>
    </row>
    <row r="54" spans="2:26" x14ac:dyDescent="0.25">
      <c r="B54" s="311"/>
      <c r="C54" s="222" t="s">
        <v>429</v>
      </c>
      <c r="D54" s="157" t="s">
        <v>395</v>
      </c>
      <c r="E54" s="164"/>
      <c r="F54" s="211" t="s">
        <v>212</v>
      </c>
      <c r="G54" s="159"/>
      <c r="H54" s="159">
        <v>1220</v>
      </c>
      <c r="I54" s="159">
        <v>146</v>
      </c>
      <c r="J54" s="159">
        <v>127</v>
      </c>
      <c r="K54" s="159">
        <f t="shared" si="8"/>
        <v>1.8405797101449275</v>
      </c>
      <c r="L54" s="161">
        <f t="shared" si="11"/>
        <v>2</v>
      </c>
      <c r="M54" s="164">
        <f t="shared" si="12"/>
        <v>1220</v>
      </c>
      <c r="N54" s="164">
        <f t="shared" si="13"/>
        <v>146</v>
      </c>
      <c r="O54" s="164">
        <v>69</v>
      </c>
      <c r="P54" s="159">
        <f t="shared" si="9"/>
        <v>0.84057971014492749</v>
      </c>
      <c r="Q54" s="159">
        <f t="shared" si="10"/>
        <v>2</v>
      </c>
      <c r="R54" s="165" t="s">
        <v>342</v>
      </c>
      <c r="S54" s="53" t="s">
        <v>221</v>
      </c>
      <c r="T54" s="83">
        <v>44896</v>
      </c>
      <c r="U54" s="238"/>
      <c r="V54" s="239"/>
      <c r="W54" s="238"/>
      <c r="X54" s="239"/>
      <c r="Y54" s="240">
        <v>0</v>
      </c>
      <c r="Z54" s="107">
        <f t="shared" si="6"/>
        <v>0</v>
      </c>
    </row>
    <row r="55" spans="2:26" x14ac:dyDescent="0.25">
      <c r="B55" s="311"/>
      <c r="C55" s="222" t="s">
        <v>429</v>
      </c>
      <c r="D55" s="157" t="s">
        <v>396</v>
      </c>
      <c r="E55" s="164"/>
      <c r="F55" s="211" t="s">
        <v>212</v>
      </c>
      <c r="G55" s="159"/>
      <c r="H55" s="159">
        <v>1220</v>
      </c>
      <c r="I55" s="159">
        <v>159</v>
      </c>
      <c r="J55" s="159">
        <v>127</v>
      </c>
      <c r="K55" s="159">
        <f t="shared" si="8"/>
        <v>1.8405797101449275</v>
      </c>
      <c r="L55" s="161">
        <f t="shared" si="11"/>
        <v>2</v>
      </c>
      <c r="M55" s="164">
        <f t="shared" si="12"/>
        <v>1220</v>
      </c>
      <c r="N55" s="164">
        <f t="shared" si="13"/>
        <v>159</v>
      </c>
      <c r="O55" s="164">
        <v>69</v>
      </c>
      <c r="P55" s="159">
        <f t="shared" si="9"/>
        <v>0.84057971014492749</v>
      </c>
      <c r="Q55" s="159">
        <f t="shared" si="10"/>
        <v>2</v>
      </c>
      <c r="R55" s="165" t="s">
        <v>342</v>
      </c>
      <c r="S55" s="53" t="s">
        <v>221</v>
      </c>
      <c r="T55" s="83">
        <v>44896</v>
      </c>
      <c r="U55" s="238"/>
      <c r="V55" s="239"/>
      <c r="W55" s="238"/>
      <c r="X55" s="239"/>
      <c r="Y55" s="240">
        <v>0</v>
      </c>
      <c r="Z55" s="107">
        <f t="shared" si="6"/>
        <v>0</v>
      </c>
    </row>
    <row r="56" spans="2:26" x14ac:dyDescent="0.25">
      <c r="B56" s="311"/>
      <c r="C56" s="222" t="s">
        <v>430</v>
      </c>
      <c r="D56" s="157" t="s">
        <v>393</v>
      </c>
      <c r="E56" s="164"/>
      <c r="F56" s="211" t="s">
        <v>212</v>
      </c>
      <c r="G56" s="159"/>
      <c r="H56" s="159">
        <v>1900</v>
      </c>
      <c r="I56" s="159">
        <v>394</v>
      </c>
      <c r="J56" s="159">
        <v>419</v>
      </c>
      <c r="K56" s="159">
        <f t="shared" si="8"/>
        <v>6.0724637681159424</v>
      </c>
      <c r="L56" s="161">
        <f t="shared" si="11"/>
        <v>7</v>
      </c>
      <c r="M56" s="164">
        <f t="shared" si="12"/>
        <v>1900</v>
      </c>
      <c r="N56" s="164">
        <f t="shared" si="13"/>
        <v>394</v>
      </c>
      <c r="O56" s="164">
        <v>69</v>
      </c>
      <c r="P56" s="159">
        <f t="shared" si="9"/>
        <v>5.0724637681159424</v>
      </c>
      <c r="Q56" s="159">
        <f t="shared" si="10"/>
        <v>12</v>
      </c>
      <c r="R56" s="165" t="s">
        <v>342</v>
      </c>
      <c r="S56" s="53" t="s">
        <v>221</v>
      </c>
      <c r="T56" s="83">
        <v>44896</v>
      </c>
      <c r="U56" s="238"/>
      <c r="V56" s="239"/>
      <c r="W56" s="238"/>
      <c r="X56" s="239"/>
      <c r="Y56" s="240">
        <v>0</v>
      </c>
      <c r="Z56" s="107">
        <f t="shared" si="6"/>
        <v>0</v>
      </c>
    </row>
    <row r="57" spans="2:26" x14ac:dyDescent="0.25">
      <c r="B57" s="311"/>
      <c r="C57" s="223" t="s">
        <v>431</v>
      </c>
      <c r="D57" s="209" t="s">
        <v>396</v>
      </c>
      <c r="E57" s="210"/>
      <c r="F57" s="211" t="s">
        <v>212</v>
      </c>
      <c r="G57" s="211"/>
      <c r="H57" s="211">
        <v>1.22</v>
      </c>
      <c r="I57" s="211">
        <v>146</v>
      </c>
      <c r="J57" s="211">
        <v>127</v>
      </c>
      <c r="K57" s="211">
        <f t="shared" si="8"/>
        <v>1.8405797101449275</v>
      </c>
      <c r="L57" s="212">
        <f t="shared" si="11"/>
        <v>2</v>
      </c>
      <c r="M57" s="210">
        <v>1220</v>
      </c>
      <c r="N57" s="210">
        <f t="shared" si="13"/>
        <v>146</v>
      </c>
      <c r="O57" s="210">
        <v>69</v>
      </c>
      <c r="P57" s="211">
        <f t="shared" si="9"/>
        <v>0.84057971014492749</v>
      </c>
      <c r="Q57" s="211">
        <f t="shared" si="10"/>
        <v>2</v>
      </c>
      <c r="R57" s="213" t="s">
        <v>342</v>
      </c>
      <c r="S57" s="214" t="s">
        <v>221</v>
      </c>
      <c r="T57" s="215">
        <v>44896</v>
      </c>
      <c r="U57" s="261"/>
      <c r="V57" s="262"/>
      <c r="W57" s="261"/>
      <c r="X57" s="262"/>
      <c r="Y57" s="240">
        <v>0</v>
      </c>
      <c r="Z57" s="108">
        <f t="shared" si="6"/>
        <v>0</v>
      </c>
    </row>
    <row r="58" spans="2:26" ht="15.75" thickBot="1" x14ac:dyDescent="0.3">
      <c r="B58" s="313"/>
      <c r="C58" s="226" t="s">
        <v>465</v>
      </c>
      <c r="D58" s="217"/>
      <c r="E58" s="216"/>
      <c r="F58" s="216"/>
      <c r="G58" s="216"/>
      <c r="H58" s="216"/>
      <c r="I58" s="216"/>
      <c r="J58" s="216"/>
      <c r="K58" s="216"/>
      <c r="L58" s="216"/>
      <c r="M58" s="216"/>
      <c r="N58" s="216"/>
      <c r="O58" s="216"/>
      <c r="P58" s="218"/>
      <c r="Q58" s="204">
        <f>SUM(Q9:Q57)</f>
        <v>172</v>
      </c>
      <c r="R58" s="216"/>
      <c r="S58" s="216"/>
      <c r="T58" s="216"/>
      <c r="U58" s="216"/>
      <c r="V58" s="216"/>
      <c r="W58" s="216"/>
      <c r="X58" s="216"/>
      <c r="Y58" s="216"/>
      <c r="Z58" s="219">
        <f>SUM(Z9:Z57)</f>
        <v>0</v>
      </c>
    </row>
    <row r="59" spans="2:26" x14ac:dyDescent="0.25">
      <c r="C59" s="125"/>
      <c r="D59" s="125"/>
      <c r="E59" s="174"/>
    </row>
    <row r="60" spans="2:26" x14ac:dyDescent="0.25">
      <c r="C60" s="174"/>
      <c r="D60" s="174"/>
      <c r="E60" s="174"/>
    </row>
    <row r="61" spans="2:26" x14ac:dyDescent="0.25">
      <c r="C61" s="174"/>
      <c r="D61" s="174"/>
      <c r="E61" s="174"/>
    </row>
    <row r="62" spans="2:26" x14ac:dyDescent="0.25">
      <c r="C62" s="174"/>
      <c r="D62" s="174"/>
      <c r="E62" s="174"/>
    </row>
  </sheetData>
  <autoFilter ref="C7:Z58" xr:uid="{B21AE161-98E9-4829-A7E1-7704E3F97B48}"/>
  <mergeCells count="9">
    <mergeCell ref="M3:O3"/>
    <mergeCell ref="B9:B58"/>
    <mergeCell ref="X5:X6"/>
    <mergeCell ref="Y5:Y6"/>
    <mergeCell ref="G5:J6"/>
    <mergeCell ref="M5:O6"/>
    <mergeCell ref="U5:U6"/>
    <mergeCell ref="V5:V6"/>
    <mergeCell ref="W5:W6"/>
  </mergeCells>
  <conditionalFormatting sqref="U9:W57">
    <cfRule type="containsText" dxfId="41" priority="1" operator="containsText" text="N">
      <formula>NOT(ISERROR(SEARCH("N",U9)))</formula>
    </cfRule>
    <cfRule type="containsText" dxfId="40" priority="2" operator="containsText" text="Y">
      <formula>NOT(ISERROR(SEARCH("Y",U9)))</formula>
    </cfRule>
  </conditionalFormatting>
  <printOptions gridLines="1"/>
  <pageMargins left="0.31496062992125984" right="0.31496062992125984" top="0.94488188976377963" bottom="0.55118110236220474" header="0.31496062992125984" footer="0.31496062992125984"/>
  <pageSetup paperSize="8" scale="96" fitToHeight="0" orientation="landscape" r:id="rId1"/>
  <headerFooter>
    <oddHeader>&amp;C&amp;"-,Bold"HMS VICTORY
TIMBER SUPPLY FRAMEWORK&amp;R&amp;G</oddHeader>
    <oddFooter>Page &amp;P of &amp;N</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215F6770-6D8C-4992-96D7-FBB8BB633D0B}">
          <x14:formula1>
            <xm:f>'Pick List'!$D$2:$D$4</xm:f>
          </x14:formula1>
          <xm:sqref>O9:O57</xm:sqref>
        </x14:dataValidation>
        <x14:dataValidation type="list" allowBlank="1" showInputMessage="1" showErrorMessage="1" xr:uid="{BA06F3BE-D7B3-4574-BA18-8E9FA61C89BD}">
          <x14:formula1>
            <xm:f>'Pick List'!$B$3:$B$5</xm:f>
          </x14:formula1>
          <xm:sqref>F9:F57</xm:sqref>
        </x14:dataValidation>
        <x14:dataValidation type="list" allowBlank="1" showInputMessage="1" showErrorMessage="1" xr:uid="{8BFFECB8-5FE0-4BF7-BCA8-F9C9AAD3FDF0}">
          <x14:formula1>
            <xm:f>'Pick List'!$F$2:$F$3</xm:f>
          </x14:formula1>
          <xm:sqref>W9:W57 U9:U57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6A442-A08C-4DE0-837E-851268EB60AD}">
  <sheetPr>
    <tabColor rgb="FFFFC000"/>
    <pageSetUpPr fitToPage="1"/>
  </sheetPr>
  <dimension ref="B2:AE26"/>
  <sheetViews>
    <sheetView showGridLines="0" zoomScale="80" zoomScaleNormal="80" workbookViewId="0">
      <selection activeCell="T34" sqref="T34"/>
    </sheetView>
  </sheetViews>
  <sheetFormatPr defaultRowHeight="15" x14ac:dyDescent="0.25"/>
  <cols>
    <col min="1" max="1" width="5.28515625" customWidth="1"/>
    <col min="2" max="2" width="5.7109375" customWidth="1"/>
    <col min="3" max="3" width="16.5703125" customWidth="1"/>
    <col min="4" max="4" width="14.85546875" customWidth="1"/>
    <col min="5" max="5" width="17.85546875" hidden="1" customWidth="1"/>
    <col min="6" max="6" width="9.85546875" bestFit="1" customWidth="1"/>
    <col min="7" max="7" width="16.7109375" hidden="1" customWidth="1"/>
    <col min="8" max="8" width="17" hidden="1" customWidth="1"/>
    <col min="9" max="9" width="18.7109375" hidden="1" customWidth="1"/>
    <col min="10" max="10" width="16.5703125" hidden="1" customWidth="1"/>
    <col min="11" max="11" width="14" customWidth="1"/>
    <col min="12" max="12" width="11.28515625" hidden="1" customWidth="1"/>
    <col min="13" max="14" width="14" customWidth="1"/>
    <col min="15" max="15" width="12.7109375" hidden="1" customWidth="1"/>
    <col min="16" max="16" width="12.42578125" hidden="1" customWidth="1"/>
    <col min="17" max="17" width="14.7109375" hidden="1" customWidth="1"/>
    <col min="18" max="18" width="14.28515625" customWidth="1"/>
    <col min="19" max="20" width="14.7109375" customWidth="1"/>
    <col min="21" max="21" width="14.7109375" hidden="1" customWidth="1"/>
    <col min="22" max="22" width="17.85546875" hidden="1" customWidth="1"/>
    <col min="23" max="31" width="14.7109375" customWidth="1"/>
  </cols>
  <sheetData>
    <row r="2" spans="2:31" ht="36" customHeight="1" thickBot="1" x14ac:dyDescent="0.3">
      <c r="C2" s="67" t="s">
        <v>511</v>
      </c>
      <c r="D2" s="259"/>
      <c r="AB2" s="323"/>
    </row>
    <row r="3" spans="2:31" ht="21" customHeight="1" thickBot="1" x14ac:dyDescent="0.3">
      <c r="C3" s="286" t="s">
        <v>461</v>
      </c>
      <c r="D3" s="307"/>
      <c r="E3" s="308"/>
      <c r="F3" s="309"/>
      <c r="G3" s="277"/>
      <c r="H3" s="277"/>
      <c r="I3" s="277"/>
      <c r="J3" s="277"/>
      <c r="K3" s="277"/>
      <c r="AB3" s="323"/>
    </row>
    <row r="4" spans="2:31" ht="15" customHeight="1" thickBot="1" x14ac:dyDescent="0.3">
      <c r="C4" s="95"/>
      <c r="D4" s="96"/>
      <c r="E4" s="95"/>
      <c r="F4" s="96"/>
      <c r="G4" s="96"/>
      <c r="H4" s="96"/>
      <c r="I4" s="96"/>
      <c r="J4" s="96"/>
      <c r="K4" s="96"/>
      <c r="L4" s="96"/>
      <c r="M4" s="95"/>
      <c r="N4" s="96"/>
      <c r="O4" s="95"/>
      <c r="P4" s="96"/>
      <c r="Q4" s="95"/>
      <c r="R4" s="96"/>
      <c r="S4" s="96"/>
      <c r="T4" s="95"/>
      <c r="U4" s="96"/>
      <c r="V4" s="95"/>
      <c r="W4" s="95"/>
      <c r="X4" s="96"/>
      <c r="Y4" s="95"/>
      <c r="Z4" s="96"/>
      <c r="AA4" s="96"/>
      <c r="AB4" s="96"/>
      <c r="AC4" s="96"/>
      <c r="AD4" s="96"/>
      <c r="AE4" s="95"/>
    </row>
    <row r="5" spans="2:31" ht="17.25" customHeight="1" x14ac:dyDescent="0.25">
      <c r="C5" s="71"/>
      <c r="G5" s="317" t="s">
        <v>482</v>
      </c>
      <c r="H5" s="318"/>
      <c r="I5" s="318"/>
      <c r="J5" s="319"/>
      <c r="K5" s="317" t="s">
        <v>516</v>
      </c>
      <c r="L5" s="318"/>
      <c r="M5" s="318"/>
      <c r="N5" s="319"/>
      <c r="Q5" s="298" t="s">
        <v>437</v>
      </c>
      <c r="R5" s="299"/>
      <c r="S5" s="299"/>
      <c r="T5" s="300"/>
      <c r="AA5" s="296" t="s">
        <v>239</v>
      </c>
      <c r="AB5" s="296" t="s">
        <v>239</v>
      </c>
      <c r="AC5" s="296" t="s">
        <v>239</v>
      </c>
      <c r="AD5" s="296" t="s">
        <v>239</v>
      </c>
      <c r="AE5" s="296" t="s">
        <v>239</v>
      </c>
    </row>
    <row r="6" spans="2:31" ht="30" customHeight="1" thickBot="1" x14ac:dyDescent="0.3">
      <c r="C6" s="43"/>
      <c r="D6" s="43"/>
      <c r="E6" s="43"/>
      <c r="F6" s="43"/>
      <c r="G6" s="320"/>
      <c r="H6" s="321"/>
      <c r="I6" s="321"/>
      <c r="J6" s="322"/>
      <c r="K6" s="320"/>
      <c r="L6" s="321"/>
      <c r="M6" s="321"/>
      <c r="N6" s="322"/>
      <c r="O6" s="43"/>
      <c r="P6" s="42"/>
      <c r="Q6" s="301"/>
      <c r="R6" s="302"/>
      <c r="S6" s="302"/>
      <c r="T6" s="303"/>
      <c r="U6" s="69"/>
      <c r="V6" s="69"/>
      <c r="W6" s="69"/>
      <c r="X6" s="69"/>
      <c r="Y6" s="42"/>
      <c r="Z6" s="42"/>
      <c r="AA6" s="297"/>
      <c r="AB6" s="297"/>
      <c r="AC6" s="297"/>
      <c r="AD6" s="297"/>
      <c r="AE6" s="297"/>
    </row>
    <row r="7" spans="2:31" ht="60" customHeight="1" thickBot="1" x14ac:dyDescent="0.3">
      <c r="C7" s="100" t="s">
        <v>247</v>
      </c>
      <c r="D7" s="100" t="s">
        <v>13</v>
      </c>
      <c r="E7" s="100" t="s">
        <v>442</v>
      </c>
      <c r="F7" s="100" t="s">
        <v>211</v>
      </c>
      <c r="G7" s="68" t="s">
        <v>486</v>
      </c>
      <c r="H7" s="68" t="s">
        <v>487</v>
      </c>
      <c r="I7" s="68" t="s">
        <v>488</v>
      </c>
      <c r="J7" s="68" t="s">
        <v>489</v>
      </c>
      <c r="K7" s="68" t="s">
        <v>514</v>
      </c>
      <c r="L7" s="101" t="s">
        <v>483</v>
      </c>
      <c r="M7" s="100" t="s">
        <v>515</v>
      </c>
      <c r="N7" s="100" t="s">
        <v>234</v>
      </c>
      <c r="O7" s="100" t="s">
        <v>238</v>
      </c>
      <c r="P7" s="100" t="s">
        <v>237</v>
      </c>
      <c r="Q7" s="101" t="s">
        <v>485</v>
      </c>
      <c r="R7" s="101" t="s">
        <v>484</v>
      </c>
      <c r="S7" s="101" t="s">
        <v>517</v>
      </c>
      <c r="T7" s="100" t="s">
        <v>435</v>
      </c>
      <c r="U7" s="100" t="s">
        <v>434</v>
      </c>
      <c r="V7" s="100" t="s">
        <v>433</v>
      </c>
      <c r="W7" s="100" t="s">
        <v>432</v>
      </c>
      <c r="X7" s="100" t="s">
        <v>217</v>
      </c>
      <c r="Y7" s="100" t="s">
        <v>207</v>
      </c>
      <c r="Z7" s="100" t="s">
        <v>210</v>
      </c>
      <c r="AA7" s="78" t="s">
        <v>438</v>
      </c>
      <c r="AB7" s="78" t="s">
        <v>494</v>
      </c>
      <c r="AC7" s="78" t="s">
        <v>439</v>
      </c>
      <c r="AD7" s="78" t="s">
        <v>440</v>
      </c>
      <c r="AE7" s="78" t="s">
        <v>481</v>
      </c>
    </row>
    <row r="8" spans="2:31" ht="15" customHeight="1" thickBot="1" x14ac:dyDescent="0.3">
      <c r="C8" s="167">
        <v>1</v>
      </c>
      <c r="D8" s="167">
        <v>2</v>
      </c>
      <c r="E8" s="167">
        <v>3</v>
      </c>
      <c r="F8" s="167">
        <v>4</v>
      </c>
      <c r="G8" s="167">
        <v>5</v>
      </c>
      <c r="H8" s="167">
        <v>6</v>
      </c>
      <c r="I8" s="167">
        <v>7</v>
      </c>
      <c r="J8" s="167">
        <v>8</v>
      </c>
      <c r="K8" s="167">
        <v>9</v>
      </c>
      <c r="L8" s="167">
        <v>10</v>
      </c>
      <c r="M8" s="167">
        <v>11</v>
      </c>
      <c r="N8" s="167">
        <v>12</v>
      </c>
      <c r="O8" s="167">
        <v>13</v>
      </c>
      <c r="P8" s="167">
        <v>14</v>
      </c>
      <c r="Q8" s="167">
        <v>15</v>
      </c>
      <c r="R8" s="167">
        <v>16</v>
      </c>
      <c r="S8" s="167">
        <v>17</v>
      </c>
      <c r="T8" s="167">
        <v>18</v>
      </c>
      <c r="U8" s="167">
        <v>19</v>
      </c>
      <c r="V8" s="167">
        <v>20</v>
      </c>
      <c r="W8" s="167">
        <v>21</v>
      </c>
      <c r="X8" s="167">
        <v>22</v>
      </c>
      <c r="Y8" s="167">
        <v>23</v>
      </c>
      <c r="Z8" s="167">
        <v>24</v>
      </c>
      <c r="AA8" s="167">
        <v>25</v>
      </c>
      <c r="AB8" s="167">
        <v>26</v>
      </c>
      <c r="AC8" s="167">
        <v>27</v>
      </c>
      <c r="AD8" s="167">
        <v>28</v>
      </c>
      <c r="AE8" s="167">
        <v>29</v>
      </c>
    </row>
    <row r="9" spans="2:31" s="97" customFormat="1" ht="19.899999999999999" customHeight="1" x14ac:dyDescent="0.25">
      <c r="B9" s="310" t="s">
        <v>463</v>
      </c>
      <c r="C9" s="170" t="s">
        <v>443</v>
      </c>
      <c r="D9" s="164" t="s">
        <v>379</v>
      </c>
      <c r="E9" s="164" t="s">
        <v>441</v>
      </c>
      <c r="F9" s="159" t="s">
        <v>214</v>
      </c>
      <c r="G9" s="159">
        <v>4</v>
      </c>
      <c r="H9" s="159"/>
      <c r="I9" s="159">
        <v>6.5</v>
      </c>
      <c r="J9" s="159">
        <v>6.75</v>
      </c>
      <c r="K9" s="252">
        <f>(G9*304.8)+150</f>
        <v>1369.2</v>
      </c>
      <c r="L9" s="288">
        <f>(H9*304.8)+150</f>
        <v>150</v>
      </c>
      <c r="M9" s="250">
        <f>(I9*304.8)+150</f>
        <v>2131.1999999999998</v>
      </c>
      <c r="N9" s="250">
        <f>(J9*25.4)+15</f>
        <v>186.45</v>
      </c>
      <c r="O9" s="55">
        <f t="shared" ref="O9:O21" si="0">(M9/T9)</f>
        <v>30.886956521739126</v>
      </c>
      <c r="P9" s="161">
        <f>ROUNDUP(O9,0)</f>
        <v>31</v>
      </c>
      <c r="Q9" s="252">
        <f>L9</f>
        <v>150</v>
      </c>
      <c r="R9" s="252">
        <f t="shared" ref="Q9:R21" si="1">M9</f>
        <v>2131.1999999999998</v>
      </c>
      <c r="S9" s="252">
        <f>N9</f>
        <v>186.45</v>
      </c>
      <c r="T9" s="164">
        <v>69</v>
      </c>
      <c r="U9" s="249">
        <f t="shared" ref="U9:U11" si="2">(O9-1)</f>
        <v>29.886956521739126</v>
      </c>
      <c r="V9" s="159">
        <f t="shared" ref="V9:V21" si="3">(P9-1)*0.8</f>
        <v>24</v>
      </c>
      <c r="W9" s="164">
        <f t="shared" ref="W9:W21" si="4">ROUNDUP(V9,0)</f>
        <v>24</v>
      </c>
      <c r="X9" s="165" t="s">
        <v>342</v>
      </c>
      <c r="Y9" s="53" t="s">
        <v>221</v>
      </c>
      <c r="Z9" s="83">
        <v>44896</v>
      </c>
      <c r="AA9" s="238"/>
      <c r="AB9" s="267">
        <v>0</v>
      </c>
      <c r="AC9" s="238"/>
      <c r="AD9" s="239"/>
      <c r="AE9" s="246">
        <v>0</v>
      </c>
    </row>
    <row r="10" spans="2:31" s="97" customFormat="1" ht="19.899999999999999" customHeight="1" x14ac:dyDescent="0.25">
      <c r="B10" s="311"/>
      <c r="C10" s="289" t="s">
        <v>444</v>
      </c>
      <c r="D10" s="290" t="s">
        <v>386</v>
      </c>
      <c r="E10" s="291" t="s">
        <v>441</v>
      </c>
      <c r="F10" s="292" t="s">
        <v>214</v>
      </c>
      <c r="G10" s="292">
        <v>4.5</v>
      </c>
      <c r="H10" s="251">
        <v>7</v>
      </c>
      <c r="I10" s="293">
        <v>6.5</v>
      </c>
      <c r="J10" s="292">
        <v>14.5</v>
      </c>
      <c r="K10" s="252">
        <f t="shared" ref="K10:K21" si="5">(G10*304.8)+150</f>
        <v>1521.6000000000001</v>
      </c>
      <c r="L10" s="288">
        <f t="shared" ref="L10:L21" si="6">(H10*304.8)+150</f>
        <v>2283.6</v>
      </c>
      <c r="M10" s="250">
        <f t="shared" ref="M10:M21" si="7">(I10*304.8)+150</f>
        <v>2131.1999999999998</v>
      </c>
      <c r="N10" s="250">
        <f t="shared" ref="N10:N21" si="8">(J10*25.4)+15</f>
        <v>383.29999999999995</v>
      </c>
      <c r="O10" s="55">
        <f t="shared" si="0"/>
        <v>30.886956521739126</v>
      </c>
      <c r="P10" s="161">
        <f t="shared" ref="P10:P21" si="9">ROUNDUP(O10,0)</f>
        <v>31</v>
      </c>
      <c r="Q10" s="252">
        <f t="shared" si="1"/>
        <v>2283.6</v>
      </c>
      <c r="R10" s="252">
        <f t="shared" si="1"/>
        <v>2131.1999999999998</v>
      </c>
      <c r="S10" s="252">
        <f t="shared" ref="S10:S21" si="10">N10</f>
        <v>383.29999999999995</v>
      </c>
      <c r="T10" s="164">
        <v>69</v>
      </c>
      <c r="U10" s="249">
        <f t="shared" si="2"/>
        <v>29.886956521739126</v>
      </c>
      <c r="V10" s="159">
        <f t="shared" si="3"/>
        <v>24</v>
      </c>
      <c r="W10" s="164">
        <f t="shared" si="4"/>
        <v>24</v>
      </c>
      <c r="X10" s="165" t="s">
        <v>342</v>
      </c>
      <c r="Y10" s="53" t="s">
        <v>221</v>
      </c>
      <c r="Z10" s="83">
        <v>44896</v>
      </c>
      <c r="AA10" s="238"/>
      <c r="AB10" s="267">
        <v>0</v>
      </c>
      <c r="AC10" s="238"/>
      <c r="AD10" s="239"/>
      <c r="AE10" s="246">
        <v>0</v>
      </c>
    </row>
    <row r="11" spans="2:31" s="97" customFormat="1" ht="19.899999999999999" customHeight="1" x14ac:dyDescent="0.25">
      <c r="B11" s="311"/>
      <c r="C11" s="289" t="s">
        <v>445</v>
      </c>
      <c r="D11" s="290" t="s">
        <v>385</v>
      </c>
      <c r="E11" s="291" t="s">
        <v>441</v>
      </c>
      <c r="F11" s="292" t="s">
        <v>214</v>
      </c>
      <c r="G11" s="292">
        <v>4</v>
      </c>
      <c r="H11" s="251">
        <v>4</v>
      </c>
      <c r="I11" s="292">
        <v>5.5</v>
      </c>
      <c r="J11" s="292">
        <v>9</v>
      </c>
      <c r="K11" s="252">
        <f t="shared" si="5"/>
        <v>1369.2</v>
      </c>
      <c r="L11" s="288">
        <f t="shared" si="6"/>
        <v>1369.2</v>
      </c>
      <c r="M11" s="250">
        <f t="shared" si="7"/>
        <v>1826.4</v>
      </c>
      <c r="N11" s="250">
        <f t="shared" si="8"/>
        <v>243.6</v>
      </c>
      <c r="O11" s="55">
        <f t="shared" si="0"/>
        <v>26.469565217391306</v>
      </c>
      <c r="P11" s="161">
        <f t="shared" si="9"/>
        <v>27</v>
      </c>
      <c r="Q11" s="252">
        <f t="shared" si="1"/>
        <v>1369.2</v>
      </c>
      <c r="R11" s="252">
        <f t="shared" si="1"/>
        <v>1826.4</v>
      </c>
      <c r="S11" s="252">
        <f t="shared" si="10"/>
        <v>243.6</v>
      </c>
      <c r="T11" s="164">
        <v>69</v>
      </c>
      <c r="U11" s="249">
        <f t="shared" si="2"/>
        <v>25.469565217391306</v>
      </c>
      <c r="V11" s="159">
        <f t="shared" si="3"/>
        <v>20.8</v>
      </c>
      <c r="W11" s="164">
        <f t="shared" si="4"/>
        <v>21</v>
      </c>
      <c r="X11" s="165" t="s">
        <v>342</v>
      </c>
      <c r="Y11" s="53" t="s">
        <v>221</v>
      </c>
      <c r="Z11" s="83">
        <v>44896</v>
      </c>
      <c r="AA11" s="238"/>
      <c r="AB11" s="267">
        <v>0</v>
      </c>
      <c r="AC11" s="238"/>
      <c r="AD11" s="239"/>
      <c r="AE11" s="246">
        <v>0</v>
      </c>
    </row>
    <row r="12" spans="2:31" s="97" customFormat="1" ht="19.899999999999999" customHeight="1" x14ac:dyDescent="0.25">
      <c r="B12" s="311"/>
      <c r="C12" s="289" t="s">
        <v>446</v>
      </c>
      <c r="D12" s="290" t="s">
        <v>385</v>
      </c>
      <c r="E12" s="291" t="s">
        <v>441</v>
      </c>
      <c r="F12" s="292" t="s">
        <v>214</v>
      </c>
      <c r="G12" s="292">
        <v>4</v>
      </c>
      <c r="H12" s="159"/>
      <c r="I12" s="292">
        <v>5.5</v>
      </c>
      <c r="J12" s="292">
        <v>9</v>
      </c>
      <c r="K12" s="252">
        <f t="shared" si="5"/>
        <v>1369.2</v>
      </c>
      <c r="L12" s="288">
        <f t="shared" si="6"/>
        <v>150</v>
      </c>
      <c r="M12" s="250">
        <f t="shared" si="7"/>
        <v>1826.4</v>
      </c>
      <c r="N12" s="250">
        <f t="shared" si="8"/>
        <v>243.6</v>
      </c>
      <c r="O12" s="249">
        <f t="shared" si="0"/>
        <v>26.469565217391306</v>
      </c>
      <c r="P12" s="161">
        <f t="shared" si="9"/>
        <v>27</v>
      </c>
      <c r="Q12" s="252">
        <f t="shared" si="1"/>
        <v>150</v>
      </c>
      <c r="R12" s="252">
        <f t="shared" si="1"/>
        <v>1826.4</v>
      </c>
      <c r="S12" s="252">
        <f t="shared" si="10"/>
        <v>243.6</v>
      </c>
      <c r="T12" s="164">
        <v>69</v>
      </c>
      <c r="U12" s="249">
        <f>(O12)</f>
        <v>26.469565217391306</v>
      </c>
      <c r="V12" s="159">
        <f t="shared" si="3"/>
        <v>20.8</v>
      </c>
      <c r="W12" s="164">
        <f t="shared" si="4"/>
        <v>21</v>
      </c>
      <c r="X12" s="165" t="s">
        <v>342</v>
      </c>
      <c r="Y12" s="53" t="s">
        <v>221</v>
      </c>
      <c r="Z12" s="83">
        <v>44896</v>
      </c>
      <c r="AA12" s="238"/>
      <c r="AB12" s="267">
        <v>0</v>
      </c>
      <c r="AC12" s="238"/>
      <c r="AD12" s="239"/>
      <c r="AE12" s="246">
        <v>0</v>
      </c>
    </row>
    <row r="13" spans="2:31" s="97" customFormat="1" ht="19.899999999999999" customHeight="1" x14ac:dyDescent="0.25">
      <c r="B13" s="311"/>
      <c r="C13" s="289" t="s">
        <v>447</v>
      </c>
      <c r="D13" s="290" t="s">
        <v>385</v>
      </c>
      <c r="E13" s="291" t="s">
        <v>441</v>
      </c>
      <c r="F13" s="292" t="s">
        <v>214</v>
      </c>
      <c r="G13" s="292">
        <v>4</v>
      </c>
      <c r="H13" s="251">
        <v>4</v>
      </c>
      <c r="I13" s="292">
        <v>5.5</v>
      </c>
      <c r="J13" s="292">
        <v>9</v>
      </c>
      <c r="K13" s="252">
        <f t="shared" si="5"/>
        <v>1369.2</v>
      </c>
      <c r="L13" s="288">
        <f t="shared" si="6"/>
        <v>1369.2</v>
      </c>
      <c r="M13" s="250">
        <f t="shared" si="7"/>
        <v>1826.4</v>
      </c>
      <c r="N13" s="250">
        <f t="shared" si="8"/>
        <v>243.6</v>
      </c>
      <c r="O13" s="249">
        <f t="shared" si="0"/>
        <v>26.469565217391306</v>
      </c>
      <c r="P13" s="161">
        <f t="shared" si="9"/>
        <v>27</v>
      </c>
      <c r="Q13" s="252">
        <f>L13</f>
        <v>1369.2</v>
      </c>
      <c r="R13" s="252">
        <f t="shared" si="1"/>
        <v>1826.4</v>
      </c>
      <c r="S13" s="252">
        <f t="shared" si="10"/>
        <v>243.6</v>
      </c>
      <c r="T13" s="164">
        <v>69</v>
      </c>
      <c r="U13" s="249">
        <f t="shared" ref="U13:U21" si="11">(O13)</f>
        <v>26.469565217391306</v>
      </c>
      <c r="V13" s="159">
        <f t="shared" si="3"/>
        <v>20.8</v>
      </c>
      <c r="W13" s="164">
        <f t="shared" si="4"/>
        <v>21</v>
      </c>
      <c r="X13" s="165" t="s">
        <v>342</v>
      </c>
      <c r="Y13" s="53" t="s">
        <v>221</v>
      </c>
      <c r="Z13" s="83">
        <v>44896</v>
      </c>
      <c r="AA13" s="238"/>
      <c r="AB13" s="267">
        <v>0</v>
      </c>
      <c r="AC13" s="238"/>
      <c r="AD13" s="239"/>
      <c r="AE13" s="246">
        <v>0</v>
      </c>
    </row>
    <row r="14" spans="2:31" s="97" customFormat="1" ht="19.899999999999999" customHeight="1" x14ac:dyDescent="0.25">
      <c r="B14" s="311"/>
      <c r="C14" s="56" t="s">
        <v>448</v>
      </c>
      <c r="D14" s="157" t="s">
        <v>385</v>
      </c>
      <c r="E14" s="164" t="s">
        <v>441</v>
      </c>
      <c r="F14" s="159" t="s">
        <v>214</v>
      </c>
      <c r="G14" s="159">
        <v>4.5</v>
      </c>
      <c r="H14" s="159"/>
      <c r="I14" s="159">
        <v>5</v>
      </c>
      <c r="J14" s="159">
        <v>9</v>
      </c>
      <c r="K14" s="252">
        <f t="shared" si="5"/>
        <v>1521.6000000000001</v>
      </c>
      <c r="L14" s="288">
        <f t="shared" si="6"/>
        <v>150</v>
      </c>
      <c r="M14" s="250">
        <f t="shared" si="7"/>
        <v>1674</v>
      </c>
      <c r="N14" s="250">
        <f t="shared" si="8"/>
        <v>243.6</v>
      </c>
      <c r="O14" s="249">
        <f t="shared" si="0"/>
        <v>24.260869565217391</v>
      </c>
      <c r="P14" s="161">
        <f t="shared" si="9"/>
        <v>25</v>
      </c>
      <c r="Q14" s="252">
        <f t="shared" ref="Q14:Q21" si="12">L14</f>
        <v>150</v>
      </c>
      <c r="R14" s="252">
        <f t="shared" si="1"/>
        <v>1674</v>
      </c>
      <c r="S14" s="252">
        <f t="shared" si="10"/>
        <v>243.6</v>
      </c>
      <c r="T14" s="164">
        <v>69</v>
      </c>
      <c r="U14" s="249">
        <f t="shared" si="11"/>
        <v>24.260869565217391</v>
      </c>
      <c r="V14" s="159">
        <f t="shared" si="3"/>
        <v>19.200000000000003</v>
      </c>
      <c r="W14" s="164">
        <f t="shared" si="4"/>
        <v>20</v>
      </c>
      <c r="X14" s="165" t="s">
        <v>342</v>
      </c>
      <c r="Y14" s="53" t="s">
        <v>221</v>
      </c>
      <c r="Z14" s="83">
        <v>44896</v>
      </c>
      <c r="AA14" s="238"/>
      <c r="AB14" s="267">
        <v>0</v>
      </c>
      <c r="AC14" s="238"/>
      <c r="AD14" s="239"/>
      <c r="AE14" s="246">
        <v>0</v>
      </c>
    </row>
    <row r="15" spans="2:31" s="97" customFormat="1" ht="19.899999999999999" customHeight="1" x14ac:dyDescent="0.25">
      <c r="B15" s="311"/>
      <c r="C15" s="289" t="s">
        <v>449</v>
      </c>
      <c r="D15" s="290" t="s">
        <v>390</v>
      </c>
      <c r="E15" s="291" t="s">
        <v>441</v>
      </c>
      <c r="F15" s="292" t="s">
        <v>214</v>
      </c>
      <c r="G15" s="292">
        <v>5</v>
      </c>
      <c r="H15" s="251">
        <v>6</v>
      </c>
      <c r="I15" s="292">
        <v>6.5</v>
      </c>
      <c r="J15" s="292">
        <v>13</v>
      </c>
      <c r="K15" s="252">
        <f t="shared" si="5"/>
        <v>1674</v>
      </c>
      <c r="L15" s="288">
        <f t="shared" si="6"/>
        <v>1978.8000000000002</v>
      </c>
      <c r="M15" s="250">
        <f t="shared" si="7"/>
        <v>2131.1999999999998</v>
      </c>
      <c r="N15" s="250">
        <f t="shared" si="8"/>
        <v>345.2</v>
      </c>
      <c r="O15" s="249">
        <f t="shared" si="0"/>
        <v>30.886956521739126</v>
      </c>
      <c r="P15" s="161">
        <f t="shared" si="9"/>
        <v>31</v>
      </c>
      <c r="Q15" s="252">
        <f t="shared" si="12"/>
        <v>1978.8000000000002</v>
      </c>
      <c r="R15" s="252">
        <f t="shared" si="1"/>
        <v>2131.1999999999998</v>
      </c>
      <c r="S15" s="252">
        <f t="shared" si="10"/>
        <v>345.2</v>
      </c>
      <c r="T15" s="164">
        <v>69</v>
      </c>
      <c r="U15" s="249">
        <f t="shared" si="11"/>
        <v>30.886956521739126</v>
      </c>
      <c r="V15" s="159">
        <f t="shared" si="3"/>
        <v>24</v>
      </c>
      <c r="W15" s="164">
        <f t="shared" si="4"/>
        <v>24</v>
      </c>
      <c r="X15" s="165" t="s">
        <v>342</v>
      </c>
      <c r="Y15" s="53" t="s">
        <v>221</v>
      </c>
      <c r="Z15" s="83">
        <v>44896</v>
      </c>
      <c r="AA15" s="238"/>
      <c r="AB15" s="267">
        <v>0</v>
      </c>
      <c r="AC15" s="238"/>
      <c r="AD15" s="239"/>
      <c r="AE15" s="246">
        <v>0</v>
      </c>
    </row>
    <row r="16" spans="2:31" s="97" customFormat="1" ht="19.899999999999999" customHeight="1" x14ac:dyDescent="0.25">
      <c r="B16" s="311"/>
      <c r="C16" s="289" t="s">
        <v>450</v>
      </c>
      <c r="D16" s="290" t="s">
        <v>379</v>
      </c>
      <c r="E16" s="291" t="s">
        <v>441</v>
      </c>
      <c r="F16" s="292" t="s">
        <v>214</v>
      </c>
      <c r="G16" s="292">
        <v>5</v>
      </c>
      <c r="H16" s="251">
        <v>6</v>
      </c>
      <c r="I16" s="292">
        <v>6.5</v>
      </c>
      <c r="J16" s="292">
        <v>9</v>
      </c>
      <c r="K16" s="252">
        <f t="shared" si="5"/>
        <v>1674</v>
      </c>
      <c r="L16" s="288">
        <f t="shared" si="6"/>
        <v>1978.8000000000002</v>
      </c>
      <c r="M16" s="250">
        <f t="shared" si="7"/>
        <v>2131.1999999999998</v>
      </c>
      <c r="N16" s="250">
        <f t="shared" si="8"/>
        <v>243.6</v>
      </c>
      <c r="O16" s="249">
        <f t="shared" si="0"/>
        <v>30.886956521739126</v>
      </c>
      <c r="P16" s="161">
        <f t="shared" si="9"/>
        <v>31</v>
      </c>
      <c r="Q16" s="252">
        <f t="shared" si="12"/>
        <v>1978.8000000000002</v>
      </c>
      <c r="R16" s="252">
        <f t="shared" si="1"/>
        <v>2131.1999999999998</v>
      </c>
      <c r="S16" s="252">
        <f t="shared" si="10"/>
        <v>243.6</v>
      </c>
      <c r="T16" s="164">
        <v>69</v>
      </c>
      <c r="U16" s="249">
        <f t="shared" si="11"/>
        <v>30.886956521739126</v>
      </c>
      <c r="V16" s="159">
        <f t="shared" si="3"/>
        <v>24</v>
      </c>
      <c r="W16" s="164">
        <f t="shared" si="4"/>
        <v>24</v>
      </c>
      <c r="X16" s="165" t="s">
        <v>342</v>
      </c>
      <c r="Y16" s="53" t="s">
        <v>221</v>
      </c>
      <c r="Z16" s="83">
        <v>44896</v>
      </c>
      <c r="AA16" s="238"/>
      <c r="AB16" s="267">
        <v>0</v>
      </c>
      <c r="AC16" s="238"/>
      <c r="AD16" s="239"/>
      <c r="AE16" s="246">
        <v>0</v>
      </c>
    </row>
    <row r="17" spans="2:31" s="97" customFormat="1" ht="19.899999999999999" customHeight="1" x14ac:dyDescent="0.25">
      <c r="B17" s="311"/>
      <c r="C17" s="289" t="s">
        <v>451</v>
      </c>
      <c r="D17" s="290" t="s">
        <v>386</v>
      </c>
      <c r="E17" s="291" t="s">
        <v>441</v>
      </c>
      <c r="F17" s="292" t="s">
        <v>214</v>
      </c>
      <c r="G17" s="292">
        <v>5</v>
      </c>
      <c r="H17" s="251">
        <v>6</v>
      </c>
      <c r="I17" s="292">
        <v>6.5</v>
      </c>
      <c r="J17" s="292">
        <v>13.5</v>
      </c>
      <c r="K17" s="252">
        <f t="shared" si="5"/>
        <v>1674</v>
      </c>
      <c r="L17" s="288">
        <f t="shared" si="6"/>
        <v>1978.8000000000002</v>
      </c>
      <c r="M17" s="250">
        <f t="shared" si="7"/>
        <v>2131.1999999999998</v>
      </c>
      <c r="N17" s="250">
        <f t="shared" si="8"/>
        <v>357.9</v>
      </c>
      <c r="O17" s="249">
        <f t="shared" si="0"/>
        <v>30.886956521739126</v>
      </c>
      <c r="P17" s="161">
        <f t="shared" si="9"/>
        <v>31</v>
      </c>
      <c r="Q17" s="252">
        <f t="shared" si="12"/>
        <v>1978.8000000000002</v>
      </c>
      <c r="R17" s="252">
        <f t="shared" si="1"/>
        <v>2131.1999999999998</v>
      </c>
      <c r="S17" s="252">
        <f t="shared" si="10"/>
        <v>357.9</v>
      </c>
      <c r="T17" s="164">
        <v>69</v>
      </c>
      <c r="U17" s="249">
        <f t="shared" si="11"/>
        <v>30.886956521739126</v>
      </c>
      <c r="V17" s="159">
        <f t="shared" si="3"/>
        <v>24</v>
      </c>
      <c r="W17" s="164">
        <f t="shared" si="4"/>
        <v>24</v>
      </c>
      <c r="X17" s="165" t="s">
        <v>342</v>
      </c>
      <c r="Y17" s="53" t="s">
        <v>221</v>
      </c>
      <c r="Z17" s="83">
        <v>44896</v>
      </c>
      <c r="AA17" s="238"/>
      <c r="AB17" s="267">
        <v>0</v>
      </c>
      <c r="AC17" s="238"/>
      <c r="AD17" s="239"/>
      <c r="AE17" s="246">
        <v>0</v>
      </c>
    </row>
    <row r="18" spans="2:31" s="97" customFormat="1" ht="19.899999999999999" customHeight="1" x14ac:dyDescent="0.25">
      <c r="B18" s="311"/>
      <c r="C18" s="289" t="s">
        <v>452</v>
      </c>
      <c r="D18" s="290" t="s">
        <v>385</v>
      </c>
      <c r="E18" s="291" t="s">
        <v>441</v>
      </c>
      <c r="F18" s="292" t="s">
        <v>214</v>
      </c>
      <c r="G18" s="292">
        <v>4</v>
      </c>
      <c r="H18" s="251">
        <v>4</v>
      </c>
      <c r="I18" s="292">
        <v>5</v>
      </c>
      <c r="J18" s="292">
        <v>9</v>
      </c>
      <c r="K18" s="252">
        <f t="shared" si="5"/>
        <v>1369.2</v>
      </c>
      <c r="L18" s="288">
        <f t="shared" si="6"/>
        <v>1369.2</v>
      </c>
      <c r="M18" s="250">
        <f t="shared" si="7"/>
        <v>1674</v>
      </c>
      <c r="N18" s="250">
        <f t="shared" si="8"/>
        <v>243.6</v>
      </c>
      <c r="O18" s="249">
        <f t="shared" si="0"/>
        <v>24.260869565217391</v>
      </c>
      <c r="P18" s="161">
        <f t="shared" si="9"/>
        <v>25</v>
      </c>
      <c r="Q18" s="252">
        <f t="shared" si="12"/>
        <v>1369.2</v>
      </c>
      <c r="R18" s="252">
        <f t="shared" si="1"/>
        <v>1674</v>
      </c>
      <c r="S18" s="252">
        <f t="shared" si="10"/>
        <v>243.6</v>
      </c>
      <c r="T18" s="164">
        <v>69</v>
      </c>
      <c r="U18" s="249">
        <f t="shared" si="11"/>
        <v>24.260869565217391</v>
      </c>
      <c r="V18" s="159">
        <f t="shared" si="3"/>
        <v>19.200000000000003</v>
      </c>
      <c r="W18" s="164">
        <f t="shared" si="4"/>
        <v>20</v>
      </c>
      <c r="X18" s="165" t="s">
        <v>342</v>
      </c>
      <c r="Y18" s="53" t="s">
        <v>221</v>
      </c>
      <c r="Z18" s="83">
        <v>44896</v>
      </c>
      <c r="AA18" s="238"/>
      <c r="AB18" s="267">
        <v>0</v>
      </c>
      <c r="AC18" s="238"/>
      <c r="AD18" s="239"/>
      <c r="AE18" s="246">
        <v>0</v>
      </c>
    </row>
    <row r="19" spans="2:31" s="97" customFormat="1" ht="19.899999999999999" customHeight="1" x14ac:dyDescent="0.25">
      <c r="B19" s="311"/>
      <c r="C19" s="289" t="s">
        <v>453</v>
      </c>
      <c r="D19" s="290" t="s">
        <v>386</v>
      </c>
      <c r="E19" s="291" t="s">
        <v>441</v>
      </c>
      <c r="F19" s="292" t="s">
        <v>214</v>
      </c>
      <c r="G19" s="292">
        <v>5</v>
      </c>
      <c r="H19" s="251">
        <v>6</v>
      </c>
      <c r="I19" s="292">
        <v>6.5</v>
      </c>
      <c r="J19" s="292">
        <v>13.5</v>
      </c>
      <c r="K19" s="252">
        <f t="shared" si="5"/>
        <v>1674</v>
      </c>
      <c r="L19" s="288">
        <f t="shared" si="6"/>
        <v>1978.8000000000002</v>
      </c>
      <c r="M19" s="250">
        <f t="shared" si="7"/>
        <v>2131.1999999999998</v>
      </c>
      <c r="N19" s="250">
        <f t="shared" si="8"/>
        <v>357.9</v>
      </c>
      <c r="O19" s="249">
        <f t="shared" si="0"/>
        <v>30.886956521739126</v>
      </c>
      <c r="P19" s="161">
        <f t="shared" si="9"/>
        <v>31</v>
      </c>
      <c r="Q19" s="252">
        <f t="shared" si="12"/>
        <v>1978.8000000000002</v>
      </c>
      <c r="R19" s="252">
        <f t="shared" si="1"/>
        <v>2131.1999999999998</v>
      </c>
      <c r="S19" s="252">
        <f t="shared" si="10"/>
        <v>357.9</v>
      </c>
      <c r="T19" s="164">
        <v>69</v>
      </c>
      <c r="U19" s="249">
        <f t="shared" si="11"/>
        <v>30.886956521739126</v>
      </c>
      <c r="V19" s="159">
        <f t="shared" si="3"/>
        <v>24</v>
      </c>
      <c r="W19" s="164">
        <f t="shared" si="4"/>
        <v>24</v>
      </c>
      <c r="X19" s="165" t="s">
        <v>342</v>
      </c>
      <c r="Y19" s="53" t="s">
        <v>221</v>
      </c>
      <c r="Z19" s="83">
        <v>44896</v>
      </c>
      <c r="AA19" s="238"/>
      <c r="AB19" s="267">
        <v>0</v>
      </c>
      <c r="AC19" s="238"/>
      <c r="AD19" s="239"/>
      <c r="AE19" s="246">
        <v>0</v>
      </c>
    </row>
    <row r="20" spans="2:31" s="97" customFormat="1" ht="19.899999999999999" customHeight="1" x14ac:dyDescent="0.25">
      <c r="B20" s="311"/>
      <c r="C20" s="289" t="s">
        <v>454</v>
      </c>
      <c r="D20" s="290" t="s">
        <v>385</v>
      </c>
      <c r="E20" s="291" t="s">
        <v>441</v>
      </c>
      <c r="F20" s="292" t="s">
        <v>214</v>
      </c>
      <c r="G20" s="292">
        <v>4</v>
      </c>
      <c r="H20" s="251">
        <v>4</v>
      </c>
      <c r="I20" s="292">
        <v>5</v>
      </c>
      <c r="J20" s="292">
        <v>9</v>
      </c>
      <c r="K20" s="252">
        <f t="shared" si="5"/>
        <v>1369.2</v>
      </c>
      <c r="L20" s="288">
        <f t="shared" si="6"/>
        <v>1369.2</v>
      </c>
      <c r="M20" s="250">
        <f t="shared" si="7"/>
        <v>1674</v>
      </c>
      <c r="N20" s="250">
        <f t="shared" si="8"/>
        <v>243.6</v>
      </c>
      <c r="O20" s="249">
        <f t="shared" si="0"/>
        <v>24.260869565217391</v>
      </c>
      <c r="P20" s="161">
        <f t="shared" si="9"/>
        <v>25</v>
      </c>
      <c r="Q20" s="252">
        <f t="shared" si="12"/>
        <v>1369.2</v>
      </c>
      <c r="R20" s="252">
        <f t="shared" si="1"/>
        <v>1674</v>
      </c>
      <c r="S20" s="252">
        <f t="shared" si="10"/>
        <v>243.6</v>
      </c>
      <c r="T20" s="164">
        <v>69</v>
      </c>
      <c r="U20" s="249">
        <f t="shared" si="11"/>
        <v>24.260869565217391</v>
      </c>
      <c r="V20" s="159">
        <f t="shared" si="3"/>
        <v>19.200000000000003</v>
      </c>
      <c r="W20" s="164">
        <f t="shared" si="4"/>
        <v>20</v>
      </c>
      <c r="X20" s="165" t="s">
        <v>342</v>
      </c>
      <c r="Y20" s="53" t="s">
        <v>221</v>
      </c>
      <c r="Z20" s="83">
        <v>44896</v>
      </c>
      <c r="AA20" s="238"/>
      <c r="AB20" s="267">
        <v>0</v>
      </c>
      <c r="AC20" s="238"/>
      <c r="AD20" s="239"/>
      <c r="AE20" s="246">
        <v>0</v>
      </c>
    </row>
    <row r="21" spans="2:31" s="97" customFormat="1" ht="19.899999999999999" customHeight="1" x14ac:dyDescent="0.25">
      <c r="B21" s="311"/>
      <c r="C21" s="289" t="s">
        <v>455</v>
      </c>
      <c r="D21" s="290" t="s">
        <v>386</v>
      </c>
      <c r="E21" s="291" t="s">
        <v>441</v>
      </c>
      <c r="F21" s="292" t="s">
        <v>214</v>
      </c>
      <c r="G21" s="292">
        <v>5</v>
      </c>
      <c r="H21" s="251">
        <v>6</v>
      </c>
      <c r="I21" s="292">
        <v>6.5</v>
      </c>
      <c r="J21" s="292">
        <v>13.5</v>
      </c>
      <c r="K21" s="252">
        <f t="shared" si="5"/>
        <v>1674</v>
      </c>
      <c r="L21" s="288">
        <f t="shared" si="6"/>
        <v>1978.8000000000002</v>
      </c>
      <c r="M21" s="250">
        <f t="shared" si="7"/>
        <v>2131.1999999999998</v>
      </c>
      <c r="N21" s="250">
        <f t="shared" si="8"/>
        <v>357.9</v>
      </c>
      <c r="O21" s="249">
        <f t="shared" si="0"/>
        <v>30.886956521739126</v>
      </c>
      <c r="P21" s="161">
        <f t="shared" si="9"/>
        <v>31</v>
      </c>
      <c r="Q21" s="252">
        <f t="shared" si="12"/>
        <v>1978.8000000000002</v>
      </c>
      <c r="R21" s="252">
        <f t="shared" si="1"/>
        <v>2131.1999999999998</v>
      </c>
      <c r="S21" s="252">
        <f t="shared" si="10"/>
        <v>357.9</v>
      </c>
      <c r="T21" s="164">
        <v>69</v>
      </c>
      <c r="U21" s="249">
        <f t="shared" si="11"/>
        <v>30.886956521739126</v>
      </c>
      <c r="V21" s="159">
        <f t="shared" si="3"/>
        <v>24</v>
      </c>
      <c r="W21" s="164">
        <f t="shared" si="4"/>
        <v>24</v>
      </c>
      <c r="X21" s="165" t="s">
        <v>342</v>
      </c>
      <c r="Y21" s="53" t="s">
        <v>221</v>
      </c>
      <c r="Z21" s="83">
        <v>44896</v>
      </c>
      <c r="AA21" s="238"/>
      <c r="AB21" s="267">
        <v>0</v>
      </c>
      <c r="AC21" s="238"/>
      <c r="AD21" s="239"/>
      <c r="AE21" s="246">
        <v>0</v>
      </c>
    </row>
    <row r="22" spans="2:31" s="248" customFormat="1" ht="19.899999999999999" customHeight="1" thickBot="1" x14ac:dyDescent="0.3">
      <c r="B22" s="313"/>
      <c r="C22" s="228" t="s">
        <v>468</v>
      </c>
      <c r="D22" s="247"/>
      <c r="E22" s="247"/>
      <c r="F22" s="247"/>
      <c r="G22" s="247"/>
      <c r="H22" s="247"/>
      <c r="I22" s="247"/>
      <c r="J22" s="247"/>
      <c r="K22" s="247"/>
      <c r="L22" s="247"/>
      <c r="M22" s="247"/>
      <c r="N22" s="247"/>
      <c r="O22" s="247"/>
      <c r="P22" s="247"/>
      <c r="Q22" s="247"/>
      <c r="R22" s="247"/>
      <c r="S22" s="247"/>
      <c r="T22" s="247"/>
      <c r="U22" s="247"/>
      <c r="V22" s="247"/>
      <c r="W22" s="229">
        <f>SUM(W9:W21)</f>
        <v>291</v>
      </c>
      <c r="X22" s="247"/>
      <c r="Y22" s="247"/>
      <c r="Z22" s="247"/>
      <c r="AA22" s="247"/>
      <c r="AB22" s="230">
        <f>SUM(AB9:AB21)</f>
        <v>0</v>
      </c>
      <c r="AC22" s="247"/>
      <c r="AD22" s="247"/>
      <c r="AE22" s="230">
        <f>SUM(AE9:AE21)</f>
        <v>0</v>
      </c>
    </row>
    <row r="23" spans="2:31" x14ac:dyDescent="0.25">
      <c r="C23" s="125"/>
      <c r="D23" s="125"/>
      <c r="E23" s="174"/>
    </row>
    <row r="24" spans="2:31" x14ac:dyDescent="0.25">
      <c r="C24" s="174"/>
      <c r="D24" s="174"/>
      <c r="E24" s="174"/>
    </row>
    <row r="25" spans="2:31" x14ac:dyDescent="0.25">
      <c r="C25" s="174"/>
      <c r="D25" s="174"/>
      <c r="E25" s="174"/>
    </row>
    <row r="26" spans="2:31" x14ac:dyDescent="0.25">
      <c r="C26" s="174"/>
      <c r="D26" s="174"/>
      <c r="E26" s="174"/>
    </row>
  </sheetData>
  <autoFilter ref="C7:AE22" xr:uid="{B21AE161-98E9-4829-A7E1-7704E3F97B48}"/>
  <mergeCells count="11">
    <mergeCell ref="B9:B22"/>
    <mergeCell ref="G5:J6"/>
    <mergeCell ref="K5:N6"/>
    <mergeCell ref="AB2:AB3"/>
    <mergeCell ref="D3:F3"/>
    <mergeCell ref="AE5:AE6"/>
    <mergeCell ref="Q5:T6"/>
    <mergeCell ref="AA5:AA6"/>
    <mergeCell ref="AC5:AC6"/>
    <mergeCell ref="AD5:AD6"/>
    <mergeCell ref="AB5:AB6"/>
  </mergeCells>
  <conditionalFormatting sqref="AA9:AA21 AC9:AC21">
    <cfRule type="containsText" dxfId="39" priority="1" operator="containsText" text="Y">
      <formula>NOT(ISERROR(SEARCH("Y",AA9)))</formula>
    </cfRule>
    <cfRule type="containsText" dxfId="38" priority="2" operator="containsText" text="N">
      <formula>NOT(ISERROR(SEARCH("N",AA9)))</formula>
    </cfRule>
  </conditionalFormatting>
  <printOptions gridLines="1"/>
  <pageMargins left="0.31496062992125984" right="0.31496062992125984" top="0.55118110236220474" bottom="0.55118110236220474" header="0.31496062992125984" footer="0.31496062992125984"/>
  <pageSetup paperSize="8" scale="51" fitToHeight="0" orientation="landscape" r:id="rId1"/>
  <headerFooter>
    <oddHeader>&amp;C&amp;"-,Bold"HMS VICTORY
TIMBER SUPPLY FRAMEWORK&amp;R&amp;G</oddHeader>
    <oddFooter>Page &amp;P of &amp;N</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74D375D8-9E60-402B-ABEB-09F3B429A794}">
          <x14:formula1>
            <xm:f>'Pick List'!$B$3:$B$5</xm:f>
          </x14:formula1>
          <xm:sqref>F9:F21</xm:sqref>
        </x14:dataValidation>
        <x14:dataValidation type="list" allowBlank="1" showInputMessage="1" showErrorMessage="1" xr:uid="{060C15EC-4A21-467E-8E6B-073BD5C845FF}">
          <x14:formula1>
            <xm:f>'Pick List'!$D$2:$D$4</xm:f>
          </x14:formula1>
          <xm:sqref>T9:T21</xm:sqref>
        </x14:dataValidation>
        <x14:dataValidation type="list" allowBlank="1" showInputMessage="1" showErrorMessage="1" xr:uid="{A0343222-E68D-4E77-9405-8FDFEDFDC19A}">
          <x14:formula1>
            <xm:f>'Pick List'!$F$2:$F$3</xm:f>
          </x14:formula1>
          <xm:sqref>AA9:AA21 AC9:AC21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779C-A376-4987-A559-C7AEFC02B8C2}">
  <sheetPr>
    <tabColor theme="7"/>
  </sheetPr>
  <dimension ref="B2:L63"/>
  <sheetViews>
    <sheetView workbookViewId="0">
      <selection activeCell="I6" sqref="I6"/>
    </sheetView>
  </sheetViews>
  <sheetFormatPr defaultColWidth="8.85546875" defaultRowHeight="15" x14ac:dyDescent="0.25"/>
  <cols>
    <col min="1" max="1" width="4.85546875" style="116" customWidth="1"/>
    <col min="2" max="3" width="20.140625" style="116" customWidth="1"/>
    <col min="4" max="4" width="15.140625" style="116" customWidth="1"/>
    <col min="5" max="5" width="12.5703125" style="116" customWidth="1"/>
    <col min="6" max="6" width="15.28515625" style="116" customWidth="1"/>
    <col min="7" max="8" width="8.85546875" style="116"/>
    <col min="9" max="9" width="5.42578125" style="116" customWidth="1"/>
    <col min="10" max="16384" width="8.85546875" style="116"/>
  </cols>
  <sheetData>
    <row r="2" spans="2:12" ht="34.9" customHeight="1" thickBot="1" x14ac:dyDescent="0.3">
      <c r="B2" s="71" t="s">
        <v>506</v>
      </c>
    </row>
    <row r="3" spans="2:12" ht="22.15" customHeight="1" thickBot="1" x14ac:dyDescent="0.3">
      <c r="B3" s="355" t="s">
        <v>461</v>
      </c>
      <c r="C3" s="356"/>
      <c r="D3" s="307"/>
      <c r="E3" s="308"/>
      <c r="F3" s="309"/>
    </row>
    <row r="4" spans="2:12" ht="15" customHeight="1" thickBot="1" x14ac:dyDescent="0.3">
      <c r="B4" s="271"/>
      <c r="C4" s="271"/>
      <c r="D4" s="272"/>
      <c r="E4" s="272"/>
      <c r="F4" s="272"/>
    </row>
    <row r="5" spans="2:12" x14ac:dyDescent="0.25">
      <c r="B5" s="134" t="s">
        <v>288</v>
      </c>
      <c r="C5" s="135"/>
      <c r="D5" s="135"/>
      <c r="E5" s="135"/>
      <c r="F5" s="136"/>
    </row>
    <row r="6" spans="2:12" ht="20.45" customHeight="1" x14ac:dyDescent="0.25">
      <c r="B6" s="327" t="s">
        <v>289</v>
      </c>
      <c r="C6" s="328"/>
      <c r="D6" s="328"/>
      <c r="E6" s="328"/>
      <c r="F6" s="329"/>
    </row>
    <row r="7" spans="2:12" ht="46.15" customHeight="1" thickBot="1" x14ac:dyDescent="0.3">
      <c r="B7" s="330" t="s">
        <v>337</v>
      </c>
      <c r="C7" s="331"/>
      <c r="D7" s="331"/>
      <c r="E7" s="331"/>
      <c r="F7" s="332"/>
    </row>
    <row r="9" spans="2:12" ht="20.45" customHeight="1" x14ac:dyDescent="0.25">
      <c r="B9" s="333" t="s">
        <v>290</v>
      </c>
      <c r="C9" s="333"/>
      <c r="D9" s="333"/>
      <c r="E9" s="333"/>
      <c r="F9" s="333"/>
    </row>
    <row r="10" spans="2:12" ht="45" customHeight="1" x14ac:dyDescent="0.25">
      <c r="B10" s="324" t="s">
        <v>44</v>
      </c>
      <c r="C10" s="325"/>
      <c r="D10" s="133" t="s">
        <v>291</v>
      </c>
      <c r="E10" s="133" t="s">
        <v>292</v>
      </c>
      <c r="F10" s="133" t="s">
        <v>293</v>
      </c>
    </row>
    <row r="11" spans="2:12" ht="20.45" customHeight="1" thickBot="1" x14ac:dyDescent="0.3">
      <c r="B11" s="334" t="s">
        <v>294</v>
      </c>
      <c r="C11" s="334"/>
      <c r="D11" s="263"/>
      <c r="E11" s="264"/>
      <c r="F11" s="120">
        <f>D11*E11</f>
        <v>0</v>
      </c>
    </row>
    <row r="12" spans="2:12" ht="20.45" customHeight="1" x14ac:dyDescent="0.25">
      <c r="B12" s="334" t="s">
        <v>295</v>
      </c>
      <c r="C12" s="334"/>
      <c r="D12" s="265"/>
      <c r="E12" s="266"/>
      <c r="F12" s="120">
        <f t="shared" ref="F12:F20" si="0">D12*E12</f>
        <v>0</v>
      </c>
      <c r="H12" s="354"/>
      <c r="I12" s="354"/>
      <c r="J12" s="339" t="s">
        <v>239</v>
      </c>
      <c r="K12" s="340"/>
      <c r="L12" s="341"/>
    </row>
    <row r="13" spans="2:12" ht="20.45" customHeight="1" thickBot="1" x14ac:dyDescent="0.3">
      <c r="B13" s="334" t="s">
        <v>296</v>
      </c>
      <c r="C13" s="334"/>
      <c r="D13" s="263"/>
      <c r="E13" s="264"/>
      <c r="F13" s="120">
        <f t="shared" si="0"/>
        <v>0</v>
      </c>
      <c r="H13" s="354"/>
      <c r="I13" s="354"/>
      <c r="J13" s="342"/>
      <c r="K13" s="343"/>
      <c r="L13" s="344"/>
    </row>
    <row r="14" spans="2:12" ht="20.45" customHeight="1" x14ac:dyDescent="0.25">
      <c r="B14" s="334" t="s">
        <v>296</v>
      </c>
      <c r="C14" s="334"/>
      <c r="D14" s="263"/>
      <c r="E14" s="264"/>
      <c r="F14" s="120">
        <f t="shared" si="0"/>
        <v>0</v>
      </c>
    </row>
    <row r="15" spans="2:12" ht="45" customHeight="1" x14ac:dyDescent="0.25">
      <c r="B15" s="324" t="s">
        <v>44</v>
      </c>
      <c r="C15" s="325"/>
      <c r="D15" s="133" t="s">
        <v>297</v>
      </c>
      <c r="E15" s="133" t="s">
        <v>298</v>
      </c>
      <c r="F15" s="133" t="s">
        <v>293</v>
      </c>
    </row>
    <row r="16" spans="2:12" ht="20.45" customHeight="1" thickBot="1" x14ac:dyDescent="0.3">
      <c r="B16" s="326" t="s">
        <v>296</v>
      </c>
      <c r="C16" s="326"/>
      <c r="D16" s="267"/>
      <c r="E16" s="264"/>
      <c r="F16" s="120">
        <f t="shared" si="0"/>
        <v>0</v>
      </c>
    </row>
    <row r="17" spans="2:12" ht="20.45" customHeight="1" x14ac:dyDescent="0.25">
      <c r="B17" s="326" t="s">
        <v>296</v>
      </c>
      <c r="C17" s="326"/>
      <c r="D17" s="267"/>
      <c r="E17" s="264"/>
      <c r="F17" s="120">
        <f t="shared" si="0"/>
        <v>0</v>
      </c>
      <c r="H17" s="354"/>
      <c r="I17" s="354"/>
      <c r="J17" s="345" t="s">
        <v>239</v>
      </c>
      <c r="K17" s="346"/>
      <c r="L17" s="347"/>
    </row>
    <row r="18" spans="2:12" ht="20.45" customHeight="1" x14ac:dyDescent="0.25">
      <c r="B18" s="326" t="s">
        <v>296</v>
      </c>
      <c r="C18" s="326"/>
      <c r="D18" s="267"/>
      <c r="E18" s="264"/>
      <c r="F18" s="120">
        <f t="shared" si="0"/>
        <v>0</v>
      </c>
      <c r="H18" s="354"/>
      <c r="I18" s="354"/>
      <c r="J18" s="348"/>
      <c r="K18" s="349"/>
      <c r="L18" s="350"/>
    </row>
    <row r="19" spans="2:12" ht="20.45" customHeight="1" thickBot="1" x14ac:dyDescent="0.3">
      <c r="B19" s="326" t="s">
        <v>296</v>
      </c>
      <c r="C19" s="326"/>
      <c r="D19" s="267"/>
      <c r="E19" s="264"/>
      <c r="F19" s="120">
        <f t="shared" si="0"/>
        <v>0</v>
      </c>
      <c r="H19" s="354"/>
      <c r="I19" s="354"/>
      <c r="J19" s="351"/>
      <c r="K19" s="352"/>
      <c r="L19" s="353"/>
    </row>
    <row r="20" spans="2:12" ht="20.45" customHeight="1" x14ac:dyDescent="0.25">
      <c r="B20" s="326" t="s">
        <v>296</v>
      </c>
      <c r="C20" s="326"/>
      <c r="D20" s="267"/>
      <c r="E20" s="264"/>
      <c r="F20" s="120">
        <f t="shared" si="0"/>
        <v>0</v>
      </c>
    </row>
    <row r="21" spans="2:12" ht="20.45" customHeight="1" x14ac:dyDescent="0.25">
      <c r="B21" s="121"/>
      <c r="C21" s="121"/>
      <c r="D21" s="122"/>
      <c r="E21" s="124"/>
      <c r="F21" s="122"/>
    </row>
    <row r="22" spans="2:12" ht="20.45" customHeight="1" x14ac:dyDescent="0.25">
      <c r="B22" s="97"/>
      <c r="C22" s="97"/>
      <c r="D22" s="117"/>
      <c r="E22" s="97"/>
      <c r="F22" s="117"/>
    </row>
    <row r="23" spans="2:12" ht="45" customHeight="1" x14ac:dyDescent="0.25">
      <c r="B23" s="324" t="s">
        <v>299</v>
      </c>
      <c r="C23" s="325"/>
      <c r="D23" s="338" t="s">
        <v>300</v>
      </c>
      <c r="E23" s="338"/>
      <c r="F23" s="338"/>
    </row>
    <row r="24" spans="2:12" ht="37.15" customHeight="1" x14ac:dyDescent="0.25">
      <c r="B24" s="357" t="s">
        <v>301</v>
      </c>
      <c r="C24" s="357"/>
      <c r="D24" s="357"/>
      <c r="E24" s="357"/>
      <c r="F24" s="357"/>
    </row>
    <row r="25" spans="2:12" ht="20.45" customHeight="1" x14ac:dyDescent="0.25">
      <c r="B25" s="334" t="s">
        <v>302</v>
      </c>
      <c r="C25" s="334"/>
      <c r="D25" s="336"/>
      <c r="E25" s="336"/>
      <c r="F25" s="336"/>
    </row>
    <row r="26" spans="2:12" ht="20.45" customHeight="1" thickBot="1" x14ac:dyDescent="0.3">
      <c r="B26" s="334" t="s">
        <v>303</v>
      </c>
      <c r="C26" s="334"/>
      <c r="D26" s="336"/>
      <c r="E26" s="336"/>
      <c r="F26" s="336"/>
    </row>
    <row r="27" spans="2:12" ht="20.45" customHeight="1" x14ac:dyDescent="0.25">
      <c r="B27" s="334" t="s">
        <v>304</v>
      </c>
      <c r="C27" s="334"/>
      <c r="D27" s="336"/>
      <c r="E27" s="336"/>
      <c r="F27" s="336"/>
      <c r="H27" s="354"/>
      <c r="I27" s="354"/>
      <c r="J27" s="339" t="s">
        <v>239</v>
      </c>
      <c r="K27" s="340"/>
      <c r="L27" s="341"/>
    </row>
    <row r="28" spans="2:12" ht="20.45" customHeight="1" thickBot="1" x14ac:dyDescent="0.3">
      <c r="B28" s="334" t="s">
        <v>305</v>
      </c>
      <c r="C28" s="334"/>
      <c r="D28" s="336"/>
      <c r="E28" s="336"/>
      <c r="F28" s="336"/>
      <c r="H28" s="354"/>
      <c r="I28" s="354"/>
      <c r="J28" s="342"/>
      <c r="K28" s="343"/>
      <c r="L28" s="344"/>
    </row>
    <row r="29" spans="2:12" ht="20.45" customHeight="1" x14ac:dyDescent="0.25">
      <c r="B29" s="334" t="s">
        <v>306</v>
      </c>
      <c r="C29" s="334"/>
      <c r="D29" s="336"/>
      <c r="E29" s="336"/>
      <c r="F29" s="336"/>
    </row>
    <row r="30" spans="2:12" ht="20.45" customHeight="1" x14ac:dyDescent="0.25">
      <c r="B30" s="334" t="s">
        <v>307</v>
      </c>
      <c r="C30" s="334"/>
      <c r="D30" s="336"/>
      <c r="E30" s="336"/>
      <c r="F30" s="336"/>
    </row>
    <row r="31" spans="2:12" ht="20.45" customHeight="1" x14ac:dyDescent="0.25">
      <c r="B31" s="121"/>
      <c r="C31" s="121"/>
      <c r="D31" s="123"/>
      <c r="E31" s="123"/>
      <c r="F31" s="123"/>
    </row>
    <row r="32" spans="2:12" ht="20.45" customHeight="1" x14ac:dyDescent="0.25">
      <c r="B32" s="97"/>
      <c r="C32" s="97"/>
      <c r="D32" s="97"/>
      <c r="E32" s="97"/>
      <c r="F32" s="97"/>
    </row>
    <row r="33" spans="2:12" ht="20.45" customHeight="1" x14ac:dyDescent="0.25">
      <c r="B33" s="333" t="s">
        <v>308</v>
      </c>
      <c r="C33" s="333"/>
      <c r="D33" s="333"/>
      <c r="E33" s="333"/>
      <c r="F33" s="333"/>
    </row>
    <row r="34" spans="2:12" ht="46.15" customHeight="1" x14ac:dyDescent="0.25">
      <c r="B34" s="324" t="s">
        <v>309</v>
      </c>
      <c r="C34" s="325"/>
      <c r="D34" s="201" t="s">
        <v>310</v>
      </c>
      <c r="E34" s="201" t="s">
        <v>311</v>
      </c>
      <c r="F34" s="201" t="s">
        <v>312</v>
      </c>
    </row>
    <row r="35" spans="2:12" ht="20.45" customHeight="1" x14ac:dyDescent="0.25">
      <c r="B35" s="334" t="s">
        <v>313</v>
      </c>
      <c r="C35" s="334"/>
      <c r="D35" s="267"/>
      <c r="E35" s="268"/>
      <c r="F35" s="120">
        <f t="shared" ref="F35:F40" si="1">D35*(1+E35)</f>
        <v>0</v>
      </c>
    </row>
    <row r="36" spans="2:12" ht="20.45" customHeight="1" thickBot="1" x14ac:dyDescent="0.3">
      <c r="B36" s="334" t="s">
        <v>314</v>
      </c>
      <c r="C36" s="334"/>
      <c r="D36" s="267"/>
      <c r="E36" s="268"/>
      <c r="F36" s="120">
        <f t="shared" si="1"/>
        <v>0</v>
      </c>
    </row>
    <row r="37" spans="2:12" ht="20.45" customHeight="1" x14ac:dyDescent="0.25">
      <c r="B37" s="334" t="s">
        <v>315</v>
      </c>
      <c r="C37" s="334"/>
      <c r="D37" s="267"/>
      <c r="E37" s="268"/>
      <c r="F37" s="120">
        <f t="shared" si="1"/>
        <v>0</v>
      </c>
      <c r="H37" s="354"/>
      <c r="I37" s="354"/>
      <c r="J37" s="339" t="s">
        <v>239</v>
      </c>
      <c r="K37" s="340"/>
      <c r="L37" s="341"/>
    </row>
    <row r="38" spans="2:12" ht="20.45" customHeight="1" thickBot="1" x14ac:dyDescent="0.3">
      <c r="B38" s="334" t="s">
        <v>316</v>
      </c>
      <c r="C38" s="334"/>
      <c r="D38" s="267"/>
      <c r="E38" s="268"/>
      <c r="F38" s="120">
        <f t="shared" si="1"/>
        <v>0</v>
      </c>
      <c r="H38" s="354"/>
      <c r="I38" s="354"/>
      <c r="J38" s="342"/>
      <c r="K38" s="343"/>
      <c r="L38" s="344"/>
    </row>
    <row r="39" spans="2:12" ht="20.45" customHeight="1" x14ac:dyDescent="0.25">
      <c r="B39" s="334" t="s">
        <v>296</v>
      </c>
      <c r="C39" s="334"/>
      <c r="D39" s="267"/>
      <c r="E39" s="268"/>
      <c r="F39" s="120">
        <f t="shared" si="1"/>
        <v>0</v>
      </c>
    </row>
    <row r="40" spans="2:12" ht="20.45" customHeight="1" x14ac:dyDescent="0.25">
      <c r="B40" s="334" t="s">
        <v>296</v>
      </c>
      <c r="C40" s="334"/>
      <c r="D40" s="267"/>
      <c r="E40" s="268"/>
      <c r="F40" s="120">
        <f t="shared" si="1"/>
        <v>0</v>
      </c>
    </row>
    <row r="41" spans="2:12" ht="20.45" customHeight="1" x14ac:dyDescent="0.25">
      <c r="B41" s="121"/>
      <c r="C41" s="121"/>
      <c r="D41" s="122"/>
      <c r="E41" s="123"/>
      <c r="F41" s="122"/>
    </row>
    <row r="42" spans="2:12" ht="20.45" customHeight="1" x14ac:dyDescent="0.25">
      <c r="B42" s="121"/>
      <c r="C42" s="121"/>
      <c r="D42" s="122"/>
      <c r="E42" s="123"/>
      <c r="F42" s="122"/>
    </row>
    <row r="43" spans="2:12" ht="45" customHeight="1" x14ac:dyDescent="0.25">
      <c r="B43" s="133" t="s">
        <v>317</v>
      </c>
      <c r="C43" s="133" t="s">
        <v>318</v>
      </c>
      <c r="D43" s="201" t="s">
        <v>319</v>
      </c>
      <c r="E43" s="201" t="s">
        <v>298</v>
      </c>
      <c r="F43" s="201" t="s">
        <v>320</v>
      </c>
    </row>
    <row r="44" spans="2:12" ht="19.899999999999999" customHeight="1" x14ac:dyDescent="0.25">
      <c r="B44" s="337" t="s">
        <v>321</v>
      </c>
      <c r="C44" s="337"/>
      <c r="D44" s="337"/>
      <c r="E44" s="337"/>
      <c r="F44" s="337"/>
    </row>
    <row r="45" spans="2:12" ht="20.45" customHeight="1" x14ac:dyDescent="0.25">
      <c r="B45" s="115" t="s">
        <v>322</v>
      </c>
      <c r="C45" s="48" t="s">
        <v>292</v>
      </c>
      <c r="D45" s="269"/>
      <c r="E45" s="270"/>
      <c r="F45" s="120">
        <f>D45*E45</f>
        <v>0</v>
      </c>
    </row>
    <row r="46" spans="2:12" ht="20.45" customHeight="1" thickBot="1" x14ac:dyDescent="0.3">
      <c r="B46" s="115" t="s">
        <v>323</v>
      </c>
      <c r="C46" s="48" t="s">
        <v>324</v>
      </c>
      <c r="D46" s="269"/>
      <c r="E46" s="270"/>
      <c r="F46" s="120">
        <f t="shared" ref="F46:F51" si="2">D46*E46</f>
        <v>0</v>
      </c>
    </row>
    <row r="47" spans="2:12" ht="20.45" customHeight="1" x14ac:dyDescent="0.25">
      <c r="B47" s="115" t="s">
        <v>325</v>
      </c>
      <c r="C47" s="48" t="s">
        <v>326</v>
      </c>
      <c r="D47" s="269"/>
      <c r="E47" s="270"/>
      <c r="F47" s="120">
        <f t="shared" si="2"/>
        <v>0</v>
      </c>
      <c r="H47" s="354"/>
      <c r="I47" s="354"/>
      <c r="J47" s="339" t="s">
        <v>239</v>
      </c>
      <c r="K47" s="340"/>
      <c r="L47" s="341"/>
    </row>
    <row r="48" spans="2:12" ht="20.45" customHeight="1" thickBot="1" x14ac:dyDescent="0.3">
      <c r="B48" s="115" t="s">
        <v>327</v>
      </c>
      <c r="C48" s="48" t="s">
        <v>328</v>
      </c>
      <c r="D48" s="269"/>
      <c r="E48" s="270"/>
      <c r="F48" s="120">
        <f t="shared" si="2"/>
        <v>0</v>
      </c>
      <c r="H48" s="354"/>
      <c r="I48" s="354"/>
      <c r="J48" s="342"/>
      <c r="K48" s="343"/>
      <c r="L48" s="344"/>
    </row>
    <row r="49" spans="2:12" ht="20.45" customHeight="1" x14ac:dyDescent="0.25">
      <c r="B49" s="200" t="s">
        <v>296</v>
      </c>
      <c r="C49" s="48"/>
      <c r="D49" s="269"/>
      <c r="E49" s="270"/>
      <c r="F49" s="120">
        <f t="shared" si="2"/>
        <v>0</v>
      </c>
    </row>
    <row r="50" spans="2:12" ht="20.45" customHeight="1" x14ac:dyDescent="0.25">
      <c r="B50" s="200" t="s">
        <v>296</v>
      </c>
      <c r="C50" s="48"/>
      <c r="D50" s="269"/>
      <c r="E50" s="270"/>
      <c r="F50" s="120">
        <f t="shared" si="2"/>
        <v>0</v>
      </c>
    </row>
    <row r="51" spans="2:12" ht="20.45" customHeight="1" x14ac:dyDescent="0.25">
      <c r="B51" s="200" t="s">
        <v>296</v>
      </c>
      <c r="C51" s="48"/>
      <c r="D51" s="269"/>
      <c r="E51" s="270"/>
      <c r="F51" s="120">
        <f t="shared" si="2"/>
        <v>0</v>
      </c>
    </row>
    <row r="52" spans="2:12" ht="20.45" customHeight="1" x14ac:dyDescent="0.25">
      <c r="B52" s="125"/>
      <c r="C52" s="124"/>
      <c r="D52" s="125"/>
      <c r="E52" s="126"/>
      <c r="F52" s="125"/>
    </row>
    <row r="53" spans="2:12" ht="20.45" customHeight="1" x14ac:dyDescent="0.25">
      <c r="B53" s="97"/>
      <c r="C53" s="97"/>
      <c r="D53" s="97"/>
      <c r="E53" s="118"/>
      <c r="F53" s="97"/>
    </row>
    <row r="54" spans="2:12" ht="45" customHeight="1" x14ac:dyDescent="0.25">
      <c r="B54" s="324" t="s">
        <v>299</v>
      </c>
      <c r="C54" s="325"/>
      <c r="D54" s="338" t="s">
        <v>300</v>
      </c>
      <c r="E54" s="338"/>
      <c r="F54" s="338"/>
    </row>
    <row r="55" spans="2:12" ht="34.9" customHeight="1" x14ac:dyDescent="0.25">
      <c r="B55" s="335" t="s">
        <v>301</v>
      </c>
      <c r="C55" s="335"/>
      <c r="D55" s="335"/>
      <c r="E55" s="335"/>
      <c r="F55" s="335"/>
    </row>
    <row r="56" spans="2:12" ht="20.45" customHeight="1" x14ac:dyDescent="0.25">
      <c r="B56" s="334" t="s">
        <v>302</v>
      </c>
      <c r="C56" s="334"/>
      <c r="D56" s="336"/>
      <c r="E56" s="336"/>
      <c r="F56" s="336"/>
    </row>
    <row r="57" spans="2:12" ht="20.45" customHeight="1" thickBot="1" x14ac:dyDescent="0.3">
      <c r="B57" s="334" t="s">
        <v>303</v>
      </c>
      <c r="C57" s="334"/>
      <c r="D57" s="336"/>
      <c r="E57" s="336"/>
      <c r="F57" s="336"/>
    </row>
    <row r="58" spans="2:12" ht="20.45" customHeight="1" x14ac:dyDescent="0.25">
      <c r="B58" s="334" t="s">
        <v>304</v>
      </c>
      <c r="C58" s="334"/>
      <c r="D58" s="336"/>
      <c r="E58" s="336"/>
      <c r="F58" s="336"/>
      <c r="H58" s="354"/>
      <c r="I58" s="354"/>
      <c r="J58" s="339" t="s">
        <v>239</v>
      </c>
      <c r="K58" s="340"/>
      <c r="L58" s="341"/>
    </row>
    <row r="59" spans="2:12" ht="20.45" customHeight="1" thickBot="1" x14ac:dyDescent="0.3">
      <c r="B59" s="334" t="s">
        <v>305</v>
      </c>
      <c r="C59" s="334"/>
      <c r="D59" s="336"/>
      <c r="E59" s="336"/>
      <c r="F59" s="336"/>
      <c r="H59" s="354"/>
      <c r="I59" s="354"/>
      <c r="J59" s="342"/>
      <c r="K59" s="343"/>
      <c r="L59" s="344"/>
    </row>
    <row r="60" spans="2:12" ht="20.45" customHeight="1" x14ac:dyDescent="0.25">
      <c r="B60" s="334" t="s">
        <v>306</v>
      </c>
      <c r="C60" s="334"/>
      <c r="D60" s="336"/>
      <c r="E60" s="336"/>
      <c r="F60" s="336"/>
    </row>
    <row r="61" spans="2:12" ht="20.45" customHeight="1" x14ac:dyDescent="0.25">
      <c r="B61" s="334" t="s">
        <v>307</v>
      </c>
      <c r="C61" s="334"/>
      <c r="D61" s="336"/>
      <c r="E61" s="336"/>
      <c r="F61" s="336"/>
    </row>
    <row r="62" spans="2:12" ht="20.45" customHeight="1" x14ac:dyDescent="0.25">
      <c r="B62" s="97"/>
      <c r="C62" s="97"/>
      <c r="D62" s="97"/>
      <c r="E62" s="118"/>
      <c r="F62" s="97"/>
    </row>
    <row r="63" spans="2:12" ht="20.45" customHeight="1" x14ac:dyDescent="0.25">
      <c r="E63" s="119"/>
    </row>
  </sheetData>
  <mergeCells count="67">
    <mergeCell ref="B3:C3"/>
    <mergeCell ref="D3:F3"/>
    <mergeCell ref="J27:L28"/>
    <mergeCell ref="J37:L38"/>
    <mergeCell ref="B27:C27"/>
    <mergeCell ref="D27:F27"/>
    <mergeCell ref="B28:C28"/>
    <mergeCell ref="D28:F28"/>
    <mergeCell ref="B29:C29"/>
    <mergeCell ref="D29:F29"/>
    <mergeCell ref="D23:F23"/>
    <mergeCell ref="B24:F24"/>
    <mergeCell ref="B25:C25"/>
    <mergeCell ref="D25:F25"/>
    <mergeCell ref="B26:C26"/>
    <mergeCell ref="D26:F26"/>
    <mergeCell ref="J47:L48"/>
    <mergeCell ref="J58:L59"/>
    <mergeCell ref="J12:L13"/>
    <mergeCell ref="J17:L19"/>
    <mergeCell ref="H12:I13"/>
    <mergeCell ref="H17:I19"/>
    <mergeCell ref="H27:I28"/>
    <mergeCell ref="H37:I38"/>
    <mergeCell ref="H47:I48"/>
    <mergeCell ref="H58:I59"/>
    <mergeCell ref="B59:C59"/>
    <mergeCell ref="D59:F59"/>
    <mergeCell ref="B60:C60"/>
    <mergeCell ref="D60:F60"/>
    <mergeCell ref="B61:C61"/>
    <mergeCell ref="D61:F61"/>
    <mergeCell ref="B56:C56"/>
    <mergeCell ref="D56:F56"/>
    <mergeCell ref="B57:C57"/>
    <mergeCell ref="D57:F57"/>
    <mergeCell ref="B58:C58"/>
    <mergeCell ref="D58:F58"/>
    <mergeCell ref="B55:F55"/>
    <mergeCell ref="B54:C54"/>
    <mergeCell ref="B30:C30"/>
    <mergeCell ref="D30:F30"/>
    <mergeCell ref="B33:F33"/>
    <mergeCell ref="B35:C35"/>
    <mergeCell ref="B36:C36"/>
    <mergeCell ref="B37:C37"/>
    <mergeCell ref="B34:C34"/>
    <mergeCell ref="B38:C38"/>
    <mergeCell ref="B39:C39"/>
    <mergeCell ref="B40:C40"/>
    <mergeCell ref="B44:F44"/>
    <mergeCell ref="D54:F54"/>
    <mergeCell ref="B23:C23"/>
    <mergeCell ref="B20:C20"/>
    <mergeCell ref="B15:C15"/>
    <mergeCell ref="B6:F6"/>
    <mergeCell ref="B7:F7"/>
    <mergeCell ref="B9:F9"/>
    <mergeCell ref="B11:C11"/>
    <mergeCell ref="B12:C12"/>
    <mergeCell ref="B13:C13"/>
    <mergeCell ref="B10:C10"/>
    <mergeCell ref="B14:C14"/>
    <mergeCell ref="B16:C16"/>
    <mergeCell ref="B17:C17"/>
    <mergeCell ref="B18:C18"/>
    <mergeCell ref="B19:C19"/>
  </mergeCells>
  <pageMargins left="0.70866141732283472" right="0.70866141732283472" top="0.74803149606299213" bottom="0.74803149606299213" header="0.31496062992125984" footer="0.31496062992125984"/>
  <pageSetup paperSize="9" orientation="portrait" r:id="rId1"/>
  <headerFooter>
    <oddHeader>&amp;C&amp;"-,Bold"HMS VICTORY
TIMBER SUPPLY FRAMEWORK&amp;R&amp;G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9F238-BD31-47BF-8175-8D202FB6313B}">
  <sheetPr>
    <tabColor rgb="FFFFC000"/>
  </sheetPr>
  <dimension ref="B2:D19"/>
  <sheetViews>
    <sheetView workbookViewId="0">
      <selection activeCell="D8" sqref="D8"/>
    </sheetView>
  </sheetViews>
  <sheetFormatPr defaultRowHeight="15" x14ac:dyDescent="0.25"/>
  <cols>
    <col min="1" max="1" width="4.85546875" customWidth="1"/>
    <col min="2" max="2" width="15.42578125" bestFit="1" customWidth="1"/>
    <col min="3" max="3" width="20.140625" bestFit="1" customWidth="1"/>
    <col min="4" max="4" width="23.5703125" customWidth="1"/>
  </cols>
  <sheetData>
    <row r="2" spans="2:4" ht="36" customHeight="1" x14ac:dyDescent="0.25">
      <c r="B2" s="67" t="s">
        <v>513</v>
      </c>
    </row>
    <row r="4" spans="2:4" x14ac:dyDescent="0.25">
      <c r="B4" s="66" t="s">
        <v>474</v>
      </c>
    </row>
    <row r="5" spans="2:4" ht="15.75" thickBot="1" x14ac:dyDescent="0.3"/>
    <row r="6" spans="2:4" s="51" customFormat="1" ht="30.75" thickBot="1" x14ac:dyDescent="0.3">
      <c r="B6" s="167" t="s">
        <v>470</v>
      </c>
      <c r="C6" s="294" t="s">
        <v>472</v>
      </c>
      <c r="D6" s="294" t="s">
        <v>473</v>
      </c>
    </row>
    <row r="7" spans="2:4" x14ac:dyDescent="0.25">
      <c r="B7" s="283" t="s">
        <v>212</v>
      </c>
      <c r="C7" s="57">
        <v>0</v>
      </c>
      <c r="D7" s="57">
        <v>0</v>
      </c>
    </row>
    <row r="8" spans="2:4" x14ac:dyDescent="0.25">
      <c r="B8" s="283" t="s">
        <v>213</v>
      </c>
      <c r="C8" s="57">
        <v>0</v>
      </c>
      <c r="D8" s="57">
        <v>0</v>
      </c>
    </row>
    <row r="9" spans="2:4" x14ac:dyDescent="0.25">
      <c r="B9" s="283" t="s">
        <v>471</v>
      </c>
      <c r="C9" s="57">
        <v>0</v>
      </c>
      <c r="D9" s="57">
        <v>0</v>
      </c>
    </row>
    <row r="12" spans="2:4" x14ac:dyDescent="0.25">
      <c r="B12" s="278" t="s">
        <v>375</v>
      </c>
    </row>
    <row r="13" spans="2:4" ht="15.75" thickBot="1" x14ac:dyDescent="0.3"/>
    <row r="14" spans="2:4" s="97" customFormat="1" ht="30.75" thickBot="1" x14ac:dyDescent="0.3">
      <c r="B14" s="167" t="s">
        <v>470</v>
      </c>
      <c r="C14" s="294" t="s">
        <v>472</v>
      </c>
    </row>
    <row r="15" spans="2:4" x14ac:dyDescent="0.25">
      <c r="B15" s="283" t="s">
        <v>212</v>
      </c>
      <c r="C15" s="57">
        <v>0</v>
      </c>
    </row>
    <row r="16" spans="2:4" x14ac:dyDescent="0.25">
      <c r="B16" s="283" t="s">
        <v>213</v>
      </c>
      <c r="C16" s="57">
        <v>0</v>
      </c>
    </row>
    <row r="17" spans="2:3" x14ac:dyDescent="0.25">
      <c r="B17" s="283" t="s">
        <v>471</v>
      </c>
      <c r="C17" s="57">
        <v>0</v>
      </c>
    </row>
    <row r="19" spans="2:3" ht="13.15" customHeight="1" x14ac:dyDescent="0.25"/>
  </sheetData>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3232-D66B-4737-9723-5B5392850067}">
  <sheetPr>
    <tabColor theme="7"/>
  </sheetPr>
  <dimension ref="B2:O28"/>
  <sheetViews>
    <sheetView workbookViewId="0">
      <selection activeCell="H5" sqref="H5"/>
    </sheetView>
  </sheetViews>
  <sheetFormatPr defaultRowHeight="15" x14ac:dyDescent="0.25"/>
  <cols>
    <col min="2" max="2" width="25.42578125" customWidth="1"/>
    <col min="3" max="3" width="11.28515625" customWidth="1"/>
    <col min="4" max="9" width="14.7109375" customWidth="1"/>
  </cols>
  <sheetData>
    <row r="2" spans="2:15" ht="36" customHeight="1" thickBot="1" x14ac:dyDescent="0.3">
      <c r="B2" s="67" t="s">
        <v>502</v>
      </c>
      <c r="C2" s="67"/>
    </row>
    <row r="3" spans="2:15" ht="21" customHeight="1" thickBot="1" x14ac:dyDescent="0.3">
      <c r="B3" s="287" t="s">
        <v>461</v>
      </c>
      <c r="C3" s="362"/>
      <c r="D3" s="363"/>
      <c r="E3" s="364"/>
      <c r="H3" s="94"/>
    </row>
    <row r="4" spans="2:15" ht="18.75" customHeight="1" thickBot="1" x14ac:dyDescent="0.3">
      <c r="H4" s="94"/>
    </row>
    <row r="5" spans="2:15" s="66" customFormat="1" ht="30.75" thickBot="1" x14ac:dyDescent="0.3">
      <c r="B5" s="231" t="s">
        <v>456</v>
      </c>
      <c r="C5" s="231" t="s">
        <v>457</v>
      </c>
      <c r="D5" s="231" t="s">
        <v>240</v>
      </c>
      <c r="E5" s="231" t="s">
        <v>241</v>
      </c>
      <c r="F5" s="231" t="s">
        <v>479</v>
      </c>
    </row>
    <row r="6" spans="2:15" ht="19.899999999999999" customHeight="1" x14ac:dyDescent="0.25">
      <c r="B6" s="80" t="s">
        <v>242</v>
      </c>
      <c r="C6" s="206" t="s">
        <v>256</v>
      </c>
      <c r="D6" s="285">
        <f>VLOOKUP($C6,Midships,26,FALSE)</f>
        <v>0</v>
      </c>
      <c r="E6" s="285">
        <f>VLOOKUP($C6,Midships,28,FALSE)</f>
        <v>0</v>
      </c>
      <c r="F6" s="285">
        <f>SUM(D6:E6)</f>
        <v>0</v>
      </c>
      <c r="O6" s="81"/>
    </row>
    <row r="7" spans="2:15" ht="19.899999999999999" customHeight="1" x14ac:dyDescent="0.25">
      <c r="B7" s="80" t="s">
        <v>242</v>
      </c>
      <c r="C7" s="206" t="s">
        <v>257</v>
      </c>
      <c r="D7" s="285">
        <f>VLOOKUP(C7,Midships,26,FALSE)</f>
        <v>0</v>
      </c>
      <c r="E7" s="285">
        <f>VLOOKUP(C7,Midships,28,FALSE)</f>
        <v>0</v>
      </c>
      <c r="F7" s="285">
        <f t="shared" ref="F7:F8" si="0">SUM(D7:E7)</f>
        <v>0</v>
      </c>
    </row>
    <row r="8" spans="2:15" ht="19.899999999999999" customHeight="1" x14ac:dyDescent="0.25">
      <c r="B8" s="80" t="s">
        <v>242</v>
      </c>
      <c r="C8" s="206" t="s">
        <v>258</v>
      </c>
      <c r="D8" s="285">
        <f>VLOOKUP(C8,Midships,26,FALSE)</f>
        <v>0</v>
      </c>
      <c r="E8" s="285">
        <f>VLOOKUP(C8,Midships,28,FALSE)</f>
        <v>0</v>
      </c>
      <c r="F8" s="285">
        <f t="shared" si="0"/>
        <v>0</v>
      </c>
    </row>
    <row r="9" spans="2:15" ht="19.899999999999999" customHeight="1" x14ac:dyDescent="0.25">
      <c r="B9" s="80" t="s">
        <v>466</v>
      </c>
      <c r="C9" s="224" t="s">
        <v>465</v>
      </c>
      <c r="D9" s="285">
        <f>VLOOKUP(C9,Internal,24,FALSE)</f>
        <v>0</v>
      </c>
      <c r="E9" s="285" t="s">
        <v>469</v>
      </c>
      <c r="F9" s="285">
        <f>SUM(D9)</f>
        <v>0</v>
      </c>
    </row>
    <row r="10" spans="2:15" ht="19.899999999999999" customHeight="1" thickBot="1" x14ac:dyDescent="0.3">
      <c r="B10" s="358" t="s">
        <v>497</v>
      </c>
      <c r="C10" s="359"/>
      <c r="D10" s="230">
        <f>SUM(D6:D9)</f>
        <v>0</v>
      </c>
      <c r="E10" s="230">
        <f>SUM(E6:E9)</f>
        <v>0</v>
      </c>
      <c r="F10" s="230">
        <f>SUM(F6:F9)</f>
        <v>0</v>
      </c>
    </row>
    <row r="11" spans="2:15" ht="30.75" thickBot="1" x14ac:dyDescent="0.3">
      <c r="B11" s="231" t="s">
        <v>456</v>
      </c>
      <c r="C11" s="231" t="s">
        <v>457</v>
      </c>
      <c r="D11" s="231" t="s">
        <v>495</v>
      </c>
      <c r="E11" s="231" t="s">
        <v>496</v>
      </c>
    </row>
    <row r="12" spans="2:15" ht="19.899999999999999" customHeight="1" thickBot="1" x14ac:dyDescent="0.3">
      <c r="B12" s="80" t="s">
        <v>467</v>
      </c>
      <c r="C12" s="224" t="s">
        <v>468</v>
      </c>
      <c r="D12" s="232">
        <f>VLOOKUP($C12,Compass,26,FALSE)</f>
        <v>0</v>
      </c>
      <c r="E12" s="232">
        <f>VLOOKUP($C12,Compass,29,FALSE)</f>
        <v>0</v>
      </c>
    </row>
    <row r="13" spans="2:15" s="97" customFormat="1" ht="27" customHeight="1" x14ac:dyDescent="0.25">
      <c r="B13" s="260"/>
      <c r="G13" s="296" t="s">
        <v>239</v>
      </c>
    </row>
    <row r="14" spans="2:15" ht="27.6" customHeight="1" thickBot="1" x14ac:dyDescent="0.3">
      <c r="G14" s="297"/>
    </row>
    <row r="15" spans="2:15" s="237" customFormat="1" ht="31.15" customHeight="1" thickBot="1" x14ac:dyDescent="0.3">
      <c r="B15" s="365" t="s">
        <v>504</v>
      </c>
      <c r="C15" s="366"/>
      <c r="D15" s="235" t="s">
        <v>480</v>
      </c>
      <c r="E15" s="235" t="s">
        <v>375</v>
      </c>
      <c r="F15" s="231" t="s">
        <v>229</v>
      </c>
      <c r="G15" s="236" t="s">
        <v>254</v>
      </c>
      <c r="H15" s="231" t="s">
        <v>255</v>
      </c>
      <c r="I15" s="231" t="s">
        <v>228</v>
      </c>
    </row>
    <row r="16" spans="2:15" s="97" customFormat="1" ht="19.899999999999999" customHeight="1" x14ac:dyDescent="0.25">
      <c r="B16" s="360" t="s">
        <v>475</v>
      </c>
      <c r="C16" s="361"/>
      <c r="D16" s="72">
        <f>GETPIVOTDATA("Sum of Total Price for Inner Planks ",'6. By Lots'!$B$6,"Lot 
(1/2/3)","Lot 1 ")</f>
        <v>0</v>
      </c>
      <c r="E16" s="72">
        <f>GETPIVOTDATA("Total Price for Inner Planks ",'6. By Lots'!$B$14,"Lot 
(1/2/3)","Lot 1 ")</f>
        <v>0</v>
      </c>
      <c r="F16" s="72">
        <f t="shared" ref="F16:F21" si="1">SUM(D16:E16)</f>
        <v>0</v>
      </c>
      <c r="G16" s="233">
        <v>0</v>
      </c>
      <c r="H16" s="72">
        <f>F16*G16</f>
        <v>0</v>
      </c>
      <c r="I16" s="73">
        <f>F16+H16</f>
        <v>0</v>
      </c>
    </row>
    <row r="17" spans="2:9" s="97" customFormat="1" ht="19.899999999999999" customHeight="1" x14ac:dyDescent="0.25">
      <c r="B17" s="360" t="s">
        <v>476</v>
      </c>
      <c r="C17" s="361"/>
      <c r="D17" s="72">
        <f>GETPIVOTDATA("Sum of Total Price for 1/4 Sawn Planks",'6. By Lots'!$B$6,"Lot 
(1/2/3)","Lot 1 ")</f>
        <v>0</v>
      </c>
      <c r="E17" s="72">
        <v>0</v>
      </c>
      <c r="F17" s="72">
        <f t="shared" si="1"/>
        <v>0</v>
      </c>
      <c r="G17" s="233">
        <v>0</v>
      </c>
      <c r="H17" s="72">
        <f>F17*G17</f>
        <v>0</v>
      </c>
      <c r="I17" s="73">
        <f>F17+H17</f>
        <v>0</v>
      </c>
    </row>
    <row r="18" spans="2:9" s="97" customFormat="1" ht="19.899999999999999" customHeight="1" x14ac:dyDescent="0.25">
      <c r="B18" s="358" t="s">
        <v>498</v>
      </c>
      <c r="C18" s="359"/>
      <c r="D18" s="230">
        <f>SUM(D16:D17)</f>
        <v>0</v>
      </c>
      <c r="E18" s="230">
        <f>SUM(E16:E17)</f>
        <v>0</v>
      </c>
      <c r="F18" s="230">
        <f t="shared" si="1"/>
        <v>0</v>
      </c>
      <c r="G18" s="243"/>
      <c r="H18" s="219">
        <f>SUM(H16:H17)</f>
        <v>0</v>
      </c>
      <c r="I18" s="219">
        <f t="shared" ref="I18" si="2">F18*(1+G18)</f>
        <v>0</v>
      </c>
    </row>
    <row r="19" spans="2:9" s="97" customFormat="1" ht="19.899999999999999" customHeight="1" x14ac:dyDescent="0.25">
      <c r="B19" s="360" t="s">
        <v>477</v>
      </c>
      <c r="C19" s="361"/>
      <c r="D19" s="72">
        <f>GETPIVOTDATA("Sum of Total Price for Inner Planks ",'6. By Lots'!$B$6,"Lot 
(1/2/3)","Lot 2")</f>
        <v>0</v>
      </c>
      <c r="E19" s="72">
        <f>GETPIVOTDATA("Total Price for Inner Planks ",'6. By Lots'!$B$14,"Lot 
(1/2/3)","Lot 2")</f>
        <v>0</v>
      </c>
      <c r="F19" s="72">
        <f t="shared" si="1"/>
        <v>0</v>
      </c>
      <c r="G19" s="233">
        <v>0</v>
      </c>
      <c r="H19" s="72">
        <f>F19*G19</f>
        <v>0</v>
      </c>
      <c r="I19" s="73">
        <f>F19+H19</f>
        <v>0</v>
      </c>
    </row>
    <row r="20" spans="2:9" s="97" customFormat="1" ht="19.899999999999999" customHeight="1" x14ac:dyDescent="0.25">
      <c r="B20" s="360" t="s">
        <v>478</v>
      </c>
      <c r="C20" s="361"/>
      <c r="D20" s="72">
        <f>GETPIVOTDATA("Sum of Total Price for 1/4 Sawn Planks",'6. By Lots'!$B$6,"Lot 
(1/2/3)","Lot 2")</f>
        <v>0</v>
      </c>
      <c r="E20" s="72">
        <v>0</v>
      </c>
      <c r="F20" s="72">
        <f t="shared" si="1"/>
        <v>0</v>
      </c>
      <c r="G20" s="233">
        <v>0</v>
      </c>
      <c r="H20" s="72">
        <f>F20*G20</f>
        <v>0</v>
      </c>
      <c r="I20" s="73">
        <f>F20+H20</f>
        <v>0</v>
      </c>
    </row>
    <row r="21" spans="2:9" s="97" customFormat="1" ht="19.899999999999999" customHeight="1" x14ac:dyDescent="0.25">
      <c r="B21" s="358" t="s">
        <v>499</v>
      </c>
      <c r="C21" s="359"/>
      <c r="D21" s="230">
        <f>SUM(D19:D20)</f>
        <v>0</v>
      </c>
      <c r="E21" s="230">
        <f>SUM(E19:E20)</f>
        <v>0</v>
      </c>
      <c r="F21" s="230">
        <f t="shared" si="1"/>
        <v>0</v>
      </c>
      <c r="G21" s="243"/>
      <c r="H21" s="219">
        <f>SUM(H19:H20)</f>
        <v>0</v>
      </c>
      <c r="I21" s="219">
        <f>F21*(1+G21)</f>
        <v>0</v>
      </c>
    </row>
    <row r="22" spans="2:9" s="97" customFormat="1" ht="8.4499999999999993" customHeight="1" x14ac:dyDescent="0.25"/>
    <row r="23" spans="2:9" s="97" customFormat="1" ht="19.899999999999999" customHeight="1" x14ac:dyDescent="0.25">
      <c r="B23" s="241" t="s">
        <v>500</v>
      </c>
      <c r="C23" s="242"/>
      <c r="D23" s="230">
        <f>D18+D21</f>
        <v>0</v>
      </c>
      <c r="E23" s="230">
        <f t="shared" ref="E23:F23" si="3">E18+E21</f>
        <v>0</v>
      </c>
      <c r="F23" s="230">
        <f t="shared" si="3"/>
        <v>0</v>
      </c>
      <c r="G23" s="243"/>
      <c r="H23" s="219"/>
      <c r="I23" s="219"/>
    </row>
    <row r="24" spans="2:9" s="97" customFormat="1" ht="9" customHeight="1" thickBot="1" x14ac:dyDescent="0.3"/>
    <row r="25" spans="2:9" s="97" customFormat="1" ht="30.75" thickBot="1" x14ac:dyDescent="0.3">
      <c r="B25" s="365" t="s">
        <v>503</v>
      </c>
      <c r="C25" s="366"/>
      <c r="D25" s="235"/>
      <c r="E25" s="235" t="s">
        <v>375</v>
      </c>
      <c r="F25" s="231" t="s">
        <v>229</v>
      </c>
      <c r="G25" s="236" t="s">
        <v>254</v>
      </c>
      <c r="H25" s="231" t="s">
        <v>255</v>
      </c>
      <c r="I25" s="231" t="s">
        <v>228</v>
      </c>
    </row>
    <row r="26" spans="2:9" s="97" customFormat="1" ht="19.899999999999999" customHeight="1" x14ac:dyDescent="0.25">
      <c r="B26" s="360" t="s">
        <v>490</v>
      </c>
      <c r="C26" s="361"/>
      <c r="D26" s="72"/>
      <c r="E26" s="254">
        <f>'4. Compass Timbers'!AB22</f>
        <v>0</v>
      </c>
      <c r="F26" s="72">
        <f>SUM(D26:E26)</f>
        <v>0</v>
      </c>
      <c r="G26" s="234">
        <v>0</v>
      </c>
      <c r="H26" s="72">
        <f>F26*G26</f>
        <v>0</v>
      </c>
      <c r="I26" s="73">
        <f>F26+H26</f>
        <v>0</v>
      </c>
    </row>
    <row r="27" spans="2:9" s="97" customFormat="1" ht="19.899999999999999" customHeight="1" x14ac:dyDescent="0.25">
      <c r="B27" s="244" t="s">
        <v>491</v>
      </c>
      <c r="C27" s="245"/>
      <c r="D27" s="72"/>
      <c r="E27" s="72">
        <f>'4. Compass Timbers'!AE22</f>
        <v>0</v>
      </c>
      <c r="F27" s="72">
        <f>SUM(D27:E27)</f>
        <v>0</v>
      </c>
      <c r="G27" s="253">
        <v>0</v>
      </c>
      <c r="H27" s="72">
        <f>F27*G27</f>
        <v>0</v>
      </c>
      <c r="I27" s="73">
        <f>F27+H27</f>
        <v>0</v>
      </c>
    </row>
    <row r="28" spans="2:9" s="97" customFormat="1" ht="19.899999999999999" customHeight="1" x14ac:dyDescent="0.25">
      <c r="B28" s="358" t="s">
        <v>501</v>
      </c>
      <c r="C28" s="359"/>
      <c r="D28" s="230"/>
      <c r="E28" s="230">
        <f>SUM(E26:E27)</f>
        <v>0</v>
      </c>
      <c r="F28" s="230">
        <f>SUM(F26:F27)</f>
        <v>0</v>
      </c>
      <c r="G28" s="243"/>
      <c r="H28" s="219">
        <f>SUM(H26:H27)</f>
        <v>0</v>
      </c>
      <c r="I28" s="219">
        <f>SUM(I26:I27)</f>
        <v>0</v>
      </c>
    </row>
  </sheetData>
  <mergeCells count="13">
    <mergeCell ref="G13:G14"/>
    <mergeCell ref="B10:C10"/>
    <mergeCell ref="B20:C20"/>
    <mergeCell ref="C3:E3"/>
    <mergeCell ref="B28:C28"/>
    <mergeCell ref="B25:C25"/>
    <mergeCell ref="B21:C21"/>
    <mergeCell ref="B26:C26"/>
    <mergeCell ref="B15:C15"/>
    <mergeCell ref="B16:C16"/>
    <mergeCell ref="B17:C17"/>
    <mergeCell ref="B18:C18"/>
    <mergeCell ref="B19:C19"/>
  </mergeCells>
  <phoneticPr fontId="9" type="noConversion"/>
  <pageMargins left="0.7" right="0.7" top="0.75" bottom="0.75" header="0.3" footer="0.3"/>
  <pageSetup paperSize="9" orientation="landscape"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47FD7-1750-42D2-AEC9-6210ADFBEEB0}">
  <sheetPr>
    <tabColor rgb="FFFF0000"/>
  </sheetPr>
  <dimension ref="B2:Z140"/>
  <sheetViews>
    <sheetView showGridLines="0" zoomScale="90" zoomScaleNormal="90" workbookViewId="0">
      <pane ySplit="7" topLeftCell="A8" activePane="bottomLeft" state="frozen"/>
      <selection activeCell="L1" sqref="L1"/>
      <selection pane="bottomLeft" activeCell="S140" sqref="S140"/>
    </sheetView>
  </sheetViews>
  <sheetFormatPr defaultRowHeight="15" x14ac:dyDescent="0.25"/>
  <cols>
    <col min="3" max="3" width="13.42578125" bestFit="1" customWidth="1"/>
    <col min="4" max="4" width="36.140625" hidden="1" customWidth="1"/>
    <col min="5" max="5" width="54.5703125" hidden="1" customWidth="1"/>
    <col min="6" max="6" width="15.7109375" customWidth="1"/>
    <col min="7" max="7" width="11.5703125" hidden="1" customWidth="1"/>
    <col min="8" max="10" width="15.7109375" hidden="1" customWidth="1"/>
    <col min="11" max="12" width="23.7109375" hidden="1" customWidth="1"/>
    <col min="13" max="15" width="15.7109375" customWidth="1"/>
    <col min="16" max="16" width="23.7109375" hidden="1" customWidth="1"/>
    <col min="17" max="22" width="20.85546875" customWidth="1"/>
    <col min="23" max="26" width="21.28515625" hidden="1" customWidth="1"/>
  </cols>
  <sheetData>
    <row r="2" spans="2:26" ht="61.5" customHeight="1" x14ac:dyDescent="0.25">
      <c r="B2" s="71" t="s">
        <v>226</v>
      </c>
      <c r="M2" s="369" t="s">
        <v>338</v>
      </c>
      <c r="N2" s="369"/>
      <c r="O2" s="369"/>
      <c r="P2" s="369"/>
      <c r="Q2" s="369"/>
      <c r="R2" s="369"/>
      <c r="S2" s="369"/>
      <c r="T2" s="369"/>
      <c r="U2" s="369"/>
      <c r="V2" s="369"/>
    </row>
    <row r="3" spans="2:26" ht="15" customHeight="1" thickBot="1" x14ac:dyDescent="0.3"/>
    <row r="4" spans="2:26" ht="15.75" customHeight="1" thickBot="1" x14ac:dyDescent="0.3">
      <c r="C4" s="51"/>
      <c r="D4" s="51"/>
      <c r="M4" s="298" t="s">
        <v>243</v>
      </c>
      <c r="N4" s="299"/>
      <c r="O4" s="300"/>
      <c r="W4" s="367" t="s">
        <v>239</v>
      </c>
      <c r="Y4" s="367" t="s">
        <v>239</v>
      </c>
    </row>
    <row r="5" spans="2:26" ht="15.75" thickBot="1" x14ac:dyDescent="0.3">
      <c r="C5" s="43"/>
      <c r="D5" s="43"/>
      <c r="E5" s="43"/>
      <c r="F5" s="43"/>
      <c r="G5" s="304" t="s">
        <v>220</v>
      </c>
      <c r="H5" s="305"/>
      <c r="I5" s="305"/>
      <c r="J5" s="306"/>
      <c r="K5" s="43"/>
      <c r="L5" s="42"/>
      <c r="M5" s="301"/>
      <c r="N5" s="302"/>
      <c r="O5" s="303"/>
      <c r="P5" s="69"/>
      <c r="Q5" s="69"/>
      <c r="R5" s="69"/>
      <c r="S5" s="69"/>
      <c r="T5" s="69"/>
      <c r="U5" s="42"/>
      <c r="V5" s="42"/>
      <c r="W5" s="368"/>
      <c r="Y5" s="368"/>
    </row>
    <row r="6" spans="2:26" ht="60" customHeight="1" thickBot="1" x14ac:dyDescent="0.3">
      <c r="C6" s="100" t="s">
        <v>247</v>
      </c>
      <c r="D6" s="100" t="s">
        <v>208</v>
      </c>
      <c r="E6" s="100" t="s">
        <v>209</v>
      </c>
      <c r="F6" s="100" t="s">
        <v>244</v>
      </c>
      <c r="G6" s="98" t="s">
        <v>206</v>
      </c>
      <c r="H6" s="101" t="s">
        <v>215</v>
      </c>
      <c r="I6" s="100" t="s">
        <v>233</v>
      </c>
      <c r="J6" s="100" t="s">
        <v>234</v>
      </c>
      <c r="K6" s="100" t="s">
        <v>235</v>
      </c>
      <c r="L6" s="100" t="s">
        <v>236</v>
      </c>
      <c r="M6" s="100" t="s">
        <v>215</v>
      </c>
      <c r="N6" s="100" t="s">
        <v>233</v>
      </c>
      <c r="O6" s="100" t="s">
        <v>234</v>
      </c>
      <c r="P6" s="100" t="s">
        <v>222</v>
      </c>
      <c r="Q6" s="100" t="s">
        <v>223</v>
      </c>
      <c r="R6" s="100" t="s">
        <v>217</v>
      </c>
      <c r="S6" s="100" t="s">
        <v>224</v>
      </c>
      <c r="T6" s="100" t="s">
        <v>248</v>
      </c>
      <c r="U6" s="100" t="s">
        <v>253</v>
      </c>
      <c r="V6" s="100" t="s">
        <v>210</v>
      </c>
      <c r="W6" s="79" t="s">
        <v>249</v>
      </c>
      <c r="X6" s="78" t="s">
        <v>251</v>
      </c>
      <c r="Y6" s="78" t="s">
        <v>250</v>
      </c>
      <c r="Z6" s="78" t="s">
        <v>252</v>
      </c>
    </row>
    <row r="7" spans="2:26" ht="15.75" customHeight="1" thickBot="1" x14ac:dyDescent="0.3">
      <c r="C7" s="70">
        <v>1</v>
      </c>
      <c r="D7" s="141">
        <v>2</v>
      </c>
      <c r="E7" s="142">
        <v>3</v>
      </c>
      <c r="F7" s="144">
        <v>4</v>
      </c>
      <c r="G7" s="143">
        <v>5</v>
      </c>
      <c r="H7" s="103">
        <v>6</v>
      </c>
      <c r="I7" s="102">
        <v>7</v>
      </c>
      <c r="J7" s="103">
        <v>8</v>
      </c>
      <c r="K7" s="102">
        <v>9</v>
      </c>
      <c r="L7" s="145">
        <v>10</v>
      </c>
      <c r="M7" s="70">
        <v>11</v>
      </c>
      <c r="N7" s="144">
        <v>12</v>
      </c>
      <c r="O7" s="70">
        <v>13</v>
      </c>
      <c r="P7" s="146">
        <v>14</v>
      </c>
      <c r="Q7" s="70">
        <v>15</v>
      </c>
      <c r="R7" s="144">
        <v>16</v>
      </c>
      <c r="S7" s="70">
        <v>17</v>
      </c>
      <c r="T7" s="144">
        <v>18</v>
      </c>
      <c r="U7" s="70">
        <v>19</v>
      </c>
      <c r="V7" s="144">
        <v>20</v>
      </c>
      <c r="W7" s="147">
        <v>21</v>
      </c>
      <c r="X7" s="105">
        <v>22</v>
      </c>
      <c r="Y7" s="104">
        <v>23</v>
      </c>
      <c r="Z7" s="105">
        <v>24</v>
      </c>
    </row>
    <row r="8" spans="2:26" x14ac:dyDescent="0.25">
      <c r="B8" s="310" t="s">
        <v>354</v>
      </c>
      <c r="C8" s="109">
        <v>37.1</v>
      </c>
      <c r="D8" s="109" t="s">
        <v>160</v>
      </c>
      <c r="E8" s="63" t="s">
        <v>143</v>
      </c>
      <c r="F8" s="158" t="s">
        <v>213</v>
      </c>
      <c r="G8" s="64">
        <v>7.4</v>
      </c>
      <c r="H8" s="59">
        <f t="shared" ref="H8:H17" si="0">CONVERT(G8,"m","mm")</f>
        <v>7400</v>
      </c>
      <c r="I8" s="64">
        <v>370</v>
      </c>
      <c r="J8" s="64">
        <v>184</v>
      </c>
      <c r="K8" s="59">
        <f t="shared" ref="K8:K35" si="1">(J8/O8)</f>
        <v>4.1818181818181817</v>
      </c>
      <c r="L8" s="61">
        <f t="shared" ref="L8:L17" si="2">ROUNDUP(K8,0)</f>
        <v>5</v>
      </c>
      <c r="M8" s="59">
        <f>(H8+350)</f>
        <v>7750</v>
      </c>
      <c r="N8" s="59">
        <f t="shared" ref="N8:N35" si="3">(I8+100)</f>
        <v>470</v>
      </c>
      <c r="O8" s="59">
        <v>44</v>
      </c>
      <c r="P8" s="59">
        <f t="shared" ref="P8:P17" si="4">(K8-1)</f>
        <v>3.1818181818181817</v>
      </c>
      <c r="Q8" s="59">
        <f>(L8-1)*2</f>
        <v>8</v>
      </c>
      <c r="R8" s="60" t="s">
        <v>342</v>
      </c>
      <c r="S8" s="65">
        <v>2</v>
      </c>
      <c r="T8" s="61" t="s">
        <v>340</v>
      </c>
      <c r="U8" s="61" t="s">
        <v>221</v>
      </c>
      <c r="V8" s="151">
        <v>46447</v>
      </c>
      <c r="W8" s="148">
        <v>0</v>
      </c>
      <c r="X8" s="86">
        <f t="shared" ref="X8:X17" si="5">(W8*Q8)</f>
        <v>0</v>
      </c>
      <c r="Y8" s="106">
        <v>0</v>
      </c>
      <c r="Z8" s="87">
        <f t="shared" ref="Z8:Z17" si="6">(Y8*S8)</f>
        <v>0</v>
      </c>
    </row>
    <row r="9" spans="2:26" x14ac:dyDescent="0.25">
      <c r="B9" s="311"/>
      <c r="C9" s="56">
        <v>37.200000000000003</v>
      </c>
      <c r="D9" s="56" t="s">
        <v>160</v>
      </c>
      <c r="E9" s="45" t="s">
        <v>165</v>
      </c>
      <c r="F9" s="158" t="s">
        <v>213</v>
      </c>
      <c r="G9" s="46">
        <v>7.4</v>
      </c>
      <c r="H9" s="44">
        <f t="shared" si="0"/>
        <v>7400</v>
      </c>
      <c r="I9" s="46">
        <v>370</v>
      </c>
      <c r="J9" s="46">
        <v>184</v>
      </c>
      <c r="K9" s="44">
        <f t="shared" si="1"/>
        <v>4.1818181818181817</v>
      </c>
      <c r="L9" s="50">
        <f t="shared" si="2"/>
        <v>5</v>
      </c>
      <c r="M9" s="44">
        <f>(H9+350)</f>
        <v>7750</v>
      </c>
      <c r="N9" s="44">
        <f t="shared" si="3"/>
        <v>470</v>
      </c>
      <c r="O9" s="164">
        <v>44</v>
      </c>
      <c r="P9" s="44">
        <f t="shared" si="4"/>
        <v>3.1818181818181817</v>
      </c>
      <c r="Q9" s="44">
        <f t="shared" ref="Q9:Q17" si="7">(L9-1)*2</f>
        <v>8</v>
      </c>
      <c r="R9" s="165" t="s">
        <v>342</v>
      </c>
      <c r="S9" s="54">
        <v>2</v>
      </c>
      <c r="T9" s="166" t="s">
        <v>340</v>
      </c>
      <c r="U9" s="50" t="s">
        <v>221</v>
      </c>
      <c r="V9" s="131">
        <v>46447</v>
      </c>
      <c r="W9" s="149">
        <v>0</v>
      </c>
      <c r="X9" s="88">
        <f t="shared" si="5"/>
        <v>0</v>
      </c>
      <c r="Y9" s="107">
        <v>0</v>
      </c>
      <c r="Z9" s="89">
        <f t="shared" si="6"/>
        <v>0</v>
      </c>
    </row>
    <row r="10" spans="2:26" x14ac:dyDescent="0.25">
      <c r="B10" s="311"/>
      <c r="C10" s="56">
        <v>37.300000000000004</v>
      </c>
      <c r="D10" s="56" t="s">
        <v>160</v>
      </c>
      <c r="E10" s="45" t="s">
        <v>26</v>
      </c>
      <c r="F10" s="158" t="s">
        <v>213</v>
      </c>
      <c r="G10" s="46">
        <v>7.4</v>
      </c>
      <c r="H10" s="44">
        <f t="shared" si="0"/>
        <v>7400</v>
      </c>
      <c r="I10" s="46">
        <v>370</v>
      </c>
      <c r="J10" s="46">
        <v>184</v>
      </c>
      <c r="K10" s="44">
        <f t="shared" si="1"/>
        <v>4.1818181818181817</v>
      </c>
      <c r="L10" s="50">
        <f t="shared" si="2"/>
        <v>5</v>
      </c>
      <c r="M10" s="44">
        <f>(H10+300)</f>
        <v>7700</v>
      </c>
      <c r="N10" s="44">
        <f t="shared" si="3"/>
        <v>470</v>
      </c>
      <c r="O10" s="164">
        <v>44</v>
      </c>
      <c r="P10" s="44">
        <f t="shared" si="4"/>
        <v>3.1818181818181817</v>
      </c>
      <c r="Q10" s="44">
        <f t="shared" si="7"/>
        <v>8</v>
      </c>
      <c r="R10" s="165" t="s">
        <v>342</v>
      </c>
      <c r="S10" s="54">
        <v>2</v>
      </c>
      <c r="T10" s="166" t="s">
        <v>340</v>
      </c>
      <c r="U10" s="50" t="s">
        <v>221</v>
      </c>
      <c r="V10" s="131">
        <v>46447</v>
      </c>
      <c r="W10" s="149">
        <v>0</v>
      </c>
      <c r="X10" s="88">
        <f t="shared" si="5"/>
        <v>0</v>
      </c>
      <c r="Y10" s="107">
        <v>0</v>
      </c>
      <c r="Z10" s="89">
        <f t="shared" si="6"/>
        <v>0</v>
      </c>
    </row>
    <row r="11" spans="2:26" x14ac:dyDescent="0.25">
      <c r="B11" s="311"/>
      <c r="C11" s="56">
        <v>38.1</v>
      </c>
      <c r="D11" s="56" t="s">
        <v>160</v>
      </c>
      <c r="E11" s="45" t="s">
        <v>143</v>
      </c>
      <c r="F11" s="157" t="s">
        <v>212</v>
      </c>
      <c r="G11" s="46">
        <v>5.2</v>
      </c>
      <c r="H11" s="44">
        <f t="shared" si="0"/>
        <v>5200</v>
      </c>
      <c r="I11" s="46">
        <v>370</v>
      </c>
      <c r="J11" s="46">
        <v>190.5</v>
      </c>
      <c r="K11" s="44">
        <f t="shared" si="1"/>
        <v>4.3295454545454541</v>
      </c>
      <c r="L11" s="50">
        <f t="shared" si="2"/>
        <v>5</v>
      </c>
      <c r="M11" s="44">
        <f>(H11+350)</f>
        <v>5550</v>
      </c>
      <c r="N11" s="44">
        <f t="shared" si="3"/>
        <v>470</v>
      </c>
      <c r="O11" s="164">
        <v>44</v>
      </c>
      <c r="P11" s="44">
        <f t="shared" si="4"/>
        <v>3.3295454545454541</v>
      </c>
      <c r="Q11" s="44">
        <f t="shared" si="7"/>
        <v>8</v>
      </c>
      <c r="R11" s="60" t="s">
        <v>341</v>
      </c>
      <c r="S11" s="54">
        <v>2</v>
      </c>
      <c r="T11" s="50" t="s">
        <v>339</v>
      </c>
      <c r="U11" s="50" t="s">
        <v>221</v>
      </c>
      <c r="V11" s="131">
        <v>46447</v>
      </c>
      <c r="W11" s="149">
        <v>0</v>
      </c>
      <c r="X11" s="88">
        <f t="shared" si="5"/>
        <v>0</v>
      </c>
      <c r="Y11" s="107">
        <v>0</v>
      </c>
      <c r="Z11" s="89">
        <f t="shared" si="6"/>
        <v>0</v>
      </c>
    </row>
    <row r="12" spans="2:26" x14ac:dyDescent="0.25">
      <c r="B12" s="311"/>
      <c r="C12" s="56">
        <v>38.200000000000003</v>
      </c>
      <c r="D12" s="56" t="s">
        <v>160</v>
      </c>
      <c r="E12" s="45" t="s">
        <v>165</v>
      </c>
      <c r="F12" s="158" t="s">
        <v>213</v>
      </c>
      <c r="G12" s="46">
        <v>7.4</v>
      </c>
      <c r="H12" s="44">
        <f t="shared" si="0"/>
        <v>7400</v>
      </c>
      <c r="I12" s="46">
        <v>370</v>
      </c>
      <c r="J12" s="46">
        <v>190.5</v>
      </c>
      <c r="K12" s="44">
        <f t="shared" si="1"/>
        <v>4.3295454545454541</v>
      </c>
      <c r="L12" s="50">
        <f t="shared" si="2"/>
        <v>5</v>
      </c>
      <c r="M12" s="44">
        <f>(H12+350)</f>
        <v>7750</v>
      </c>
      <c r="N12" s="44">
        <f t="shared" si="3"/>
        <v>470</v>
      </c>
      <c r="O12" s="164">
        <v>44</v>
      </c>
      <c r="P12" s="44">
        <f t="shared" si="4"/>
        <v>3.3295454545454541</v>
      </c>
      <c r="Q12" s="44">
        <f t="shared" si="7"/>
        <v>8</v>
      </c>
      <c r="R12" s="165" t="s">
        <v>342</v>
      </c>
      <c r="S12" s="54">
        <v>2</v>
      </c>
      <c r="T12" s="166" t="s">
        <v>340</v>
      </c>
      <c r="U12" s="50" t="s">
        <v>221</v>
      </c>
      <c r="V12" s="131">
        <v>46447</v>
      </c>
      <c r="W12" s="149">
        <v>0</v>
      </c>
      <c r="X12" s="88">
        <f t="shared" si="5"/>
        <v>0</v>
      </c>
      <c r="Y12" s="107">
        <v>0</v>
      </c>
      <c r="Z12" s="89">
        <f t="shared" si="6"/>
        <v>0</v>
      </c>
    </row>
    <row r="13" spans="2:26" x14ac:dyDescent="0.25">
      <c r="B13" s="311"/>
      <c r="C13" s="56">
        <v>38.300000000000004</v>
      </c>
      <c r="D13" s="56" t="s">
        <v>160</v>
      </c>
      <c r="E13" s="45" t="s">
        <v>26</v>
      </c>
      <c r="F13" s="158" t="s">
        <v>213</v>
      </c>
      <c r="G13" s="46">
        <v>7.4</v>
      </c>
      <c r="H13" s="44">
        <f t="shared" si="0"/>
        <v>7400</v>
      </c>
      <c r="I13" s="46">
        <v>370</v>
      </c>
      <c r="J13" s="46">
        <v>190.5</v>
      </c>
      <c r="K13" s="44">
        <f t="shared" si="1"/>
        <v>4.3295454545454541</v>
      </c>
      <c r="L13" s="50">
        <f t="shared" si="2"/>
        <v>5</v>
      </c>
      <c r="M13" s="44">
        <f>(H13+300)</f>
        <v>7700</v>
      </c>
      <c r="N13" s="44">
        <f t="shared" si="3"/>
        <v>470</v>
      </c>
      <c r="O13" s="164">
        <v>44</v>
      </c>
      <c r="P13" s="44">
        <f t="shared" si="4"/>
        <v>3.3295454545454541</v>
      </c>
      <c r="Q13" s="44">
        <f t="shared" si="7"/>
        <v>8</v>
      </c>
      <c r="R13" s="165" t="s">
        <v>342</v>
      </c>
      <c r="S13" s="54">
        <v>2</v>
      </c>
      <c r="T13" s="166" t="s">
        <v>340</v>
      </c>
      <c r="U13" s="50" t="s">
        <v>221</v>
      </c>
      <c r="V13" s="131">
        <v>46447</v>
      </c>
      <c r="W13" s="149">
        <v>0</v>
      </c>
      <c r="X13" s="88">
        <f t="shared" si="5"/>
        <v>0</v>
      </c>
      <c r="Y13" s="107">
        <v>0</v>
      </c>
      <c r="Z13" s="89">
        <f t="shared" si="6"/>
        <v>0</v>
      </c>
    </row>
    <row r="14" spans="2:26" x14ac:dyDescent="0.25">
      <c r="B14" s="311"/>
      <c r="C14" s="56">
        <v>39.1</v>
      </c>
      <c r="D14" s="56" t="s">
        <v>160</v>
      </c>
      <c r="E14" s="45" t="s">
        <v>138</v>
      </c>
      <c r="F14" s="157" t="s">
        <v>212</v>
      </c>
      <c r="G14" s="46">
        <v>1.3</v>
      </c>
      <c r="H14" s="44">
        <f t="shared" si="0"/>
        <v>1300</v>
      </c>
      <c r="I14" s="46">
        <v>370</v>
      </c>
      <c r="J14" s="46">
        <v>197</v>
      </c>
      <c r="K14" s="44">
        <f t="shared" si="1"/>
        <v>4.4772727272727275</v>
      </c>
      <c r="L14" s="50">
        <f t="shared" si="2"/>
        <v>5</v>
      </c>
      <c r="M14" s="44">
        <f>(H14+350)</f>
        <v>1650</v>
      </c>
      <c r="N14" s="44">
        <f t="shared" si="3"/>
        <v>470</v>
      </c>
      <c r="O14" s="164">
        <v>44</v>
      </c>
      <c r="P14" s="44">
        <f t="shared" si="4"/>
        <v>3.4772727272727275</v>
      </c>
      <c r="Q14" s="44">
        <f t="shared" si="7"/>
        <v>8</v>
      </c>
      <c r="R14" s="165" t="s">
        <v>341</v>
      </c>
      <c r="S14" s="54">
        <v>2</v>
      </c>
      <c r="T14" s="161" t="s">
        <v>339</v>
      </c>
      <c r="U14" s="50" t="s">
        <v>221</v>
      </c>
      <c r="V14" s="131">
        <v>46447</v>
      </c>
      <c r="W14" s="149">
        <v>0</v>
      </c>
      <c r="X14" s="88">
        <f t="shared" si="5"/>
        <v>0</v>
      </c>
      <c r="Y14" s="107">
        <v>0</v>
      </c>
      <c r="Z14" s="89">
        <f t="shared" si="6"/>
        <v>0</v>
      </c>
    </row>
    <row r="15" spans="2:26" x14ac:dyDescent="0.25">
      <c r="B15" s="311"/>
      <c r="C15" s="56">
        <v>39.200000000000003</v>
      </c>
      <c r="D15" s="56" t="s">
        <v>160</v>
      </c>
      <c r="E15" s="45" t="s">
        <v>143</v>
      </c>
      <c r="F15" s="158" t="s">
        <v>213</v>
      </c>
      <c r="G15" s="46">
        <v>7.4</v>
      </c>
      <c r="H15" s="44">
        <f t="shared" si="0"/>
        <v>7400</v>
      </c>
      <c r="I15" s="46">
        <v>370</v>
      </c>
      <c r="J15" s="46">
        <v>197</v>
      </c>
      <c r="K15" s="44">
        <f t="shared" si="1"/>
        <v>4.4772727272727275</v>
      </c>
      <c r="L15" s="50">
        <f t="shared" si="2"/>
        <v>5</v>
      </c>
      <c r="M15" s="44">
        <f>(H15+350)</f>
        <v>7750</v>
      </c>
      <c r="N15" s="44">
        <f t="shared" si="3"/>
        <v>470</v>
      </c>
      <c r="O15" s="164">
        <v>44</v>
      </c>
      <c r="P15" s="44">
        <f t="shared" si="4"/>
        <v>3.4772727272727275</v>
      </c>
      <c r="Q15" s="44">
        <f t="shared" si="7"/>
        <v>8</v>
      </c>
      <c r="R15" s="165" t="s">
        <v>342</v>
      </c>
      <c r="S15" s="54">
        <v>2</v>
      </c>
      <c r="T15" s="166" t="s">
        <v>340</v>
      </c>
      <c r="U15" s="50" t="s">
        <v>221</v>
      </c>
      <c r="V15" s="131">
        <v>46447</v>
      </c>
      <c r="W15" s="149">
        <v>0</v>
      </c>
      <c r="X15" s="88">
        <f t="shared" si="5"/>
        <v>0</v>
      </c>
      <c r="Y15" s="107">
        <v>0</v>
      </c>
      <c r="Z15" s="89">
        <f t="shared" si="6"/>
        <v>0</v>
      </c>
    </row>
    <row r="16" spans="2:26" x14ac:dyDescent="0.25">
      <c r="B16" s="311"/>
      <c r="C16" s="56">
        <v>39.300000000000004</v>
      </c>
      <c r="D16" s="56" t="s">
        <v>160</v>
      </c>
      <c r="E16" s="45" t="s">
        <v>165</v>
      </c>
      <c r="F16" s="158" t="s">
        <v>213</v>
      </c>
      <c r="G16" s="46">
        <v>7.4</v>
      </c>
      <c r="H16" s="44">
        <f t="shared" si="0"/>
        <v>7400</v>
      </c>
      <c r="I16" s="46">
        <v>370</v>
      </c>
      <c r="J16" s="46">
        <v>197</v>
      </c>
      <c r="K16" s="44">
        <f t="shared" si="1"/>
        <v>4.4772727272727275</v>
      </c>
      <c r="L16" s="50">
        <f t="shared" si="2"/>
        <v>5</v>
      </c>
      <c r="M16" s="44">
        <f>(H16+350)</f>
        <v>7750</v>
      </c>
      <c r="N16" s="44">
        <f t="shared" si="3"/>
        <v>470</v>
      </c>
      <c r="O16" s="164">
        <v>44</v>
      </c>
      <c r="P16" s="44">
        <f t="shared" si="4"/>
        <v>3.4772727272727275</v>
      </c>
      <c r="Q16" s="44">
        <f t="shared" si="7"/>
        <v>8</v>
      </c>
      <c r="R16" s="165" t="s">
        <v>342</v>
      </c>
      <c r="S16" s="54">
        <v>2</v>
      </c>
      <c r="T16" s="166" t="s">
        <v>340</v>
      </c>
      <c r="U16" s="50" t="s">
        <v>221</v>
      </c>
      <c r="V16" s="131">
        <v>46447</v>
      </c>
      <c r="W16" s="149">
        <v>0</v>
      </c>
      <c r="X16" s="88">
        <f t="shared" si="5"/>
        <v>0</v>
      </c>
      <c r="Y16" s="107">
        <v>0</v>
      </c>
      <c r="Z16" s="89">
        <f t="shared" si="6"/>
        <v>0</v>
      </c>
    </row>
    <row r="17" spans="2:26" ht="15.75" thickBot="1" x14ac:dyDescent="0.3">
      <c r="B17" s="311"/>
      <c r="C17" s="56">
        <v>39.400000000000006</v>
      </c>
      <c r="D17" s="56" t="s">
        <v>160</v>
      </c>
      <c r="E17" s="45" t="s">
        <v>26</v>
      </c>
      <c r="F17" s="158" t="s">
        <v>213</v>
      </c>
      <c r="G17" s="46">
        <v>7.4</v>
      </c>
      <c r="H17" s="44">
        <f t="shared" si="0"/>
        <v>7400</v>
      </c>
      <c r="I17" s="46">
        <v>370</v>
      </c>
      <c r="J17" s="46">
        <v>197</v>
      </c>
      <c r="K17" s="44">
        <f t="shared" si="1"/>
        <v>4.4772727272727275</v>
      </c>
      <c r="L17" s="50">
        <f t="shared" si="2"/>
        <v>5</v>
      </c>
      <c r="M17" s="44">
        <f>(H17+300)</f>
        <v>7700</v>
      </c>
      <c r="N17" s="44">
        <f t="shared" si="3"/>
        <v>470</v>
      </c>
      <c r="O17" s="164">
        <v>44</v>
      </c>
      <c r="P17" s="44">
        <f t="shared" si="4"/>
        <v>3.4772727272727275</v>
      </c>
      <c r="Q17" s="44">
        <f t="shared" si="7"/>
        <v>8</v>
      </c>
      <c r="R17" s="165" t="s">
        <v>342</v>
      </c>
      <c r="S17" s="54">
        <v>2</v>
      </c>
      <c r="T17" s="166" t="s">
        <v>340</v>
      </c>
      <c r="U17" s="50" t="s">
        <v>221</v>
      </c>
      <c r="V17" s="131">
        <v>46447</v>
      </c>
      <c r="W17" s="150">
        <v>0</v>
      </c>
      <c r="X17" s="90">
        <f t="shared" si="5"/>
        <v>0</v>
      </c>
      <c r="Y17" s="108">
        <v>0</v>
      </c>
      <c r="Z17" s="91">
        <f t="shared" si="6"/>
        <v>0</v>
      </c>
    </row>
    <row r="18" spans="2:26" s="66" customFormat="1" ht="15.75" thickBot="1" x14ac:dyDescent="0.3">
      <c r="B18" s="313"/>
      <c r="C18" s="189" t="s">
        <v>278</v>
      </c>
      <c r="D18" s="189"/>
      <c r="E18" s="180"/>
      <c r="F18" s="180"/>
      <c r="G18" s="180"/>
      <c r="H18" s="180"/>
      <c r="I18" s="180"/>
      <c r="J18" s="180"/>
      <c r="K18" s="180"/>
      <c r="L18" s="180">
        <f>SUM(L8:L17)</f>
        <v>50</v>
      </c>
      <c r="M18" s="180"/>
      <c r="N18" s="180"/>
      <c r="O18" s="180"/>
      <c r="P18" s="180"/>
      <c r="Q18" s="180">
        <f>SUM(Q8:Q17)</f>
        <v>80</v>
      </c>
      <c r="R18" s="180"/>
      <c r="S18" s="190">
        <f>SUM(S8:S17)</f>
        <v>20</v>
      </c>
      <c r="T18" s="190"/>
      <c r="U18" s="190"/>
      <c r="V18" s="190"/>
      <c r="W18" s="130"/>
      <c r="X18" s="75">
        <f>SUM(X8:X17)</f>
        <v>0</v>
      </c>
      <c r="Y18" s="75"/>
      <c r="Z18" s="75">
        <f>SUM(Z8:Z17)</f>
        <v>0</v>
      </c>
    </row>
    <row r="19" spans="2:26" x14ac:dyDescent="0.25">
      <c r="B19" s="310" t="s">
        <v>355</v>
      </c>
      <c r="C19" s="56">
        <v>40.1</v>
      </c>
      <c r="D19" s="56" t="s">
        <v>160</v>
      </c>
      <c r="E19" s="45" t="s">
        <v>143</v>
      </c>
      <c r="F19" s="157" t="s">
        <v>212</v>
      </c>
      <c r="G19" s="46">
        <v>3.1</v>
      </c>
      <c r="H19" s="44">
        <f t="shared" ref="H19:H35" si="8">CONVERT(G19,"m","mm")</f>
        <v>3100</v>
      </c>
      <c r="I19" s="46">
        <v>370</v>
      </c>
      <c r="J19" s="46">
        <v>203</v>
      </c>
      <c r="K19" s="44">
        <f t="shared" si="1"/>
        <v>4.6136363636363633</v>
      </c>
      <c r="L19" s="50">
        <f t="shared" ref="L19:L35" si="9">ROUNDUP(K19,0)</f>
        <v>5</v>
      </c>
      <c r="M19" s="44">
        <f>(H19+350)</f>
        <v>3450</v>
      </c>
      <c r="N19" s="44">
        <f t="shared" si="3"/>
        <v>470</v>
      </c>
      <c r="O19" s="44">
        <v>44</v>
      </c>
      <c r="P19" s="44">
        <f t="shared" ref="P19:P35" si="10">(K19-1)</f>
        <v>3.6136363636363633</v>
      </c>
      <c r="Q19" s="44">
        <f>(L19-1)*2</f>
        <v>8</v>
      </c>
      <c r="R19" s="165" t="s">
        <v>341</v>
      </c>
      <c r="S19" s="54">
        <v>2</v>
      </c>
      <c r="T19" s="161" t="s">
        <v>339</v>
      </c>
      <c r="U19" s="53" t="s">
        <v>221</v>
      </c>
      <c r="V19" s="131">
        <v>46600</v>
      </c>
      <c r="W19" s="127">
        <v>0</v>
      </c>
      <c r="X19" s="86">
        <f t="shared" ref="X19:X35" si="11">(W19*Q19)</f>
        <v>0</v>
      </c>
      <c r="Y19" s="106">
        <v>0</v>
      </c>
      <c r="Z19" s="87">
        <f t="shared" ref="Z19:Z35" si="12">(Y19*S19)</f>
        <v>0</v>
      </c>
    </row>
    <row r="20" spans="2:26" x14ac:dyDescent="0.25">
      <c r="B20" s="311"/>
      <c r="C20" s="56">
        <v>40.200000000000003</v>
      </c>
      <c r="D20" s="56" t="s">
        <v>160</v>
      </c>
      <c r="E20" s="45" t="s">
        <v>143</v>
      </c>
      <c r="F20" s="158" t="s">
        <v>213</v>
      </c>
      <c r="G20" s="46">
        <v>7.4</v>
      </c>
      <c r="H20" s="44">
        <f t="shared" si="8"/>
        <v>7400</v>
      </c>
      <c r="I20" s="46">
        <v>370</v>
      </c>
      <c r="J20" s="46">
        <v>203</v>
      </c>
      <c r="K20" s="44">
        <f t="shared" si="1"/>
        <v>4.6136363636363633</v>
      </c>
      <c r="L20" s="50">
        <f t="shared" si="9"/>
        <v>5</v>
      </c>
      <c r="M20" s="44">
        <f>(H20+350)</f>
        <v>7750</v>
      </c>
      <c r="N20" s="44">
        <f t="shared" si="3"/>
        <v>470</v>
      </c>
      <c r="O20" s="159">
        <v>44</v>
      </c>
      <c r="P20" s="44">
        <f t="shared" si="10"/>
        <v>3.6136363636363633</v>
      </c>
      <c r="Q20" s="44">
        <f t="shared" ref="Q20:Q35" si="13">(L20-1)*2</f>
        <v>8</v>
      </c>
      <c r="R20" s="165" t="s">
        <v>342</v>
      </c>
      <c r="S20" s="54">
        <v>2</v>
      </c>
      <c r="T20" s="166" t="s">
        <v>340</v>
      </c>
      <c r="U20" s="53" t="s">
        <v>221</v>
      </c>
      <c r="V20" s="131">
        <v>46600</v>
      </c>
      <c r="W20" s="128">
        <v>0</v>
      </c>
      <c r="X20" s="88">
        <f t="shared" si="11"/>
        <v>0</v>
      </c>
      <c r="Y20" s="107">
        <v>0</v>
      </c>
      <c r="Z20" s="89">
        <f t="shared" si="12"/>
        <v>0</v>
      </c>
    </row>
    <row r="21" spans="2:26" x14ac:dyDescent="0.25">
      <c r="B21" s="311"/>
      <c r="C21" s="56">
        <v>40.300000000000004</v>
      </c>
      <c r="D21" s="56" t="s">
        <v>160</v>
      </c>
      <c r="E21" s="45" t="s">
        <v>26</v>
      </c>
      <c r="F21" s="158" t="s">
        <v>213</v>
      </c>
      <c r="G21" s="46">
        <v>7.4</v>
      </c>
      <c r="H21" s="44">
        <f t="shared" si="8"/>
        <v>7400</v>
      </c>
      <c r="I21" s="46">
        <v>370</v>
      </c>
      <c r="J21" s="46">
        <v>203</v>
      </c>
      <c r="K21" s="44">
        <f t="shared" si="1"/>
        <v>4.6136363636363633</v>
      </c>
      <c r="L21" s="50">
        <f t="shared" si="9"/>
        <v>5</v>
      </c>
      <c r="M21" s="44">
        <f>(H21+300)</f>
        <v>7700</v>
      </c>
      <c r="N21" s="44">
        <f t="shared" si="3"/>
        <v>470</v>
      </c>
      <c r="O21" s="159">
        <v>44</v>
      </c>
      <c r="P21" s="44">
        <f t="shared" si="10"/>
        <v>3.6136363636363633</v>
      </c>
      <c r="Q21" s="44">
        <f t="shared" si="13"/>
        <v>8</v>
      </c>
      <c r="R21" s="165" t="s">
        <v>342</v>
      </c>
      <c r="S21" s="54">
        <v>2</v>
      </c>
      <c r="T21" s="166" t="s">
        <v>340</v>
      </c>
      <c r="U21" s="53" t="s">
        <v>221</v>
      </c>
      <c r="V21" s="131">
        <v>46600</v>
      </c>
      <c r="W21" s="128">
        <v>0</v>
      </c>
      <c r="X21" s="88">
        <f t="shared" si="11"/>
        <v>0</v>
      </c>
      <c r="Y21" s="107">
        <v>0</v>
      </c>
      <c r="Z21" s="89">
        <f t="shared" si="12"/>
        <v>0</v>
      </c>
    </row>
    <row r="22" spans="2:26" x14ac:dyDescent="0.25">
      <c r="B22" s="311"/>
      <c r="C22" s="56">
        <v>41.1</v>
      </c>
      <c r="D22" s="56" t="s">
        <v>160</v>
      </c>
      <c r="E22" s="45" t="s">
        <v>143</v>
      </c>
      <c r="F22" s="158" t="s">
        <v>213</v>
      </c>
      <c r="G22" s="46">
        <v>7</v>
      </c>
      <c r="H22" s="44">
        <f t="shared" si="8"/>
        <v>7000</v>
      </c>
      <c r="I22" s="46">
        <v>474</v>
      </c>
      <c r="J22" s="46">
        <v>254</v>
      </c>
      <c r="K22" s="44">
        <f t="shared" si="1"/>
        <v>5.7727272727272725</v>
      </c>
      <c r="L22" s="50">
        <f t="shared" si="9"/>
        <v>6</v>
      </c>
      <c r="M22" s="44">
        <f>(H22+350)</f>
        <v>7350</v>
      </c>
      <c r="N22" s="44">
        <f t="shared" si="3"/>
        <v>574</v>
      </c>
      <c r="O22" s="159">
        <v>44</v>
      </c>
      <c r="P22" s="44">
        <f t="shared" si="10"/>
        <v>4.7727272727272725</v>
      </c>
      <c r="Q22" s="44">
        <f t="shared" si="13"/>
        <v>10</v>
      </c>
      <c r="R22" s="165" t="s">
        <v>342</v>
      </c>
      <c r="S22" s="54">
        <v>2</v>
      </c>
      <c r="T22" s="166" t="s">
        <v>340</v>
      </c>
      <c r="U22" s="53" t="s">
        <v>221</v>
      </c>
      <c r="V22" s="131">
        <v>46600</v>
      </c>
      <c r="W22" s="128">
        <v>0</v>
      </c>
      <c r="X22" s="88">
        <f t="shared" si="11"/>
        <v>0</v>
      </c>
      <c r="Y22" s="107">
        <v>0</v>
      </c>
      <c r="Z22" s="89">
        <f t="shared" si="12"/>
        <v>0</v>
      </c>
    </row>
    <row r="23" spans="2:26" x14ac:dyDescent="0.25">
      <c r="B23" s="311"/>
      <c r="C23" s="56">
        <v>41.2</v>
      </c>
      <c r="D23" s="56" t="s">
        <v>160</v>
      </c>
      <c r="E23" s="45" t="s">
        <v>143</v>
      </c>
      <c r="F23" s="158" t="s">
        <v>213</v>
      </c>
      <c r="G23" s="46">
        <v>7.4</v>
      </c>
      <c r="H23" s="44">
        <f t="shared" si="8"/>
        <v>7400</v>
      </c>
      <c r="I23" s="46">
        <v>474</v>
      </c>
      <c r="J23" s="46">
        <v>254</v>
      </c>
      <c r="K23" s="44">
        <f t="shared" si="1"/>
        <v>5.7727272727272725</v>
      </c>
      <c r="L23" s="50">
        <f t="shared" si="9"/>
        <v>6</v>
      </c>
      <c r="M23" s="44">
        <f>(H23+350)</f>
        <v>7750</v>
      </c>
      <c r="N23" s="44">
        <f t="shared" si="3"/>
        <v>574</v>
      </c>
      <c r="O23" s="159">
        <v>44</v>
      </c>
      <c r="P23" s="44">
        <f t="shared" si="10"/>
        <v>4.7727272727272725</v>
      </c>
      <c r="Q23" s="44">
        <f t="shared" si="13"/>
        <v>10</v>
      </c>
      <c r="R23" s="165" t="s">
        <v>342</v>
      </c>
      <c r="S23" s="54">
        <v>2</v>
      </c>
      <c r="T23" s="166" t="s">
        <v>340</v>
      </c>
      <c r="U23" s="53" t="s">
        <v>221</v>
      </c>
      <c r="V23" s="131">
        <v>46600</v>
      </c>
      <c r="W23" s="128">
        <v>0</v>
      </c>
      <c r="X23" s="88">
        <f t="shared" si="11"/>
        <v>0</v>
      </c>
      <c r="Y23" s="107">
        <v>0</v>
      </c>
      <c r="Z23" s="89">
        <f t="shared" si="12"/>
        <v>0</v>
      </c>
    </row>
    <row r="24" spans="2:26" x14ac:dyDescent="0.25">
      <c r="B24" s="311"/>
      <c r="C24" s="56">
        <v>41.300000000000004</v>
      </c>
      <c r="D24" s="56" t="s">
        <v>160</v>
      </c>
      <c r="E24" s="45" t="s">
        <v>26</v>
      </c>
      <c r="F24" s="158" t="s">
        <v>213</v>
      </c>
      <c r="G24" s="46">
        <v>7.4</v>
      </c>
      <c r="H24" s="44">
        <f t="shared" si="8"/>
        <v>7400</v>
      </c>
      <c r="I24" s="46">
        <v>474</v>
      </c>
      <c r="J24" s="46">
        <v>254</v>
      </c>
      <c r="K24" s="44">
        <f t="shared" si="1"/>
        <v>5.7727272727272725</v>
      </c>
      <c r="L24" s="50">
        <f t="shared" si="9"/>
        <v>6</v>
      </c>
      <c r="M24" s="44">
        <f>(H24+300)</f>
        <v>7700</v>
      </c>
      <c r="N24" s="44">
        <f t="shared" si="3"/>
        <v>574</v>
      </c>
      <c r="O24" s="159">
        <v>44</v>
      </c>
      <c r="P24" s="44">
        <f t="shared" si="10"/>
        <v>4.7727272727272725</v>
      </c>
      <c r="Q24" s="44">
        <f t="shared" si="13"/>
        <v>10</v>
      </c>
      <c r="R24" s="165" t="s">
        <v>342</v>
      </c>
      <c r="S24" s="54">
        <v>2</v>
      </c>
      <c r="T24" s="166" t="s">
        <v>340</v>
      </c>
      <c r="U24" s="53" t="s">
        <v>221</v>
      </c>
      <c r="V24" s="131">
        <v>46600</v>
      </c>
      <c r="W24" s="128">
        <v>0</v>
      </c>
      <c r="X24" s="88">
        <f t="shared" si="11"/>
        <v>0</v>
      </c>
      <c r="Y24" s="107">
        <v>0</v>
      </c>
      <c r="Z24" s="89">
        <f t="shared" si="12"/>
        <v>0</v>
      </c>
    </row>
    <row r="25" spans="2:26" x14ac:dyDescent="0.25">
      <c r="B25" s="311"/>
      <c r="C25" s="56">
        <v>42.1</v>
      </c>
      <c r="D25" s="56" t="s">
        <v>160</v>
      </c>
      <c r="E25" s="45" t="s">
        <v>143</v>
      </c>
      <c r="F25" s="158" t="s">
        <v>213</v>
      </c>
      <c r="G25" s="46">
        <v>5.4</v>
      </c>
      <c r="H25" s="44">
        <f t="shared" si="8"/>
        <v>5400</v>
      </c>
      <c r="I25" s="46">
        <v>474</v>
      </c>
      <c r="J25" s="46">
        <v>254</v>
      </c>
      <c r="K25" s="44">
        <f t="shared" si="1"/>
        <v>5.7727272727272725</v>
      </c>
      <c r="L25" s="50">
        <f t="shared" si="9"/>
        <v>6</v>
      </c>
      <c r="M25" s="44">
        <f>(H25+350)</f>
        <v>5750</v>
      </c>
      <c r="N25" s="44">
        <f t="shared" si="3"/>
        <v>574</v>
      </c>
      <c r="O25" s="159">
        <v>44</v>
      </c>
      <c r="P25" s="44">
        <f t="shared" si="10"/>
        <v>4.7727272727272725</v>
      </c>
      <c r="Q25" s="44">
        <f t="shared" si="13"/>
        <v>10</v>
      </c>
      <c r="R25" s="165" t="s">
        <v>342</v>
      </c>
      <c r="S25" s="54">
        <v>2</v>
      </c>
      <c r="T25" s="166" t="s">
        <v>340</v>
      </c>
      <c r="U25" s="53" t="s">
        <v>221</v>
      </c>
      <c r="V25" s="131">
        <v>46600</v>
      </c>
      <c r="W25" s="128">
        <v>0</v>
      </c>
      <c r="X25" s="88">
        <f t="shared" si="11"/>
        <v>0</v>
      </c>
      <c r="Y25" s="107">
        <v>0</v>
      </c>
      <c r="Z25" s="89">
        <f t="shared" si="12"/>
        <v>0</v>
      </c>
    </row>
    <row r="26" spans="2:26" x14ac:dyDescent="0.25">
      <c r="B26" s="311"/>
      <c r="C26" s="56">
        <v>42.2</v>
      </c>
      <c r="D26" s="56" t="s">
        <v>160</v>
      </c>
      <c r="E26" s="45" t="s">
        <v>165</v>
      </c>
      <c r="F26" s="158" t="s">
        <v>213</v>
      </c>
      <c r="G26" s="46">
        <v>7.4</v>
      </c>
      <c r="H26" s="44">
        <f t="shared" si="8"/>
        <v>7400</v>
      </c>
      <c r="I26" s="46">
        <v>474</v>
      </c>
      <c r="J26" s="46">
        <v>254</v>
      </c>
      <c r="K26" s="44">
        <f t="shared" si="1"/>
        <v>5.7727272727272725</v>
      </c>
      <c r="L26" s="50">
        <f t="shared" si="9"/>
        <v>6</v>
      </c>
      <c r="M26" s="44">
        <f>(H26+350)</f>
        <v>7750</v>
      </c>
      <c r="N26" s="44">
        <f t="shared" si="3"/>
        <v>574</v>
      </c>
      <c r="O26" s="159">
        <v>44</v>
      </c>
      <c r="P26" s="44">
        <f t="shared" si="10"/>
        <v>4.7727272727272725</v>
      </c>
      <c r="Q26" s="44">
        <f t="shared" si="13"/>
        <v>10</v>
      </c>
      <c r="R26" s="165" t="s">
        <v>342</v>
      </c>
      <c r="S26" s="54">
        <v>2</v>
      </c>
      <c r="T26" s="166" t="s">
        <v>340</v>
      </c>
      <c r="U26" s="53" t="s">
        <v>221</v>
      </c>
      <c r="V26" s="131">
        <v>46600</v>
      </c>
      <c r="W26" s="128">
        <v>0</v>
      </c>
      <c r="X26" s="88">
        <f t="shared" si="11"/>
        <v>0</v>
      </c>
      <c r="Y26" s="107">
        <v>0</v>
      </c>
      <c r="Z26" s="89">
        <f t="shared" si="12"/>
        <v>0</v>
      </c>
    </row>
    <row r="27" spans="2:26" x14ac:dyDescent="0.25">
      <c r="B27" s="311"/>
      <c r="C27" s="56">
        <v>42.300000000000004</v>
      </c>
      <c r="D27" s="56" t="s">
        <v>160</v>
      </c>
      <c r="E27" s="45" t="s">
        <v>26</v>
      </c>
      <c r="F27" s="158" t="s">
        <v>213</v>
      </c>
      <c r="G27" s="46">
        <v>7.4</v>
      </c>
      <c r="H27" s="44">
        <f t="shared" si="8"/>
        <v>7400</v>
      </c>
      <c r="I27" s="46">
        <v>474</v>
      </c>
      <c r="J27" s="46">
        <v>254</v>
      </c>
      <c r="K27" s="44">
        <f t="shared" si="1"/>
        <v>5.7727272727272725</v>
      </c>
      <c r="L27" s="50">
        <f t="shared" si="9"/>
        <v>6</v>
      </c>
      <c r="M27" s="44">
        <f>(H27+300)</f>
        <v>7700</v>
      </c>
      <c r="N27" s="44">
        <f t="shared" si="3"/>
        <v>574</v>
      </c>
      <c r="O27" s="159">
        <v>44</v>
      </c>
      <c r="P27" s="44">
        <f t="shared" si="10"/>
        <v>4.7727272727272725</v>
      </c>
      <c r="Q27" s="44">
        <f t="shared" si="13"/>
        <v>10</v>
      </c>
      <c r="R27" s="165" t="s">
        <v>342</v>
      </c>
      <c r="S27" s="54">
        <v>2</v>
      </c>
      <c r="T27" s="166" t="s">
        <v>340</v>
      </c>
      <c r="U27" s="53" t="s">
        <v>221</v>
      </c>
      <c r="V27" s="131">
        <v>46600</v>
      </c>
      <c r="W27" s="128">
        <v>0</v>
      </c>
      <c r="X27" s="88">
        <f t="shared" si="11"/>
        <v>0</v>
      </c>
      <c r="Y27" s="107">
        <v>0</v>
      </c>
      <c r="Z27" s="89">
        <f t="shared" si="12"/>
        <v>0</v>
      </c>
    </row>
    <row r="28" spans="2:26" x14ac:dyDescent="0.25">
      <c r="B28" s="311"/>
      <c r="C28" s="56">
        <v>43.1</v>
      </c>
      <c r="D28" s="56" t="s">
        <v>160</v>
      </c>
      <c r="E28" s="45" t="s">
        <v>138</v>
      </c>
      <c r="F28" s="157" t="s">
        <v>212</v>
      </c>
      <c r="G28" s="46">
        <v>1.9</v>
      </c>
      <c r="H28" s="44">
        <f t="shared" si="8"/>
        <v>1900</v>
      </c>
      <c r="I28" s="46">
        <v>474</v>
      </c>
      <c r="J28" s="46">
        <v>254</v>
      </c>
      <c r="K28" s="44">
        <f t="shared" si="1"/>
        <v>5.7727272727272725</v>
      </c>
      <c r="L28" s="50">
        <f t="shared" si="9"/>
        <v>6</v>
      </c>
      <c r="M28" s="44">
        <f>(H28+350)</f>
        <v>2250</v>
      </c>
      <c r="N28" s="44">
        <f t="shared" si="3"/>
        <v>574</v>
      </c>
      <c r="O28" s="159">
        <v>44</v>
      </c>
      <c r="P28" s="44">
        <f t="shared" si="10"/>
        <v>4.7727272727272725</v>
      </c>
      <c r="Q28" s="44">
        <f t="shared" si="13"/>
        <v>10</v>
      </c>
      <c r="R28" s="165" t="s">
        <v>341</v>
      </c>
      <c r="S28" s="54">
        <v>2</v>
      </c>
      <c r="T28" s="161" t="s">
        <v>339</v>
      </c>
      <c r="U28" s="53" t="s">
        <v>221</v>
      </c>
      <c r="V28" s="131">
        <v>46600</v>
      </c>
      <c r="W28" s="128">
        <v>0</v>
      </c>
      <c r="X28" s="88">
        <f t="shared" si="11"/>
        <v>0</v>
      </c>
      <c r="Y28" s="107">
        <v>0</v>
      </c>
      <c r="Z28" s="89">
        <f t="shared" si="12"/>
        <v>0</v>
      </c>
    </row>
    <row r="29" spans="2:26" x14ac:dyDescent="0.25">
      <c r="B29" s="311"/>
      <c r="C29" s="56">
        <v>43.2</v>
      </c>
      <c r="D29" s="56" t="s">
        <v>160</v>
      </c>
      <c r="E29" s="45" t="s">
        <v>165</v>
      </c>
      <c r="F29" s="158" t="s">
        <v>213</v>
      </c>
      <c r="G29" s="46">
        <v>7.4</v>
      </c>
      <c r="H29" s="44">
        <f t="shared" si="8"/>
        <v>7400</v>
      </c>
      <c r="I29" s="46">
        <v>474</v>
      </c>
      <c r="J29" s="46">
        <v>254</v>
      </c>
      <c r="K29" s="44">
        <f t="shared" si="1"/>
        <v>5.7727272727272725</v>
      </c>
      <c r="L29" s="50">
        <f t="shared" si="9"/>
        <v>6</v>
      </c>
      <c r="M29" s="44">
        <f>(H29+350)</f>
        <v>7750</v>
      </c>
      <c r="N29" s="44">
        <f t="shared" si="3"/>
        <v>574</v>
      </c>
      <c r="O29" s="159">
        <v>44</v>
      </c>
      <c r="P29" s="44">
        <f t="shared" si="10"/>
        <v>4.7727272727272725</v>
      </c>
      <c r="Q29" s="44">
        <f t="shared" si="13"/>
        <v>10</v>
      </c>
      <c r="R29" s="165" t="s">
        <v>342</v>
      </c>
      <c r="S29" s="54">
        <v>2</v>
      </c>
      <c r="T29" s="166" t="s">
        <v>340</v>
      </c>
      <c r="U29" s="53" t="s">
        <v>221</v>
      </c>
      <c r="V29" s="131">
        <v>46600</v>
      </c>
      <c r="W29" s="128">
        <v>0</v>
      </c>
      <c r="X29" s="88">
        <f t="shared" si="11"/>
        <v>0</v>
      </c>
      <c r="Y29" s="107">
        <v>0</v>
      </c>
      <c r="Z29" s="89">
        <f t="shared" si="12"/>
        <v>0</v>
      </c>
    </row>
    <row r="30" spans="2:26" x14ac:dyDescent="0.25">
      <c r="B30" s="311"/>
      <c r="C30" s="56">
        <v>43.300000000000004</v>
      </c>
      <c r="D30" s="56" t="s">
        <v>160</v>
      </c>
      <c r="E30" s="45" t="s">
        <v>147</v>
      </c>
      <c r="F30" s="158" t="s">
        <v>213</v>
      </c>
      <c r="G30" s="46">
        <v>7.4</v>
      </c>
      <c r="H30" s="44">
        <f t="shared" si="8"/>
        <v>7400</v>
      </c>
      <c r="I30" s="46">
        <v>474</v>
      </c>
      <c r="J30" s="46">
        <v>254</v>
      </c>
      <c r="K30" s="44">
        <f t="shared" si="1"/>
        <v>5.7727272727272725</v>
      </c>
      <c r="L30" s="50">
        <f t="shared" si="9"/>
        <v>6</v>
      </c>
      <c r="M30" s="44">
        <f>(H30+350)</f>
        <v>7750</v>
      </c>
      <c r="N30" s="44">
        <f t="shared" si="3"/>
        <v>574</v>
      </c>
      <c r="O30" s="159">
        <v>44</v>
      </c>
      <c r="P30" s="44">
        <f t="shared" si="10"/>
        <v>4.7727272727272725</v>
      </c>
      <c r="Q30" s="44">
        <f t="shared" si="13"/>
        <v>10</v>
      </c>
      <c r="R30" s="165" t="s">
        <v>342</v>
      </c>
      <c r="S30" s="54">
        <v>2</v>
      </c>
      <c r="T30" s="166" t="s">
        <v>340</v>
      </c>
      <c r="U30" s="53" t="s">
        <v>221</v>
      </c>
      <c r="V30" s="131">
        <v>46600</v>
      </c>
      <c r="W30" s="128">
        <v>0</v>
      </c>
      <c r="X30" s="88">
        <f t="shared" si="11"/>
        <v>0</v>
      </c>
      <c r="Y30" s="107">
        <v>0</v>
      </c>
      <c r="Z30" s="89">
        <f t="shared" si="12"/>
        <v>0</v>
      </c>
    </row>
    <row r="31" spans="2:26" x14ac:dyDescent="0.25">
      <c r="B31" s="311"/>
      <c r="C31" s="56">
        <v>43.400000000000006</v>
      </c>
      <c r="D31" s="56" t="s">
        <v>160</v>
      </c>
      <c r="E31" s="45" t="s">
        <v>26</v>
      </c>
      <c r="F31" s="157" t="s">
        <v>213</v>
      </c>
      <c r="G31" s="46">
        <v>7.4</v>
      </c>
      <c r="H31" s="44">
        <f t="shared" si="8"/>
        <v>7400</v>
      </c>
      <c r="I31" s="46">
        <v>474</v>
      </c>
      <c r="J31" s="46">
        <v>254</v>
      </c>
      <c r="K31" s="44">
        <f t="shared" si="1"/>
        <v>5.7727272727272725</v>
      </c>
      <c r="L31" s="50">
        <f t="shared" si="9"/>
        <v>6</v>
      </c>
      <c r="M31" s="44">
        <f>(H31+300)</f>
        <v>7700</v>
      </c>
      <c r="N31" s="44">
        <f t="shared" si="3"/>
        <v>574</v>
      </c>
      <c r="O31" s="159">
        <v>44</v>
      </c>
      <c r="P31" s="44">
        <f t="shared" si="10"/>
        <v>4.7727272727272725</v>
      </c>
      <c r="Q31" s="44">
        <f t="shared" si="13"/>
        <v>10</v>
      </c>
      <c r="R31" s="165" t="s">
        <v>342</v>
      </c>
      <c r="S31" s="54">
        <v>2</v>
      </c>
      <c r="T31" s="166" t="s">
        <v>340</v>
      </c>
      <c r="U31" s="53" t="s">
        <v>221</v>
      </c>
      <c r="V31" s="131">
        <v>46600</v>
      </c>
      <c r="W31" s="128">
        <v>0</v>
      </c>
      <c r="X31" s="88">
        <f t="shared" si="11"/>
        <v>0</v>
      </c>
      <c r="Y31" s="107">
        <v>0</v>
      </c>
      <c r="Z31" s="89">
        <f t="shared" si="12"/>
        <v>0</v>
      </c>
    </row>
    <row r="32" spans="2:26" x14ac:dyDescent="0.25">
      <c r="B32" s="311"/>
      <c r="C32" s="56">
        <v>44.1</v>
      </c>
      <c r="D32" s="56" t="s">
        <v>160</v>
      </c>
      <c r="E32" s="45" t="s">
        <v>138</v>
      </c>
      <c r="F32" s="157" t="s">
        <v>212</v>
      </c>
      <c r="G32" s="46">
        <v>3.8</v>
      </c>
      <c r="H32" s="44">
        <f t="shared" si="8"/>
        <v>3800</v>
      </c>
      <c r="I32" s="46">
        <v>474</v>
      </c>
      <c r="J32" s="46">
        <v>254</v>
      </c>
      <c r="K32" s="44">
        <f t="shared" si="1"/>
        <v>5.7727272727272725</v>
      </c>
      <c r="L32" s="50">
        <f t="shared" si="9"/>
        <v>6</v>
      </c>
      <c r="M32" s="44">
        <f>(H32+350)</f>
        <v>4150</v>
      </c>
      <c r="N32" s="44">
        <f t="shared" si="3"/>
        <v>574</v>
      </c>
      <c r="O32" s="159">
        <v>44</v>
      </c>
      <c r="P32" s="44">
        <f t="shared" si="10"/>
        <v>4.7727272727272725</v>
      </c>
      <c r="Q32" s="44">
        <f t="shared" si="13"/>
        <v>10</v>
      </c>
      <c r="R32" s="165" t="s">
        <v>341</v>
      </c>
      <c r="S32" s="54">
        <v>2</v>
      </c>
      <c r="T32" s="161" t="s">
        <v>339</v>
      </c>
      <c r="U32" s="53" t="s">
        <v>221</v>
      </c>
      <c r="V32" s="131">
        <v>46600</v>
      </c>
      <c r="W32" s="128">
        <v>0</v>
      </c>
      <c r="X32" s="88">
        <f t="shared" si="11"/>
        <v>0</v>
      </c>
      <c r="Y32" s="107">
        <v>0</v>
      </c>
      <c r="Z32" s="89">
        <f t="shared" si="12"/>
        <v>0</v>
      </c>
    </row>
    <row r="33" spans="2:26" x14ac:dyDescent="0.25">
      <c r="B33" s="311"/>
      <c r="C33" s="56">
        <v>44.2</v>
      </c>
      <c r="D33" s="56" t="s">
        <v>160</v>
      </c>
      <c r="E33" s="45" t="s">
        <v>161</v>
      </c>
      <c r="F33" s="158" t="s">
        <v>213</v>
      </c>
      <c r="G33" s="46">
        <v>7.4</v>
      </c>
      <c r="H33" s="44">
        <f t="shared" si="8"/>
        <v>7400</v>
      </c>
      <c r="I33" s="46">
        <v>496</v>
      </c>
      <c r="J33" s="46">
        <v>254</v>
      </c>
      <c r="K33" s="44">
        <f t="shared" si="1"/>
        <v>5.7727272727272725</v>
      </c>
      <c r="L33" s="50">
        <f t="shared" si="9"/>
        <v>6</v>
      </c>
      <c r="M33" s="44">
        <f>(H33+350)</f>
        <v>7750</v>
      </c>
      <c r="N33" s="44">
        <f t="shared" si="3"/>
        <v>596</v>
      </c>
      <c r="O33" s="159">
        <v>44</v>
      </c>
      <c r="P33" s="44">
        <f t="shared" si="10"/>
        <v>4.7727272727272725</v>
      </c>
      <c r="Q33" s="44">
        <f t="shared" si="13"/>
        <v>10</v>
      </c>
      <c r="R33" s="165" t="s">
        <v>342</v>
      </c>
      <c r="S33" s="54">
        <v>2</v>
      </c>
      <c r="T33" s="166" t="s">
        <v>340</v>
      </c>
      <c r="U33" s="53" t="s">
        <v>221</v>
      </c>
      <c r="V33" s="131">
        <v>46600</v>
      </c>
      <c r="W33" s="128">
        <v>0</v>
      </c>
      <c r="X33" s="88">
        <f t="shared" si="11"/>
        <v>0</v>
      </c>
      <c r="Y33" s="107">
        <v>0</v>
      </c>
      <c r="Z33" s="89">
        <f t="shared" si="12"/>
        <v>0</v>
      </c>
    </row>
    <row r="34" spans="2:26" x14ac:dyDescent="0.25">
      <c r="B34" s="311"/>
      <c r="C34" s="56">
        <v>44.300000000000004</v>
      </c>
      <c r="D34" s="56" t="s">
        <v>160</v>
      </c>
      <c r="E34" s="45" t="s">
        <v>147</v>
      </c>
      <c r="F34" s="158" t="s">
        <v>213</v>
      </c>
      <c r="G34" s="46">
        <v>7.4</v>
      </c>
      <c r="H34" s="44">
        <f t="shared" si="8"/>
        <v>7400</v>
      </c>
      <c r="I34" s="46">
        <v>474</v>
      </c>
      <c r="J34" s="46">
        <v>254</v>
      </c>
      <c r="K34" s="44">
        <f t="shared" si="1"/>
        <v>5.7727272727272725</v>
      </c>
      <c r="L34" s="50">
        <f t="shared" si="9"/>
        <v>6</v>
      </c>
      <c r="M34" s="44">
        <f>(H34+350)</f>
        <v>7750</v>
      </c>
      <c r="N34" s="44">
        <f t="shared" si="3"/>
        <v>574</v>
      </c>
      <c r="O34" s="159">
        <v>44</v>
      </c>
      <c r="P34" s="44">
        <f t="shared" si="10"/>
        <v>4.7727272727272725</v>
      </c>
      <c r="Q34" s="44">
        <f t="shared" si="13"/>
        <v>10</v>
      </c>
      <c r="R34" s="165" t="s">
        <v>342</v>
      </c>
      <c r="S34" s="54">
        <v>2</v>
      </c>
      <c r="T34" s="166" t="s">
        <v>340</v>
      </c>
      <c r="U34" s="53" t="s">
        <v>221</v>
      </c>
      <c r="V34" s="131">
        <v>46600</v>
      </c>
      <c r="W34" s="128">
        <v>0</v>
      </c>
      <c r="X34" s="88">
        <f t="shared" si="11"/>
        <v>0</v>
      </c>
      <c r="Y34" s="107">
        <v>0</v>
      </c>
      <c r="Z34" s="89">
        <f t="shared" si="12"/>
        <v>0</v>
      </c>
    </row>
    <row r="35" spans="2:26" ht="15.75" thickBot="1" x14ac:dyDescent="0.3">
      <c r="B35" s="311"/>
      <c r="C35" s="56">
        <v>44.400000000000006</v>
      </c>
      <c r="D35" s="56" t="s">
        <v>160</v>
      </c>
      <c r="E35" s="45" t="s">
        <v>52</v>
      </c>
      <c r="F35" s="157" t="s">
        <v>213</v>
      </c>
      <c r="G35" s="46">
        <v>7.4</v>
      </c>
      <c r="H35" s="44">
        <f t="shared" si="8"/>
        <v>7400</v>
      </c>
      <c r="I35" s="46">
        <v>474</v>
      </c>
      <c r="J35" s="46">
        <v>254</v>
      </c>
      <c r="K35" s="44">
        <f t="shared" si="1"/>
        <v>3.681159420289855</v>
      </c>
      <c r="L35" s="50">
        <f t="shared" si="9"/>
        <v>4</v>
      </c>
      <c r="M35" s="44">
        <f>(H35+300)</f>
        <v>7700</v>
      </c>
      <c r="N35" s="44">
        <f t="shared" si="3"/>
        <v>574</v>
      </c>
      <c r="O35" s="159">
        <v>69</v>
      </c>
      <c r="P35" s="44">
        <f t="shared" si="10"/>
        <v>2.681159420289855</v>
      </c>
      <c r="Q35" s="44">
        <f t="shared" si="13"/>
        <v>6</v>
      </c>
      <c r="R35" s="165" t="s">
        <v>342</v>
      </c>
      <c r="S35" s="54">
        <v>2</v>
      </c>
      <c r="T35" s="166" t="s">
        <v>340</v>
      </c>
      <c r="U35" s="53" t="s">
        <v>221</v>
      </c>
      <c r="V35" s="131">
        <v>46600</v>
      </c>
      <c r="W35" s="129">
        <v>0</v>
      </c>
      <c r="X35" s="90">
        <f t="shared" si="11"/>
        <v>0</v>
      </c>
      <c r="Y35" s="108">
        <v>0</v>
      </c>
      <c r="Z35" s="91">
        <f t="shared" si="12"/>
        <v>0</v>
      </c>
    </row>
    <row r="36" spans="2:26" s="66" customFormat="1" ht="15.75" thickBot="1" x14ac:dyDescent="0.3">
      <c r="B36" s="313"/>
      <c r="C36" s="189" t="s">
        <v>279</v>
      </c>
      <c r="D36" s="189"/>
      <c r="E36" s="180"/>
      <c r="F36" s="180"/>
      <c r="G36" s="180"/>
      <c r="H36" s="180"/>
      <c r="I36" s="180"/>
      <c r="J36" s="180"/>
      <c r="K36" s="180"/>
      <c r="L36" s="180">
        <f>SUM(L19:L35)</f>
        <v>97</v>
      </c>
      <c r="M36" s="180"/>
      <c r="N36" s="180"/>
      <c r="O36" s="180"/>
      <c r="P36" s="180"/>
      <c r="Q36" s="180">
        <f>SUM(Q19:Q35)</f>
        <v>160</v>
      </c>
      <c r="R36" s="180"/>
      <c r="S36" s="190">
        <f>SUM(S19:S35)</f>
        <v>34</v>
      </c>
      <c r="T36" s="190"/>
      <c r="U36" s="190"/>
      <c r="V36" s="190"/>
      <c r="W36" s="130"/>
      <c r="X36" s="75">
        <f>SUM(X19:X35)</f>
        <v>0</v>
      </c>
      <c r="Y36" s="75"/>
      <c r="Z36" s="75">
        <f>SUM(Z19:Z35)</f>
        <v>0</v>
      </c>
    </row>
    <row r="37" spans="2:26" x14ac:dyDescent="0.25">
      <c r="B37" s="310" t="s">
        <v>356</v>
      </c>
      <c r="C37" s="56">
        <v>45.1</v>
      </c>
      <c r="D37" s="56" t="s">
        <v>48</v>
      </c>
      <c r="E37" s="45" t="s">
        <v>138</v>
      </c>
      <c r="F37" s="157" t="s">
        <v>213</v>
      </c>
      <c r="G37" s="46">
        <v>5.4</v>
      </c>
      <c r="H37" s="44">
        <f t="shared" ref="H37:H50" si="14">CONVERT(G37,"m","mm")</f>
        <v>5400</v>
      </c>
      <c r="I37" s="46">
        <v>330</v>
      </c>
      <c r="J37" s="46">
        <v>203</v>
      </c>
      <c r="K37" s="44">
        <f t="shared" ref="K37:K100" si="15">(J37/O37)</f>
        <v>4.6136363636363633</v>
      </c>
      <c r="L37" s="50">
        <f t="shared" ref="L37:L50" si="16">ROUNDUP(K37,0)</f>
        <v>5</v>
      </c>
      <c r="M37" s="44">
        <f>(H37+350)</f>
        <v>5750</v>
      </c>
      <c r="N37" s="44">
        <f t="shared" ref="N37:N100" si="17">(I37+100)</f>
        <v>430</v>
      </c>
      <c r="O37" s="44">
        <v>44</v>
      </c>
      <c r="P37" s="44">
        <f t="shared" ref="P37:P50" si="18">(K37-1)</f>
        <v>3.6136363636363633</v>
      </c>
      <c r="Q37" s="44">
        <f>(L37-1)*2</f>
        <v>8</v>
      </c>
      <c r="R37" s="165" t="s">
        <v>342</v>
      </c>
      <c r="S37" s="54">
        <v>2</v>
      </c>
      <c r="T37" s="166" t="s">
        <v>340</v>
      </c>
      <c r="U37" s="53" t="s">
        <v>221</v>
      </c>
      <c r="V37" s="131">
        <v>46784</v>
      </c>
      <c r="W37" s="127">
        <v>0</v>
      </c>
      <c r="X37" s="86">
        <f t="shared" ref="X37:X50" si="19">(W37*Q37)</f>
        <v>0</v>
      </c>
      <c r="Y37" s="106">
        <v>0</v>
      </c>
      <c r="Z37" s="87">
        <f t="shared" ref="Z37:Z50" si="20">(Y37*S37)</f>
        <v>0</v>
      </c>
    </row>
    <row r="38" spans="2:26" x14ac:dyDescent="0.25">
      <c r="B38" s="311"/>
      <c r="C38" s="56">
        <v>45.2</v>
      </c>
      <c r="D38" s="56" t="s">
        <v>48</v>
      </c>
      <c r="E38" s="45" t="s">
        <v>143</v>
      </c>
      <c r="F38" s="157" t="s">
        <v>212</v>
      </c>
      <c r="G38" s="46">
        <v>3.1</v>
      </c>
      <c r="H38" s="44">
        <f t="shared" si="14"/>
        <v>3100</v>
      </c>
      <c r="I38" s="46">
        <v>330</v>
      </c>
      <c r="J38" s="46">
        <v>203</v>
      </c>
      <c r="K38" s="44">
        <f t="shared" si="15"/>
        <v>4.6136363636363633</v>
      </c>
      <c r="L38" s="50">
        <f t="shared" si="16"/>
        <v>5</v>
      </c>
      <c r="M38" s="44">
        <f>(H38+350)</f>
        <v>3450</v>
      </c>
      <c r="N38" s="44">
        <f t="shared" si="17"/>
        <v>430</v>
      </c>
      <c r="O38" s="159">
        <v>44</v>
      </c>
      <c r="P38" s="44">
        <f t="shared" si="18"/>
        <v>3.6136363636363633</v>
      </c>
      <c r="Q38" s="44">
        <f t="shared" ref="Q38:Q50" si="21">(L38-1)*2</f>
        <v>8</v>
      </c>
      <c r="R38" s="165" t="s">
        <v>341</v>
      </c>
      <c r="S38" s="54">
        <v>2</v>
      </c>
      <c r="T38" s="161" t="s">
        <v>339</v>
      </c>
      <c r="U38" s="53" t="s">
        <v>221</v>
      </c>
      <c r="V38" s="131">
        <v>46784</v>
      </c>
      <c r="W38" s="128">
        <v>0</v>
      </c>
      <c r="X38" s="88">
        <f t="shared" si="19"/>
        <v>0</v>
      </c>
      <c r="Y38" s="107">
        <v>0</v>
      </c>
      <c r="Z38" s="89">
        <f t="shared" si="20"/>
        <v>0</v>
      </c>
    </row>
    <row r="39" spans="2:26" x14ac:dyDescent="0.25">
      <c r="B39" s="311"/>
      <c r="C39" s="56">
        <v>45.300000000000004</v>
      </c>
      <c r="D39" s="56" t="s">
        <v>48</v>
      </c>
      <c r="E39" s="45" t="s">
        <v>147</v>
      </c>
      <c r="F39" s="157" t="s">
        <v>212</v>
      </c>
      <c r="G39" s="46">
        <v>4.5</v>
      </c>
      <c r="H39" s="44">
        <f t="shared" si="14"/>
        <v>4500</v>
      </c>
      <c r="I39" s="46">
        <v>330</v>
      </c>
      <c r="J39" s="46">
        <v>203</v>
      </c>
      <c r="K39" s="44">
        <f t="shared" si="15"/>
        <v>4.6136363636363633</v>
      </c>
      <c r="L39" s="50">
        <f t="shared" si="16"/>
        <v>5</v>
      </c>
      <c r="M39" s="44">
        <f>(H39+350)</f>
        <v>4850</v>
      </c>
      <c r="N39" s="44">
        <f t="shared" si="17"/>
        <v>430</v>
      </c>
      <c r="O39" s="159">
        <v>44</v>
      </c>
      <c r="P39" s="44">
        <f t="shared" si="18"/>
        <v>3.6136363636363633</v>
      </c>
      <c r="Q39" s="44">
        <f t="shared" si="21"/>
        <v>8</v>
      </c>
      <c r="R39" s="165" t="s">
        <v>341</v>
      </c>
      <c r="S39" s="54">
        <v>2</v>
      </c>
      <c r="T39" s="161" t="s">
        <v>339</v>
      </c>
      <c r="U39" s="53" t="s">
        <v>221</v>
      </c>
      <c r="V39" s="131">
        <v>46784</v>
      </c>
      <c r="W39" s="128">
        <v>0</v>
      </c>
      <c r="X39" s="88">
        <f t="shared" si="19"/>
        <v>0</v>
      </c>
      <c r="Y39" s="107">
        <v>0</v>
      </c>
      <c r="Z39" s="89">
        <f t="shared" si="20"/>
        <v>0</v>
      </c>
    </row>
    <row r="40" spans="2:26" x14ac:dyDescent="0.25">
      <c r="B40" s="311"/>
      <c r="C40" s="56">
        <v>45.400000000000006</v>
      </c>
      <c r="D40" s="56" t="s">
        <v>48</v>
      </c>
      <c r="E40" s="45" t="s">
        <v>155</v>
      </c>
      <c r="F40" s="158" t="s">
        <v>213</v>
      </c>
      <c r="G40" s="46">
        <v>7.4</v>
      </c>
      <c r="H40" s="44">
        <f t="shared" si="14"/>
        <v>7400</v>
      </c>
      <c r="I40" s="46">
        <v>361</v>
      </c>
      <c r="J40" s="46">
        <v>203</v>
      </c>
      <c r="K40" s="44">
        <f t="shared" si="15"/>
        <v>4.6136363636363633</v>
      </c>
      <c r="L40" s="50">
        <f t="shared" si="16"/>
        <v>5</v>
      </c>
      <c r="M40" s="44">
        <f>(H40+300)</f>
        <v>7700</v>
      </c>
      <c r="N40" s="44">
        <f t="shared" si="17"/>
        <v>461</v>
      </c>
      <c r="O40" s="159">
        <v>44</v>
      </c>
      <c r="P40" s="44">
        <f t="shared" si="18"/>
        <v>3.6136363636363633</v>
      </c>
      <c r="Q40" s="44">
        <f t="shared" si="21"/>
        <v>8</v>
      </c>
      <c r="R40" s="165" t="s">
        <v>342</v>
      </c>
      <c r="S40" s="54">
        <v>2</v>
      </c>
      <c r="T40" s="166" t="s">
        <v>340</v>
      </c>
      <c r="U40" s="53" t="s">
        <v>221</v>
      </c>
      <c r="V40" s="131">
        <v>46784</v>
      </c>
      <c r="W40" s="128">
        <v>0</v>
      </c>
      <c r="X40" s="88">
        <f t="shared" si="19"/>
        <v>0</v>
      </c>
      <c r="Y40" s="107">
        <v>0</v>
      </c>
      <c r="Z40" s="89">
        <f t="shared" si="20"/>
        <v>0</v>
      </c>
    </row>
    <row r="41" spans="2:26" x14ac:dyDescent="0.25">
      <c r="B41" s="311"/>
      <c r="C41" s="56">
        <v>46.1</v>
      </c>
      <c r="D41" s="56" t="s">
        <v>48</v>
      </c>
      <c r="E41" s="45" t="s">
        <v>143</v>
      </c>
      <c r="F41" s="158" t="s">
        <v>213</v>
      </c>
      <c r="G41" s="46">
        <v>5.4</v>
      </c>
      <c r="H41" s="44">
        <f t="shared" si="14"/>
        <v>5400</v>
      </c>
      <c r="I41" s="46">
        <v>260</v>
      </c>
      <c r="J41" s="46">
        <v>178</v>
      </c>
      <c r="K41" s="44">
        <f t="shared" si="15"/>
        <v>4.0454545454545459</v>
      </c>
      <c r="L41" s="50">
        <f t="shared" si="16"/>
        <v>5</v>
      </c>
      <c r="M41" s="44">
        <f>(H41+350)</f>
        <v>5750</v>
      </c>
      <c r="N41" s="44">
        <f t="shared" si="17"/>
        <v>360</v>
      </c>
      <c r="O41" s="159">
        <v>44</v>
      </c>
      <c r="P41" s="44">
        <f t="shared" si="18"/>
        <v>3.0454545454545459</v>
      </c>
      <c r="Q41" s="44">
        <f t="shared" si="21"/>
        <v>8</v>
      </c>
      <c r="R41" s="165" t="s">
        <v>342</v>
      </c>
      <c r="S41" s="54">
        <v>2</v>
      </c>
      <c r="T41" s="166" t="s">
        <v>340</v>
      </c>
      <c r="U41" s="53" t="s">
        <v>221</v>
      </c>
      <c r="V41" s="131">
        <v>46784</v>
      </c>
      <c r="W41" s="128">
        <v>0</v>
      </c>
      <c r="X41" s="88">
        <f t="shared" si="19"/>
        <v>0</v>
      </c>
      <c r="Y41" s="107">
        <v>0</v>
      </c>
      <c r="Z41" s="89">
        <f t="shared" si="20"/>
        <v>0</v>
      </c>
    </row>
    <row r="42" spans="2:26" x14ac:dyDescent="0.25">
      <c r="B42" s="311"/>
      <c r="C42" s="56">
        <v>46.2</v>
      </c>
      <c r="D42" s="56" t="s">
        <v>48</v>
      </c>
      <c r="E42" s="45" t="s">
        <v>143</v>
      </c>
      <c r="F42" s="157" t="s">
        <v>212</v>
      </c>
      <c r="G42" s="46">
        <v>3.1</v>
      </c>
      <c r="H42" s="44">
        <f t="shared" si="14"/>
        <v>3100</v>
      </c>
      <c r="I42" s="46">
        <v>260</v>
      </c>
      <c r="J42" s="46">
        <v>178</v>
      </c>
      <c r="K42" s="44">
        <f t="shared" si="15"/>
        <v>4.0454545454545459</v>
      </c>
      <c r="L42" s="50">
        <f t="shared" si="16"/>
        <v>5</v>
      </c>
      <c r="M42" s="44">
        <f>(H42+350)</f>
        <v>3450</v>
      </c>
      <c r="N42" s="44">
        <f t="shared" si="17"/>
        <v>360</v>
      </c>
      <c r="O42" s="159">
        <v>44</v>
      </c>
      <c r="P42" s="44">
        <f t="shared" si="18"/>
        <v>3.0454545454545459</v>
      </c>
      <c r="Q42" s="44">
        <f t="shared" si="21"/>
        <v>8</v>
      </c>
      <c r="R42" s="165" t="s">
        <v>341</v>
      </c>
      <c r="S42" s="54">
        <v>2</v>
      </c>
      <c r="T42" s="161" t="s">
        <v>339</v>
      </c>
      <c r="U42" s="53" t="s">
        <v>221</v>
      </c>
      <c r="V42" s="131">
        <v>46784</v>
      </c>
      <c r="W42" s="128">
        <v>0</v>
      </c>
      <c r="X42" s="88">
        <f t="shared" si="19"/>
        <v>0</v>
      </c>
      <c r="Y42" s="107">
        <v>0</v>
      </c>
      <c r="Z42" s="89">
        <f t="shared" si="20"/>
        <v>0</v>
      </c>
    </row>
    <row r="43" spans="2:26" x14ac:dyDescent="0.25">
      <c r="B43" s="311"/>
      <c r="C43" s="56">
        <v>46.300000000000004</v>
      </c>
      <c r="D43" s="56" t="s">
        <v>48</v>
      </c>
      <c r="E43" s="45" t="s">
        <v>147</v>
      </c>
      <c r="F43" s="157" t="s">
        <v>212</v>
      </c>
      <c r="G43" s="46">
        <v>2.7</v>
      </c>
      <c r="H43" s="44">
        <f t="shared" si="14"/>
        <v>2700</v>
      </c>
      <c r="I43" s="46">
        <v>260</v>
      </c>
      <c r="J43" s="46">
        <v>178</v>
      </c>
      <c r="K43" s="44">
        <f t="shared" si="15"/>
        <v>4.0454545454545459</v>
      </c>
      <c r="L43" s="50">
        <f t="shared" si="16"/>
        <v>5</v>
      </c>
      <c r="M43" s="44">
        <f>(H43+350)</f>
        <v>3050</v>
      </c>
      <c r="N43" s="44">
        <f t="shared" si="17"/>
        <v>360</v>
      </c>
      <c r="O43" s="159">
        <v>44</v>
      </c>
      <c r="P43" s="44">
        <f t="shared" si="18"/>
        <v>3.0454545454545459</v>
      </c>
      <c r="Q43" s="44">
        <f t="shared" si="21"/>
        <v>8</v>
      </c>
      <c r="R43" s="165" t="s">
        <v>341</v>
      </c>
      <c r="S43" s="54">
        <v>2</v>
      </c>
      <c r="T43" s="161" t="s">
        <v>339</v>
      </c>
      <c r="U43" s="53" t="s">
        <v>221</v>
      </c>
      <c r="V43" s="131">
        <v>46784</v>
      </c>
      <c r="W43" s="128">
        <v>0</v>
      </c>
      <c r="X43" s="88">
        <f t="shared" si="19"/>
        <v>0</v>
      </c>
      <c r="Y43" s="107">
        <v>0</v>
      </c>
      <c r="Z43" s="89">
        <f t="shared" si="20"/>
        <v>0</v>
      </c>
    </row>
    <row r="44" spans="2:26" x14ac:dyDescent="0.25">
      <c r="B44" s="311"/>
      <c r="C44" s="56">
        <v>46.400000000000006</v>
      </c>
      <c r="D44" s="56" t="s">
        <v>48</v>
      </c>
      <c r="E44" s="45" t="s">
        <v>26</v>
      </c>
      <c r="F44" s="157" t="s">
        <v>212</v>
      </c>
      <c r="G44" s="46">
        <v>2.4</v>
      </c>
      <c r="H44" s="44">
        <f t="shared" si="14"/>
        <v>2400</v>
      </c>
      <c r="I44" s="46">
        <v>260</v>
      </c>
      <c r="J44" s="46">
        <v>178</v>
      </c>
      <c r="K44" s="44">
        <f t="shared" si="15"/>
        <v>4.0454545454545459</v>
      </c>
      <c r="L44" s="50">
        <f t="shared" si="16"/>
        <v>5</v>
      </c>
      <c r="M44" s="44">
        <f>(H44+300)</f>
        <v>2700</v>
      </c>
      <c r="N44" s="44">
        <f t="shared" si="17"/>
        <v>360</v>
      </c>
      <c r="O44" s="159">
        <v>44</v>
      </c>
      <c r="P44" s="44">
        <f t="shared" si="18"/>
        <v>3.0454545454545459</v>
      </c>
      <c r="Q44" s="44">
        <f t="shared" si="21"/>
        <v>8</v>
      </c>
      <c r="R44" s="165" t="s">
        <v>341</v>
      </c>
      <c r="S44" s="54">
        <v>2</v>
      </c>
      <c r="T44" s="161" t="s">
        <v>339</v>
      </c>
      <c r="U44" s="53" t="s">
        <v>221</v>
      </c>
      <c r="V44" s="131">
        <v>46784</v>
      </c>
      <c r="W44" s="128">
        <v>0</v>
      </c>
      <c r="X44" s="88">
        <f t="shared" si="19"/>
        <v>0</v>
      </c>
      <c r="Y44" s="107">
        <v>0</v>
      </c>
      <c r="Z44" s="89">
        <f t="shared" si="20"/>
        <v>0</v>
      </c>
    </row>
    <row r="45" spans="2:26" x14ac:dyDescent="0.25">
      <c r="B45" s="311"/>
      <c r="C45" s="56">
        <v>46.500000000000007</v>
      </c>
      <c r="D45" s="56" t="s">
        <v>48</v>
      </c>
      <c r="E45" s="45" t="s">
        <v>26</v>
      </c>
      <c r="F45" s="157" t="s">
        <v>212</v>
      </c>
      <c r="G45" s="46">
        <v>2.4</v>
      </c>
      <c r="H45" s="44">
        <f t="shared" si="14"/>
        <v>2400</v>
      </c>
      <c r="I45" s="46">
        <v>260</v>
      </c>
      <c r="J45" s="46">
        <v>178</v>
      </c>
      <c r="K45" s="44">
        <f t="shared" si="15"/>
        <v>4.0454545454545459</v>
      </c>
      <c r="L45" s="50">
        <f t="shared" si="16"/>
        <v>5</v>
      </c>
      <c r="M45" s="44">
        <f>(H45+300)</f>
        <v>2700</v>
      </c>
      <c r="N45" s="44">
        <f t="shared" si="17"/>
        <v>360</v>
      </c>
      <c r="O45" s="159">
        <v>44</v>
      </c>
      <c r="P45" s="44">
        <f t="shared" si="18"/>
        <v>3.0454545454545459</v>
      </c>
      <c r="Q45" s="44">
        <f t="shared" si="21"/>
        <v>8</v>
      </c>
      <c r="R45" s="165" t="s">
        <v>341</v>
      </c>
      <c r="S45" s="54">
        <v>2</v>
      </c>
      <c r="T45" s="161" t="s">
        <v>339</v>
      </c>
      <c r="U45" s="53" t="s">
        <v>221</v>
      </c>
      <c r="V45" s="131">
        <v>46784</v>
      </c>
      <c r="W45" s="128">
        <v>0</v>
      </c>
      <c r="X45" s="88">
        <f t="shared" si="19"/>
        <v>0</v>
      </c>
      <c r="Y45" s="107">
        <v>0</v>
      </c>
      <c r="Z45" s="89">
        <f t="shared" si="20"/>
        <v>0</v>
      </c>
    </row>
    <row r="46" spans="2:26" x14ac:dyDescent="0.25">
      <c r="B46" s="311"/>
      <c r="C46" s="56">
        <v>47.1</v>
      </c>
      <c r="D46" s="56" t="s">
        <v>48</v>
      </c>
      <c r="E46" s="45" t="s">
        <v>143</v>
      </c>
      <c r="F46" s="158" t="s">
        <v>213</v>
      </c>
      <c r="G46" s="46">
        <v>5.4</v>
      </c>
      <c r="H46" s="44">
        <f t="shared" si="14"/>
        <v>5400</v>
      </c>
      <c r="I46" s="46">
        <v>260</v>
      </c>
      <c r="J46" s="46">
        <v>159</v>
      </c>
      <c r="K46" s="44">
        <f t="shared" si="15"/>
        <v>3.6136363636363638</v>
      </c>
      <c r="L46" s="50">
        <f t="shared" si="16"/>
        <v>4</v>
      </c>
      <c r="M46" s="44">
        <f>(H46+350)</f>
        <v>5750</v>
      </c>
      <c r="N46" s="44">
        <f t="shared" si="17"/>
        <v>360</v>
      </c>
      <c r="O46" s="159">
        <v>44</v>
      </c>
      <c r="P46" s="44">
        <f t="shared" si="18"/>
        <v>2.6136363636363638</v>
      </c>
      <c r="Q46" s="44">
        <f t="shared" si="21"/>
        <v>6</v>
      </c>
      <c r="R46" s="165" t="s">
        <v>342</v>
      </c>
      <c r="S46" s="54">
        <v>2</v>
      </c>
      <c r="T46" s="166" t="s">
        <v>340</v>
      </c>
      <c r="U46" s="53" t="s">
        <v>221</v>
      </c>
      <c r="V46" s="131">
        <v>46784</v>
      </c>
      <c r="W46" s="128">
        <v>0</v>
      </c>
      <c r="X46" s="88">
        <f t="shared" si="19"/>
        <v>0</v>
      </c>
      <c r="Y46" s="107">
        <v>0</v>
      </c>
      <c r="Z46" s="89">
        <f t="shared" si="20"/>
        <v>0</v>
      </c>
    </row>
    <row r="47" spans="2:26" x14ac:dyDescent="0.25">
      <c r="B47" s="311"/>
      <c r="C47" s="56">
        <v>47.2</v>
      </c>
      <c r="D47" s="56" t="s">
        <v>48</v>
      </c>
      <c r="E47" s="45" t="s">
        <v>143</v>
      </c>
      <c r="F47" s="158" t="s">
        <v>213</v>
      </c>
      <c r="G47" s="46">
        <v>3.1</v>
      </c>
      <c r="H47" s="44">
        <f t="shared" si="14"/>
        <v>3100</v>
      </c>
      <c r="I47" s="46">
        <v>260</v>
      </c>
      <c r="J47" s="46">
        <v>159</v>
      </c>
      <c r="K47" s="44">
        <f t="shared" si="15"/>
        <v>3.6136363636363638</v>
      </c>
      <c r="L47" s="50">
        <f t="shared" si="16"/>
        <v>4</v>
      </c>
      <c r="M47" s="44">
        <f>(H47+350)</f>
        <v>3450</v>
      </c>
      <c r="N47" s="44">
        <f t="shared" si="17"/>
        <v>360</v>
      </c>
      <c r="O47" s="159">
        <v>44</v>
      </c>
      <c r="P47" s="44">
        <f t="shared" si="18"/>
        <v>2.6136363636363638</v>
      </c>
      <c r="Q47" s="44">
        <f t="shared" si="21"/>
        <v>6</v>
      </c>
      <c r="R47" s="165" t="s">
        <v>342</v>
      </c>
      <c r="S47" s="54">
        <v>2</v>
      </c>
      <c r="T47" s="166" t="s">
        <v>340</v>
      </c>
      <c r="U47" s="53" t="s">
        <v>221</v>
      </c>
      <c r="V47" s="131">
        <v>46784</v>
      </c>
      <c r="W47" s="128">
        <v>0</v>
      </c>
      <c r="X47" s="88">
        <f t="shared" si="19"/>
        <v>0</v>
      </c>
      <c r="Y47" s="107">
        <v>0</v>
      </c>
      <c r="Z47" s="89">
        <f t="shared" si="20"/>
        <v>0</v>
      </c>
    </row>
    <row r="48" spans="2:26" x14ac:dyDescent="0.25">
      <c r="B48" s="311"/>
      <c r="C48" s="56">
        <v>47.300000000000004</v>
      </c>
      <c r="D48" s="56" t="s">
        <v>48</v>
      </c>
      <c r="E48" s="45" t="s">
        <v>147</v>
      </c>
      <c r="F48" s="157" t="s">
        <v>212</v>
      </c>
      <c r="G48" s="46">
        <v>2.7</v>
      </c>
      <c r="H48" s="44">
        <f t="shared" si="14"/>
        <v>2700</v>
      </c>
      <c r="I48" s="46">
        <v>260</v>
      </c>
      <c r="J48" s="46">
        <v>159</v>
      </c>
      <c r="K48" s="44">
        <f t="shared" si="15"/>
        <v>3.6136363636363638</v>
      </c>
      <c r="L48" s="50">
        <f t="shared" si="16"/>
        <v>4</v>
      </c>
      <c r="M48" s="44">
        <f>(H48+350)</f>
        <v>3050</v>
      </c>
      <c r="N48" s="44">
        <f t="shared" si="17"/>
        <v>360</v>
      </c>
      <c r="O48" s="159">
        <v>44</v>
      </c>
      <c r="P48" s="44">
        <f t="shared" si="18"/>
        <v>2.6136363636363638</v>
      </c>
      <c r="Q48" s="44">
        <f t="shared" si="21"/>
        <v>6</v>
      </c>
      <c r="R48" s="165" t="s">
        <v>341</v>
      </c>
      <c r="S48" s="54">
        <v>2</v>
      </c>
      <c r="T48" s="161" t="s">
        <v>339</v>
      </c>
      <c r="U48" s="53" t="s">
        <v>221</v>
      </c>
      <c r="V48" s="131">
        <v>46784</v>
      </c>
      <c r="W48" s="128">
        <v>0</v>
      </c>
      <c r="X48" s="88">
        <f t="shared" si="19"/>
        <v>0</v>
      </c>
      <c r="Y48" s="107">
        <v>0</v>
      </c>
      <c r="Z48" s="89">
        <f t="shared" si="20"/>
        <v>0</v>
      </c>
    </row>
    <row r="49" spans="2:26" x14ac:dyDescent="0.25">
      <c r="B49" s="311"/>
      <c r="C49" s="56">
        <v>47.400000000000006</v>
      </c>
      <c r="D49" s="56" t="s">
        <v>48</v>
      </c>
      <c r="E49" s="45" t="s">
        <v>26</v>
      </c>
      <c r="F49" s="157" t="s">
        <v>212</v>
      </c>
      <c r="G49" s="46">
        <v>2.4</v>
      </c>
      <c r="H49" s="44">
        <f t="shared" si="14"/>
        <v>2400</v>
      </c>
      <c r="I49" s="46">
        <v>260</v>
      </c>
      <c r="J49" s="46">
        <v>159</v>
      </c>
      <c r="K49" s="44">
        <f t="shared" si="15"/>
        <v>3.6136363636363638</v>
      </c>
      <c r="L49" s="50">
        <f t="shared" si="16"/>
        <v>4</v>
      </c>
      <c r="M49" s="44">
        <f>(H49+300)</f>
        <v>2700</v>
      </c>
      <c r="N49" s="44">
        <f t="shared" si="17"/>
        <v>360</v>
      </c>
      <c r="O49" s="159">
        <v>44</v>
      </c>
      <c r="P49" s="44">
        <f t="shared" si="18"/>
        <v>2.6136363636363638</v>
      </c>
      <c r="Q49" s="44">
        <f t="shared" si="21"/>
        <v>6</v>
      </c>
      <c r="R49" s="165" t="s">
        <v>341</v>
      </c>
      <c r="S49" s="54">
        <v>2</v>
      </c>
      <c r="T49" s="161" t="s">
        <v>339</v>
      </c>
      <c r="U49" s="53" t="s">
        <v>221</v>
      </c>
      <c r="V49" s="131">
        <v>46784</v>
      </c>
      <c r="W49" s="128">
        <v>0</v>
      </c>
      <c r="X49" s="88">
        <f t="shared" si="19"/>
        <v>0</v>
      </c>
      <c r="Y49" s="107">
        <v>0</v>
      </c>
      <c r="Z49" s="89">
        <f t="shared" si="20"/>
        <v>0</v>
      </c>
    </row>
    <row r="50" spans="2:26" ht="15.75" thickBot="1" x14ac:dyDescent="0.3">
      <c r="B50" s="311"/>
      <c r="C50" s="56">
        <v>47.500000000000007</v>
      </c>
      <c r="D50" s="56" t="s">
        <v>48</v>
      </c>
      <c r="E50" s="45" t="s">
        <v>26</v>
      </c>
      <c r="F50" s="157" t="s">
        <v>212</v>
      </c>
      <c r="G50" s="46">
        <v>2.4</v>
      </c>
      <c r="H50" s="44">
        <f t="shared" si="14"/>
        <v>2400</v>
      </c>
      <c r="I50" s="46">
        <v>260</v>
      </c>
      <c r="J50" s="46">
        <v>159</v>
      </c>
      <c r="K50" s="44">
        <f t="shared" si="15"/>
        <v>3.6136363636363638</v>
      </c>
      <c r="L50" s="50">
        <f t="shared" si="16"/>
        <v>4</v>
      </c>
      <c r="M50" s="44">
        <f>(H50+300)</f>
        <v>2700</v>
      </c>
      <c r="N50" s="44">
        <f t="shared" si="17"/>
        <v>360</v>
      </c>
      <c r="O50" s="159">
        <v>44</v>
      </c>
      <c r="P50" s="44">
        <f t="shared" si="18"/>
        <v>2.6136363636363638</v>
      </c>
      <c r="Q50" s="44">
        <f t="shared" si="21"/>
        <v>6</v>
      </c>
      <c r="R50" s="165" t="s">
        <v>341</v>
      </c>
      <c r="S50" s="54">
        <v>2</v>
      </c>
      <c r="T50" s="161" t="s">
        <v>339</v>
      </c>
      <c r="U50" s="53" t="s">
        <v>221</v>
      </c>
      <c r="V50" s="131">
        <v>46784</v>
      </c>
      <c r="W50" s="129">
        <v>0</v>
      </c>
      <c r="X50" s="90">
        <f t="shared" si="19"/>
        <v>0</v>
      </c>
      <c r="Y50" s="108">
        <v>0</v>
      </c>
      <c r="Z50" s="91">
        <f t="shared" si="20"/>
        <v>0</v>
      </c>
    </row>
    <row r="51" spans="2:26" s="66" customFormat="1" ht="15.75" thickBot="1" x14ac:dyDescent="0.3">
      <c r="B51" s="313"/>
      <c r="C51" s="189" t="s">
        <v>280</v>
      </c>
      <c r="D51" s="189"/>
      <c r="E51" s="180"/>
      <c r="F51" s="180"/>
      <c r="G51" s="180"/>
      <c r="H51" s="180"/>
      <c r="I51" s="180"/>
      <c r="J51" s="180"/>
      <c r="K51" s="180"/>
      <c r="L51" s="180">
        <f>SUM(L37:L50)</f>
        <v>65</v>
      </c>
      <c r="M51" s="180"/>
      <c r="N51" s="180"/>
      <c r="O51" s="180"/>
      <c r="P51" s="180"/>
      <c r="Q51" s="180">
        <f>SUM(Q37:Q50)</f>
        <v>102</v>
      </c>
      <c r="R51" s="180"/>
      <c r="S51" s="190">
        <f>SUM(S37:S50)</f>
        <v>28</v>
      </c>
      <c r="T51" s="190"/>
      <c r="U51" s="190"/>
      <c r="V51" s="190"/>
      <c r="W51" s="130"/>
      <c r="X51" s="75">
        <f>SUM(X37:X50)</f>
        <v>0</v>
      </c>
      <c r="Y51" s="75"/>
      <c r="Z51" s="75">
        <f>SUM(Z37:Z50)</f>
        <v>0</v>
      </c>
    </row>
    <row r="52" spans="2:26" x14ac:dyDescent="0.25">
      <c r="B52" s="310" t="s">
        <v>357</v>
      </c>
      <c r="C52" s="56">
        <v>48.1</v>
      </c>
      <c r="D52" s="56" t="s">
        <v>48</v>
      </c>
      <c r="E52" s="45" t="s">
        <v>143</v>
      </c>
      <c r="F52" s="157" t="s">
        <v>212</v>
      </c>
      <c r="G52" s="46">
        <v>4.8</v>
      </c>
      <c r="H52" s="44">
        <f t="shared" ref="H52:H66" si="22">CONVERT(G52,"m","mm")</f>
        <v>4800</v>
      </c>
      <c r="I52" s="46">
        <v>260</v>
      </c>
      <c r="J52" s="46">
        <v>142</v>
      </c>
      <c r="K52" s="44">
        <f t="shared" si="15"/>
        <v>3.2272727272727271</v>
      </c>
      <c r="L52" s="50">
        <f t="shared" ref="L52:L66" si="23">ROUNDUP(K52,0)</f>
        <v>4</v>
      </c>
      <c r="M52" s="44">
        <f>(H52+350)</f>
        <v>5150</v>
      </c>
      <c r="N52" s="44">
        <f t="shared" si="17"/>
        <v>360</v>
      </c>
      <c r="O52" s="44">
        <v>44</v>
      </c>
      <c r="P52" s="44">
        <f t="shared" ref="P52:P66" si="24">(K52-1)</f>
        <v>2.2272727272727271</v>
      </c>
      <c r="Q52" s="44">
        <f>(L52-1)*2</f>
        <v>6</v>
      </c>
      <c r="R52" s="165" t="s">
        <v>341</v>
      </c>
      <c r="S52" s="54">
        <v>2</v>
      </c>
      <c r="T52" s="161" t="s">
        <v>339</v>
      </c>
      <c r="U52" s="53" t="s">
        <v>221</v>
      </c>
      <c r="V52" s="140">
        <v>46935</v>
      </c>
      <c r="W52" s="127">
        <v>0</v>
      </c>
      <c r="X52" s="86">
        <f t="shared" ref="X52:X66" si="25">(W52*Q52)</f>
        <v>0</v>
      </c>
      <c r="Y52" s="106">
        <v>0</v>
      </c>
      <c r="Z52" s="87">
        <f t="shared" ref="Z52:Z66" si="26">(Y52*S52)</f>
        <v>0</v>
      </c>
    </row>
    <row r="53" spans="2:26" x14ac:dyDescent="0.25">
      <c r="B53" s="311"/>
      <c r="C53" s="56">
        <v>48.2</v>
      </c>
      <c r="D53" s="56" t="s">
        <v>48</v>
      </c>
      <c r="E53" s="45" t="s">
        <v>143</v>
      </c>
      <c r="F53" s="157" t="s">
        <v>213</v>
      </c>
      <c r="G53" s="46">
        <v>7.4</v>
      </c>
      <c r="H53" s="44">
        <f t="shared" si="22"/>
        <v>7400</v>
      </c>
      <c r="I53" s="46">
        <v>260</v>
      </c>
      <c r="J53" s="46">
        <v>142</v>
      </c>
      <c r="K53" s="44">
        <f t="shared" si="15"/>
        <v>3.2272727272727271</v>
      </c>
      <c r="L53" s="50">
        <f t="shared" si="23"/>
        <v>4</v>
      </c>
      <c r="M53" s="44">
        <f>(H53+350)</f>
        <v>7750</v>
      </c>
      <c r="N53" s="44">
        <f t="shared" si="17"/>
        <v>360</v>
      </c>
      <c r="O53" s="159">
        <v>44</v>
      </c>
      <c r="P53" s="44">
        <f t="shared" si="24"/>
        <v>2.2272727272727271</v>
      </c>
      <c r="Q53" s="44">
        <f t="shared" ref="Q53:Q66" si="27">(L53-1)*2</f>
        <v>6</v>
      </c>
      <c r="R53" s="165" t="s">
        <v>342</v>
      </c>
      <c r="S53" s="54">
        <v>2</v>
      </c>
      <c r="T53" s="166" t="s">
        <v>340</v>
      </c>
      <c r="U53" s="53" t="s">
        <v>221</v>
      </c>
      <c r="V53" s="140">
        <v>46935</v>
      </c>
      <c r="W53" s="128">
        <v>0</v>
      </c>
      <c r="X53" s="88">
        <f t="shared" si="25"/>
        <v>0</v>
      </c>
      <c r="Y53" s="107">
        <v>0</v>
      </c>
      <c r="Z53" s="89">
        <f t="shared" si="26"/>
        <v>0</v>
      </c>
    </row>
    <row r="54" spans="2:26" x14ac:dyDescent="0.25">
      <c r="B54" s="311"/>
      <c r="C54" s="56">
        <v>48.300000000000004</v>
      </c>
      <c r="D54" s="56" t="s">
        <v>48</v>
      </c>
      <c r="E54" s="45" t="s">
        <v>26</v>
      </c>
      <c r="F54" s="157" t="s">
        <v>212</v>
      </c>
      <c r="G54" s="46">
        <v>2.4</v>
      </c>
      <c r="H54" s="44">
        <f t="shared" si="22"/>
        <v>2400</v>
      </c>
      <c r="I54" s="46">
        <v>260</v>
      </c>
      <c r="J54" s="46">
        <v>142</v>
      </c>
      <c r="K54" s="44">
        <f t="shared" si="15"/>
        <v>3.2272727272727271</v>
      </c>
      <c r="L54" s="50">
        <f t="shared" si="23"/>
        <v>4</v>
      </c>
      <c r="M54" s="44">
        <f>(H54+300)</f>
        <v>2700</v>
      </c>
      <c r="N54" s="44">
        <f t="shared" si="17"/>
        <v>360</v>
      </c>
      <c r="O54" s="159">
        <v>44</v>
      </c>
      <c r="P54" s="44">
        <f t="shared" si="24"/>
        <v>2.2272727272727271</v>
      </c>
      <c r="Q54" s="44">
        <f t="shared" si="27"/>
        <v>6</v>
      </c>
      <c r="R54" s="165" t="s">
        <v>341</v>
      </c>
      <c r="S54" s="54">
        <v>2</v>
      </c>
      <c r="T54" s="161" t="s">
        <v>339</v>
      </c>
      <c r="U54" s="53" t="s">
        <v>221</v>
      </c>
      <c r="V54" s="140">
        <v>46935</v>
      </c>
      <c r="W54" s="128">
        <v>0</v>
      </c>
      <c r="X54" s="88">
        <f t="shared" si="25"/>
        <v>0</v>
      </c>
      <c r="Y54" s="107">
        <v>0</v>
      </c>
      <c r="Z54" s="89">
        <f t="shared" si="26"/>
        <v>0</v>
      </c>
    </row>
    <row r="55" spans="2:26" x14ac:dyDescent="0.25">
      <c r="B55" s="311"/>
      <c r="C55" s="56">
        <v>48.400000000000006</v>
      </c>
      <c r="D55" s="56" t="s">
        <v>48</v>
      </c>
      <c r="E55" s="45" t="s">
        <v>26</v>
      </c>
      <c r="F55" s="157" t="s">
        <v>212</v>
      </c>
      <c r="G55" s="46">
        <v>2.4</v>
      </c>
      <c r="H55" s="44">
        <f t="shared" si="22"/>
        <v>2400</v>
      </c>
      <c r="I55" s="46">
        <v>260</v>
      </c>
      <c r="J55" s="46">
        <v>142</v>
      </c>
      <c r="K55" s="44">
        <f t="shared" si="15"/>
        <v>3.2272727272727271</v>
      </c>
      <c r="L55" s="50">
        <f t="shared" si="23"/>
        <v>4</v>
      </c>
      <c r="M55" s="44">
        <f>(H55+300)</f>
        <v>2700</v>
      </c>
      <c r="N55" s="44">
        <f t="shared" si="17"/>
        <v>360</v>
      </c>
      <c r="O55" s="159">
        <v>44</v>
      </c>
      <c r="P55" s="44">
        <f t="shared" si="24"/>
        <v>2.2272727272727271</v>
      </c>
      <c r="Q55" s="44">
        <f t="shared" si="27"/>
        <v>6</v>
      </c>
      <c r="R55" s="165" t="s">
        <v>341</v>
      </c>
      <c r="S55" s="54">
        <v>2</v>
      </c>
      <c r="T55" s="161" t="s">
        <v>339</v>
      </c>
      <c r="U55" s="53" t="s">
        <v>221</v>
      </c>
      <c r="V55" s="140">
        <v>46935</v>
      </c>
      <c r="W55" s="128">
        <v>0</v>
      </c>
      <c r="X55" s="88">
        <f t="shared" si="25"/>
        <v>0</v>
      </c>
      <c r="Y55" s="107">
        <v>0</v>
      </c>
      <c r="Z55" s="89">
        <f t="shared" si="26"/>
        <v>0</v>
      </c>
    </row>
    <row r="56" spans="2:26" x14ac:dyDescent="0.25">
      <c r="B56" s="311"/>
      <c r="C56" s="56">
        <v>49.1</v>
      </c>
      <c r="D56" s="56" t="s">
        <v>48</v>
      </c>
      <c r="E56" s="45" t="s">
        <v>138</v>
      </c>
      <c r="F56" s="157" t="s">
        <v>212</v>
      </c>
      <c r="G56" s="46">
        <v>1.6</v>
      </c>
      <c r="H56" s="44">
        <f t="shared" si="22"/>
        <v>1600</v>
      </c>
      <c r="I56" s="46">
        <v>260</v>
      </c>
      <c r="J56" s="46">
        <v>127</v>
      </c>
      <c r="K56" s="44">
        <f t="shared" si="15"/>
        <v>2.8863636363636362</v>
      </c>
      <c r="L56" s="50">
        <f t="shared" si="23"/>
        <v>3</v>
      </c>
      <c r="M56" s="44">
        <f>(H56+350)</f>
        <v>1950</v>
      </c>
      <c r="N56" s="44">
        <f t="shared" si="17"/>
        <v>360</v>
      </c>
      <c r="O56" s="159">
        <v>44</v>
      </c>
      <c r="P56" s="44">
        <f t="shared" si="24"/>
        <v>1.8863636363636362</v>
      </c>
      <c r="Q56" s="44">
        <f t="shared" si="27"/>
        <v>4</v>
      </c>
      <c r="R56" s="165" t="s">
        <v>341</v>
      </c>
      <c r="S56" s="54">
        <v>2</v>
      </c>
      <c r="T56" s="161" t="s">
        <v>339</v>
      </c>
      <c r="U56" s="53" t="s">
        <v>221</v>
      </c>
      <c r="V56" s="140">
        <v>46935</v>
      </c>
      <c r="W56" s="128">
        <v>0</v>
      </c>
      <c r="X56" s="88">
        <f t="shared" si="25"/>
        <v>0</v>
      </c>
      <c r="Y56" s="107">
        <v>0</v>
      </c>
      <c r="Z56" s="89">
        <f t="shared" si="26"/>
        <v>0</v>
      </c>
    </row>
    <row r="57" spans="2:26" x14ac:dyDescent="0.25">
      <c r="B57" s="311"/>
      <c r="C57" s="56">
        <v>49.2</v>
      </c>
      <c r="D57" s="56" t="s">
        <v>48</v>
      </c>
      <c r="E57" s="45" t="s">
        <v>138</v>
      </c>
      <c r="F57" s="157" t="s">
        <v>213</v>
      </c>
      <c r="G57" s="46">
        <v>7.4</v>
      </c>
      <c r="H57" s="44">
        <f t="shared" si="22"/>
        <v>7400</v>
      </c>
      <c r="I57" s="46">
        <v>260</v>
      </c>
      <c r="J57" s="46">
        <v>127</v>
      </c>
      <c r="K57" s="44">
        <f t="shared" si="15"/>
        <v>2.8863636363636362</v>
      </c>
      <c r="L57" s="50">
        <f t="shared" si="23"/>
        <v>3</v>
      </c>
      <c r="M57" s="44">
        <f>(H57+350)</f>
        <v>7750</v>
      </c>
      <c r="N57" s="44">
        <f t="shared" si="17"/>
        <v>360</v>
      </c>
      <c r="O57" s="159">
        <v>44</v>
      </c>
      <c r="P57" s="44">
        <f t="shared" si="24"/>
        <v>1.8863636363636362</v>
      </c>
      <c r="Q57" s="44">
        <f t="shared" si="27"/>
        <v>4</v>
      </c>
      <c r="R57" s="165" t="s">
        <v>342</v>
      </c>
      <c r="S57" s="54">
        <v>2</v>
      </c>
      <c r="T57" s="166" t="s">
        <v>340</v>
      </c>
      <c r="U57" s="53" t="s">
        <v>221</v>
      </c>
      <c r="V57" s="140">
        <v>46935</v>
      </c>
      <c r="W57" s="128">
        <v>0</v>
      </c>
      <c r="X57" s="88">
        <f t="shared" si="25"/>
        <v>0</v>
      </c>
      <c r="Y57" s="107">
        <v>0</v>
      </c>
      <c r="Z57" s="89">
        <f t="shared" si="26"/>
        <v>0</v>
      </c>
    </row>
    <row r="58" spans="2:26" x14ac:dyDescent="0.25">
      <c r="B58" s="311"/>
      <c r="C58" s="56">
        <v>49.300000000000004</v>
      </c>
      <c r="D58" s="56" t="s">
        <v>48</v>
      </c>
      <c r="E58" s="45" t="s">
        <v>26</v>
      </c>
      <c r="F58" s="157" t="s">
        <v>213</v>
      </c>
      <c r="G58" s="46">
        <v>7.4</v>
      </c>
      <c r="H58" s="44">
        <f t="shared" si="22"/>
        <v>7400</v>
      </c>
      <c r="I58" s="46">
        <v>260</v>
      </c>
      <c r="J58" s="46">
        <v>127</v>
      </c>
      <c r="K58" s="44">
        <f t="shared" si="15"/>
        <v>2.8863636363636362</v>
      </c>
      <c r="L58" s="50">
        <f t="shared" si="23"/>
        <v>3</v>
      </c>
      <c r="M58" s="44">
        <f>(H58+300)</f>
        <v>7700</v>
      </c>
      <c r="N58" s="44">
        <f t="shared" si="17"/>
        <v>360</v>
      </c>
      <c r="O58" s="159">
        <v>44</v>
      </c>
      <c r="P58" s="44">
        <f t="shared" si="24"/>
        <v>1.8863636363636362</v>
      </c>
      <c r="Q58" s="44">
        <f t="shared" si="27"/>
        <v>4</v>
      </c>
      <c r="R58" s="165" t="s">
        <v>342</v>
      </c>
      <c r="S58" s="54">
        <v>2</v>
      </c>
      <c r="T58" s="166" t="s">
        <v>340</v>
      </c>
      <c r="U58" s="53" t="s">
        <v>221</v>
      </c>
      <c r="V58" s="140">
        <v>46935</v>
      </c>
      <c r="W58" s="128">
        <v>0</v>
      </c>
      <c r="X58" s="88">
        <f t="shared" si="25"/>
        <v>0</v>
      </c>
      <c r="Y58" s="107">
        <v>0</v>
      </c>
      <c r="Z58" s="89">
        <f t="shared" si="26"/>
        <v>0</v>
      </c>
    </row>
    <row r="59" spans="2:26" x14ac:dyDescent="0.25">
      <c r="B59" s="311"/>
      <c r="C59" s="56">
        <v>49.400000000000006</v>
      </c>
      <c r="D59" s="56" t="s">
        <v>48</v>
      </c>
      <c r="E59" s="45" t="s">
        <v>26</v>
      </c>
      <c r="F59" s="157" t="s">
        <v>212</v>
      </c>
      <c r="G59" s="46">
        <v>2.4</v>
      </c>
      <c r="H59" s="44">
        <f t="shared" si="22"/>
        <v>2400</v>
      </c>
      <c r="I59" s="46">
        <v>260</v>
      </c>
      <c r="J59" s="46">
        <v>127</v>
      </c>
      <c r="K59" s="44">
        <f t="shared" si="15"/>
        <v>2.8863636363636362</v>
      </c>
      <c r="L59" s="50">
        <f t="shared" si="23"/>
        <v>3</v>
      </c>
      <c r="M59" s="44">
        <f>(H59+300)</f>
        <v>2700</v>
      </c>
      <c r="N59" s="44">
        <f t="shared" si="17"/>
        <v>360</v>
      </c>
      <c r="O59" s="159">
        <v>44</v>
      </c>
      <c r="P59" s="44">
        <f t="shared" si="24"/>
        <v>1.8863636363636362</v>
      </c>
      <c r="Q59" s="44">
        <f t="shared" si="27"/>
        <v>4</v>
      </c>
      <c r="R59" s="165" t="s">
        <v>341</v>
      </c>
      <c r="S59" s="54">
        <v>2</v>
      </c>
      <c r="T59" s="161" t="s">
        <v>339</v>
      </c>
      <c r="U59" s="53" t="s">
        <v>221</v>
      </c>
      <c r="V59" s="140">
        <v>46935</v>
      </c>
      <c r="W59" s="128">
        <v>0</v>
      </c>
      <c r="X59" s="88">
        <f t="shared" si="25"/>
        <v>0</v>
      </c>
      <c r="Y59" s="107">
        <v>0</v>
      </c>
      <c r="Z59" s="89">
        <f t="shared" si="26"/>
        <v>0</v>
      </c>
    </row>
    <row r="60" spans="2:26" x14ac:dyDescent="0.25">
      <c r="B60" s="311"/>
      <c r="C60" s="56">
        <v>50.1</v>
      </c>
      <c r="D60" s="56" t="s">
        <v>130</v>
      </c>
      <c r="E60" s="45" t="s">
        <v>89</v>
      </c>
      <c r="F60" s="157" t="s">
        <v>213</v>
      </c>
      <c r="G60" s="46">
        <v>6.6</v>
      </c>
      <c r="H60" s="44">
        <f t="shared" si="22"/>
        <v>6600</v>
      </c>
      <c r="I60" s="46">
        <v>431</v>
      </c>
      <c r="J60" s="46">
        <v>140</v>
      </c>
      <c r="K60" s="44">
        <f t="shared" si="15"/>
        <v>3.1818181818181817</v>
      </c>
      <c r="L60" s="50">
        <f t="shared" si="23"/>
        <v>4</v>
      </c>
      <c r="M60" s="44">
        <f>(H60+350)</f>
        <v>6950</v>
      </c>
      <c r="N60" s="44">
        <f t="shared" si="17"/>
        <v>531</v>
      </c>
      <c r="O60" s="159">
        <v>44</v>
      </c>
      <c r="P60" s="44">
        <f t="shared" si="24"/>
        <v>2.1818181818181817</v>
      </c>
      <c r="Q60" s="44">
        <f t="shared" si="27"/>
        <v>6</v>
      </c>
      <c r="R60" s="165" t="s">
        <v>342</v>
      </c>
      <c r="S60" s="54">
        <v>2</v>
      </c>
      <c r="T60" s="166" t="s">
        <v>340</v>
      </c>
      <c r="U60" s="53" t="s">
        <v>221</v>
      </c>
      <c r="V60" s="140">
        <v>46935</v>
      </c>
      <c r="W60" s="128">
        <v>0</v>
      </c>
      <c r="X60" s="88">
        <f t="shared" si="25"/>
        <v>0</v>
      </c>
      <c r="Y60" s="107">
        <v>0</v>
      </c>
      <c r="Z60" s="89">
        <f t="shared" si="26"/>
        <v>0</v>
      </c>
    </row>
    <row r="61" spans="2:26" x14ac:dyDescent="0.25">
      <c r="B61" s="311"/>
      <c r="C61" s="56">
        <v>50.2</v>
      </c>
      <c r="D61" s="56" t="s">
        <v>130</v>
      </c>
      <c r="E61" s="45" t="s">
        <v>89</v>
      </c>
      <c r="F61" s="157" t="s">
        <v>213</v>
      </c>
      <c r="G61" s="46">
        <v>7.4</v>
      </c>
      <c r="H61" s="44">
        <f t="shared" si="22"/>
        <v>7400</v>
      </c>
      <c r="I61" s="46">
        <v>431</v>
      </c>
      <c r="J61" s="46">
        <v>140</v>
      </c>
      <c r="K61" s="44">
        <f t="shared" si="15"/>
        <v>3.1818181818181817</v>
      </c>
      <c r="L61" s="50">
        <f t="shared" si="23"/>
        <v>4</v>
      </c>
      <c r="M61" s="44">
        <f>(H61+350)</f>
        <v>7750</v>
      </c>
      <c r="N61" s="44">
        <f t="shared" si="17"/>
        <v>531</v>
      </c>
      <c r="O61" s="159">
        <v>44</v>
      </c>
      <c r="P61" s="44">
        <f t="shared" si="24"/>
        <v>2.1818181818181817</v>
      </c>
      <c r="Q61" s="44">
        <f t="shared" si="27"/>
        <v>6</v>
      </c>
      <c r="R61" s="165" t="s">
        <v>342</v>
      </c>
      <c r="S61" s="54">
        <v>2</v>
      </c>
      <c r="T61" s="166" t="s">
        <v>340</v>
      </c>
      <c r="U61" s="53" t="s">
        <v>221</v>
      </c>
      <c r="V61" s="140">
        <v>46935</v>
      </c>
      <c r="W61" s="128">
        <v>0</v>
      </c>
      <c r="X61" s="88">
        <f t="shared" si="25"/>
        <v>0</v>
      </c>
      <c r="Y61" s="107">
        <v>0</v>
      </c>
      <c r="Z61" s="89">
        <f t="shared" si="26"/>
        <v>0</v>
      </c>
    </row>
    <row r="62" spans="2:26" x14ac:dyDescent="0.25">
      <c r="B62" s="311"/>
      <c r="C62" s="56">
        <v>50.300000000000004</v>
      </c>
      <c r="D62" s="56" t="s">
        <v>130</v>
      </c>
      <c r="E62" s="45" t="s">
        <v>132</v>
      </c>
      <c r="F62" s="157" t="s">
        <v>213</v>
      </c>
      <c r="G62" s="46">
        <v>7.4</v>
      </c>
      <c r="H62" s="44">
        <f t="shared" si="22"/>
        <v>7400</v>
      </c>
      <c r="I62" s="46">
        <v>536</v>
      </c>
      <c r="J62" s="46">
        <v>140</v>
      </c>
      <c r="K62" s="44">
        <f t="shared" si="15"/>
        <v>3.1818181818181817</v>
      </c>
      <c r="L62" s="50">
        <f t="shared" si="23"/>
        <v>4</v>
      </c>
      <c r="M62" s="44">
        <f>(H62+300)</f>
        <v>7700</v>
      </c>
      <c r="N62" s="44">
        <f t="shared" si="17"/>
        <v>636</v>
      </c>
      <c r="O62" s="159">
        <v>44</v>
      </c>
      <c r="P62" s="44">
        <f t="shared" si="24"/>
        <v>2.1818181818181817</v>
      </c>
      <c r="Q62" s="44">
        <f t="shared" si="27"/>
        <v>6</v>
      </c>
      <c r="R62" s="165" t="s">
        <v>342</v>
      </c>
      <c r="S62" s="54">
        <v>2</v>
      </c>
      <c r="T62" s="166" t="s">
        <v>340</v>
      </c>
      <c r="U62" s="53" t="s">
        <v>221</v>
      </c>
      <c r="V62" s="140">
        <v>46935</v>
      </c>
      <c r="W62" s="128">
        <v>0</v>
      </c>
      <c r="X62" s="88">
        <f t="shared" si="25"/>
        <v>0</v>
      </c>
      <c r="Y62" s="107">
        <v>0</v>
      </c>
      <c r="Z62" s="89">
        <f t="shared" si="26"/>
        <v>0</v>
      </c>
    </row>
    <row r="63" spans="2:26" x14ac:dyDescent="0.25">
      <c r="B63" s="311"/>
      <c r="C63" s="56">
        <v>51.1</v>
      </c>
      <c r="D63" s="56" t="s">
        <v>130</v>
      </c>
      <c r="E63" s="45" t="s">
        <v>89</v>
      </c>
      <c r="F63" s="157" t="s">
        <v>212</v>
      </c>
      <c r="G63" s="46">
        <v>3</v>
      </c>
      <c r="H63" s="44">
        <f t="shared" si="22"/>
        <v>3000</v>
      </c>
      <c r="I63" s="46">
        <v>431</v>
      </c>
      <c r="J63" s="46">
        <v>140</v>
      </c>
      <c r="K63" s="44">
        <f t="shared" si="15"/>
        <v>3.1818181818181817</v>
      </c>
      <c r="L63" s="50">
        <f t="shared" si="23"/>
        <v>4</v>
      </c>
      <c r="M63" s="44">
        <f>(H63+350)</f>
        <v>3350</v>
      </c>
      <c r="N63" s="44">
        <f t="shared" si="17"/>
        <v>531</v>
      </c>
      <c r="O63" s="159">
        <v>44</v>
      </c>
      <c r="P63" s="44">
        <f t="shared" si="24"/>
        <v>2.1818181818181817</v>
      </c>
      <c r="Q63" s="44">
        <f t="shared" si="27"/>
        <v>6</v>
      </c>
      <c r="R63" s="165" t="s">
        <v>341</v>
      </c>
      <c r="S63" s="54">
        <v>2</v>
      </c>
      <c r="T63" s="161" t="s">
        <v>339</v>
      </c>
      <c r="U63" s="53" t="s">
        <v>221</v>
      </c>
      <c r="V63" s="140">
        <v>46935</v>
      </c>
      <c r="W63" s="128">
        <v>0</v>
      </c>
      <c r="X63" s="88">
        <f t="shared" si="25"/>
        <v>0</v>
      </c>
      <c r="Y63" s="107">
        <v>0</v>
      </c>
      <c r="Z63" s="89">
        <f t="shared" si="26"/>
        <v>0</v>
      </c>
    </row>
    <row r="64" spans="2:26" x14ac:dyDescent="0.25">
      <c r="B64" s="311"/>
      <c r="C64" s="56">
        <v>51.2</v>
      </c>
      <c r="D64" s="56" t="s">
        <v>130</v>
      </c>
      <c r="E64" s="45" t="s">
        <v>89</v>
      </c>
      <c r="F64" s="157" t="s">
        <v>213</v>
      </c>
      <c r="G64" s="46">
        <v>7.4</v>
      </c>
      <c r="H64" s="44">
        <f t="shared" si="22"/>
        <v>7400</v>
      </c>
      <c r="I64" s="46">
        <v>431</v>
      </c>
      <c r="J64" s="46">
        <v>140</v>
      </c>
      <c r="K64" s="44">
        <f t="shared" si="15"/>
        <v>3.1818181818181817</v>
      </c>
      <c r="L64" s="50">
        <f t="shared" si="23"/>
        <v>4</v>
      </c>
      <c r="M64" s="44">
        <f>(H64+350)</f>
        <v>7750</v>
      </c>
      <c r="N64" s="44">
        <f t="shared" si="17"/>
        <v>531</v>
      </c>
      <c r="O64" s="159">
        <v>44</v>
      </c>
      <c r="P64" s="44">
        <f t="shared" si="24"/>
        <v>2.1818181818181817</v>
      </c>
      <c r="Q64" s="44">
        <f t="shared" si="27"/>
        <v>6</v>
      </c>
      <c r="R64" s="165" t="s">
        <v>342</v>
      </c>
      <c r="S64" s="54">
        <v>2</v>
      </c>
      <c r="T64" s="166" t="s">
        <v>340</v>
      </c>
      <c r="U64" s="53" t="s">
        <v>221</v>
      </c>
      <c r="V64" s="140">
        <v>46935</v>
      </c>
      <c r="W64" s="128">
        <v>0</v>
      </c>
      <c r="X64" s="88">
        <f t="shared" si="25"/>
        <v>0</v>
      </c>
      <c r="Y64" s="107">
        <v>0</v>
      </c>
      <c r="Z64" s="89">
        <f t="shared" si="26"/>
        <v>0</v>
      </c>
    </row>
    <row r="65" spans="2:26" x14ac:dyDescent="0.25">
      <c r="B65" s="311"/>
      <c r="C65" s="56">
        <v>51.300000000000004</v>
      </c>
      <c r="D65" s="56" t="s">
        <v>130</v>
      </c>
      <c r="E65" s="45" t="s">
        <v>126</v>
      </c>
      <c r="F65" s="157" t="s">
        <v>213</v>
      </c>
      <c r="G65" s="46">
        <v>7.4</v>
      </c>
      <c r="H65" s="44">
        <f t="shared" si="22"/>
        <v>7400</v>
      </c>
      <c r="I65" s="46">
        <v>431</v>
      </c>
      <c r="J65" s="46">
        <v>140</v>
      </c>
      <c r="K65" s="44">
        <f t="shared" si="15"/>
        <v>3.1818181818181817</v>
      </c>
      <c r="L65" s="50">
        <f t="shared" si="23"/>
        <v>4</v>
      </c>
      <c r="M65" s="44">
        <f>(H65+300)</f>
        <v>7700</v>
      </c>
      <c r="N65" s="44">
        <f t="shared" si="17"/>
        <v>531</v>
      </c>
      <c r="O65" s="159">
        <v>44</v>
      </c>
      <c r="P65" s="44">
        <f t="shared" si="24"/>
        <v>2.1818181818181817</v>
      </c>
      <c r="Q65" s="44">
        <f t="shared" si="27"/>
        <v>6</v>
      </c>
      <c r="R65" s="165" t="s">
        <v>342</v>
      </c>
      <c r="S65" s="54">
        <v>2</v>
      </c>
      <c r="T65" s="166" t="s">
        <v>340</v>
      </c>
      <c r="U65" s="53" t="s">
        <v>221</v>
      </c>
      <c r="V65" s="140">
        <v>46935</v>
      </c>
      <c r="W65" s="128">
        <v>0</v>
      </c>
      <c r="X65" s="88">
        <f t="shared" si="25"/>
        <v>0</v>
      </c>
      <c r="Y65" s="107">
        <v>0</v>
      </c>
      <c r="Z65" s="89">
        <f t="shared" si="26"/>
        <v>0</v>
      </c>
    </row>
    <row r="66" spans="2:26" ht="15.75" thickBot="1" x14ac:dyDescent="0.3">
      <c r="B66" s="311"/>
      <c r="C66" s="56">
        <v>51.400000000000006</v>
      </c>
      <c r="D66" s="56" t="s">
        <v>130</v>
      </c>
      <c r="E66" s="45" t="s">
        <v>52</v>
      </c>
      <c r="F66" s="157" t="s">
        <v>213</v>
      </c>
      <c r="G66" s="46">
        <v>7.4</v>
      </c>
      <c r="H66" s="44">
        <f t="shared" si="22"/>
        <v>7400</v>
      </c>
      <c r="I66" s="46">
        <v>431</v>
      </c>
      <c r="J66" s="46">
        <v>140</v>
      </c>
      <c r="K66" s="44">
        <f t="shared" si="15"/>
        <v>2.0289855072463769</v>
      </c>
      <c r="L66" s="50">
        <f t="shared" si="23"/>
        <v>3</v>
      </c>
      <c r="M66" s="44">
        <f>(H66+300)</f>
        <v>7700</v>
      </c>
      <c r="N66" s="44">
        <f t="shared" si="17"/>
        <v>531</v>
      </c>
      <c r="O66" s="159">
        <v>69</v>
      </c>
      <c r="P66" s="44">
        <f t="shared" si="24"/>
        <v>1.0289855072463769</v>
      </c>
      <c r="Q66" s="44">
        <f t="shared" si="27"/>
        <v>4</v>
      </c>
      <c r="R66" s="165" t="s">
        <v>342</v>
      </c>
      <c r="S66" s="54">
        <v>2</v>
      </c>
      <c r="T66" s="166" t="s">
        <v>340</v>
      </c>
      <c r="U66" s="53" t="s">
        <v>221</v>
      </c>
      <c r="V66" s="140">
        <v>46935</v>
      </c>
      <c r="W66" s="129">
        <v>0</v>
      </c>
      <c r="X66" s="90">
        <f t="shared" si="25"/>
        <v>0</v>
      </c>
      <c r="Y66" s="108">
        <v>0</v>
      </c>
      <c r="Z66" s="91">
        <f t="shared" si="26"/>
        <v>0</v>
      </c>
    </row>
    <row r="67" spans="2:26" s="66" customFormat="1" ht="15.75" thickBot="1" x14ac:dyDescent="0.3">
      <c r="B67" s="313"/>
      <c r="C67" s="189" t="s">
        <v>281</v>
      </c>
      <c r="D67" s="189"/>
      <c r="E67" s="180"/>
      <c r="F67" s="180"/>
      <c r="G67" s="180"/>
      <c r="H67" s="180"/>
      <c r="I67" s="180"/>
      <c r="J67" s="180"/>
      <c r="K67" s="180"/>
      <c r="L67" s="180">
        <f>SUM(L52:L66)</f>
        <v>55</v>
      </c>
      <c r="M67" s="180"/>
      <c r="N67" s="180"/>
      <c r="O67" s="180"/>
      <c r="P67" s="180"/>
      <c r="Q67" s="180">
        <f>SUM(Q52:Q66)</f>
        <v>80</v>
      </c>
      <c r="R67" s="180"/>
      <c r="S67" s="190">
        <f>SUM(S52:S66)</f>
        <v>30</v>
      </c>
      <c r="T67" s="190"/>
      <c r="U67" s="190"/>
      <c r="V67" s="190"/>
      <c r="W67" s="130"/>
      <c r="X67" s="75">
        <f>SUM(X52:X66)</f>
        <v>0</v>
      </c>
      <c r="Y67" s="75"/>
      <c r="Z67" s="75">
        <f>SUM(Z52:Z66)</f>
        <v>0</v>
      </c>
    </row>
    <row r="68" spans="2:26" x14ac:dyDescent="0.25">
      <c r="B68" s="310" t="s">
        <v>358</v>
      </c>
      <c r="C68" s="56">
        <v>52.1</v>
      </c>
      <c r="D68" s="56" t="s">
        <v>48</v>
      </c>
      <c r="E68" s="45" t="s">
        <v>89</v>
      </c>
      <c r="F68" s="157" t="s">
        <v>212</v>
      </c>
      <c r="G68" s="46">
        <v>4.8</v>
      </c>
      <c r="H68" s="44">
        <f t="shared" ref="H68:H86" si="28">CONVERT(G68,"m","mm")</f>
        <v>4800</v>
      </c>
      <c r="I68" s="46">
        <v>431</v>
      </c>
      <c r="J68" s="46">
        <v>140</v>
      </c>
      <c r="K68" s="44">
        <f t="shared" si="15"/>
        <v>3.1818181818181817</v>
      </c>
      <c r="L68" s="50">
        <f t="shared" ref="L68:L86" si="29">ROUNDUP(K68,0)</f>
        <v>4</v>
      </c>
      <c r="M68" s="44">
        <f>(H68+350)</f>
        <v>5150</v>
      </c>
      <c r="N68" s="44">
        <f t="shared" si="17"/>
        <v>531</v>
      </c>
      <c r="O68" s="44">
        <v>44</v>
      </c>
      <c r="P68" s="44">
        <f t="shared" ref="P68:P86" si="30">(K68-1)</f>
        <v>2.1818181818181817</v>
      </c>
      <c r="Q68" s="44">
        <f>(L68-1)*2</f>
        <v>6</v>
      </c>
      <c r="R68" s="165" t="s">
        <v>341</v>
      </c>
      <c r="S68" s="54">
        <v>2</v>
      </c>
      <c r="T68" s="161" t="s">
        <v>339</v>
      </c>
      <c r="U68" s="53" t="s">
        <v>221</v>
      </c>
      <c r="V68" s="140">
        <v>47088</v>
      </c>
      <c r="W68" s="127">
        <v>0</v>
      </c>
      <c r="X68" s="86">
        <f t="shared" ref="X68:X86" si="31">(W68*Q68)</f>
        <v>0</v>
      </c>
      <c r="Y68" s="106">
        <v>0</v>
      </c>
      <c r="Z68" s="87">
        <f t="shared" ref="Z68:Z86" si="32">(Y68*S68)</f>
        <v>0</v>
      </c>
    </row>
    <row r="69" spans="2:26" x14ac:dyDescent="0.25">
      <c r="B69" s="311"/>
      <c r="C69" s="56">
        <v>52.2</v>
      </c>
      <c r="D69" s="56" t="s">
        <v>48</v>
      </c>
      <c r="E69" s="45" t="s">
        <v>89</v>
      </c>
      <c r="F69" s="157" t="s">
        <v>213</v>
      </c>
      <c r="G69" s="46">
        <v>7.4</v>
      </c>
      <c r="H69" s="44">
        <f t="shared" si="28"/>
        <v>7400</v>
      </c>
      <c r="I69" s="46">
        <v>431</v>
      </c>
      <c r="J69" s="46">
        <v>140</v>
      </c>
      <c r="K69" s="44">
        <f t="shared" si="15"/>
        <v>3.1818181818181817</v>
      </c>
      <c r="L69" s="50">
        <f t="shared" si="29"/>
        <v>4</v>
      </c>
      <c r="M69" s="44">
        <f>(H69+350)</f>
        <v>7750</v>
      </c>
      <c r="N69" s="44">
        <f t="shared" si="17"/>
        <v>531</v>
      </c>
      <c r="O69" s="159">
        <v>44</v>
      </c>
      <c r="P69" s="44">
        <f t="shared" si="30"/>
        <v>2.1818181818181817</v>
      </c>
      <c r="Q69" s="44">
        <f t="shared" ref="Q69:Q86" si="33">(L69-1)*2</f>
        <v>6</v>
      </c>
      <c r="R69" s="165" t="s">
        <v>342</v>
      </c>
      <c r="S69" s="54">
        <v>2</v>
      </c>
      <c r="T69" s="166" t="s">
        <v>340</v>
      </c>
      <c r="U69" s="53" t="s">
        <v>221</v>
      </c>
      <c r="V69" s="140">
        <v>47088</v>
      </c>
      <c r="W69" s="128">
        <v>0</v>
      </c>
      <c r="X69" s="88">
        <f t="shared" si="31"/>
        <v>0</v>
      </c>
      <c r="Y69" s="107">
        <v>0</v>
      </c>
      <c r="Z69" s="89">
        <f t="shared" si="32"/>
        <v>0</v>
      </c>
    </row>
    <row r="70" spans="2:26" x14ac:dyDescent="0.25">
      <c r="B70" s="311"/>
      <c r="C70" s="56">
        <v>52.300000000000004</v>
      </c>
      <c r="D70" s="56" t="s">
        <v>48</v>
      </c>
      <c r="E70" s="45" t="s">
        <v>126</v>
      </c>
      <c r="F70" s="157" t="s">
        <v>213</v>
      </c>
      <c r="G70" s="46">
        <v>7.4</v>
      </c>
      <c r="H70" s="44">
        <f t="shared" si="28"/>
        <v>7400</v>
      </c>
      <c r="I70" s="46">
        <v>431</v>
      </c>
      <c r="J70" s="46">
        <v>140</v>
      </c>
      <c r="K70" s="44">
        <f t="shared" si="15"/>
        <v>3.1818181818181817</v>
      </c>
      <c r="L70" s="50">
        <f t="shared" si="29"/>
        <v>4</v>
      </c>
      <c r="M70" s="44">
        <f>(H70+300)</f>
        <v>7700</v>
      </c>
      <c r="N70" s="44">
        <f t="shared" si="17"/>
        <v>531</v>
      </c>
      <c r="O70" s="159">
        <v>44</v>
      </c>
      <c r="P70" s="44">
        <f t="shared" si="30"/>
        <v>2.1818181818181817</v>
      </c>
      <c r="Q70" s="44">
        <f t="shared" si="33"/>
        <v>6</v>
      </c>
      <c r="R70" s="165" t="s">
        <v>342</v>
      </c>
      <c r="S70" s="54">
        <v>2</v>
      </c>
      <c r="T70" s="166" t="s">
        <v>340</v>
      </c>
      <c r="U70" s="53" t="s">
        <v>221</v>
      </c>
      <c r="V70" s="140">
        <v>47088</v>
      </c>
      <c r="W70" s="128">
        <v>0</v>
      </c>
      <c r="X70" s="88">
        <f t="shared" si="31"/>
        <v>0</v>
      </c>
      <c r="Y70" s="107">
        <v>0</v>
      </c>
      <c r="Z70" s="89">
        <f t="shared" si="32"/>
        <v>0</v>
      </c>
    </row>
    <row r="71" spans="2:26" x14ac:dyDescent="0.25">
      <c r="B71" s="311"/>
      <c r="C71" s="56">
        <v>53.1</v>
      </c>
      <c r="D71" s="56" t="s">
        <v>48</v>
      </c>
      <c r="E71" s="45" t="s">
        <v>89</v>
      </c>
      <c r="F71" s="157" t="s">
        <v>212</v>
      </c>
      <c r="G71" s="46">
        <v>3.7</v>
      </c>
      <c r="H71" s="44">
        <f t="shared" si="28"/>
        <v>3700</v>
      </c>
      <c r="I71" s="46">
        <v>288</v>
      </c>
      <c r="J71" s="46">
        <v>114.3</v>
      </c>
      <c r="K71" s="44">
        <f t="shared" si="15"/>
        <v>2.5977272727272727</v>
      </c>
      <c r="L71" s="50">
        <f t="shared" si="29"/>
        <v>3</v>
      </c>
      <c r="M71" s="44">
        <f>(H71+350)</f>
        <v>4050</v>
      </c>
      <c r="N71" s="44">
        <f t="shared" si="17"/>
        <v>388</v>
      </c>
      <c r="O71" s="159">
        <v>44</v>
      </c>
      <c r="P71" s="44">
        <f t="shared" si="30"/>
        <v>1.5977272727272727</v>
      </c>
      <c r="Q71" s="44">
        <f t="shared" si="33"/>
        <v>4</v>
      </c>
      <c r="R71" s="165" t="s">
        <v>341</v>
      </c>
      <c r="S71" s="54">
        <v>2</v>
      </c>
      <c r="T71" s="161" t="s">
        <v>339</v>
      </c>
      <c r="U71" s="53" t="s">
        <v>221</v>
      </c>
      <c r="V71" s="140">
        <v>47088</v>
      </c>
      <c r="W71" s="128">
        <v>0</v>
      </c>
      <c r="X71" s="88">
        <f t="shared" si="31"/>
        <v>0</v>
      </c>
      <c r="Y71" s="107">
        <v>0</v>
      </c>
      <c r="Z71" s="89">
        <f t="shared" si="32"/>
        <v>0</v>
      </c>
    </row>
    <row r="72" spans="2:26" x14ac:dyDescent="0.25">
      <c r="B72" s="311"/>
      <c r="C72" s="56">
        <v>53.2</v>
      </c>
      <c r="D72" s="56" t="s">
        <v>48</v>
      </c>
      <c r="E72" s="45" t="s">
        <v>89</v>
      </c>
      <c r="F72" s="157" t="s">
        <v>212</v>
      </c>
      <c r="G72" s="46">
        <v>2.8</v>
      </c>
      <c r="H72" s="44">
        <f t="shared" si="28"/>
        <v>2800</v>
      </c>
      <c r="I72" s="46">
        <v>288</v>
      </c>
      <c r="J72" s="46">
        <v>114.3</v>
      </c>
      <c r="K72" s="44">
        <f t="shared" si="15"/>
        <v>2.5977272727272727</v>
      </c>
      <c r="L72" s="50">
        <f t="shared" si="29"/>
        <v>3</v>
      </c>
      <c r="M72" s="44">
        <f>(H72+350)</f>
        <v>3150</v>
      </c>
      <c r="N72" s="44">
        <f t="shared" si="17"/>
        <v>388</v>
      </c>
      <c r="O72" s="159">
        <v>44</v>
      </c>
      <c r="P72" s="44">
        <f t="shared" si="30"/>
        <v>1.5977272727272727</v>
      </c>
      <c r="Q72" s="44">
        <f t="shared" si="33"/>
        <v>4</v>
      </c>
      <c r="R72" s="165" t="s">
        <v>341</v>
      </c>
      <c r="S72" s="54">
        <v>2</v>
      </c>
      <c r="T72" s="161" t="s">
        <v>339</v>
      </c>
      <c r="U72" s="53" t="s">
        <v>221</v>
      </c>
      <c r="V72" s="140">
        <v>47088</v>
      </c>
      <c r="W72" s="128">
        <v>0</v>
      </c>
      <c r="X72" s="88">
        <f t="shared" si="31"/>
        <v>0</v>
      </c>
      <c r="Y72" s="107">
        <v>0</v>
      </c>
      <c r="Z72" s="89">
        <f t="shared" si="32"/>
        <v>0</v>
      </c>
    </row>
    <row r="73" spans="2:26" x14ac:dyDescent="0.25">
      <c r="B73" s="311"/>
      <c r="C73" s="56">
        <v>53.300000000000004</v>
      </c>
      <c r="D73" s="56" t="s">
        <v>48</v>
      </c>
      <c r="E73" s="45" t="s">
        <v>120</v>
      </c>
      <c r="F73" s="157" t="s">
        <v>213</v>
      </c>
      <c r="G73" s="46">
        <v>7.4</v>
      </c>
      <c r="H73" s="44">
        <f t="shared" si="28"/>
        <v>7400</v>
      </c>
      <c r="I73" s="46">
        <v>350</v>
      </c>
      <c r="J73" s="46">
        <v>114.3</v>
      </c>
      <c r="K73" s="44">
        <f t="shared" si="15"/>
        <v>2.5977272727272727</v>
      </c>
      <c r="L73" s="50">
        <f t="shared" si="29"/>
        <v>3</v>
      </c>
      <c r="M73" s="44">
        <f>(H73+300)</f>
        <v>7700</v>
      </c>
      <c r="N73" s="44">
        <f t="shared" si="17"/>
        <v>450</v>
      </c>
      <c r="O73" s="159">
        <v>44</v>
      </c>
      <c r="P73" s="44">
        <f t="shared" si="30"/>
        <v>1.5977272727272727</v>
      </c>
      <c r="Q73" s="44">
        <f t="shared" si="33"/>
        <v>4</v>
      </c>
      <c r="R73" s="165" t="s">
        <v>342</v>
      </c>
      <c r="S73" s="54">
        <v>2</v>
      </c>
      <c r="T73" s="166" t="s">
        <v>340</v>
      </c>
      <c r="U73" s="53" t="s">
        <v>221</v>
      </c>
      <c r="V73" s="140">
        <v>47088</v>
      </c>
      <c r="W73" s="128">
        <v>0</v>
      </c>
      <c r="X73" s="88">
        <f t="shared" si="31"/>
        <v>0</v>
      </c>
      <c r="Y73" s="107">
        <v>0</v>
      </c>
      <c r="Z73" s="89">
        <f t="shared" si="32"/>
        <v>0</v>
      </c>
    </row>
    <row r="74" spans="2:26" x14ac:dyDescent="0.25">
      <c r="B74" s="311"/>
      <c r="C74" s="56">
        <v>53.400000000000006</v>
      </c>
      <c r="D74" s="56" t="s">
        <v>48</v>
      </c>
      <c r="E74" s="45" t="s">
        <v>121</v>
      </c>
      <c r="F74" s="157" t="s">
        <v>213</v>
      </c>
      <c r="G74" s="46">
        <v>7.4</v>
      </c>
      <c r="H74" s="44">
        <f t="shared" si="28"/>
        <v>7400</v>
      </c>
      <c r="I74" s="46">
        <v>420</v>
      </c>
      <c r="J74" s="46">
        <v>114.3</v>
      </c>
      <c r="K74" s="44">
        <f t="shared" si="15"/>
        <v>2.5977272727272727</v>
      </c>
      <c r="L74" s="50">
        <f t="shared" si="29"/>
        <v>3</v>
      </c>
      <c r="M74" s="44">
        <f>(H74+300)</f>
        <v>7700</v>
      </c>
      <c r="N74" s="44">
        <f t="shared" si="17"/>
        <v>520</v>
      </c>
      <c r="O74" s="159">
        <v>44</v>
      </c>
      <c r="P74" s="44">
        <f t="shared" si="30"/>
        <v>1.5977272727272727</v>
      </c>
      <c r="Q74" s="44">
        <f t="shared" si="33"/>
        <v>4</v>
      </c>
      <c r="R74" s="165" t="s">
        <v>342</v>
      </c>
      <c r="S74" s="54">
        <v>2</v>
      </c>
      <c r="T74" s="166" t="s">
        <v>340</v>
      </c>
      <c r="U74" s="53" t="s">
        <v>221</v>
      </c>
      <c r="V74" s="140">
        <v>47088</v>
      </c>
      <c r="W74" s="128">
        <v>0</v>
      </c>
      <c r="X74" s="88">
        <f t="shared" si="31"/>
        <v>0</v>
      </c>
      <c r="Y74" s="107">
        <v>0</v>
      </c>
      <c r="Z74" s="89">
        <f t="shared" si="32"/>
        <v>0</v>
      </c>
    </row>
    <row r="75" spans="2:26" x14ac:dyDescent="0.25">
      <c r="B75" s="311"/>
      <c r="C75" s="56">
        <v>54.1</v>
      </c>
      <c r="D75" s="56" t="s">
        <v>48</v>
      </c>
      <c r="E75" s="45" t="s">
        <v>89</v>
      </c>
      <c r="F75" s="157" t="s">
        <v>212</v>
      </c>
      <c r="G75" s="46">
        <v>3.7</v>
      </c>
      <c r="H75" s="44">
        <f t="shared" si="28"/>
        <v>3700</v>
      </c>
      <c r="I75" s="46">
        <v>288</v>
      </c>
      <c r="J75" s="46">
        <v>112</v>
      </c>
      <c r="K75" s="44">
        <f t="shared" si="15"/>
        <v>2.5454545454545454</v>
      </c>
      <c r="L75" s="50">
        <f t="shared" si="29"/>
        <v>3</v>
      </c>
      <c r="M75" s="44">
        <f>(H75+350)</f>
        <v>4050</v>
      </c>
      <c r="N75" s="44">
        <f t="shared" si="17"/>
        <v>388</v>
      </c>
      <c r="O75" s="159">
        <v>44</v>
      </c>
      <c r="P75" s="44">
        <f t="shared" si="30"/>
        <v>1.5454545454545454</v>
      </c>
      <c r="Q75" s="44">
        <f t="shared" si="33"/>
        <v>4</v>
      </c>
      <c r="R75" s="165" t="s">
        <v>341</v>
      </c>
      <c r="S75" s="54">
        <v>2</v>
      </c>
      <c r="T75" s="161" t="s">
        <v>339</v>
      </c>
      <c r="U75" s="53" t="s">
        <v>221</v>
      </c>
      <c r="V75" s="140">
        <v>47088</v>
      </c>
      <c r="W75" s="128">
        <v>0</v>
      </c>
      <c r="X75" s="88">
        <f t="shared" si="31"/>
        <v>0</v>
      </c>
      <c r="Y75" s="107">
        <v>0</v>
      </c>
      <c r="Z75" s="89">
        <f t="shared" si="32"/>
        <v>0</v>
      </c>
    </row>
    <row r="76" spans="2:26" x14ac:dyDescent="0.25">
      <c r="B76" s="311"/>
      <c r="C76" s="56">
        <v>54.2</v>
      </c>
      <c r="D76" s="56" t="s">
        <v>48</v>
      </c>
      <c r="E76" s="45" t="s">
        <v>89</v>
      </c>
      <c r="F76" s="157" t="s">
        <v>212</v>
      </c>
      <c r="G76" s="46">
        <v>2.8</v>
      </c>
      <c r="H76" s="44">
        <f t="shared" si="28"/>
        <v>2800</v>
      </c>
      <c r="I76" s="46">
        <v>288</v>
      </c>
      <c r="J76" s="46">
        <v>112</v>
      </c>
      <c r="K76" s="44">
        <f t="shared" si="15"/>
        <v>2.5454545454545454</v>
      </c>
      <c r="L76" s="50">
        <f t="shared" si="29"/>
        <v>3</v>
      </c>
      <c r="M76" s="44">
        <f>(H76+350)</f>
        <v>3150</v>
      </c>
      <c r="N76" s="44">
        <f t="shared" si="17"/>
        <v>388</v>
      </c>
      <c r="O76" s="159">
        <v>44</v>
      </c>
      <c r="P76" s="44">
        <f t="shared" si="30"/>
        <v>1.5454545454545454</v>
      </c>
      <c r="Q76" s="44">
        <f t="shared" si="33"/>
        <v>4</v>
      </c>
      <c r="R76" s="165" t="s">
        <v>341</v>
      </c>
      <c r="S76" s="54">
        <v>2</v>
      </c>
      <c r="T76" s="161" t="s">
        <v>339</v>
      </c>
      <c r="U76" s="53" t="s">
        <v>221</v>
      </c>
      <c r="V76" s="140">
        <v>47088</v>
      </c>
      <c r="W76" s="128">
        <v>0</v>
      </c>
      <c r="X76" s="88">
        <f t="shared" si="31"/>
        <v>0</v>
      </c>
      <c r="Y76" s="107">
        <v>0</v>
      </c>
      <c r="Z76" s="89">
        <f t="shared" si="32"/>
        <v>0</v>
      </c>
    </row>
    <row r="77" spans="2:26" x14ac:dyDescent="0.25">
      <c r="B77" s="311"/>
      <c r="C77" s="56">
        <v>54.300000000000004</v>
      </c>
      <c r="D77" s="56" t="s">
        <v>48</v>
      </c>
      <c r="E77" s="45" t="s">
        <v>26</v>
      </c>
      <c r="F77" s="157" t="s">
        <v>212</v>
      </c>
      <c r="G77" s="46">
        <v>2.5</v>
      </c>
      <c r="H77" s="44">
        <f t="shared" si="28"/>
        <v>2500</v>
      </c>
      <c r="I77" s="46">
        <v>288</v>
      </c>
      <c r="J77" s="46">
        <v>112</v>
      </c>
      <c r="K77" s="44">
        <f t="shared" si="15"/>
        <v>2.5454545454545454</v>
      </c>
      <c r="L77" s="50">
        <f t="shared" si="29"/>
        <v>3</v>
      </c>
      <c r="M77" s="44">
        <f>(H77+300)</f>
        <v>2800</v>
      </c>
      <c r="N77" s="44">
        <f t="shared" si="17"/>
        <v>388</v>
      </c>
      <c r="O77" s="159">
        <v>44</v>
      </c>
      <c r="P77" s="44">
        <f t="shared" si="30"/>
        <v>1.5454545454545454</v>
      </c>
      <c r="Q77" s="44">
        <f t="shared" si="33"/>
        <v>4</v>
      </c>
      <c r="R77" s="165" t="s">
        <v>341</v>
      </c>
      <c r="S77" s="54">
        <v>2</v>
      </c>
      <c r="T77" s="161" t="s">
        <v>339</v>
      </c>
      <c r="U77" s="53" t="s">
        <v>221</v>
      </c>
      <c r="V77" s="140">
        <v>47088</v>
      </c>
      <c r="W77" s="128">
        <v>0</v>
      </c>
      <c r="X77" s="88">
        <f t="shared" si="31"/>
        <v>0</v>
      </c>
      <c r="Y77" s="107">
        <v>0</v>
      </c>
      <c r="Z77" s="89">
        <f t="shared" si="32"/>
        <v>0</v>
      </c>
    </row>
    <row r="78" spans="2:26" x14ac:dyDescent="0.25">
      <c r="B78" s="311"/>
      <c r="C78" s="56">
        <v>54.400000000000006</v>
      </c>
      <c r="D78" s="56" t="s">
        <v>48</v>
      </c>
      <c r="E78" s="45" t="s">
        <v>26</v>
      </c>
      <c r="F78" s="157" t="s">
        <v>212</v>
      </c>
      <c r="G78" s="46">
        <v>2.6</v>
      </c>
      <c r="H78" s="44">
        <f t="shared" si="28"/>
        <v>2600</v>
      </c>
      <c r="I78" s="46">
        <v>288</v>
      </c>
      <c r="J78" s="46">
        <v>112</v>
      </c>
      <c r="K78" s="44">
        <f t="shared" si="15"/>
        <v>2.5454545454545454</v>
      </c>
      <c r="L78" s="50">
        <f t="shared" si="29"/>
        <v>3</v>
      </c>
      <c r="M78" s="44">
        <f>(H78+300)</f>
        <v>2900</v>
      </c>
      <c r="N78" s="44">
        <f t="shared" si="17"/>
        <v>388</v>
      </c>
      <c r="O78" s="159">
        <v>44</v>
      </c>
      <c r="P78" s="44">
        <f t="shared" si="30"/>
        <v>1.5454545454545454</v>
      </c>
      <c r="Q78" s="44">
        <f t="shared" si="33"/>
        <v>4</v>
      </c>
      <c r="R78" s="165" t="s">
        <v>341</v>
      </c>
      <c r="S78" s="54">
        <v>2</v>
      </c>
      <c r="T78" s="161" t="s">
        <v>339</v>
      </c>
      <c r="U78" s="53" t="s">
        <v>221</v>
      </c>
      <c r="V78" s="140">
        <v>47088</v>
      </c>
      <c r="W78" s="128">
        <v>0</v>
      </c>
      <c r="X78" s="88">
        <f t="shared" si="31"/>
        <v>0</v>
      </c>
      <c r="Y78" s="107">
        <v>0</v>
      </c>
      <c r="Z78" s="89">
        <f t="shared" si="32"/>
        <v>0</v>
      </c>
    </row>
    <row r="79" spans="2:26" x14ac:dyDescent="0.25">
      <c r="B79" s="311"/>
      <c r="C79" s="56">
        <v>54.500000000000007</v>
      </c>
      <c r="D79" s="56" t="s">
        <v>48</v>
      </c>
      <c r="E79" s="45" t="s">
        <v>26</v>
      </c>
      <c r="F79" s="157" t="s">
        <v>212</v>
      </c>
      <c r="G79" s="46">
        <v>2.5</v>
      </c>
      <c r="H79" s="44">
        <f t="shared" si="28"/>
        <v>2500</v>
      </c>
      <c r="I79" s="46">
        <v>288</v>
      </c>
      <c r="J79" s="46">
        <v>112</v>
      </c>
      <c r="K79" s="44">
        <f t="shared" si="15"/>
        <v>2.5454545454545454</v>
      </c>
      <c r="L79" s="50">
        <f t="shared" si="29"/>
        <v>3</v>
      </c>
      <c r="M79" s="44">
        <f>(H79+300)</f>
        <v>2800</v>
      </c>
      <c r="N79" s="44">
        <f t="shared" si="17"/>
        <v>388</v>
      </c>
      <c r="O79" s="159">
        <v>44</v>
      </c>
      <c r="P79" s="44">
        <f t="shared" si="30"/>
        <v>1.5454545454545454</v>
      </c>
      <c r="Q79" s="44">
        <f t="shared" si="33"/>
        <v>4</v>
      </c>
      <c r="R79" s="165" t="s">
        <v>341</v>
      </c>
      <c r="S79" s="54">
        <v>2</v>
      </c>
      <c r="T79" s="161" t="s">
        <v>339</v>
      </c>
      <c r="U79" s="53" t="s">
        <v>221</v>
      </c>
      <c r="V79" s="140">
        <v>47088</v>
      </c>
      <c r="W79" s="128">
        <v>0</v>
      </c>
      <c r="X79" s="88">
        <f t="shared" si="31"/>
        <v>0</v>
      </c>
      <c r="Y79" s="107">
        <v>0</v>
      </c>
      <c r="Z79" s="89">
        <f t="shared" si="32"/>
        <v>0</v>
      </c>
    </row>
    <row r="80" spans="2:26" x14ac:dyDescent="0.25">
      <c r="B80" s="311"/>
      <c r="C80" s="56">
        <v>54.600000000000009</v>
      </c>
      <c r="D80" s="56" t="s">
        <v>48</v>
      </c>
      <c r="E80" s="45" t="s">
        <v>52</v>
      </c>
      <c r="F80" s="157" t="s">
        <v>212</v>
      </c>
      <c r="G80" s="46">
        <v>2.5</v>
      </c>
      <c r="H80" s="44">
        <f t="shared" si="28"/>
        <v>2500</v>
      </c>
      <c r="I80" s="46">
        <v>288</v>
      </c>
      <c r="J80" s="46">
        <v>112</v>
      </c>
      <c r="K80" s="44">
        <f t="shared" si="15"/>
        <v>1.6231884057971016</v>
      </c>
      <c r="L80" s="50">
        <f t="shared" si="29"/>
        <v>2</v>
      </c>
      <c r="M80" s="44">
        <f>(H80+300)</f>
        <v>2800</v>
      </c>
      <c r="N80" s="44">
        <f t="shared" si="17"/>
        <v>388</v>
      </c>
      <c r="O80" s="159">
        <v>69</v>
      </c>
      <c r="P80" s="44">
        <f t="shared" si="30"/>
        <v>0.62318840579710155</v>
      </c>
      <c r="Q80" s="44">
        <f t="shared" si="33"/>
        <v>2</v>
      </c>
      <c r="R80" s="165" t="s">
        <v>341</v>
      </c>
      <c r="S80" s="54">
        <v>2</v>
      </c>
      <c r="T80" s="161" t="s">
        <v>339</v>
      </c>
      <c r="U80" s="53" t="s">
        <v>221</v>
      </c>
      <c r="V80" s="140">
        <v>47088</v>
      </c>
      <c r="W80" s="128">
        <v>0</v>
      </c>
      <c r="X80" s="88">
        <f t="shared" si="31"/>
        <v>0</v>
      </c>
      <c r="Y80" s="107">
        <v>0</v>
      </c>
      <c r="Z80" s="89">
        <f t="shared" si="32"/>
        <v>0</v>
      </c>
    </row>
    <row r="81" spans="2:26" x14ac:dyDescent="0.25">
      <c r="B81" s="311"/>
      <c r="C81" s="56">
        <v>55.1</v>
      </c>
      <c r="D81" s="56" t="s">
        <v>48</v>
      </c>
      <c r="E81" s="45" t="s">
        <v>89</v>
      </c>
      <c r="F81" s="157" t="s">
        <v>212</v>
      </c>
      <c r="G81" s="46">
        <v>3.7</v>
      </c>
      <c r="H81" s="44">
        <f t="shared" si="28"/>
        <v>3700</v>
      </c>
      <c r="I81" s="46">
        <v>288</v>
      </c>
      <c r="J81" s="46">
        <v>108</v>
      </c>
      <c r="K81" s="44">
        <f t="shared" si="15"/>
        <v>2.4545454545454546</v>
      </c>
      <c r="L81" s="50">
        <f t="shared" si="29"/>
        <v>3</v>
      </c>
      <c r="M81" s="44">
        <f>(H81+350)</f>
        <v>4050</v>
      </c>
      <c r="N81" s="44">
        <f t="shared" si="17"/>
        <v>388</v>
      </c>
      <c r="O81" s="159">
        <v>44</v>
      </c>
      <c r="P81" s="44">
        <f t="shared" si="30"/>
        <v>1.4545454545454546</v>
      </c>
      <c r="Q81" s="44">
        <f t="shared" si="33"/>
        <v>4</v>
      </c>
      <c r="R81" s="165" t="s">
        <v>341</v>
      </c>
      <c r="S81" s="54">
        <v>2</v>
      </c>
      <c r="T81" s="161" t="s">
        <v>339</v>
      </c>
      <c r="U81" s="53" t="s">
        <v>221</v>
      </c>
      <c r="V81" s="140">
        <v>47088</v>
      </c>
      <c r="W81" s="128">
        <v>0</v>
      </c>
      <c r="X81" s="88">
        <f t="shared" si="31"/>
        <v>0</v>
      </c>
      <c r="Y81" s="107">
        <v>0</v>
      </c>
      <c r="Z81" s="89">
        <f t="shared" si="32"/>
        <v>0</v>
      </c>
    </row>
    <row r="82" spans="2:26" x14ac:dyDescent="0.25">
      <c r="B82" s="311"/>
      <c r="C82" s="56">
        <v>55.2</v>
      </c>
      <c r="D82" s="56" t="s">
        <v>48</v>
      </c>
      <c r="E82" s="45" t="s">
        <v>89</v>
      </c>
      <c r="F82" s="157" t="s">
        <v>212</v>
      </c>
      <c r="G82" s="46">
        <v>2.8</v>
      </c>
      <c r="H82" s="44">
        <f t="shared" si="28"/>
        <v>2800</v>
      </c>
      <c r="I82" s="46">
        <v>288</v>
      </c>
      <c r="J82" s="46">
        <v>108</v>
      </c>
      <c r="K82" s="44">
        <f t="shared" si="15"/>
        <v>2.4545454545454546</v>
      </c>
      <c r="L82" s="50">
        <f t="shared" si="29"/>
        <v>3</v>
      </c>
      <c r="M82" s="44">
        <f>(H82+350)</f>
        <v>3150</v>
      </c>
      <c r="N82" s="44">
        <f t="shared" si="17"/>
        <v>388</v>
      </c>
      <c r="O82" s="159">
        <v>44</v>
      </c>
      <c r="P82" s="44">
        <f t="shared" si="30"/>
        <v>1.4545454545454546</v>
      </c>
      <c r="Q82" s="44">
        <f t="shared" si="33"/>
        <v>4</v>
      </c>
      <c r="R82" s="165" t="s">
        <v>341</v>
      </c>
      <c r="S82" s="54">
        <v>2</v>
      </c>
      <c r="T82" s="161" t="s">
        <v>339</v>
      </c>
      <c r="U82" s="53" t="s">
        <v>221</v>
      </c>
      <c r="V82" s="140">
        <v>47088</v>
      </c>
      <c r="W82" s="128">
        <v>0</v>
      </c>
      <c r="X82" s="88">
        <f t="shared" si="31"/>
        <v>0</v>
      </c>
      <c r="Y82" s="107">
        <v>0</v>
      </c>
      <c r="Z82" s="89">
        <f t="shared" si="32"/>
        <v>0</v>
      </c>
    </row>
    <row r="83" spans="2:26" x14ac:dyDescent="0.25">
      <c r="B83" s="311"/>
      <c r="C83" s="56">
        <v>55.300000000000004</v>
      </c>
      <c r="D83" s="56" t="s">
        <v>48</v>
      </c>
      <c r="E83" s="45" t="s">
        <v>26</v>
      </c>
      <c r="F83" s="157" t="s">
        <v>212</v>
      </c>
      <c r="G83" s="46">
        <v>2.5</v>
      </c>
      <c r="H83" s="44">
        <f t="shared" si="28"/>
        <v>2500</v>
      </c>
      <c r="I83" s="46">
        <v>288</v>
      </c>
      <c r="J83" s="46">
        <v>108</v>
      </c>
      <c r="K83" s="44">
        <f t="shared" si="15"/>
        <v>2.4545454545454546</v>
      </c>
      <c r="L83" s="50">
        <f t="shared" si="29"/>
        <v>3</v>
      </c>
      <c r="M83" s="44">
        <f>(H83+300)</f>
        <v>2800</v>
      </c>
      <c r="N83" s="44">
        <f t="shared" si="17"/>
        <v>388</v>
      </c>
      <c r="O83" s="159">
        <v>44</v>
      </c>
      <c r="P83" s="44">
        <f t="shared" si="30"/>
        <v>1.4545454545454546</v>
      </c>
      <c r="Q83" s="44">
        <f t="shared" si="33"/>
        <v>4</v>
      </c>
      <c r="R83" s="165" t="s">
        <v>341</v>
      </c>
      <c r="S83" s="54">
        <v>2</v>
      </c>
      <c r="T83" s="161" t="s">
        <v>339</v>
      </c>
      <c r="U83" s="53" t="s">
        <v>221</v>
      </c>
      <c r="V83" s="140">
        <v>47088</v>
      </c>
      <c r="W83" s="128">
        <v>0</v>
      </c>
      <c r="X83" s="88">
        <f t="shared" si="31"/>
        <v>0</v>
      </c>
      <c r="Y83" s="107">
        <v>0</v>
      </c>
      <c r="Z83" s="89">
        <f t="shared" si="32"/>
        <v>0</v>
      </c>
    </row>
    <row r="84" spans="2:26" x14ac:dyDescent="0.25">
      <c r="B84" s="311"/>
      <c r="C84" s="56">
        <v>55.400000000000006</v>
      </c>
      <c r="D84" s="56" t="s">
        <v>48</v>
      </c>
      <c r="E84" s="45" t="s">
        <v>26</v>
      </c>
      <c r="F84" s="157" t="s">
        <v>212</v>
      </c>
      <c r="G84" s="46">
        <v>2.6</v>
      </c>
      <c r="H84" s="44">
        <f t="shared" si="28"/>
        <v>2600</v>
      </c>
      <c r="I84" s="46">
        <v>288</v>
      </c>
      <c r="J84" s="46">
        <v>108</v>
      </c>
      <c r="K84" s="44">
        <f t="shared" si="15"/>
        <v>2.4545454545454546</v>
      </c>
      <c r="L84" s="50">
        <f t="shared" si="29"/>
        <v>3</v>
      </c>
      <c r="M84" s="44">
        <f>(H84+300)</f>
        <v>2900</v>
      </c>
      <c r="N84" s="44">
        <f t="shared" si="17"/>
        <v>388</v>
      </c>
      <c r="O84" s="159">
        <v>44</v>
      </c>
      <c r="P84" s="44">
        <f t="shared" si="30"/>
        <v>1.4545454545454546</v>
      </c>
      <c r="Q84" s="44">
        <f t="shared" si="33"/>
        <v>4</v>
      </c>
      <c r="R84" s="165" t="s">
        <v>341</v>
      </c>
      <c r="S84" s="54">
        <v>2</v>
      </c>
      <c r="T84" s="161" t="s">
        <v>339</v>
      </c>
      <c r="U84" s="53" t="s">
        <v>221</v>
      </c>
      <c r="V84" s="140">
        <v>47088</v>
      </c>
      <c r="W84" s="128">
        <v>0</v>
      </c>
      <c r="X84" s="88">
        <f t="shared" si="31"/>
        <v>0</v>
      </c>
      <c r="Y84" s="107">
        <v>0</v>
      </c>
      <c r="Z84" s="89">
        <f t="shared" si="32"/>
        <v>0</v>
      </c>
    </row>
    <row r="85" spans="2:26" x14ac:dyDescent="0.25">
      <c r="B85" s="311"/>
      <c r="C85" s="56">
        <v>55.500000000000007</v>
      </c>
      <c r="D85" s="56" t="s">
        <v>48</v>
      </c>
      <c r="E85" s="45" t="s">
        <v>52</v>
      </c>
      <c r="F85" s="157" t="s">
        <v>212</v>
      </c>
      <c r="G85" s="46">
        <v>2.5</v>
      </c>
      <c r="H85" s="44">
        <f t="shared" si="28"/>
        <v>2500</v>
      </c>
      <c r="I85" s="46">
        <v>288</v>
      </c>
      <c r="J85" s="46">
        <v>108</v>
      </c>
      <c r="K85" s="44">
        <f t="shared" si="15"/>
        <v>1.5652173913043479</v>
      </c>
      <c r="L85" s="50">
        <f t="shared" si="29"/>
        <v>2</v>
      </c>
      <c r="M85" s="44">
        <f>(H85+300)</f>
        <v>2800</v>
      </c>
      <c r="N85" s="44">
        <f t="shared" si="17"/>
        <v>388</v>
      </c>
      <c r="O85" s="159">
        <v>69</v>
      </c>
      <c r="P85" s="44">
        <f t="shared" si="30"/>
        <v>0.56521739130434789</v>
      </c>
      <c r="Q85" s="44">
        <f t="shared" si="33"/>
        <v>2</v>
      </c>
      <c r="R85" s="165" t="s">
        <v>341</v>
      </c>
      <c r="S85" s="54">
        <v>2</v>
      </c>
      <c r="T85" s="161" t="s">
        <v>339</v>
      </c>
      <c r="U85" s="53" t="s">
        <v>221</v>
      </c>
      <c r="V85" s="140">
        <v>47088</v>
      </c>
      <c r="W85" s="128">
        <v>0</v>
      </c>
      <c r="X85" s="88">
        <f t="shared" si="31"/>
        <v>0</v>
      </c>
      <c r="Y85" s="107">
        <v>0</v>
      </c>
      <c r="Z85" s="89">
        <f t="shared" si="32"/>
        <v>0</v>
      </c>
    </row>
    <row r="86" spans="2:26" ht="15.75" thickBot="1" x14ac:dyDescent="0.3">
      <c r="B86" s="311"/>
      <c r="C86" s="56">
        <v>55.600000000000009</v>
      </c>
      <c r="D86" s="56" t="s">
        <v>48</v>
      </c>
      <c r="E86" s="45" t="s">
        <v>52</v>
      </c>
      <c r="F86" s="157" t="s">
        <v>212</v>
      </c>
      <c r="G86" s="46">
        <v>2.5</v>
      </c>
      <c r="H86" s="44">
        <f t="shared" si="28"/>
        <v>2500</v>
      </c>
      <c r="I86" s="46">
        <v>288</v>
      </c>
      <c r="J86" s="46">
        <v>108</v>
      </c>
      <c r="K86" s="44">
        <f t="shared" si="15"/>
        <v>1.5652173913043479</v>
      </c>
      <c r="L86" s="50">
        <f t="shared" si="29"/>
        <v>2</v>
      </c>
      <c r="M86" s="44">
        <f>(H86+300)</f>
        <v>2800</v>
      </c>
      <c r="N86" s="44">
        <f t="shared" si="17"/>
        <v>388</v>
      </c>
      <c r="O86" s="159">
        <v>69</v>
      </c>
      <c r="P86" s="44">
        <f t="shared" si="30"/>
        <v>0.56521739130434789</v>
      </c>
      <c r="Q86" s="44">
        <f t="shared" si="33"/>
        <v>2</v>
      </c>
      <c r="R86" s="165" t="s">
        <v>341</v>
      </c>
      <c r="S86" s="54">
        <v>2</v>
      </c>
      <c r="T86" s="161" t="s">
        <v>339</v>
      </c>
      <c r="U86" s="53" t="s">
        <v>221</v>
      </c>
      <c r="V86" s="140">
        <v>47088</v>
      </c>
      <c r="W86" s="129">
        <v>0</v>
      </c>
      <c r="X86" s="90">
        <f t="shared" si="31"/>
        <v>0</v>
      </c>
      <c r="Y86" s="108">
        <v>0</v>
      </c>
      <c r="Z86" s="91">
        <f t="shared" si="32"/>
        <v>0</v>
      </c>
    </row>
    <row r="87" spans="2:26" s="66" customFormat="1" ht="15.75" thickBot="1" x14ac:dyDescent="0.3">
      <c r="B87" s="313"/>
      <c r="C87" s="189" t="s">
        <v>282</v>
      </c>
      <c r="D87" s="189"/>
      <c r="E87" s="180"/>
      <c r="F87" s="180"/>
      <c r="G87" s="180"/>
      <c r="H87" s="180"/>
      <c r="I87" s="180"/>
      <c r="J87" s="180"/>
      <c r="K87" s="180"/>
      <c r="L87" s="180">
        <f>SUM(L68:L86)</f>
        <v>57</v>
      </c>
      <c r="M87" s="180"/>
      <c r="N87" s="180"/>
      <c r="O87" s="180"/>
      <c r="P87" s="180"/>
      <c r="Q87" s="180">
        <f>SUM(Q68:Q86)</f>
        <v>76</v>
      </c>
      <c r="R87" s="180"/>
      <c r="S87" s="190">
        <f>SUM(S68:S86)</f>
        <v>38</v>
      </c>
      <c r="T87" s="190"/>
      <c r="U87" s="190"/>
      <c r="V87" s="180"/>
      <c r="W87" s="130"/>
      <c r="X87" s="75">
        <f>SUM(X68:X86)</f>
        <v>0</v>
      </c>
      <c r="Y87" s="75"/>
      <c r="Z87" s="75">
        <f>SUM(Z68:Z86)</f>
        <v>0</v>
      </c>
    </row>
    <row r="88" spans="2:26" x14ac:dyDescent="0.25">
      <c r="B88" s="310" t="s">
        <v>359</v>
      </c>
      <c r="C88" s="56">
        <v>56.1</v>
      </c>
      <c r="D88" s="56" t="s">
        <v>48</v>
      </c>
      <c r="E88" s="45" t="s">
        <v>89</v>
      </c>
      <c r="F88" s="157" t="s">
        <v>213</v>
      </c>
      <c r="G88" s="46">
        <v>3.3</v>
      </c>
      <c r="H88" s="44">
        <f t="shared" ref="H88:H107" si="34">CONVERT(G88,"m","mm")</f>
        <v>3300</v>
      </c>
      <c r="I88" s="46">
        <v>288</v>
      </c>
      <c r="J88" s="46">
        <v>101.6</v>
      </c>
      <c r="K88" s="44">
        <f t="shared" si="15"/>
        <v>2.3090909090909091</v>
      </c>
      <c r="L88" s="50">
        <f t="shared" ref="L88:L107" si="35">ROUNDUP(K88,0)</f>
        <v>3</v>
      </c>
      <c r="M88" s="44">
        <f>(H88+350)</f>
        <v>3650</v>
      </c>
      <c r="N88" s="44">
        <f t="shared" si="17"/>
        <v>388</v>
      </c>
      <c r="O88" s="44">
        <v>44</v>
      </c>
      <c r="P88" s="44">
        <f t="shared" ref="P88:P107" si="36">(K88-1)</f>
        <v>1.3090909090909091</v>
      </c>
      <c r="Q88" s="44">
        <f>(L88-1)*2</f>
        <v>4</v>
      </c>
      <c r="R88" s="165" t="s">
        <v>342</v>
      </c>
      <c r="S88" s="54">
        <v>2</v>
      </c>
      <c r="T88" s="166" t="s">
        <v>340</v>
      </c>
      <c r="U88" s="53" t="s">
        <v>221</v>
      </c>
      <c r="V88" s="140">
        <v>47239</v>
      </c>
      <c r="W88" s="127">
        <v>0</v>
      </c>
      <c r="X88" s="86">
        <f t="shared" ref="X88:X107" si="37">(W88*Q88)</f>
        <v>0</v>
      </c>
      <c r="Y88" s="106">
        <v>0</v>
      </c>
      <c r="Z88" s="87">
        <f t="shared" ref="Z88:Z107" si="38">(Y88*S88)</f>
        <v>0</v>
      </c>
    </row>
    <row r="89" spans="2:26" x14ac:dyDescent="0.25">
      <c r="B89" s="311"/>
      <c r="C89" s="56">
        <v>56.2</v>
      </c>
      <c r="D89" s="56" t="s">
        <v>48</v>
      </c>
      <c r="E89" s="45" t="s">
        <v>108</v>
      </c>
      <c r="F89" s="157" t="s">
        <v>213</v>
      </c>
      <c r="G89" s="46">
        <v>7.4</v>
      </c>
      <c r="H89" s="44">
        <f t="shared" si="34"/>
        <v>7400</v>
      </c>
      <c r="I89" s="46">
        <v>338</v>
      </c>
      <c r="J89" s="46">
        <v>101.6</v>
      </c>
      <c r="K89" s="44">
        <f t="shared" si="15"/>
        <v>2.3090909090909091</v>
      </c>
      <c r="L89" s="50">
        <f t="shared" si="35"/>
        <v>3</v>
      </c>
      <c r="M89" s="44">
        <f>(H89+350)</f>
        <v>7750</v>
      </c>
      <c r="N89" s="44">
        <f t="shared" si="17"/>
        <v>438</v>
      </c>
      <c r="O89" s="159">
        <v>44</v>
      </c>
      <c r="P89" s="44">
        <f t="shared" si="36"/>
        <v>1.3090909090909091</v>
      </c>
      <c r="Q89" s="44">
        <f t="shared" ref="Q89:Q107" si="39">(L89-1)*2</f>
        <v>4</v>
      </c>
      <c r="R89" s="165" t="s">
        <v>342</v>
      </c>
      <c r="S89" s="54">
        <v>2</v>
      </c>
      <c r="T89" s="166" t="s">
        <v>340</v>
      </c>
      <c r="U89" s="53" t="s">
        <v>221</v>
      </c>
      <c r="V89" s="140">
        <v>47239</v>
      </c>
      <c r="W89" s="128">
        <v>0</v>
      </c>
      <c r="X89" s="88">
        <f t="shared" si="37"/>
        <v>0</v>
      </c>
      <c r="Y89" s="107">
        <v>0</v>
      </c>
      <c r="Z89" s="89">
        <f t="shared" si="38"/>
        <v>0</v>
      </c>
    </row>
    <row r="90" spans="2:26" x14ac:dyDescent="0.25">
      <c r="B90" s="311"/>
      <c r="C90" s="56">
        <v>56.300000000000004</v>
      </c>
      <c r="D90" s="56" t="s">
        <v>48</v>
      </c>
      <c r="E90" s="45" t="s">
        <v>26</v>
      </c>
      <c r="F90" s="157" t="s">
        <v>212</v>
      </c>
      <c r="G90" s="46">
        <v>2.6</v>
      </c>
      <c r="H90" s="44">
        <f t="shared" si="34"/>
        <v>2600</v>
      </c>
      <c r="I90" s="46">
        <v>288</v>
      </c>
      <c r="J90" s="46">
        <v>101.6</v>
      </c>
      <c r="K90" s="44">
        <f t="shared" si="15"/>
        <v>2.3090909090909091</v>
      </c>
      <c r="L90" s="50">
        <f t="shared" si="35"/>
        <v>3</v>
      </c>
      <c r="M90" s="44">
        <f>(H90+300)</f>
        <v>2900</v>
      </c>
      <c r="N90" s="44">
        <f t="shared" si="17"/>
        <v>388</v>
      </c>
      <c r="O90" s="159">
        <v>44</v>
      </c>
      <c r="P90" s="44">
        <f t="shared" si="36"/>
        <v>1.3090909090909091</v>
      </c>
      <c r="Q90" s="44">
        <f t="shared" si="39"/>
        <v>4</v>
      </c>
      <c r="R90" s="165" t="s">
        <v>341</v>
      </c>
      <c r="S90" s="54">
        <v>2</v>
      </c>
      <c r="T90" s="161" t="s">
        <v>339</v>
      </c>
      <c r="U90" s="53" t="s">
        <v>221</v>
      </c>
      <c r="V90" s="140">
        <v>47239</v>
      </c>
      <c r="W90" s="128">
        <v>0</v>
      </c>
      <c r="X90" s="88">
        <f t="shared" si="37"/>
        <v>0</v>
      </c>
      <c r="Y90" s="107">
        <v>0</v>
      </c>
      <c r="Z90" s="89">
        <f t="shared" si="38"/>
        <v>0</v>
      </c>
    </row>
    <row r="91" spans="2:26" x14ac:dyDescent="0.25">
      <c r="B91" s="311"/>
      <c r="C91" s="56">
        <v>56.400000000000006</v>
      </c>
      <c r="D91" s="56" t="s">
        <v>48</v>
      </c>
      <c r="E91" s="45" t="s">
        <v>52</v>
      </c>
      <c r="F91" s="157" t="s">
        <v>212</v>
      </c>
      <c r="G91" s="46">
        <v>2.5</v>
      </c>
      <c r="H91" s="44">
        <f t="shared" si="34"/>
        <v>2500</v>
      </c>
      <c r="I91" s="46">
        <v>288</v>
      </c>
      <c r="J91" s="46">
        <v>101.6</v>
      </c>
      <c r="K91" s="44">
        <f t="shared" si="15"/>
        <v>1.472463768115942</v>
      </c>
      <c r="L91" s="50">
        <f t="shared" si="35"/>
        <v>2</v>
      </c>
      <c r="M91" s="44">
        <f>(H91+300)</f>
        <v>2800</v>
      </c>
      <c r="N91" s="44">
        <f t="shared" si="17"/>
        <v>388</v>
      </c>
      <c r="O91" s="159">
        <v>69</v>
      </c>
      <c r="P91" s="44">
        <f t="shared" si="36"/>
        <v>0.47246376811594204</v>
      </c>
      <c r="Q91" s="44">
        <f t="shared" si="39"/>
        <v>2</v>
      </c>
      <c r="R91" s="165" t="s">
        <v>341</v>
      </c>
      <c r="S91" s="54">
        <v>2</v>
      </c>
      <c r="T91" s="161" t="s">
        <v>339</v>
      </c>
      <c r="U91" s="53" t="s">
        <v>221</v>
      </c>
      <c r="V91" s="140">
        <v>47239</v>
      </c>
      <c r="W91" s="128">
        <v>0</v>
      </c>
      <c r="X91" s="88">
        <f t="shared" si="37"/>
        <v>0</v>
      </c>
      <c r="Y91" s="107">
        <v>0</v>
      </c>
      <c r="Z91" s="89">
        <f t="shared" si="38"/>
        <v>0</v>
      </c>
    </row>
    <row r="92" spans="2:26" x14ac:dyDescent="0.25">
      <c r="B92" s="311"/>
      <c r="C92" s="56">
        <v>56.500000000000007</v>
      </c>
      <c r="D92" s="56" t="s">
        <v>48</v>
      </c>
      <c r="E92" s="45" t="s">
        <v>52</v>
      </c>
      <c r="F92" s="157" t="s">
        <v>212</v>
      </c>
      <c r="G92" s="46">
        <v>2.5</v>
      </c>
      <c r="H92" s="44">
        <f t="shared" si="34"/>
        <v>2500</v>
      </c>
      <c r="I92" s="46">
        <v>288</v>
      </c>
      <c r="J92" s="46">
        <v>101.6</v>
      </c>
      <c r="K92" s="44">
        <f t="shared" si="15"/>
        <v>1.472463768115942</v>
      </c>
      <c r="L92" s="50">
        <f t="shared" si="35"/>
        <v>2</v>
      </c>
      <c r="M92" s="44">
        <f>(H92+300)</f>
        <v>2800</v>
      </c>
      <c r="N92" s="44">
        <f t="shared" si="17"/>
        <v>388</v>
      </c>
      <c r="O92" s="159">
        <v>69</v>
      </c>
      <c r="P92" s="44">
        <f t="shared" si="36"/>
        <v>0.47246376811594204</v>
      </c>
      <c r="Q92" s="44">
        <f t="shared" si="39"/>
        <v>2</v>
      </c>
      <c r="R92" s="165" t="s">
        <v>341</v>
      </c>
      <c r="S92" s="54">
        <v>2</v>
      </c>
      <c r="T92" s="161" t="s">
        <v>339</v>
      </c>
      <c r="U92" s="53" t="s">
        <v>221</v>
      </c>
      <c r="V92" s="140">
        <v>47239</v>
      </c>
      <c r="W92" s="128">
        <v>0</v>
      </c>
      <c r="X92" s="88">
        <f t="shared" si="37"/>
        <v>0</v>
      </c>
      <c r="Y92" s="107">
        <v>0</v>
      </c>
      <c r="Z92" s="89">
        <f t="shared" si="38"/>
        <v>0</v>
      </c>
    </row>
    <row r="93" spans="2:26" x14ac:dyDescent="0.25">
      <c r="B93" s="311"/>
      <c r="C93" s="56">
        <v>57.1</v>
      </c>
      <c r="D93" s="56" t="s">
        <v>48</v>
      </c>
      <c r="E93" s="45" t="s">
        <v>89</v>
      </c>
      <c r="F93" s="157" t="s">
        <v>213</v>
      </c>
      <c r="G93" s="46">
        <v>7</v>
      </c>
      <c r="H93" s="44">
        <f t="shared" si="34"/>
        <v>7000</v>
      </c>
      <c r="I93" s="46">
        <v>288</v>
      </c>
      <c r="J93" s="46">
        <v>89</v>
      </c>
      <c r="K93" s="44">
        <f t="shared" si="15"/>
        <v>2.0227272727272729</v>
      </c>
      <c r="L93" s="50">
        <f t="shared" si="35"/>
        <v>3</v>
      </c>
      <c r="M93" s="44">
        <f>(H93+350)</f>
        <v>7350</v>
      </c>
      <c r="N93" s="44">
        <f t="shared" si="17"/>
        <v>388</v>
      </c>
      <c r="O93" s="159">
        <v>44</v>
      </c>
      <c r="P93" s="44">
        <f t="shared" si="36"/>
        <v>1.0227272727272729</v>
      </c>
      <c r="Q93" s="44">
        <f t="shared" si="39"/>
        <v>4</v>
      </c>
      <c r="R93" s="165" t="s">
        <v>342</v>
      </c>
      <c r="S93" s="54">
        <v>2</v>
      </c>
      <c r="T93" s="166" t="s">
        <v>340</v>
      </c>
      <c r="U93" s="53" t="s">
        <v>221</v>
      </c>
      <c r="V93" s="140">
        <v>47239</v>
      </c>
      <c r="W93" s="128">
        <v>0</v>
      </c>
      <c r="X93" s="88">
        <f t="shared" si="37"/>
        <v>0</v>
      </c>
      <c r="Y93" s="107">
        <v>0</v>
      </c>
      <c r="Z93" s="89">
        <f t="shared" si="38"/>
        <v>0</v>
      </c>
    </row>
    <row r="94" spans="2:26" x14ac:dyDescent="0.25">
      <c r="B94" s="311"/>
      <c r="C94" s="56">
        <v>57.2</v>
      </c>
      <c r="D94" s="56" t="s">
        <v>48</v>
      </c>
      <c r="E94" s="45" t="s">
        <v>104</v>
      </c>
      <c r="F94" s="157" t="s">
        <v>213</v>
      </c>
      <c r="G94" s="46">
        <v>7.3</v>
      </c>
      <c r="H94" s="44">
        <f t="shared" si="34"/>
        <v>7300</v>
      </c>
      <c r="I94" s="46">
        <v>343</v>
      </c>
      <c r="J94" s="46">
        <v>89</v>
      </c>
      <c r="K94" s="44">
        <f t="shared" si="15"/>
        <v>2.0227272727272729</v>
      </c>
      <c r="L94" s="50">
        <f t="shared" si="35"/>
        <v>3</v>
      </c>
      <c r="M94" s="44">
        <f>(H94+350)</f>
        <v>7650</v>
      </c>
      <c r="N94" s="44">
        <f t="shared" si="17"/>
        <v>443</v>
      </c>
      <c r="O94" s="159">
        <v>44</v>
      </c>
      <c r="P94" s="44">
        <f t="shared" si="36"/>
        <v>1.0227272727272729</v>
      </c>
      <c r="Q94" s="44">
        <f t="shared" si="39"/>
        <v>4</v>
      </c>
      <c r="R94" s="165" t="s">
        <v>342</v>
      </c>
      <c r="S94" s="54">
        <v>2</v>
      </c>
      <c r="T94" s="166" t="s">
        <v>340</v>
      </c>
      <c r="U94" s="53" t="s">
        <v>221</v>
      </c>
      <c r="V94" s="140">
        <v>47239</v>
      </c>
      <c r="W94" s="128">
        <v>0</v>
      </c>
      <c r="X94" s="88">
        <f t="shared" si="37"/>
        <v>0</v>
      </c>
      <c r="Y94" s="107">
        <v>0</v>
      </c>
      <c r="Z94" s="89">
        <f t="shared" si="38"/>
        <v>0</v>
      </c>
    </row>
    <row r="95" spans="2:26" x14ac:dyDescent="0.25">
      <c r="B95" s="311"/>
      <c r="C95" s="56">
        <v>57.300000000000004</v>
      </c>
      <c r="D95" s="56" t="s">
        <v>48</v>
      </c>
      <c r="E95" s="45" t="s">
        <v>26</v>
      </c>
      <c r="F95" s="157" t="s">
        <v>212</v>
      </c>
      <c r="G95" s="46">
        <v>2.5</v>
      </c>
      <c r="H95" s="44">
        <f t="shared" si="34"/>
        <v>2500</v>
      </c>
      <c r="I95" s="46">
        <v>288</v>
      </c>
      <c r="J95" s="46">
        <v>89</v>
      </c>
      <c r="K95" s="44">
        <f t="shared" si="15"/>
        <v>2.0227272727272729</v>
      </c>
      <c r="L95" s="50">
        <f t="shared" si="35"/>
        <v>3</v>
      </c>
      <c r="M95" s="44">
        <f>(H95+300)</f>
        <v>2800</v>
      </c>
      <c r="N95" s="44">
        <f t="shared" si="17"/>
        <v>388</v>
      </c>
      <c r="O95" s="159">
        <v>44</v>
      </c>
      <c r="P95" s="44">
        <f t="shared" si="36"/>
        <v>1.0227272727272729</v>
      </c>
      <c r="Q95" s="44">
        <f t="shared" si="39"/>
        <v>4</v>
      </c>
      <c r="R95" s="165" t="s">
        <v>341</v>
      </c>
      <c r="S95" s="54">
        <v>2</v>
      </c>
      <c r="T95" s="161" t="s">
        <v>339</v>
      </c>
      <c r="U95" s="53" t="s">
        <v>221</v>
      </c>
      <c r="V95" s="140">
        <v>47239</v>
      </c>
      <c r="W95" s="128">
        <v>0</v>
      </c>
      <c r="X95" s="88">
        <f t="shared" si="37"/>
        <v>0</v>
      </c>
      <c r="Y95" s="107">
        <v>0</v>
      </c>
      <c r="Z95" s="89">
        <f t="shared" si="38"/>
        <v>0</v>
      </c>
    </row>
    <row r="96" spans="2:26" x14ac:dyDescent="0.25">
      <c r="B96" s="311"/>
      <c r="C96" s="56">
        <v>57.400000000000006</v>
      </c>
      <c r="D96" s="56" t="s">
        <v>48</v>
      </c>
      <c r="E96" s="45" t="s">
        <v>52</v>
      </c>
      <c r="F96" s="157" t="s">
        <v>212</v>
      </c>
      <c r="G96" s="46">
        <v>2.5</v>
      </c>
      <c r="H96" s="44">
        <f t="shared" si="34"/>
        <v>2500</v>
      </c>
      <c r="I96" s="46">
        <v>288</v>
      </c>
      <c r="J96" s="46">
        <v>89</v>
      </c>
      <c r="K96" s="44">
        <f t="shared" si="15"/>
        <v>1.2898550724637681</v>
      </c>
      <c r="L96" s="50">
        <f t="shared" si="35"/>
        <v>2</v>
      </c>
      <c r="M96" s="44">
        <f>(H96+300)</f>
        <v>2800</v>
      </c>
      <c r="N96" s="44">
        <f t="shared" si="17"/>
        <v>388</v>
      </c>
      <c r="O96" s="159">
        <v>69</v>
      </c>
      <c r="P96" s="44">
        <f t="shared" si="36"/>
        <v>0.28985507246376807</v>
      </c>
      <c r="Q96" s="44">
        <f t="shared" si="39"/>
        <v>2</v>
      </c>
      <c r="R96" s="165" t="s">
        <v>341</v>
      </c>
      <c r="S96" s="54">
        <v>2</v>
      </c>
      <c r="T96" s="161" t="s">
        <v>339</v>
      </c>
      <c r="U96" s="53" t="s">
        <v>221</v>
      </c>
      <c r="V96" s="140">
        <v>47239</v>
      </c>
      <c r="W96" s="128">
        <v>0</v>
      </c>
      <c r="X96" s="88">
        <f t="shared" si="37"/>
        <v>0</v>
      </c>
      <c r="Y96" s="107">
        <v>0</v>
      </c>
      <c r="Z96" s="89">
        <f t="shared" si="38"/>
        <v>0</v>
      </c>
    </row>
    <row r="97" spans="2:26" x14ac:dyDescent="0.25">
      <c r="B97" s="311"/>
      <c r="C97" s="56">
        <v>58.1</v>
      </c>
      <c r="D97" s="56" t="s">
        <v>48</v>
      </c>
      <c r="E97" s="45" t="s">
        <v>89</v>
      </c>
      <c r="F97" s="157" t="s">
        <v>213</v>
      </c>
      <c r="G97" s="46">
        <v>5</v>
      </c>
      <c r="H97" s="44">
        <f t="shared" si="34"/>
        <v>5000</v>
      </c>
      <c r="I97" s="46">
        <v>299</v>
      </c>
      <c r="J97" s="46">
        <v>101.6</v>
      </c>
      <c r="K97" s="44">
        <f t="shared" si="15"/>
        <v>2.3090909090909091</v>
      </c>
      <c r="L97" s="50">
        <f t="shared" si="35"/>
        <v>3</v>
      </c>
      <c r="M97" s="44">
        <f>(H97+350)</f>
        <v>5350</v>
      </c>
      <c r="N97" s="44">
        <f t="shared" si="17"/>
        <v>399</v>
      </c>
      <c r="O97" s="159">
        <v>44</v>
      </c>
      <c r="P97" s="44">
        <f t="shared" si="36"/>
        <v>1.3090909090909091</v>
      </c>
      <c r="Q97" s="44">
        <f t="shared" si="39"/>
        <v>4</v>
      </c>
      <c r="R97" s="165" t="s">
        <v>342</v>
      </c>
      <c r="S97" s="54">
        <v>2</v>
      </c>
      <c r="T97" s="166" t="s">
        <v>340</v>
      </c>
      <c r="U97" s="53" t="s">
        <v>221</v>
      </c>
      <c r="V97" s="140">
        <v>47239</v>
      </c>
      <c r="W97" s="128">
        <v>0</v>
      </c>
      <c r="X97" s="88">
        <f t="shared" si="37"/>
        <v>0</v>
      </c>
      <c r="Y97" s="107">
        <v>0</v>
      </c>
      <c r="Z97" s="89">
        <f t="shared" si="38"/>
        <v>0</v>
      </c>
    </row>
    <row r="98" spans="2:26" x14ac:dyDescent="0.25">
      <c r="B98" s="311"/>
      <c r="C98" s="56">
        <v>58.2</v>
      </c>
      <c r="D98" s="56" t="s">
        <v>48</v>
      </c>
      <c r="E98" s="45" t="s">
        <v>89</v>
      </c>
      <c r="F98" s="157" t="s">
        <v>213</v>
      </c>
      <c r="G98" s="46">
        <v>7.4</v>
      </c>
      <c r="H98" s="44">
        <f t="shared" si="34"/>
        <v>7400</v>
      </c>
      <c r="I98" s="46">
        <v>299</v>
      </c>
      <c r="J98" s="46">
        <v>101.6</v>
      </c>
      <c r="K98" s="44">
        <f t="shared" si="15"/>
        <v>2.3090909090909091</v>
      </c>
      <c r="L98" s="50">
        <f t="shared" si="35"/>
        <v>3</v>
      </c>
      <c r="M98" s="44">
        <f>(H98+350)</f>
        <v>7750</v>
      </c>
      <c r="N98" s="44">
        <f t="shared" si="17"/>
        <v>399</v>
      </c>
      <c r="O98" s="159">
        <v>44</v>
      </c>
      <c r="P98" s="44">
        <f t="shared" si="36"/>
        <v>1.3090909090909091</v>
      </c>
      <c r="Q98" s="44">
        <f t="shared" si="39"/>
        <v>4</v>
      </c>
      <c r="R98" s="165" t="s">
        <v>342</v>
      </c>
      <c r="S98" s="54">
        <v>2</v>
      </c>
      <c r="T98" s="166" t="s">
        <v>340</v>
      </c>
      <c r="U98" s="53" t="s">
        <v>221</v>
      </c>
      <c r="V98" s="140">
        <v>47239</v>
      </c>
      <c r="W98" s="128">
        <v>0</v>
      </c>
      <c r="X98" s="88">
        <f t="shared" si="37"/>
        <v>0</v>
      </c>
      <c r="Y98" s="107">
        <v>0</v>
      </c>
      <c r="Z98" s="89">
        <f t="shared" si="38"/>
        <v>0</v>
      </c>
    </row>
    <row r="99" spans="2:26" x14ac:dyDescent="0.25">
      <c r="B99" s="311"/>
      <c r="C99" s="56">
        <v>58.300000000000004</v>
      </c>
      <c r="D99" s="56" t="s">
        <v>48</v>
      </c>
      <c r="E99" s="45" t="s">
        <v>96</v>
      </c>
      <c r="F99" s="157" t="s">
        <v>213</v>
      </c>
      <c r="G99" s="46">
        <v>7.4</v>
      </c>
      <c r="H99" s="44">
        <f t="shared" si="34"/>
        <v>7400</v>
      </c>
      <c r="I99" s="46">
        <v>464</v>
      </c>
      <c r="J99" s="46">
        <v>101.6</v>
      </c>
      <c r="K99" s="44">
        <f t="shared" si="15"/>
        <v>2.3090909090909091</v>
      </c>
      <c r="L99" s="50">
        <f t="shared" si="35"/>
        <v>3</v>
      </c>
      <c r="M99" s="44">
        <f>(H99+300)</f>
        <v>7700</v>
      </c>
      <c r="N99" s="44">
        <f t="shared" si="17"/>
        <v>564</v>
      </c>
      <c r="O99" s="159">
        <v>44</v>
      </c>
      <c r="P99" s="44">
        <f t="shared" si="36"/>
        <v>1.3090909090909091</v>
      </c>
      <c r="Q99" s="44">
        <f t="shared" si="39"/>
        <v>4</v>
      </c>
      <c r="R99" s="165" t="s">
        <v>342</v>
      </c>
      <c r="S99" s="54">
        <v>2</v>
      </c>
      <c r="T99" s="166" t="s">
        <v>340</v>
      </c>
      <c r="U99" s="53" t="s">
        <v>221</v>
      </c>
      <c r="V99" s="140">
        <v>47239</v>
      </c>
      <c r="W99" s="128">
        <v>0</v>
      </c>
      <c r="X99" s="88">
        <f t="shared" si="37"/>
        <v>0</v>
      </c>
      <c r="Y99" s="107">
        <v>0</v>
      </c>
      <c r="Z99" s="89">
        <f t="shared" si="38"/>
        <v>0</v>
      </c>
    </row>
    <row r="100" spans="2:26" x14ac:dyDescent="0.25">
      <c r="B100" s="311"/>
      <c r="C100" s="56">
        <v>59.1</v>
      </c>
      <c r="D100" s="56" t="s">
        <v>48</v>
      </c>
      <c r="E100" s="45" t="s">
        <v>89</v>
      </c>
      <c r="F100" s="157" t="s">
        <v>212</v>
      </c>
      <c r="G100" s="46">
        <v>1.4</v>
      </c>
      <c r="H100" s="44">
        <f t="shared" si="34"/>
        <v>1400</v>
      </c>
      <c r="I100" s="46">
        <v>299</v>
      </c>
      <c r="J100" s="46">
        <v>101.6</v>
      </c>
      <c r="K100" s="44">
        <f t="shared" si="15"/>
        <v>2.3090909090909091</v>
      </c>
      <c r="L100" s="50">
        <f t="shared" si="35"/>
        <v>3</v>
      </c>
      <c r="M100" s="44">
        <f>(H100+350)</f>
        <v>1750</v>
      </c>
      <c r="N100" s="44">
        <f t="shared" si="17"/>
        <v>399</v>
      </c>
      <c r="O100" s="159">
        <v>44</v>
      </c>
      <c r="P100" s="44">
        <f t="shared" si="36"/>
        <v>1.3090909090909091</v>
      </c>
      <c r="Q100" s="44">
        <f t="shared" si="39"/>
        <v>4</v>
      </c>
      <c r="R100" s="165" t="s">
        <v>341</v>
      </c>
      <c r="S100" s="54">
        <v>2</v>
      </c>
      <c r="T100" s="161" t="s">
        <v>339</v>
      </c>
      <c r="U100" s="53" t="s">
        <v>221</v>
      </c>
      <c r="V100" s="140">
        <v>47239</v>
      </c>
      <c r="W100" s="128">
        <v>0</v>
      </c>
      <c r="X100" s="88">
        <f t="shared" si="37"/>
        <v>0</v>
      </c>
      <c r="Y100" s="107">
        <v>0</v>
      </c>
      <c r="Z100" s="89">
        <f t="shared" si="38"/>
        <v>0</v>
      </c>
    </row>
    <row r="101" spans="2:26" x14ac:dyDescent="0.25">
      <c r="B101" s="311"/>
      <c r="C101" s="56">
        <v>59.2</v>
      </c>
      <c r="D101" s="56" t="s">
        <v>48</v>
      </c>
      <c r="E101" s="45" t="s">
        <v>89</v>
      </c>
      <c r="F101" s="157" t="s">
        <v>213</v>
      </c>
      <c r="G101" s="46">
        <v>7.3</v>
      </c>
      <c r="H101" s="44">
        <f t="shared" si="34"/>
        <v>7300</v>
      </c>
      <c r="I101" s="46">
        <v>299</v>
      </c>
      <c r="J101" s="46">
        <v>101.6</v>
      </c>
      <c r="K101" s="44">
        <f t="shared" ref="K101:K138" si="40">(J101/O101)</f>
        <v>2.3090909090909091</v>
      </c>
      <c r="L101" s="50">
        <f t="shared" si="35"/>
        <v>3</v>
      </c>
      <c r="M101" s="44">
        <f>(H101+350)</f>
        <v>7650</v>
      </c>
      <c r="N101" s="44">
        <f t="shared" ref="N101:N138" si="41">(I101+100)</f>
        <v>399</v>
      </c>
      <c r="O101" s="159">
        <v>44</v>
      </c>
      <c r="P101" s="44">
        <f t="shared" si="36"/>
        <v>1.3090909090909091</v>
      </c>
      <c r="Q101" s="44">
        <f t="shared" si="39"/>
        <v>4</v>
      </c>
      <c r="R101" s="165" t="s">
        <v>342</v>
      </c>
      <c r="S101" s="54">
        <v>2</v>
      </c>
      <c r="T101" s="166" t="s">
        <v>340</v>
      </c>
      <c r="U101" s="53" t="s">
        <v>221</v>
      </c>
      <c r="V101" s="140">
        <v>47239</v>
      </c>
      <c r="W101" s="128">
        <v>0</v>
      </c>
      <c r="X101" s="88">
        <f t="shared" si="37"/>
        <v>0</v>
      </c>
      <c r="Y101" s="107">
        <v>0</v>
      </c>
      <c r="Z101" s="89">
        <f t="shared" si="38"/>
        <v>0</v>
      </c>
    </row>
    <row r="102" spans="2:26" x14ac:dyDescent="0.25">
      <c r="B102" s="311"/>
      <c r="C102" s="56">
        <v>59.300000000000004</v>
      </c>
      <c r="D102" s="56" t="s">
        <v>48</v>
      </c>
      <c r="E102" s="45" t="s">
        <v>26</v>
      </c>
      <c r="F102" s="157" t="s">
        <v>213</v>
      </c>
      <c r="G102" s="46">
        <v>7.3</v>
      </c>
      <c r="H102" s="44">
        <f t="shared" si="34"/>
        <v>7300</v>
      </c>
      <c r="I102" s="46">
        <v>299</v>
      </c>
      <c r="J102" s="46">
        <v>101.6</v>
      </c>
      <c r="K102" s="44">
        <f t="shared" si="40"/>
        <v>2.3090909090909091</v>
      </c>
      <c r="L102" s="50">
        <f t="shared" si="35"/>
        <v>3</v>
      </c>
      <c r="M102" s="44">
        <f>(H102+300)</f>
        <v>7600</v>
      </c>
      <c r="N102" s="44">
        <f t="shared" si="41"/>
        <v>399</v>
      </c>
      <c r="O102" s="159">
        <v>44</v>
      </c>
      <c r="P102" s="44">
        <f t="shared" si="36"/>
        <v>1.3090909090909091</v>
      </c>
      <c r="Q102" s="44">
        <f t="shared" si="39"/>
        <v>4</v>
      </c>
      <c r="R102" s="165" t="s">
        <v>342</v>
      </c>
      <c r="S102" s="54">
        <v>2</v>
      </c>
      <c r="T102" s="166" t="s">
        <v>340</v>
      </c>
      <c r="U102" s="53" t="s">
        <v>221</v>
      </c>
      <c r="V102" s="140">
        <v>47239</v>
      </c>
      <c r="W102" s="128">
        <v>0</v>
      </c>
      <c r="X102" s="88">
        <f t="shared" si="37"/>
        <v>0</v>
      </c>
      <c r="Y102" s="107">
        <v>0</v>
      </c>
      <c r="Z102" s="89">
        <f t="shared" si="38"/>
        <v>0</v>
      </c>
    </row>
    <row r="103" spans="2:26" x14ac:dyDescent="0.25">
      <c r="B103" s="311"/>
      <c r="C103" s="56">
        <v>59.400000000000006</v>
      </c>
      <c r="D103" s="56" t="s">
        <v>48</v>
      </c>
      <c r="E103" s="45" t="s">
        <v>52</v>
      </c>
      <c r="F103" s="157" t="s">
        <v>213</v>
      </c>
      <c r="G103" s="46">
        <v>7.4</v>
      </c>
      <c r="H103" s="44">
        <f t="shared" si="34"/>
        <v>7400</v>
      </c>
      <c r="I103" s="46">
        <v>299</v>
      </c>
      <c r="J103" s="46">
        <v>101.6</v>
      </c>
      <c r="K103" s="44">
        <f t="shared" si="40"/>
        <v>1.472463768115942</v>
      </c>
      <c r="L103" s="50">
        <f t="shared" si="35"/>
        <v>2</v>
      </c>
      <c r="M103" s="44">
        <f>(H103+300)</f>
        <v>7700</v>
      </c>
      <c r="N103" s="44">
        <f t="shared" si="41"/>
        <v>399</v>
      </c>
      <c r="O103" s="159">
        <v>69</v>
      </c>
      <c r="P103" s="44">
        <f t="shared" si="36"/>
        <v>0.47246376811594204</v>
      </c>
      <c r="Q103" s="44">
        <f t="shared" si="39"/>
        <v>2</v>
      </c>
      <c r="R103" s="165" t="s">
        <v>342</v>
      </c>
      <c r="S103" s="54">
        <v>2</v>
      </c>
      <c r="T103" s="166" t="s">
        <v>340</v>
      </c>
      <c r="U103" s="53" t="s">
        <v>221</v>
      </c>
      <c r="V103" s="140">
        <v>47239</v>
      </c>
      <c r="W103" s="128">
        <v>0</v>
      </c>
      <c r="X103" s="88">
        <f t="shared" si="37"/>
        <v>0</v>
      </c>
      <c r="Y103" s="107">
        <v>0</v>
      </c>
      <c r="Z103" s="89">
        <f t="shared" si="38"/>
        <v>0</v>
      </c>
    </row>
    <row r="104" spans="2:26" x14ac:dyDescent="0.25">
      <c r="B104" s="311"/>
      <c r="C104" s="56">
        <v>60.1</v>
      </c>
      <c r="D104" s="56" t="s">
        <v>48</v>
      </c>
      <c r="E104" s="45" t="s">
        <v>89</v>
      </c>
      <c r="F104" s="157" t="s">
        <v>212</v>
      </c>
      <c r="G104" s="46">
        <v>3.2</v>
      </c>
      <c r="H104" s="44">
        <f t="shared" si="34"/>
        <v>3200</v>
      </c>
      <c r="I104" s="46">
        <v>299</v>
      </c>
      <c r="J104" s="46">
        <v>101.6</v>
      </c>
      <c r="K104" s="44">
        <f t="shared" si="40"/>
        <v>2.3090909090909091</v>
      </c>
      <c r="L104" s="50">
        <f t="shared" si="35"/>
        <v>3</v>
      </c>
      <c r="M104" s="44">
        <f>(H104+350)</f>
        <v>3550</v>
      </c>
      <c r="N104" s="44">
        <f t="shared" si="41"/>
        <v>399</v>
      </c>
      <c r="O104" s="159">
        <v>44</v>
      </c>
      <c r="P104" s="44">
        <f t="shared" si="36"/>
        <v>1.3090909090909091</v>
      </c>
      <c r="Q104" s="44">
        <f t="shared" si="39"/>
        <v>4</v>
      </c>
      <c r="R104" s="165" t="s">
        <v>341</v>
      </c>
      <c r="S104" s="54">
        <v>2</v>
      </c>
      <c r="T104" s="161" t="s">
        <v>339</v>
      </c>
      <c r="U104" s="53" t="s">
        <v>221</v>
      </c>
      <c r="V104" s="140">
        <v>47239</v>
      </c>
      <c r="W104" s="128">
        <v>0</v>
      </c>
      <c r="X104" s="88">
        <f t="shared" si="37"/>
        <v>0</v>
      </c>
      <c r="Y104" s="107">
        <v>0</v>
      </c>
      <c r="Z104" s="89">
        <f t="shared" si="38"/>
        <v>0</v>
      </c>
    </row>
    <row r="105" spans="2:26" x14ac:dyDescent="0.25">
      <c r="B105" s="311"/>
      <c r="C105" s="56">
        <v>60.2</v>
      </c>
      <c r="D105" s="56" t="s">
        <v>48</v>
      </c>
      <c r="E105" s="45" t="s">
        <v>90</v>
      </c>
      <c r="F105" s="157" t="s">
        <v>213</v>
      </c>
      <c r="G105" s="46">
        <v>7.3</v>
      </c>
      <c r="H105" s="44">
        <f t="shared" si="34"/>
        <v>7300</v>
      </c>
      <c r="I105" s="46">
        <v>376</v>
      </c>
      <c r="J105" s="46">
        <v>101.6</v>
      </c>
      <c r="K105" s="44">
        <f t="shared" si="40"/>
        <v>2.3090909090909091</v>
      </c>
      <c r="L105" s="50">
        <f t="shared" si="35"/>
        <v>3</v>
      </c>
      <c r="M105" s="44">
        <f>(H105+350)</f>
        <v>7650</v>
      </c>
      <c r="N105" s="44">
        <f t="shared" si="41"/>
        <v>476</v>
      </c>
      <c r="O105" s="159">
        <v>44</v>
      </c>
      <c r="P105" s="44">
        <f t="shared" si="36"/>
        <v>1.3090909090909091</v>
      </c>
      <c r="Q105" s="44">
        <f t="shared" si="39"/>
        <v>4</v>
      </c>
      <c r="R105" s="165" t="s">
        <v>342</v>
      </c>
      <c r="S105" s="54">
        <v>2</v>
      </c>
      <c r="T105" s="166" t="s">
        <v>340</v>
      </c>
      <c r="U105" s="53" t="s">
        <v>221</v>
      </c>
      <c r="V105" s="140">
        <v>47239</v>
      </c>
      <c r="W105" s="128">
        <v>0</v>
      </c>
      <c r="X105" s="88">
        <f t="shared" si="37"/>
        <v>0</v>
      </c>
      <c r="Y105" s="107">
        <v>0</v>
      </c>
      <c r="Z105" s="89">
        <f t="shared" si="38"/>
        <v>0</v>
      </c>
    </row>
    <row r="106" spans="2:26" x14ac:dyDescent="0.25">
      <c r="B106" s="311"/>
      <c r="C106" s="56">
        <v>60.300000000000004</v>
      </c>
      <c r="D106" s="56" t="s">
        <v>48</v>
      </c>
      <c r="E106" s="45" t="s">
        <v>26</v>
      </c>
      <c r="F106" s="157" t="s">
        <v>213</v>
      </c>
      <c r="G106" s="46">
        <v>7.4</v>
      </c>
      <c r="H106" s="44">
        <f t="shared" si="34"/>
        <v>7400</v>
      </c>
      <c r="I106" s="46">
        <v>299</v>
      </c>
      <c r="J106" s="46">
        <v>101.6</v>
      </c>
      <c r="K106" s="44">
        <f t="shared" si="40"/>
        <v>2.3090909090909091</v>
      </c>
      <c r="L106" s="50">
        <f t="shared" si="35"/>
        <v>3</v>
      </c>
      <c r="M106" s="44">
        <f>(H106+300)</f>
        <v>7700</v>
      </c>
      <c r="N106" s="44">
        <f t="shared" si="41"/>
        <v>399</v>
      </c>
      <c r="O106" s="159">
        <v>44</v>
      </c>
      <c r="P106" s="44">
        <f t="shared" si="36"/>
        <v>1.3090909090909091</v>
      </c>
      <c r="Q106" s="44">
        <f t="shared" si="39"/>
        <v>4</v>
      </c>
      <c r="R106" s="165" t="s">
        <v>342</v>
      </c>
      <c r="S106" s="54">
        <v>2</v>
      </c>
      <c r="T106" s="166" t="s">
        <v>340</v>
      </c>
      <c r="U106" s="53" t="s">
        <v>221</v>
      </c>
      <c r="V106" s="140">
        <v>47239</v>
      </c>
      <c r="W106" s="128">
        <v>0</v>
      </c>
      <c r="X106" s="88">
        <f t="shared" si="37"/>
        <v>0</v>
      </c>
      <c r="Y106" s="107">
        <v>0</v>
      </c>
      <c r="Z106" s="89">
        <f t="shared" si="38"/>
        <v>0</v>
      </c>
    </row>
    <row r="107" spans="2:26" ht="15.75" thickBot="1" x14ac:dyDescent="0.3">
      <c r="B107" s="311"/>
      <c r="C107" s="56">
        <v>60.400000000000006</v>
      </c>
      <c r="D107" s="56" t="s">
        <v>48</v>
      </c>
      <c r="E107" s="45" t="s">
        <v>52</v>
      </c>
      <c r="F107" s="157" t="s">
        <v>213</v>
      </c>
      <c r="G107" s="46">
        <v>7.4</v>
      </c>
      <c r="H107" s="44">
        <f t="shared" si="34"/>
        <v>7400</v>
      </c>
      <c r="I107" s="46">
        <v>299</v>
      </c>
      <c r="J107" s="46">
        <v>101.6</v>
      </c>
      <c r="K107" s="44">
        <f t="shared" si="40"/>
        <v>1.472463768115942</v>
      </c>
      <c r="L107" s="50">
        <f t="shared" si="35"/>
        <v>2</v>
      </c>
      <c r="M107" s="44">
        <f>(H107+300)</f>
        <v>7700</v>
      </c>
      <c r="N107" s="44">
        <f t="shared" si="41"/>
        <v>399</v>
      </c>
      <c r="O107" s="159">
        <v>69</v>
      </c>
      <c r="P107" s="44">
        <f t="shared" si="36"/>
        <v>0.47246376811594204</v>
      </c>
      <c r="Q107" s="44">
        <f t="shared" si="39"/>
        <v>2</v>
      </c>
      <c r="R107" s="165" t="s">
        <v>342</v>
      </c>
      <c r="S107" s="54">
        <v>2</v>
      </c>
      <c r="T107" s="166" t="s">
        <v>340</v>
      </c>
      <c r="U107" s="53" t="s">
        <v>221</v>
      </c>
      <c r="V107" s="140">
        <v>47239</v>
      </c>
      <c r="W107" s="129">
        <v>0</v>
      </c>
      <c r="X107" s="90">
        <f t="shared" si="37"/>
        <v>0</v>
      </c>
      <c r="Y107" s="108">
        <v>0</v>
      </c>
      <c r="Z107" s="91">
        <f t="shared" si="38"/>
        <v>0</v>
      </c>
    </row>
    <row r="108" spans="2:26" s="66" customFormat="1" ht="15.75" thickBot="1" x14ac:dyDescent="0.3">
      <c r="B108" s="313"/>
      <c r="C108" s="189" t="s">
        <v>283</v>
      </c>
      <c r="D108" s="189"/>
      <c r="E108" s="180"/>
      <c r="F108" s="180"/>
      <c r="G108" s="180"/>
      <c r="H108" s="180"/>
      <c r="I108" s="180"/>
      <c r="J108" s="180"/>
      <c r="K108" s="180"/>
      <c r="L108" s="180">
        <f>SUM(L88:L107)</f>
        <v>55</v>
      </c>
      <c r="M108" s="180"/>
      <c r="N108" s="180"/>
      <c r="O108" s="180"/>
      <c r="P108" s="180"/>
      <c r="Q108" s="180">
        <f>SUM(Q88:Q107)</f>
        <v>70</v>
      </c>
      <c r="R108" s="180"/>
      <c r="S108" s="190">
        <f>SUM(S88:S107)</f>
        <v>40</v>
      </c>
      <c r="T108" s="180"/>
      <c r="U108" s="180"/>
      <c r="V108" s="180"/>
      <c r="W108" s="130"/>
      <c r="X108" s="75">
        <f>SUM(X88:X107)</f>
        <v>0</v>
      </c>
      <c r="Y108" s="75"/>
      <c r="Z108" s="75">
        <f>SUM(Z88:Z107)</f>
        <v>0</v>
      </c>
    </row>
    <row r="109" spans="2:26" x14ac:dyDescent="0.25">
      <c r="B109" s="310" t="s">
        <v>360</v>
      </c>
      <c r="C109" s="56">
        <v>61.1</v>
      </c>
      <c r="D109" s="56" t="s">
        <v>48</v>
      </c>
      <c r="E109" s="45" t="s">
        <v>59</v>
      </c>
      <c r="F109" s="157" t="s">
        <v>212</v>
      </c>
      <c r="G109" s="46">
        <v>3.8</v>
      </c>
      <c r="H109" s="44">
        <f t="shared" ref="H109:H122" si="42">CONVERT(G109,"m","mm")</f>
        <v>3800</v>
      </c>
      <c r="I109" s="46">
        <v>267</v>
      </c>
      <c r="J109" s="46">
        <v>76.2</v>
      </c>
      <c r="K109" s="44">
        <f t="shared" si="40"/>
        <v>1.7318181818181819</v>
      </c>
      <c r="L109" s="50">
        <f t="shared" ref="L109:L122" si="43">ROUNDUP(K109,0)</f>
        <v>2</v>
      </c>
      <c r="M109" s="44">
        <f>(H109+350)</f>
        <v>4150</v>
      </c>
      <c r="N109" s="44">
        <f t="shared" si="41"/>
        <v>367</v>
      </c>
      <c r="O109" s="44">
        <v>44</v>
      </c>
      <c r="P109" s="44">
        <f t="shared" ref="P109:P122" si="44">(K109-1)</f>
        <v>0.73181818181818192</v>
      </c>
      <c r="Q109" s="44">
        <f>(L109-1)*2</f>
        <v>2</v>
      </c>
      <c r="R109" s="165" t="s">
        <v>341</v>
      </c>
      <c r="S109" s="54">
        <v>2</v>
      </c>
      <c r="T109" s="161" t="s">
        <v>339</v>
      </c>
      <c r="U109" s="53" t="s">
        <v>221</v>
      </c>
      <c r="V109" s="140">
        <v>47392</v>
      </c>
      <c r="W109" s="127">
        <v>0</v>
      </c>
      <c r="X109" s="86">
        <f t="shared" ref="X109:X122" si="45">(W109*Q109)</f>
        <v>0</v>
      </c>
      <c r="Y109" s="106">
        <v>0</v>
      </c>
      <c r="Z109" s="87">
        <f t="shared" ref="Z109:Z122" si="46">(Y109*S109)</f>
        <v>0</v>
      </c>
    </row>
    <row r="110" spans="2:26" x14ac:dyDescent="0.25">
      <c r="B110" s="311"/>
      <c r="C110" s="56">
        <v>61.2</v>
      </c>
      <c r="D110" s="56" t="s">
        <v>48</v>
      </c>
      <c r="E110" s="45" t="s">
        <v>28</v>
      </c>
      <c r="F110" s="157" t="s">
        <v>212</v>
      </c>
      <c r="G110" s="46">
        <v>4.5</v>
      </c>
      <c r="H110" s="44">
        <f t="shared" si="42"/>
        <v>4500</v>
      </c>
      <c r="I110" s="46">
        <v>267</v>
      </c>
      <c r="J110" s="46">
        <v>76.2</v>
      </c>
      <c r="K110" s="44">
        <f t="shared" si="40"/>
        <v>1.7318181818181819</v>
      </c>
      <c r="L110" s="50">
        <f t="shared" si="43"/>
        <v>2</v>
      </c>
      <c r="M110" s="44">
        <f>(H110+350)</f>
        <v>4850</v>
      </c>
      <c r="N110" s="44">
        <f t="shared" si="41"/>
        <v>367</v>
      </c>
      <c r="O110" s="159">
        <v>44</v>
      </c>
      <c r="P110" s="44">
        <f t="shared" si="44"/>
        <v>0.73181818181818192</v>
      </c>
      <c r="Q110" s="44">
        <f t="shared" ref="Q110:Q122" si="47">(L110-1)*2</f>
        <v>2</v>
      </c>
      <c r="R110" s="165" t="s">
        <v>341</v>
      </c>
      <c r="S110" s="54">
        <v>2</v>
      </c>
      <c r="T110" s="161" t="s">
        <v>339</v>
      </c>
      <c r="U110" s="53" t="s">
        <v>221</v>
      </c>
      <c r="V110" s="140">
        <v>47392</v>
      </c>
      <c r="W110" s="128">
        <v>0</v>
      </c>
      <c r="X110" s="88">
        <f t="shared" si="45"/>
        <v>0</v>
      </c>
      <c r="Y110" s="107">
        <v>0</v>
      </c>
      <c r="Z110" s="89">
        <f t="shared" si="46"/>
        <v>0</v>
      </c>
    </row>
    <row r="111" spans="2:26" x14ac:dyDescent="0.25">
      <c r="B111" s="311"/>
      <c r="C111" s="56">
        <v>61.300000000000004</v>
      </c>
      <c r="D111" s="56" t="s">
        <v>48</v>
      </c>
      <c r="E111" s="45" t="s">
        <v>84</v>
      </c>
      <c r="F111" s="157" t="s">
        <v>213</v>
      </c>
      <c r="G111" s="46">
        <v>7.3</v>
      </c>
      <c r="H111" s="44">
        <f t="shared" si="42"/>
        <v>7300</v>
      </c>
      <c r="I111" s="46">
        <v>422</v>
      </c>
      <c r="J111" s="46">
        <v>76.2</v>
      </c>
      <c r="K111" s="44">
        <f t="shared" si="40"/>
        <v>1.7318181818181819</v>
      </c>
      <c r="L111" s="50">
        <f t="shared" si="43"/>
        <v>2</v>
      </c>
      <c r="M111" s="44">
        <f>(H111+300)</f>
        <v>7600</v>
      </c>
      <c r="N111" s="44">
        <f t="shared" si="41"/>
        <v>522</v>
      </c>
      <c r="O111" s="159">
        <v>44</v>
      </c>
      <c r="P111" s="44">
        <f t="shared" si="44"/>
        <v>0.73181818181818192</v>
      </c>
      <c r="Q111" s="44">
        <f t="shared" si="47"/>
        <v>2</v>
      </c>
      <c r="R111" s="165" t="s">
        <v>342</v>
      </c>
      <c r="S111" s="54">
        <v>2</v>
      </c>
      <c r="T111" s="166" t="s">
        <v>340</v>
      </c>
      <c r="U111" s="53" t="s">
        <v>221</v>
      </c>
      <c r="V111" s="140">
        <v>47392</v>
      </c>
      <c r="W111" s="128">
        <v>0</v>
      </c>
      <c r="X111" s="88">
        <f t="shared" si="45"/>
        <v>0</v>
      </c>
      <c r="Y111" s="107">
        <v>0</v>
      </c>
      <c r="Z111" s="89">
        <f t="shared" si="46"/>
        <v>0</v>
      </c>
    </row>
    <row r="112" spans="2:26" x14ac:dyDescent="0.25">
      <c r="B112" s="311"/>
      <c r="C112" s="56">
        <v>62.1</v>
      </c>
      <c r="D112" s="56" t="s">
        <v>48</v>
      </c>
      <c r="E112" s="45" t="s">
        <v>59</v>
      </c>
      <c r="F112" s="157" t="s">
        <v>212</v>
      </c>
      <c r="G112" s="46">
        <v>3.8</v>
      </c>
      <c r="H112" s="44">
        <f t="shared" si="42"/>
        <v>3800</v>
      </c>
      <c r="I112" s="46">
        <v>267</v>
      </c>
      <c r="J112" s="46">
        <v>76.2</v>
      </c>
      <c r="K112" s="44">
        <f t="shared" si="40"/>
        <v>1.7318181818181819</v>
      </c>
      <c r="L112" s="50">
        <f t="shared" si="43"/>
        <v>2</v>
      </c>
      <c r="M112" s="44">
        <f>(H112+350)</f>
        <v>4150</v>
      </c>
      <c r="N112" s="44">
        <f t="shared" si="41"/>
        <v>367</v>
      </c>
      <c r="O112" s="159">
        <v>44</v>
      </c>
      <c r="P112" s="44">
        <f t="shared" si="44"/>
        <v>0.73181818181818192</v>
      </c>
      <c r="Q112" s="44">
        <f t="shared" si="47"/>
        <v>2</v>
      </c>
      <c r="R112" s="165" t="s">
        <v>341</v>
      </c>
      <c r="S112" s="54">
        <v>2</v>
      </c>
      <c r="T112" s="161" t="s">
        <v>339</v>
      </c>
      <c r="U112" s="53" t="s">
        <v>221</v>
      </c>
      <c r="V112" s="140">
        <v>47392</v>
      </c>
      <c r="W112" s="128">
        <v>0</v>
      </c>
      <c r="X112" s="88">
        <f t="shared" si="45"/>
        <v>0</v>
      </c>
      <c r="Y112" s="107">
        <v>0</v>
      </c>
      <c r="Z112" s="89">
        <f t="shared" si="46"/>
        <v>0</v>
      </c>
    </row>
    <row r="113" spans="2:26" x14ac:dyDescent="0.25">
      <c r="B113" s="311"/>
      <c r="C113" s="56">
        <v>62.2</v>
      </c>
      <c r="D113" s="56" t="s">
        <v>48</v>
      </c>
      <c r="E113" s="45" t="s">
        <v>28</v>
      </c>
      <c r="F113" s="157" t="s">
        <v>212</v>
      </c>
      <c r="G113" s="46">
        <v>3</v>
      </c>
      <c r="H113" s="44">
        <f t="shared" si="42"/>
        <v>3000</v>
      </c>
      <c r="I113" s="46">
        <v>267</v>
      </c>
      <c r="J113" s="46">
        <v>76.2</v>
      </c>
      <c r="K113" s="44">
        <f t="shared" si="40"/>
        <v>1.7318181818181819</v>
      </c>
      <c r="L113" s="50">
        <f t="shared" si="43"/>
        <v>2</v>
      </c>
      <c r="M113" s="44">
        <f>(H113+350)</f>
        <v>3350</v>
      </c>
      <c r="N113" s="44">
        <f t="shared" si="41"/>
        <v>367</v>
      </c>
      <c r="O113" s="159">
        <v>44</v>
      </c>
      <c r="P113" s="44">
        <f t="shared" si="44"/>
        <v>0.73181818181818192</v>
      </c>
      <c r="Q113" s="44">
        <f t="shared" si="47"/>
        <v>2</v>
      </c>
      <c r="R113" s="165" t="s">
        <v>341</v>
      </c>
      <c r="S113" s="54">
        <v>2</v>
      </c>
      <c r="T113" s="161" t="s">
        <v>339</v>
      </c>
      <c r="U113" s="53" t="s">
        <v>221</v>
      </c>
      <c r="V113" s="140">
        <v>47392</v>
      </c>
      <c r="W113" s="128">
        <v>0</v>
      </c>
      <c r="X113" s="88">
        <f t="shared" si="45"/>
        <v>0</v>
      </c>
      <c r="Y113" s="107">
        <v>0</v>
      </c>
      <c r="Z113" s="89">
        <f t="shared" si="46"/>
        <v>0</v>
      </c>
    </row>
    <row r="114" spans="2:26" x14ac:dyDescent="0.25">
      <c r="B114" s="311"/>
      <c r="C114" s="56">
        <v>62.300000000000004</v>
      </c>
      <c r="D114" s="56" t="s">
        <v>48</v>
      </c>
      <c r="E114" s="45" t="s">
        <v>26</v>
      </c>
      <c r="F114" s="157" t="s">
        <v>212</v>
      </c>
      <c r="G114" s="46">
        <v>2.6</v>
      </c>
      <c r="H114" s="44">
        <f t="shared" si="42"/>
        <v>2600</v>
      </c>
      <c r="I114" s="46">
        <v>267</v>
      </c>
      <c r="J114" s="46">
        <v>76.2</v>
      </c>
      <c r="K114" s="44">
        <f t="shared" si="40"/>
        <v>1.7318181818181819</v>
      </c>
      <c r="L114" s="50">
        <f t="shared" si="43"/>
        <v>2</v>
      </c>
      <c r="M114" s="44">
        <f>(H114+300)</f>
        <v>2900</v>
      </c>
      <c r="N114" s="44">
        <f t="shared" si="41"/>
        <v>367</v>
      </c>
      <c r="O114" s="159">
        <v>44</v>
      </c>
      <c r="P114" s="44">
        <f t="shared" si="44"/>
        <v>0.73181818181818192</v>
      </c>
      <c r="Q114" s="44">
        <f t="shared" si="47"/>
        <v>2</v>
      </c>
      <c r="R114" s="165" t="s">
        <v>341</v>
      </c>
      <c r="S114" s="54">
        <v>2</v>
      </c>
      <c r="T114" s="161" t="s">
        <v>339</v>
      </c>
      <c r="U114" s="53" t="s">
        <v>221</v>
      </c>
      <c r="V114" s="140">
        <v>47392</v>
      </c>
      <c r="W114" s="128">
        <v>0</v>
      </c>
      <c r="X114" s="88">
        <f t="shared" si="45"/>
        <v>0</v>
      </c>
      <c r="Y114" s="107">
        <v>0</v>
      </c>
      <c r="Z114" s="89">
        <f t="shared" si="46"/>
        <v>0</v>
      </c>
    </row>
    <row r="115" spans="2:26" x14ac:dyDescent="0.25">
      <c r="B115" s="311"/>
      <c r="C115" s="56">
        <v>62.400000000000006</v>
      </c>
      <c r="D115" s="56" t="s">
        <v>48</v>
      </c>
      <c r="E115" s="45" t="s">
        <v>52</v>
      </c>
      <c r="F115" s="157" t="s">
        <v>212</v>
      </c>
      <c r="G115" s="46">
        <v>2.6</v>
      </c>
      <c r="H115" s="44">
        <f t="shared" si="42"/>
        <v>2600</v>
      </c>
      <c r="I115" s="46">
        <v>267</v>
      </c>
      <c r="J115" s="46">
        <v>76.2</v>
      </c>
      <c r="K115" s="44">
        <f t="shared" si="40"/>
        <v>1.1043478260869566</v>
      </c>
      <c r="L115" s="50">
        <f t="shared" si="43"/>
        <v>2</v>
      </c>
      <c r="M115" s="44">
        <f>(H115+300)</f>
        <v>2900</v>
      </c>
      <c r="N115" s="44">
        <f t="shared" si="41"/>
        <v>367</v>
      </c>
      <c r="O115" s="159">
        <v>69</v>
      </c>
      <c r="P115" s="44">
        <f t="shared" si="44"/>
        <v>0.10434782608695659</v>
      </c>
      <c r="Q115" s="44">
        <f t="shared" si="47"/>
        <v>2</v>
      </c>
      <c r="R115" s="165" t="s">
        <v>341</v>
      </c>
      <c r="S115" s="54">
        <v>2</v>
      </c>
      <c r="T115" s="161" t="s">
        <v>339</v>
      </c>
      <c r="U115" s="53" t="s">
        <v>221</v>
      </c>
      <c r="V115" s="140">
        <v>47392</v>
      </c>
      <c r="W115" s="128">
        <v>0</v>
      </c>
      <c r="X115" s="88">
        <f t="shared" si="45"/>
        <v>0</v>
      </c>
      <c r="Y115" s="107">
        <v>0</v>
      </c>
      <c r="Z115" s="89">
        <f t="shared" si="46"/>
        <v>0</v>
      </c>
    </row>
    <row r="116" spans="2:26" x14ac:dyDescent="0.25">
      <c r="B116" s="311"/>
      <c r="C116" s="56">
        <v>63.1</v>
      </c>
      <c r="D116" s="56" t="s">
        <v>48</v>
      </c>
      <c r="E116" s="45" t="s">
        <v>59</v>
      </c>
      <c r="F116" s="157" t="s">
        <v>212</v>
      </c>
      <c r="G116" s="46">
        <v>3.8</v>
      </c>
      <c r="H116" s="44">
        <f t="shared" si="42"/>
        <v>3800</v>
      </c>
      <c r="I116" s="46">
        <v>267</v>
      </c>
      <c r="J116" s="46">
        <v>76.2</v>
      </c>
      <c r="K116" s="44">
        <f t="shared" si="40"/>
        <v>1.7318181818181819</v>
      </c>
      <c r="L116" s="50">
        <f t="shared" si="43"/>
        <v>2</v>
      </c>
      <c r="M116" s="44">
        <f>(H116+350)</f>
        <v>4150</v>
      </c>
      <c r="N116" s="44">
        <f t="shared" si="41"/>
        <v>367</v>
      </c>
      <c r="O116" s="159">
        <v>44</v>
      </c>
      <c r="P116" s="44">
        <f t="shared" si="44"/>
        <v>0.73181818181818192</v>
      </c>
      <c r="Q116" s="44">
        <f t="shared" si="47"/>
        <v>2</v>
      </c>
      <c r="R116" s="165" t="s">
        <v>341</v>
      </c>
      <c r="S116" s="54">
        <v>2</v>
      </c>
      <c r="T116" s="161" t="s">
        <v>339</v>
      </c>
      <c r="U116" s="53" t="s">
        <v>221</v>
      </c>
      <c r="V116" s="140">
        <v>47392</v>
      </c>
      <c r="W116" s="128">
        <v>0</v>
      </c>
      <c r="X116" s="88">
        <f t="shared" si="45"/>
        <v>0</v>
      </c>
      <c r="Y116" s="107">
        <v>0</v>
      </c>
      <c r="Z116" s="89">
        <f t="shared" si="46"/>
        <v>0</v>
      </c>
    </row>
    <row r="117" spans="2:26" x14ac:dyDescent="0.25">
      <c r="B117" s="311"/>
      <c r="C117" s="56">
        <v>63.2</v>
      </c>
      <c r="D117" s="56" t="s">
        <v>48</v>
      </c>
      <c r="E117" s="45" t="s">
        <v>28</v>
      </c>
      <c r="F117" s="157" t="s">
        <v>212</v>
      </c>
      <c r="G117" s="46">
        <v>3</v>
      </c>
      <c r="H117" s="44">
        <f t="shared" si="42"/>
        <v>3000</v>
      </c>
      <c r="I117" s="46">
        <v>267</v>
      </c>
      <c r="J117" s="46">
        <v>76.2</v>
      </c>
      <c r="K117" s="44">
        <f t="shared" si="40"/>
        <v>1.7318181818181819</v>
      </c>
      <c r="L117" s="50">
        <f t="shared" si="43"/>
        <v>2</v>
      </c>
      <c r="M117" s="44">
        <f>(H117+350)</f>
        <v>3350</v>
      </c>
      <c r="N117" s="44">
        <f t="shared" si="41"/>
        <v>367</v>
      </c>
      <c r="O117" s="159">
        <v>44</v>
      </c>
      <c r="P117" s="44">
        <f t="shared" si="44"/>
        <v>0.73181818181818192</v>
      </c>
      <c r="Q117" s="44">
        <f t="shared" si="47"/>
        <v>2</v>
      </c>
      <c r="R117" s="165" t="s">
        <v>341</v>
      </c>
      <c r="S117" s="54">
        <v>2</v>
      </c>
      <c r="T117" s="161" t="s">
        <v>339</v>
      </c>
      <c r="U117" s="53" t="s">
        <v>221</v>
      </c>
      <c r="V117" s="140">
        <v>47392</v>
      </c>
      <c r="W117" s="128">
        <v>0</v>
      </c>
      <c r="X117" s="88">
        <f t="shared" si="45"/>
        <v>0</v>
      </c>
      <c r="Y117" s="107">
        <v>0</v>
      </c>
      <c r="Z117" s="89">
        <f t="shared" si="46"/>
        <v>0</v>
      </c>
    </row>
    <row r="118" spans="2:26" x14ac:dyDescent="0.25">
      <c r="B118" s="311"/>
      <c r="C118" s="56">
        <v>63.300000000000004</v>
      </c>
      <c r="D118" s="56" t="s">
        <v>48</v>
      </c>
      <c r="E118" s="45" t="s">
        <v>26</v>
      </c>
      <c r="F118" s="157" t="s">
        <v>212</v>
      </c>
      <c r="G118" s="46">
        <v>2.6</v>
      </c>
      <c r="H118" s="44">
        <f t="shared" si="42"/>
        <v>2600</v>
      </c>
      <c r="I118" s="46">
        <v>267</v>
      </c>
      <c r="J118" s="46">
        <v>76.2</v>
      </c>
      <c r="K118" s="44">
        <f t="shared" si="40"/>
        <v>1.7318181818181819</v>
      </c>
      <c r="L118" s="50">
        <f t="shared" si="43"/>
        <v>2</v>
      </c>
      <c r="M118" s="44">
        <f>(H118+300)</f>
        <v>2900</v>
      </c>
      <c r="N118" s="44">
        <f t="shared" si="41"/>
        <v>367</v>
      </c>
      <c r="O118" s="159">
        <v>44</v>
      </c>
      <c r="P118" s="44">
        <f t="shared" si="44"/>
        <v>0.73181818181818192</v>
      </c>
      <c r="Q118" s="44">
        <f t="shared" si="47"/>
        <v>2</v>
      </c>
      <c r="R118" s="165" t="s">
        <v>341</v>
      </c>
      <c r="S118" s="54">
        <v>2</v>
      </c>
      <c r="T118" s="161" t="s">
        <v>339</v>
      </c>
      <c r="U118" s="53" t="s">
        <v>221</v>
      </c>
      <c r="V118" s="140">
        <v>47392</v>
      </c>
      <c r="W118" s="128">
        <v>0</v>
      </c>
      <c r="X118" s="88">
        <f t="shared" si="45"/>
        <v>0</v>
      </c>
      <c r="Y118" s="107">
        <v>0</v>
      </c>
      <c r="Z118" s="89">
        <f t="shared" si="46"/>
        <v>0</v>
      </c>
    </row>
    <row r="119" spans="2:26" x14ac:dyDescent="0.25">
      <c r="B119" s="311"/>
      <c r="C119" s="56">
        <v>63.400000000000006</v>
      </c>
      <c r="D119" s="56" t="s">
        <v>48</v>
      </c>
      <c r="E119" s="45" t="s">
        <v>52</v>
      </c>
      <c r="F119" s="157" t="s">
        <v>212</v>
      </c>
      <c r="G119" s="46">
        <v>2.6</v>
      </c>
      <c r="H119" s="44">
        <f t="shared" si="42"/>
        <v>2600</v>
      </c>
      <c r="I119" s="46">
        <v>267</v>
      </c>
      <c r="J119" s="46">
        <v>76.2</v>
      </c>
      <c r="K119" s="44">
        <f t="shared" si="40"/>
        <v>1.1043478260869566</v>
      </c>
      <c r="L119" s="50">
        <f t="shared" si="43"/>
        <v>2</v>
      </c>
      <c r="M119" s="44">
        <f>(H119+300)</f>
        <v>2900</v>
      </c>
      <c r="N119" s="44">
        <f t="shared" si="41"/>
        <v>367</v>
      </c>
      <c r="O119" s="159">
        <v>69</v>
      </c>
      <c r="P119" s="44">
        <f t="shared" si="44"/>
        <v>0.10434782608695659</v>
      </c>
      <c r="Q119" s="44">
        <f t="shared" si="47"/>
        <v>2</v>
      </c>
      <c r="R119" s="165" t="s">
        <v>341</v>
      </c>
      <c r="S119" s="54">
        <v>2</v>
      </c>
      <c r="T119" s="161" t="s">
        <v>339</v>
      </c>
      <c r="U119" s="53" t="s">
        <v>221</v>
      </c>
      <c r="V119" s="140">
        <v>47392</v>
      </c>
      <c r="W119" s="128">
        <v>0</v>
      </c>
      <c r="X119" s="88">
        <f t="shared" si="45"/>
        <v>0</v>
      </c>
      <c r="Y119" s="107">
        <v>0</v>
      </c>
      <c r="Z119" s="89">
        <f t="shared" si="46"/>
        <v>0</v>
      </c>
    </row>
    <row r="120" spans="2:26" x14ac:dyDescent="0.25">
      <c r="B120" s="311"/>
      <c r="C120" s="56">
        <v>64.099999999999994</v>
      </c>
      <c r="D120" s="56" t="s">
        <v>48</v>
      </c>
      <c r="E120" s="45" t="s">
        <v>59</v>
      </c>
      <c r="F120" s="157" t="s">
        <v>213</v>
      </c>
      <c r="G120" s="46">
        <v>7.4</v>
      </c>
      <c r="H120" s="44">
        <f t="shared" si="42"/>
        <v>7400</v>
      </c>
      <c r="I120" s="46">
        <v>267</v>
      </c>
      <c r="J120" s="46">
        <v>76.2</v>
      </c>
      <c r="K120" s="44">
        <f t="shared" si="40"/>
        <v>1.7318181818181819</v>
      </c>
      <c r="L120" s="50">
        <f t="shared" si="43"/>
        <v>2</v>
      </c>
      <c r="M120" s="44">
        <f>(H120+350)</f>
        <v>7750</v>
      </c>
      <c r="N120" s="44">
        <f t="shared" si="41"/>
        <v>367</v>
      </c>
      <c r="O120" s="159">
        <v>44</v>
      </c>
      <c r="P120" s="44">
        <f t="shared" si="44"/>
        <v>0.73181818181818192</v>
      </c>
      <c r="Q120" s="44">
        <f t="shared" si="47"/>
        <v>2</v>
      </c>
      <c r="R120" s="165" t="s">
        <v>342</v>
      </c>
      <c r="S120" s="54">
        <v>2</v>
      </c>
      <c r="T120" s="166" t="s">
        <v>340</v>
      </c>
      <c r="U120" s="53" t="s">
        <v>221</v>
      </c>
      <c r="V120" s="140">
        <v>47392</v>
      </c>
      <c r="W120" s="128">
        <v>0</v>
      </c>
      <c r="X120" s="88">
        <f t="shared" si="45"/>
        <v>0</v>
      </c>
      <c r="Y120" s="107">
        <v>0</v>
      </c>
      <c r="Z120" s="89">
        <f t="shared" si="46"/>
        <v>0</v>
      </c>
    </row>
    <row r="121" spans="2:26" x14ac:dyDescent="0.25">
      <c r="B121" s="311"/>
      <c r="C121" s="56">
        <v>64.199999999999989</v>
      </c>
      <c r="D121" s="56" t="s">
        <v>48</v>
      </c>
      <c r="E121" s="45" t="s">
        <v>26</v>
      </c>
      <c r="F121" s="157" t="s">
        <v>212</v>
      </c>
      <c r="G121" s="46">
        <v>2.6</v>
      </c>
      <c r="H121" s="44">
        <f t="shared" si="42"/>
        <v>2600</v>
      </c>
      <c r="I121" s="46">
        <v>267</v>
      </c>
      <c r="J121" s="46">
        <v>76.2</v>
      </c>
      <c r="K121" s="44">
        <f t="shared" si="40"/>
        <v>1.7318181818181819</v>
      </c>
      <c r="L121" s="50">
        <f t="shared" si="43"/>
        <v>2</v>
      </c>
      <c r="M121" s="44">
        <f>(H121+300)</f>
        <v>2900</v>
      </c>
      <c r="N121" s="44">
        <f t="shared" si="41"/>
        <v>367</v>
      </c>
      <c r="O121" s="159">
        <v>44</v>
      </c>
      <c r="P121" s="44">
        <f t="shared" si="44"/>
        <v>0.73181818181818192</v>
      </c>
      <c r="Q121" s="44">
        <f t="shared" si="47"/>
        <v>2</v>
      </c>
      <c r="R121" s="165" t="s">
        <v>341</v>
      </c>
      <c r="S121" s="54">
        <v>2</v>
      </c>
      <c r="T121" s="161" t="s">
        <v>339</v>
      </c>
      <c r="U121" s="53" t="s">
        <v>221</v>
      </c>
      <c r="V121" s="140">
        <v>47392</v>
      </c>
      <c r="W121" s="128">
        <v>0</v>
      </c>
      <c r="X121" s="88">
        <f t="shared" si="45"/>
        <v>0</v>
      </c>
      <c r="Y121" s="107">
        <v>0</v>
      </c>
      <c r="Z121" s="89">
        <f t="shared" si="46"/>
        <v>0</v>
      </c>
    </row>
    <row r="122" spans="2:26" ht="15.75" thickBot="1" x14ac:dyDescent="0.3">
      <c r="B122" s="311"/>
      <c r="C122" s="56">
        <v>64.299999999999983</v>
      </c>
      <c r="D122" s="56" t="s">
        <v>48</v>
      </c>
      <c r="E122" s="45" t="s">
        <v>52</v>
      </c>
      <c r="F122" s="157" t="s">
        <v>212</v>
      </c>
      <c r="G122" s="46">
        <v>2.6</v>
      </c>
      <c r="H122" s="44">
        <f t="shared" si="42"/>
        <v>2600</v>
      </c>
      <c r="I122" s="46">
        <v>267</v>
      </c>
      <c r="J122" s="46">
        <v>76.2</v>
      </c>
      <c r="K122" s="44">
        <f t="shared" si="40"/>
        <v>1.1043478260869566</v>
      </c>
      <c r="L122" s="50">
        <f t="shared" si="43"/>
        <v>2</v>
      </c>
      <c r="M122" s="44">
        <f>(H122+300)</f>
        <v>2900</v>
      </c>
      <c r="N122" s="44">
        <f t="shared" si="41"/>
        <v>367</v>
      </c>
      <c r="O122" s="159">
        <v>69</v>
      </c>
      <c r="P122" s="44">
        <f t="shared" si="44"/>
        <v>0.10434782608695659</v>
      </c>
      <c r="Q122" s="44">
        <f t="shared" si="47"/>
        <v>2</v>
      </c>
      <c r="R122" s="165" t="s">
        <v>341</v>
      </c>
      <c r="S122" s="54">
        <v>2</v>
      </c>
      <c r="T122" s="161" t="s">
        <v>339</v>
      </c>
      <c r="U122" s="53" t="s">
        <v>221</v>
      </c>
      <c r="V122" s="140">
        <v>47392</v>
      </c>
      <c r="W122" s="129">
        <v>0</v>
      </c>
      <c r="X122" s="90">
        <f t="shared" si="45"/>
        <v>0</v>
      </c>
      <c r="Y122" s="108">
        <v>0</v>
      </c>
      <c r="Z122" s="91">
        <f t="shared" si="46"/>
        <v>0</v>
      </c>
    </row>
    <row r="123" spans="2:26" s="66" customFormat="1" ht="15.75" thickBot="1" x14ac:dyDescent="0.3">
      <c r="B123" s="313"/>
      <c r="C123" s="189" t="s">
        <v>284</v>
      </c>
      <c r="D123" s="189"/>
      <c r="E123" s="180"/>
      <c r="F123" s="180"/>
      <c r="G123" s="180"/>
      <c r="H123" s="180"/>
      <c r="I123" s="180"/>
      <c r="J123" s="180"/>
      <c r="K123" s="180"/>
      <c r="L123" s="180">
        <f>SUM(L109:L122)</f>
        <v>28</v>
      </c>
      <c r="M123" s="180"/>
      <c r="N123" s="180"/>
      <c r="O123" s="180"/>
      <c r="P123" s="180"/>
      <c r="Q123" s="180">
        <f>SUM(Q109:Q122)</f>
        <v>28</v>
      </c>
      <c r="R123" s="180"/>
      <c r="S123" s="190">
        <f>SUM(S109:S122)</f>
        <v>28</v>
      </c>
      <c r="T123" s="190"/>
      <c r="U123" s="190"/>
      <c r="V123" s="190"/>
      <c r="W123" s="130"/>
      <c r="X123" s="75">
        <f>SUM(X109:X122)</f>
        <v>0</v>
      </c>
      <c r="Y123" s="75"/>
      <c r="Z123" s="75">
        <f>SUM(Z109:Z122)</f>
        <v>0</v>
      </c>
    </row>
    <row r="124" spans="2:26" x14ac:dyDescent="0.25">
      <c r="B124" s="310" t="s">
        <v>361</v>
      </c>
      <c r="C124" s="56">
        <v>65.099999999999994</v>
      </c>
      <c r="D124" s="56" t="s">
        <v>48</v>
      </c>
      <c r="E124" s="45" t="s">
        <v>59</v>
      </c>
      <c r="F124" s="157" t="s">
        <v>212</v>
      </c>
      <c r="G124" s="46">
        <v>2.1</v>
      </c>
      <c r="H124" s="44">
        <f t="shared" ref="H124:H134" si="48">CONVERT(G124,"m","mm")</f>
        <v>2100</v>
      </c>
      <c r="I124" s="46">
        <v>267</v>
      </c>
      <c r="J124" s="46">
        <v>76.2</v>
      </c>
      <c r="K124" s="44">
        <f t="shared" si="40"/>
        <v>1.7318181818181819</v>
      </c>
      <c r="L124" s="50">
        <f t="shared" ref="L124:L134" si="49">ROUNDUP(K124,0)</f>
        <v>2</v>
      </c>
      <c r="M124" s="44">
        <f>(H124+350)</f>
        <v>2450</v>
      </c>
      <c r="N124" s="44">
        <f t="shared" si="41"/>
        <v>367</v>
      </c>
      <c r="O124" s="44">
        <v>44</v>
      </c>
      <c r="P124" s="44">
        <f t="shared" ref="P124:P134" si="50">(K124-1)</f>
        <v>0.73181818181818192</v>
      </c>
      <c r="Q124" s="44">
        <f>(L124-1)*2</f>
        <v>2</v>
      </c>
      <c r="R124" s="165" t="s">
        <v>341</v>
      </c>
      <c r="S124" s="54">
        <v>2</v>
      </c>
      <c r="T124" s="161" t="s">
        <v>339</v>
      </c>
      <c r="U124" s="53" t="s">
        <v>221</v>
      </c>
      <c r="V124" s="140">
        <v>11018</v>
      </c>
      <c r="W124" s="127">
        <v>0</v>
      </c>
      <c r="X124" s="86">
        <f t="shared" ref="X124:X134" si="51">(W124*Q124)</f>
        <v>0</v>
      </c>
      <c r="Y124" s="106">
        <v>0</v>
      </c>
      <c r="Z124" s="87">
        <f t="shared" ref="Z124:Z134" si="52">(Y124*S124)</f>
        <v>0</v>
      </c>
    </row>
    <row r="125" spans="2:26" x14ac:dyDescent="0.25">
      <c r="B125" s="311"/>
      <c r="C125" s="56">
        <v>65.199999999999989</v>
      </c>
      <c r="D125" s="56" t="s">
        <v>48</v>
      </c>
      <c r="E125" s="45" t="s">
        <v>76</v>
      </c>
      <c r="F125" s="157" t="s">
        <v>213</v>
      </c>
      <c r="G125" s="46">
        <v>7.4</v>
      </c>
      <c r="H125" s="44">
        <f t="shared" si="48"/>
        <v>7400</v>
      </c>
      <c r="I125" s="46">
        <v>392</v>
      </c>
      <c r="J125" s="46">
        <v>76.2</v>
      </c>
      <c r="K125" s="44">
        <f t="shared" si="40"/>
        <v>1.7318181818181819</v>
      </c>
      <c r="L125" s="50">
        <f t="shared" si="49"/>
        <v>2</v>
      </c>
      <c r="M125" s="44">
        <f>(H125+300)</f>
        <v>7700</v>
      </c>
      <c r="N125" s="44">
        <f t="shared" si="41"/>
        <v>492</v>
      </c>
      <c r="O125" s="159">
        <v>44</v>
      </c>
      <c r="P125" s="44">
        <f t="shared" si="50"/>
        <v>0.73181818181818192</v>
      </c>
      <c r="Q125" s="44">
        <f t="shared" ref="Q125:Q134" si="53">(L125-1)*2</f>
        <v>2</v>
      </c>
      <c r="R125" s="165" t="s">
        <v>342</v>
      </c>
      <c r="S125" s="54">
        <v>2</v>
      </c>
      <c r="T125" s="166" t="s">
        <v>340</v>
      </c>
      <c r="U125" s="53" t="s">
        <v>221</v>
      </c>
      <c r="V125" s="140">
        <v>11018</v>
      </c>
      <c r="W125" s="128">
        <v>0</v>
      </c>
      <c r="X125" s="88">
        <f t="shared" si="51"/>
        <v>0</v>
      </c>
      <c r="Y125" s="107">
        <v>0</v>
      </c>
      <c r="Z125" s="89">
        <f t="shared" si="52"/>
        <v>0</v>
      </c>
    </row>
    <row r="126" spans="2:26" x14ac:dyDescent="0.25">
      <c r="B126" s="311"/>
      <c r="C126" s="56">
        <v>65.299999999999983</v>
      </c>
      <c r="D126" s="56" t="s">
        <v>48</v>
      </c>
      <c r="E126" s="45" t="s">
        <v>26</v>
      </c>
      <c r="F126" s="157" t="s">
        <v>212</v>
      </c>
      <c r="G126" s="46">
        <v>5</v>
      </c>
      <c r="H126" s="44">
        <f t="shared" si="48"/>
        <v>5000</v>
      </c>
      <c r="I126" s="46">
        <v>267</v>
      </c>
      <c r="J126" s="46">
        <v>76.2</v>
      </c>
      <c r="K126" s="44">
        <f t="shared" si="40"/>
        <v>1.7318181818181819</v>
      </c>
      <c r="L126" s="50">
        <f t="shared" si="49"/>
        <v>2</v>
      </c>
      <c r="M126" s="44">
        <f>(H126+300)</f>
        <v>5300</v>
      </c>
      <c r="N126" s="44">
        <f t="shared" si="41"/>
        <v>367</v>
      </c>
      <c r="O126" s="159">
        <v>44</v>
      </c>
      <c r="P126" s="44">
        <f t="shared" si="50"/>
        <v>0.73181818181818192</v>
      </c>
      <c r="Q126" s="44">
        <f t="shared" si="53"/>
        <v>2</v>
      </c>
      <c r="R126" s="165" t="s">
        <v>341</v>
      </c>
      <c r="S126" s="54">
        <v>2</v>
      </c>
      <c r="T126" s="161" t="s">
        <v>339</v>
      </c>
      <c r="U126" s="53" t="s">
        <v>221</v>
      </c>
      <c r="V126" s="140">
        <v>11018</v>
      </c>
      <c r="W126" s="128">
        <v>0</v>
      </c>
      <c r="X126" s="88">
        <f t="shared" si="51"/>
        <v>0</v>
      </c>
      <c r="Y126" s="107">
        <v>0</v>
      </c>
      <c r="Z126" s="89">
        <f t="shared" si="52"/>
        <v>0</v>
      </c>
    </row>
    <row r="127" spans="2:26" x14ac:dyDescent="0.25">
      <c r="B127" s="311"/>
      <c r="C127" s="56">
        <v>66.099999999999994</v>
      </c>
      <c r="D127" s="56" t="s">
        <v>48</v>
      </c>
      <c r="E127" s="45" t="s">
        <v>59</v>
      </c>
      <c r="F127" s="157" t="s">
        <v>213</v>
      </c>
      <c r="G127" s="46">
        <v>5.7</v>
      </c>
      <c r="H127" s="44">
        <f t="shared" si="48"/>
        <v>5700</v>
      </c>
      <c r="I127" s="46">
        <v>355</v>
      </c>
      <c r="J127" s="46">
        <v>101.6</v>
      </c>
      <c r="K127" s="44">
        <f t="shared" si="40"/>
        <v>2.3090909090909091</v>
      </c>
      <c r="L127" s="50">
        <f t="shared" si="49"/>
        <v>3</v>
      </c>
      <c r="M127" s="44">
        <f>(H127+350)</f>
        <v>6050</v>
      </c>
      <c r="N127" s="44">
        <f t="shared" si="41"/>
        <v>455</v>
      </c>
      <c r="O127" s="159">
        <v>44</v>
      </c>
      <c r="P127" s="44">
        <f t="shared" si="50"/>
        <v>1.3090909090909091</v>
      </c>
      <c r="Q127" s="44">
        <f t="shared" si="53"/>
        <v>4</v>
      </c>
      <c r="R127" s="165" t="s">
        <v>342</v>
      </c>
      <c r="S127" s="54">
        <v>2</v>
      </c>
      <c r="T127" s="166" t="s">
        <v>340</v>
      </c>
      <c r="U127" s="53" t="s">
        <v>221</v>
      </c>
      <c r="V127" s="140">
        <v>11018</v>
      </c>
      <c r="W127" s="128">
        <v>0</v>
      </c>
      <c r="X127" s="88">
        <f t="shared" si="51"/>
        <v>0</v>
      </c>
      <c r="Y127" s="107">
        <v>0</v>
      </c>
      <c r="Z127" s="89">
        <f t="shared" si="52"/>
        <v>0</v>
      </c>
    </row>
    <row r="128" spans="2:26" x14ac:dyDescent="0.25">
      <c r="B128" s="311"/>
      <c r="C128" s="56">
        <v>66.199999999999989</v>
      </c>
      <c r="D128" s="56" t="s">
        <v>48</v>
      </c>
      <c r="E128" s="45" t="s">
        <v>26</v>
      </c>
      <c r="F128" s="157" t="s">
        <v>213</v>
      </c>
      <c r="G128" s="46">
        <v>7.4</v>
      </c>
      <c r="H128" s="44">
        <f t="shared" si="48"/>
        <v>7400</v>
      </c>
      <c r="I128" s="46">
        <v>355</v>
      </c>
      <c r="J128" s="46">
        <v>101.6</v>
      </c>
      <c r="K128" s="44">
        <f t="shared" si="40"/>
        <v>2.3090909090909091</v>
      </c>
      <c r="L128" s="50">
        <f t="shared" si="49"/>
        <v>3</v>
      </c>
      <c r="M128" s="44">
        <f>(H128+300)</f>
        <v>7700</v>
      </c>
      <c r="N128" s="44">
        <f t="shared" si="41"/>
        <v>455</v>
      </c>
      <c r="O128" s="159">
        <v>44</v>
      </c>
      <c r="P128" s="44">
        <f t="shared" si="50"/>
        <v>1.3090909090909091</v>
      </c>
      <c r="Q128" s="44">
        <f t="shared" si="53"/>
        <v>4</v>
      </c>
      <c r="R128" s="165" t="s">
        <v>342</v>
      </c>
      <c r="S128" s="54">
        <v>2</v>
      </c>
      <c r="T128" s="166" t="s">
        <v>340</v>
      </c>
      <c r="U128" s="53" t="s">
        <v>221</v>
      </c>
      <c r="V128" s="140">
        <v>11018</v>
      </c>
      <c r="W128" s="128">
        <v>0</v>
      </c>
      <c r="X128" s="88">
        <f t="shared" si="51"/>
        <v>0</v>
      </c>
      <c r="Y128" s="107">
        <v>0</v>
      </c>
      <c r="Z128" s="89">
        <f t="shared" si="52"/>
        <v>0</v>
      </c>
    </row>
    <row r="129" spans="2:26" x14ac:dyDescent="0.25">
      <c r="B129" s="311"/>
      <c r="C129" s="56">
        <v>66.299999999999983</v>
      </c>
      <c r="D129" s="56" t="s">
        <v>48</v>
      </c>
      <c r="E129" s="45" t="s">
        <v>70</v>
      </c>
      <c r="F129" s="157" t="s">
        <v>213</v>
      </c>
      <c r="G129" s="46">
        <v>7.4</v>
      </c>
      <c r="H129" s="44">
        <f t="shared" si="48"/>
        <v>7400</v>
      </c>
      <c r="I129" s="46">
        <v>400</v>
      </c>
      <c r="J129" s="46">
        <v>101.6</v>
      </c>
      <c r="K129" s="44">
        <f t="shared" si="40"/>
        <v>1.472463768115942</v>
      </c>
      <c r="L129" s="50">
        <f t="shared" si="49"/>
        <v>2</v>
      </c>
      <c r="M129" s="44">
        <f>(H129+300)</f>
        <v>7700</v>
      </c>
      <c r="N129" s="44">
        <f t="shared" si="41"/>
        <v>500</v>
      </c>
      <c r="O129" s="159">
        <v>69</v>
      </c>
      <c r="P129" s="44">
        <f t="shared" si="50"/>
        <v>0.47246376811594204</v>
      </c>
      <c r="Q129" s="44">
        <f t="shared" si="53"/>
        <v>2</v>
      </c>
      <c r="R129" s="165" t="s">
        <v>342</v>
      </c>
      <c r="S129" s="54">
        <v>2</v>
      </c>
      <c r="T129" s="166" t="s">
        <v>340</v>
      </c>
      <c r="U129" s="53" t="s">
        <v>221</v>
      </c>
      <c r="V129" s="140">
        <v>11018</v>
      </c>
      <c r="W129" s="128">
        <v>0</v>
      </c>
      <c r="X129" s="88">
        <f t="shared" si="51"/>
        <v>0</v>
      </c>
      <c r="Y129" s="107">
        <v>0</v>
      </c>
      <c r="Z129" s="89">
        <f t="shared" si="52"/>
        <v>0</v>
      </c>
    </row>
    <row r="130" spans="2:26" x14ac:dyDescent="0.25">
      <c r="B130" s="311"/>
      <c r="C130" s="56">
        <v>67.099999999999994</v>
      </c>
      <c r="D130" s="56" t="s">
        <v>48</v>
      </c>
      <c r="E130" s="45" t="s">
        <v>59</v>
      </c>
      <c r="F130" s="157" t="s">
        <v>213</v>
      </c>
      <c r="G130" s="46">
        <v>7.6</v>
      </c>
      <c r="H130" s="44">
        <f t="shared" si="48"/>
        <v>7600</v>
      </c>
      <c r="I130" s="46">
        <v>355</v>
      </c>
      <c r="J130" s="46">
        <v>101.6</v>
      </c>
      <c r="K130" s="44">
        <f t="shared" si="40"/>
        <v>2.3090909090909091</v>
      </c>
      <c r="L130" s="50">
        <f t="shared" si="49"/>
        <v>3</v>
      </c>
      <c r="M130" s="44">
        <f>(H130+350)</f>
        <v>7950</v>
      </c>
      <c r="N130" s="44">
        <f t="shared" si="41"/>
        <v>455</v>
      </c>
      <c r="O130" s="159">
        <v>44</v>
      </c>
      <c r="P130" s="44">
        <f t="shared" si="50"/>
        <v>1.3090909090909091</v>
      </c>
      <c r="Q130" s="44">
        <f t="shared" si="53"/>
        <v>4</v>
      </c>
      <c r="R130" s="165" t="s">
        <v>342</v>
      </c>
      <c r="S130" s="54">
        <v>2</v>
      </c>
      <c r="T130" s="166" t="s">
        <v>340</v>
      </c>
      <c r="U130" s="53" t="s">
        <v>221</v>
      </c>
      <c r="V130" s="140">
        <v>11018</v>
      </c>
      <c r="W130" s="128">
        <v>0</v>
      </c>
      <c r="X130" s="88">
        <f t="shared" si="51"/>
        <v>0</v>
      </c>
      <c r="Y130" s="107">
        <v>0</v>
      </c>
      <c r="Z130" s="89">
        <f t="shared" si="52"/>
        <v>0</v>
      </c>
    </row>
    <row r="131" spans="2:26" x14ac:dyDescent="0.25">
      <c r="B131" s="311"/>
      <c r="C131" s="56">
        <v>67.199999999999989</v>
      </c>
      <c r="D131" s="56" t="s">
        <v>48</v>
      </c>
      <c r="E131" s="45" t="s">
        <v>26</v>
      </c>
      <c r="F131" s="157" t="s">
        <v>213</v>
      </c>
      <c r="G131" s="46">
        <v>9.1999999999999993</v>
      </c>
      <c r="H131" s="44">
        <f t="shared" si="48"/>
        <v>9200</v>
      </c>
      <c r="I131" s="46">
        <v>355</v>
      </c>
      <c r="J131" s="46">
        <v>101.6</v>
      </c>
      <c r="K131" s="44">
        <f t="shared" si="40"/>
        <v>2.3090909090909091</v>
      </c>
      <c r="L131" s="50">
        <f t="shared" si="49"/>
        <v>3</v>
      </c>
      <c r="M131" s="44">
        <f>(H131+300)</f>
        <v>9500</v>
      </c>
      <c r="N131" s="44">
        <f t="shared" si="41"/>
        <v>455</v>
      </c>
      <c r="O131" s="159">
        <v>44</v>
      </c>
      <c r="P131" s="44">
        <f t="shared" si="50"/>
        <v>1.3090909090909091</v>
      </c>
      <c r="Q131" s="44">
        <f t="shared" si="53"/>
        <v>4</v>
      </c>
      <c r="R131" s="165" t="s">
        <v>342</v>
      </c>
      <c r="S131" s="54">
        <v>2</v>
      </c>
      <c r="T131" s="166" t="s">
        <v>340</v>
      </c>
      <c r="U131" s="53" t="s">
        <v>221</v>
      </c>
      <c r="V131" s="140">
        <v>11018</v>
      </c>
      <c r="W131" s="128">
        <v>0</v>
      </c>
      <c r="X131" s="88">
        <f t="shared" si="51"/>
        <v>0</v>
      </c>
      <c r="Y131" s="107">
        <v>0</v>
      </c>
      <c r="Z131" s="89">
        <f t="shared" si="52"/>
        <v>0</v>
      </c>
    </row>
    <row r="132" spans="2:26" x14ac:dyDescent="0.25">
      <c r="B132" s="311"/>
      <c r="C132" s="56">
        <v>68.099999999999994</v>
      </c>
      <c r="D132" s="56" t="s">
        <v>48</v>
      </c>
      <c r="E132" s="45" t="s">
        <v>59</v>
      </c>
      <c r="F132" s="157" t="s">
        <v>212</v>
      </c>
      <c r="G132" s="46">
        <v>4</v>
      </c>
      <c r="H132" s="44">
        <f t="shared" si="48"/>
        <v>4000</v>
      </c>
      <c r="I132" s="46">
        <v>203.2</v>
      </c>
      <c r="J132" s="46">
        <v>76.2</v>
      </c>
      <c r="K132" s="44">
        <f t="shared" si="40"/>
        <v>1.7318181818181819</v>
      </c>
      <c r="L132" s="50">
        <f t="shared" si="49"/>
        <v>2</v>
      </c>
      <c r="M132" s="44">
        <f>(H132+350)</f>
        <v>4350</v>
      </c>
      <c r="N132" s="44">
        <f t="shared" si="41"/>
        <v>303.2</v>
      </c>
      <c r="O132" s="159">
        <v>44</v>
      </c>
      <c r="P132" s="44">
        <f t="shared" si="50"/>
        <v>0.73181818181818192</v>
      </c>
      <c r="Q132" s="44">
        <f t="shared" si="53"/>
        <v>2</v>
      </c>
      <c r="R132" s="165" t="s">
        <v>341</v>
      </c>
      <c r="S132" s="54">
        <v>2</v>
      </c>
      <c r="T132" s="161" t="s">
        <v>339</v>
      </c>
      <c r="U132" s="53" t="s">
        <v>221</v>
      </c>
      <c r="V132" s="140">
        <v>11018</v>
      </c>
      <c r="W132" s="128">
        <v>0</v>
      </c>
      <c r="X132" s="88">
        <f t="shared" si="51"/>
        <v>0</v>
      </c>
      <c r="Y132" s="107">
        <v>0</v>
      </c>
      <c r="Z132" s="89">
        <f t="shared" si="52"/>
        <v>0</v>
      </c>
    </row>
    <row r="133" spans="2:26" x14ac:dyDescent="0.25">
      <c r="B133" s="311"/>
      <c r="C133" s="56">
        <v>68.199999999999989</v>
      </c>
      <c r="D133" s="56" t="s">
        <v>48</v>
      </c>
      <c r="E133" s="45" t="s">
        <v>26</v>
      </c>
      <c r="F133" s="157" t="s">
        <v>213</v>
      </c>
      <c r="G133" s="46">
        <v>7.3</v>
      </c>
      <c r="H133" s="44">
        <f t="shared" si="48"/>
        <v>7300</v>
      </c>
      <c r="I133" s="46">
        <v>203.2</v>
      </c>
      <c r="J133" s="46">
        <v>76.2</v>
      </c>
      <c r="K133" s="44">
        <f t="shared" si="40"/>
        <v>1.7318181818181819</v>
      </c>
      <c r="L133" s="50">
        <f t="shared" si="49"/>
        <v>2</v>
      </c>
      <c r="M133" s="44">
        <f>(H133+300)</f>
        <v>7600</v>
      </c>
      <c r="N133" s="44">
        <f t="shared" si="41"/>
        <v>303.2</v>
      </c>
      <c r="O133" s="159">
        <v>44</v>
      </c>
      <c r="P133" s="44">
        <f t="shared" si="50"/>
        <v>0.73181818181818192</v>
      </c>
      <c r="Q133" s="44">
        <f t="shared" si="53"/>
        <v>2</v>
      </c>
      <c r="R133" s="165" t="s">
        <v>342</v>
      </c>
      <c r="S133" s="54">
        <v>2</v>
      </c>
      <c r="T133" s="166" t="s">
        <v>340</v>
      </c>
      <c r="U133" s="53" t="s">
        <v>221</v>
      </c>
      <c r="V133" s="140">
        <v>11018</v>
      </c>
      <c r="W133" s="128">
        <v>0</v>
      </c>
      <c r="X133" s="88">
        <f t="shared" si="51"/>
        <v>0</v>
      </c>
      <c r="Y133" s="107">
        <v>0</v>
      </c>
      <c r="Z133" s="89">
        <f t="shared" si="52"/>
        <v>0</v>
      </c>
    </row>
    <row r="134" spans="2:26" ht="15.75" thickBot="1" x14ac:dyDescent="0.3">
      <c r="B134" s="311"/>
      <c r="C134" s="56">
        <v>68.3</v>
      </c>
      <c r="D134" s="56" t="s">
        <v>48</v>
      </c>
      <c r="E134" s="45" t="s">
        <v>52</v>
      </c>
      <c r="F134" s="157" t="s">
        <v>212</v>
      </c>
      <c r="G134" s="46">
        <v>3.5</v>
      </c>
      <c r="H134" s="44">
        <f t="shared" si="48"/>
        <v>3500</v>
      </c>
      <c r="I134" s="46">
        <v>203.2</v>
      </c>
      <c r="J134" s="46">
        <v>76.2</v>
      </c>
      <c r="K134" s="44">
        <f t="shared" si="40"/>
        <v>1.1043478260869566</v>
      </c>
      <c r="L134" s="50">
        <f t="shared" si="49"/>
        <v>2</v>
      </c>
      <c r="M134" s="44">
        <f>(H134+300)</f>
        <v>3800</v>
      </c>
      <c r="N134" s="44">
        <f t="shared" si="41"/>
        <v>303.2</v>
      </c>
      <c r="O134" s="159">
        <v>69</v>
      </c>
      <c r="P134" s="44">
        <f t="shared" si="50"/>
        <v>0.10434782608695659</v>
      </c>
      <c r="Q134" s="44">
        <f t="shared" si="53"/>
        <v>2</v>
      </c>
      <c r="R134" s="165" t="s">
        <v>341</v>
      </c>
      <c r="S134" s="54">
        <v>2</v>
      </c>
      <c r="T134" s="161" t="s">
        <v>339</v>
      </c>
      <c r="U134" s="53" t="s">
        <v>221</v>
      </c>
      <c r="V134" s="140">
        <v>11018</v>
      </c>
      <c r="W134" s="129">
        <v>0</v>
      </c>
      <c r="X134" s="90">
        <f t="shared" si="51"/>
        <v>0</v>
      </c>
      <c r="Y134" s="108">
        <v>0</v>
      </c>
      <c r="Z134" s="91">
        <f t="shared" si="52"/>
        <v>0</v>
      </c>
    </row>
    <row r="135" spans="2:26" s="42" customFormat="1" ht="15.75" thickBot="1" x14ac:dyDescent="0.3">
      <c r="B135" s="313"/>
      <c r="C135" s="189" t="s">
        <v>285</v>
      </c>
      <c r="D135" s="191"/>
      <c r="E135" s="192"/>
      <c r="F135" s="192"/>
      <c r="G135" s="192"/>
      <c r="H135" s="192"/>
      <c r="I135" s="192"/>
      <c r="J135" s="192"/>
      <c r="K135" s="192"/>
      <c r="L135" s="192">
        <f>SUM(L124:L134)</f>
        <v>26</v>
      </c>
      <c r="M135" s="192"/>
      <c r="N135" s="192"/>
      <c r="O135" s="192"/>
      <c r="P135" s="192"/>
      <c r="Q135" s="192">
        <f>SUM(Q124:Q134)</f>
        <v>30</v>
      </c>
      <c r="R135" s="192"/>
      <c r="S135" s="193">
        <f>SUM(S124:S134)</f>
        <v>22</v>
      </c>
      <c r="T135" s="193"/>
      <c r="U135" s="193"/>
      <c r="V135" s="193"/>
      <c r="W135" s="130"/>
      <c r="X135" s="76">
        <f>SUM(X124:X134)</f>
        <v>0</v>
      </c>
      <c r="Y135" s="75"/>
      <c r="Z135" s="76">
        <f>SUM(Z124:Z134)</f>
        <v>0</v>
      </c>
    </row>
    <row r="136" spans="2:26" x14ac:dyDescent="0.25">
      <c r="B136" s="310" t="s">
        <v>362</v>
      </c>
      <c r="C136" s="56">
        <v>69.099999999999994</v>
      </c>
      <c r="D136" s="56" t="s">
        <v>48</v>
      </c>
      <c r="E136" s="45" t="s">
        <v>59</v>
      </c>
      <c r="F136" s="157" t="s">
        <v>212</v>
      </c>
      <c r="G136" s="46">
        <v>3.5</v>
      </c>
      <c r="H136" s="44">
        <f>CONVERT(G136,"m","mm")</f>
        <v>3500</v>
      </c>
      <c r="I136" s="46">
        <v>203.2</v>
      </c>
      <c r="J136" s="46">
        <v>76.2</v>
      </c>
      <c r="K136" s="44">
        <f t="shared" si="40"/>
        <v>1.7318181818181819</v>
      </c>
      <c r="L136" s="50">
        <f>ROUNDUP(K136,0)</f>
        <v>2</v>
      </c>
      <c r="M136" s="44">
        <f>(H136+350)</f>
        <v>3850</v>
      </c>
      <c r="N136" s="44">
        <f t="shared" si="41"/>
        <v>303.2</v>
      </c>
      <c r="O136" s="44">
        <v>44</v>
      </c>
      <c r="P136" s="44">
        <f>(K136-1)</f>
        <v>0.73181818181818192</v>
      </c>
      <c r="Q136" s="44">
        <f>(L136-1)*2</f>
        <v>2</v>
      </c>
      <c r="R136" s="165" t="s">
        <v>341</v>
      </c>
      <c r="S136" s="54">
        <v>2</v>
      </c>
      <c r="T136" s="161" t="s">
        <v>339</v>
      </c>
      <c r="U136" s="53" t="s">
        <v>221</v>
      </c>
      <c r="V136" s="140">
        <v>11355</v>
      </c>
      <c r="W136" s="127">
        <v>0</v>
      </c>
      <c r="X136" s="86">
        <f>(W136*Q136)</f>
        <v>0</v>
      </c>
      <c r="Y136" s="106">
        <v>0</v>
      </c>
      <c r="Z136" s="87">
        <f>(Y136*S136)</f>
        <v>0</v>
      </c>
    </row>
    <row r="137" spans="2:26" x14ac:dyDescent="0.25">
      <c r="B137" s="311"/>
      <c r="C137" s="56">
        <v>69.199999999999989</v>
      </c>
      <c r="D137" s="56" t="s">
        <v>48</v>
      </c>
      <c r="E137" s="45" t="s">
        <v>26</v>
      </c>
      <c r="F137" s="157" t="s">
        <v>212</v>
      </c>
      <c r="G137" s="46">
        <v>5.0999999999999996</v>
      </c>
      <c r="H137" s="44">
        <f>CONVERT(G137,"m","mm")</f>
        <v>5100</v>
      </c>
      <c r="I137" s="46">
        <v>203.2</v>
      </c>
      <c r="J137" s="46">
        <v>76.2</v>
      </c>
      <c r="K137" s="44">
        <f t="shared" si="40"/>
        <v>1.7318181818181819</v>
      </c>
      <c r="L137" s="50">
        <f>ROUNDUP(K137,0)</f>
        <v>2</v>
      </c>
      <c r="M137" s="44">
        <f>(H137+300)</f>
        <v>5400</v>
      </c>
      <c r="N137" s="44">
        <f t="shared" si="41"/>
        <v>303.2</v>
      </c>
      <c r="O137" s="159">
        <v>44</v>
      </c>
      <c r="P137" s="44">
        <f>(K137-1)</f>
        <v>0.73181818181818192</v>
      </c>
      <c r="Q137" s="44">
        <f>(L137-1)*2</f>
        <v>2</v>
      </c>
      <c r="R137" s="165" t="s">
        <v>341</v>
      </c>
      <c r="S137" s="54">
        <v>2</v>
      </c>
      <c r="T137" s="161" t="s">
        <v>339</v>
      </c>
      <c r="U137" s="53" t="s">
        <v>221</v>
      </c>
      <c r="V137" s="140">
        <v>11355</v>
      </c>
      <c r="W137" s="128">
        <v>0</v>
      </c>
      <c r="X137" s="88">
        <f>(W137*Q137)</f>
        <v>0</v>
      </c>
      <c r="Y137" s="107">
        <v>0</v>
      </c>
      <c r="Z137" s="89">
        <f>(Y137*S137)</f>
        <v>0</v>
      </c>
    </row>
    <row r="138" spans="2:26" ht="15.75" thickBot="1" x14ac:dyDescent="0.3">
      <c r="B138" s="311"/>
      <c r="C138" s="56">
        <v>69.299999999999983</v>
      </c>
      <c r="D138" s="56" t="s">
        <v>48</v>
      </c>
      <c r="E138" s="45" t="s">
        <v>52</v>
      </c>
      <c r="F138" s="157" t="s">
        <v>213</v>
      </c>
      <c r="G138" s="46">
        <v>5.8</v>
      </c>
      <c r="H138" s="44">
        <f>CONVERT(G138,"m","mm")</f>
        <v>5800</v>
      </c>
      <c r="I138" s="46">
        <v>203.2</v>
      </c>
      <c r="J138" s="46">
        <v>76.2</v>
      </c>
      <c r="K138" s="44">
        <f t="shared" si="40"/>
        <v>1.1043478260869566</v>
      </c>
      <c r="L138" s="50">
        <f>ROUNDUP(K138,0)</f>
        <v>2</v>
      </c>
      <c r="M138" s="44">
        <f>(H138+300)</f>
        <v>6100</v>
      </c>
      <c r="N138" s="44">
        <f t="shared" si="41"/>
        <v>303.2</v>
      </c>
      <c r="O138" s="159">
        <v>69</v>
      </c>
      <c r="P138" s="44">
        <f>(K138-1)</f>
        <v>0.10434782608695659</v>
      </c>
      <c r="Q138" s="44">
        <f>(L138-1)*2</f>
        <v>2</v>
      </c>
      <c r="R138" s="165" t="s">
        <v>342</v>
      </c>
      <c r="S138" s="54">
        <v>2</v>
      </c>
      <c r="T138" s="166" t="s">
        <v>340</v>
      </c>
      <c r="U138" s="53" t="s">
        <v>221</v>
      </c>
      <c r="V138" s="140">
        <v>11355</v>
      </c>
      <c r="W138" s="129">
        <v>0</v>
      </c>
      <c r="X138" s="90">
        <f>(W138*Q138)</f>
        <v>0</v>
      </c>
      <c r="Y138" s="108">
        <v>0</v>
      </c>
      <c r="Z138" s="91">
        <f>(Y138*S138)</f>
        <v>0</v>
      </c>
    </row>
    <row r="139" spans="2:26" s="42" customFormat="1" ht="15.75" thickBot="1" x14ac:dyDescent="0.3">
      <c r="B139" s="313"/>
      <c r="C139" s="189" t="s">
        <v>286</v>
      </c>
      <c r="D139" s="192">
        <v>139</v>
      </c>
      <c r="E139" s="192"/>
      <c r="F139" s="192"/>
      <c r="G139" s="192"/>
      <c r="H139" s="192"/>
      <c r="I139" s="192"/>
      <c r="J139" s="192"/>
      <c r="K139" s="192"/>
      <c r="L139" s="192"/>
      <c r="M139" s="192"/>
      <c r="N139" s="192"/>
      <c r="O139" s="192"/>
      <c r="P139" s="192"/>
      <c r="Q139" s="194">
        <f>SUM(Q136:Q138)</f>
        <v>6</v>
      </c>
      <c r="R139" s="192"/>
      <c r="S139" s="195">
        <f>SUM(S136:S138)</f>
        <v>6</v>
      </c>
      <c r="T139" s="193"/>
      <c r="U139" s="193"/>
      <c r="V139" s="193"/>
      <c r="W139" s="130"/>
      <c r="X139" s="76">
        <f>SUM(X136:X138)</f>
        <v>0</v>
      </c>
      <c r="Y139" s="75"/>
      <c r="Z139" s="76">
        <f>SUM(Z136:Z138)</f>
        <v>0</v>
      </c>
    </row>
    <row r="140" spans="2:26" ht="14.25" customHeight="1" thickBot="1" x14ac:dyDescent="0.3">
      <c r="P140" s="85"/>
      <c r="Q140" s="207">
        <f>SUM(Q139,Q135,Q123,Q108,Q87,Q67,Q51,Q36,Q18)</f>
        <v>632</v>
      </c>
      <c r="S140" s="225">
        <f>SUM(S139,S135,S123,S108,S87,S67,S51,S36,S18)</f>
        <v>246</v>
      </c>
      <c r="X140" s="76">
        <f>SUM(X139,X135,X123,X108,X87,X67,X51,X36,X18)</f>
        <v>0</v>
      </c>
      <c r="Z140" s="76">
        <f>SUM(Z139,Z135,Z123,Z108,Z87,Z67,Z51,Z36,Z18)</f>
        <v>0</v>
      </c>
    </row>
  </sheetData>
  <autoFilter ref="C6:Z140" xr:uid="{3DFAF8E0-AFCA-4156-90D8-12936EBDA6DE}"/>
  <mergeCells count="14">
    <mergeCell ref="B88:B108"/>
    <mergeCell ref="B109:B123"/>
    <mergeCell ref="B124:B135"/>
    <mergeCell ref="B136:B139"/>
    <mergeCell ref="B8:B18"/>
    <mergeCell ref="B19:B36"/>
    <mergeCell ref="B37:B51"/>
    <mergeCell ref="B52:B67"/>
    <mergeCell ref="B68:B87"/>
    <mergeCell ref="G5:J5"/>
    <mergeCell ref="W4:W5"/>
    <mergeCell ref="Y4:Y5"/>
    <mergeCell ref="M4:O5"/>
    <mergeCell ref="M2:V2"/>
  </mergeCells>
  <printOptions gridLines="1"/>
  <pageMargins left="0.31496062992125984" right="0.31496062992125984" top="0.55118110236220474" bottom="0.55118110236220474" header="0.31496062992125984" footer="0.31496062992125984"/>
  <pageSetup paperSize="9" scale="95" orientation="landscape" r:id="rId1"/>
  <headerFooter>
    <oddHeader xml:space="preserve">&amp;LPhase 1 Stbd&amp;RAppendix 1: Phases replanking Cutting List 20220627  </oddHeader>
    <oddFooter>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AC8C4AC-544D-4280-A360-06F5F1EDC2DA}">
          <x14:formula1>
            <xm:f>'Pick List'!$B$3:$B$5</xm:f>
          </x14:formula1>
          <xm:sqref>F8:F17 F19:F35 F37:F50 F52:F66 F68:F86 F88:F107 F109:F122 F124:F134 F136:F138</xm:sqref>
        </x14:dataValidation>
        <x14:dataValidation type="list" allowBlank="1" showInputMessage="1" showErrorMessage="1" xr:uid="{82270317-4A06-4271-8E17-08DD9FA485CF}">
          <x14:formula1>
            <xm:f>'Pick List'!$D$2:$D$4</xm:f>
          </x14:formula1>
          <xm:sqref>O8:O138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ADB43E42C281439908BEF7CFF74D21" ma:contentTypeVersion="0" ma:contentTypeDescription="Create a new document." ma:contentTypeScope="" ma:versionID="cc042408802050fa8faf7a73e992d3b1">
  <xsd:schema xmlns:xsd="http://www.w3.org/2001/XMLSchema" xmlns:xs="http://www.w3.org/2001/XMLSchema" xmlns:p="http://schemas.microsoft.com/office/2006/metadata/properties" targetNamespace="http://schemas.microsoft.com/office/2006/metadata/properties" ma:root="true" ma:fieldsID="d219b41e0cfa6fc342fc0aa3634f77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733A02-8EC0-4334-8892-DBDD5A010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FF0B9D-6E25-46EE-A4EC-EA8C9D71DA0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11B6D67-4CA4-4247-B4EC-84570423EB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1. User Notes</vt:lpstr>
      <vt:lpstr>Batch Summary</vt:lpstr>
      <vt:lpstr>2. Midships</vt:lpstr>
      <vt:lpstr>3. Internal Elements</vt:lpstr>
      <vt:lpstr>4. Compass Timbers</vt:lpstr>
      <vt:lpstr>5. Day OHP &amp; Subsistence</vt:lpstr>
      <vt:lpstr>6. By Lots</vt:lpstr>
      <vt:lpstr>7. Summary</vt:lpstr>
      <vt:lpstr>8. Bow</vt:lpstr>
      <vt:lpstr>9. Stern</vt:lpstr>
      <vt:lpstr>Pick List</vt:lpstr>
      <vt:lpstr>Nielsens Cutting List</vt:lpstr>
      <vt:lpstr>Bow</vt:lpstr>
      <vt:lpstr>Compass</vt:lpstr>
      <vt:lpstr>Internal</vt:lpstr>
      <vt:lpstr>Internal_Pivot</vt:lpstr>
      <vt:lpstr>'3. Internal Elements'!Midships</vt:lpstr>
      <vt:lpstr>'4. Compass Timbers'!Midships</vt:lpstr>
      <vt:lpstr>Midships</vt:lpstr>
      <vt:lpstr>Midships_Pivot</vt:lpstr>
      <vt:lpstr>'1. User Notes'!Print_Area</vt:lpstr>
      <vt:lpstr>'2. Midships'!Print_Area</vt:lpstr>
      <vt:lpstr>'3. Internal Elements'!Print_Area</vt:lpstr>
      <vt:lpstr>'4. Compass Timbers'!Print_Area</vt:lpstr>
      <vt:lpstr>'5. Day OHP &amp; Subsistence'!Print_Area</vt:lpstr>
      <vt:lpstr>'7. Summary'!Print_Area</vt:lpstr>
      <vt:lpstr>'Nielsens Cutting List'!Print_Area</vt:lpstr>
      <vt:lpstr>Stern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 Mills</dc:creator>
  <cp:lastModifiedBy>Simon Williams</cp:lastModifiedBy>
  <cp:lastPrinted>2022-07-16T17:19:01Z</cp:lastPrinted>
  <dcterms:created xsi:type="dcterms:W3CDTF">2022-05-13T12:28:44Z</dcterms:created>
  <dcterms:modified xsi:type="dcterms:W3CDTF">2022-07-19T09:26:30Z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0x01010013ADB43E42C281439908BEF7CFF74D21</vt:lpwstr>
  </property>
</Properties>
</file>