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todmordentowncouncil.sharepoint.com/sites/General/Shared Documents/Projects/Town Deal Sponsor/Planning and Construction/Tender documents/Tender Issue/"/>
    </mc:Choice>
  </mc:AlternateContent>
  <xr:revisionPtr revIDLastSave="11" documentId="14_{96031499-B2C1-40D3-A9F6-9672EF07BF2F}" xr6:coauthVersionLast="47" xr6:coauthVersionMax="47" xr10:uidLastSave="{0940990E-C7B7-4796-8073-3C0426C47EDC}"/>
  <bookViews>
    <workbookView xWindow="-120" yWindow="-120" windowWidth="29040" windowHeight="15720" tabRatio="682" firstSheet="13" activeTab="21" xr2:uid="{00000000-000D-0000-FFFF-FFFF00000000}"/>
  </bookViews>
  <sheets>
    <sheet name="Summary" sheetId="3" r:id="rId1"/>
    <sheet name="Preliminaries" sheetId="4" r:id="rId2"/>
    <sheet name="Demos &amp; Altertns" sheetId="54" r:id="rId3"/>
    <sheet name="Substructure" sheetId="62" r:id="rId4"/>
    <sheet name="Steel Frame" sheetId="65" r:id="rId5"/>
    <sheet name="External Walls" sheetId="40" r:id="rId6"/>
    <sheet name="Roofs" sheetId="38" r:id="rId7"/>
    <sheet name="Upper Floors" sheetId="55" r:id="rId8"/>
    <sheet name="Structural Reps Works" sheetId="51" r:id="rId9"/>
    <sheet name="Internal Walls" sheetId="53" r:id="rId10"/>
    <sheet name="Wdws, " sheetId="17" r:id="rId11"/>
    <sheet name="Drs" sheetId="46" r:id="rId12"/>
    <sheet name="Wall Finishes" sheetId="57" r:id="rId13"/>
    <sheet name="FloorFinishes" sheetId="56" r:id="rId14"/>
    <sheet name="Ceiling Finishes" sheetId="58" r:id="rId15"/>
    <sheet name="Fittings" sheetId="59" r:id="rId16"/>
    <sheet name="M&amp;E Services" sheetId="47" r:id="rId17"/>
    <sheet name="Sanitary Fittings" sheetId="60" r:id="rId18"/>
    <sheet name="BWIC Extl Serv" sheetId="63" r:id="rId19"/>
    <sheet name="Extl Works" sheetId="61" r:id="rId20"/>
    <sheet name="Prov Sums" sheetId="28" r:id="rId21"/>
    <sheet name="Dayworks" sheetId="32" r:id="rId22"/>
  </sheets>
  <externalReferences>
    <externalReference r:id="rId23"/>
  </externalReferences>
  <definedNames>
    <definedName name="_xlnm.Print_Area" localSheetId="18">'BWIC Extl Serv'!$B$2:$H$94</definedName>
    <definedName name="_xlnm.Print_Area" localSheetId="14">'Ceiling Finishes'!$B$2:$I$143</definedName>
    <definedName name="_xlnm.Print_Area" localSheetId="2">'Demos &amp; Altertns'!$B$2:$I$151</definedName>
    <definedName name="_xlnm.Print_Area" localSheetId="11">Drs!$B$2:$I$143</definedName>
    <definedName name="_xlnm.Print_Area" localSheetId="5">'External Walls'!$B$2:$I$269</definedName>
    <definedName name="_xlnm.Print_Area" localSheetId="19">'Extl Works'!$B$2:$I$293</definedName>
    <definedName name="_xlnm.Print_Area" localSheetId="15">Fittings!$B$2:$I$215</definedName>
    <definedName name="_xlnm.Print_Area" localSheetId="13">FloorFinishes!$B$2:$I$127</definedName>
    <definedName name="_xlnm.Print_Area" localSheetId="9">'Internal Walls'!$B$2:$I$130</definedName>
    <definedName name="_xlnm.Print_Area" localSheetId="16">'M&amp;E Services'!$B$2:$J$203</definedName>
    <definedName name="_xlnm.Print_Area" localSheetId="6">Roofs!$B$2:$I$280</definedName>
    <definedName name="_xlnm.Print_Area" localSheetId="17">'Sanitary Fittings'!$B$2:$I$95</definedName>
    <definedName name="_xlnm.Print_Area" localSheetId="4">'Steel Frame'!$B$2:$I$130</definedName>
    <definedName name="_xlnm.Print_Area" localSheetId="8">'Structural Reps Works'!$B$2:$I$100</definedName>
    <definedName name="_xlnm.Print_Area" localSheetId="3">Substructure!$B$2:$I$190</definedName>
    <definedName name="_xlnm.Print_Area" localSheetId="7">'Upper Floors'!$B$2:$I$133</definedName>
    <definedName name="_xlnm.Print_Area" localSheetId="12">'Wall Finishes'!$B$2:$I$179</definedName>
    <definedName name="_xlnm.Print_Area" localSheetId="10">'Wdws, '!$B$2:$I$130</definedName>
    <definedName name="_xlnm.Print_Titles" localSheetId="18">'BWIC Extl Serv'!$2:$5</definedName>
    <definedName name="_xlnm.Print_Titles" localSheetId="14">'Ceiling Finishes'!$2:$5</definedName>
    <definedName name="_xlnm.Print_Titles" localSheetId="2">'Demos &amp; Altertns'!$2:$5</definedName>
    <definedName name="_xlnm.Print_Titles" localSheetId="11">Drs!$2:$4</definedName>
    <definedName name="_xlnm.Print_Titles" localSheetId="5">'External Walls'!$2:$4</definedName>
    <definedName name="_xlnm.Print_Titles" localSheetId="19">'Extl Works'!$2:$5</definedName>
    <definedName name="_xlnm.Print_Titles" localSheetId="15">Fittings!$2:$5</definedName>
    <definedName name="_xlnm.Print_Titles" localSheetId="13">FloorFinishes!$2:$5</definedName>
    <definedName name="_xlnm.Print_Titles" localSheetId="9">'Internal Walls'!$1:$4</definedName>
    <definedName name="_xlnm.Print_Titles" localSheetId="16">'M&amp;E Services'!$2:$4</definedName>
    <definedName name="_xlnm.Print_Titles" localSheetId="1">Preliminaries!$2:$5</definedName>
    <definedName name="_xlnm.Print_Titles" localSheetId="20">'Prov Sums'!$2:$5</definedName>
    <definedName name="_xlnm.Print_Titles" localSheetId="6">Roofs!$2:$4</definedName>
    <definedName name="_xlnm.Print_Titles" localSheetId="17">'Sanitary Fittings'!$2:$5</definedName>
    <definedName name="_xlnm.Print_Titles" localSheetId="4">'Steel Frame'!$2:$5</definedName>
    <definedName name="_xlnm.Print_Titles" localSheetId="8">'Structural Reps Works'!$2:$5</definedName>
    <definedName name="_xlnm.Print_Titles" localSheetId="3">Substructure!$2:$5</definedName>
    <definedName name="_xlnm.Print_Titles" localSheetId="7">'Upper Floors'!$2:$5</definedName>
    <definedName name="_xlnm.Print_Titles" localSheetId="12">'Wall Finishes'!$2:$4</definedName>
    <definedName name="_xlnm.Print_Titles" localSheetId="10">'Wdws, '!$2:$4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8" i="28" l="1"/>
  <c r="H53" i="28"/>
  <c r="G15" i="3"/>
  <c r="I46" i="61"/>
  <c r="B46" i="61"/>
  <c r="E30" i="61"/>
  <c r="E36" i="61"/>
  <c r="H94" i="63"/>
  <c r="I95" i="60"/>
  <c r="I93" i="60"/>
  <c r="I92" i="60"/>
  <c r="I91" i="60"/>
  <c r="I90" i="60"/>
  <c r="I89" i="60"/>
  <c r="I88" i="60"/>
  <c r="I87" i="60"/>
  <c r="I86" i="60"/>
  <c r="I85" i="60"/>
  <c r="I84" i="60"/>
  <c r="I83" i="60"/>
  <c r="I82" i="60"/>
  <c r="I81" i="60"/>
  <c r="I80" i="60"/>
  <c r="I79" i="60"/>
  <c r="I78" i="60"/>
  <c r="I77" i="60"/>
  <c r="I76" i="60"/>
  <c r="I75" i="60"/>
  <c r="I74" i="60"/>
  <c r="I73" i="60"/>
  <c r="I72" i="60"/>
  <c r="I71" i="60"/>
  <c r="I70" i="60"/>
  <c r="I69" i="60"/>
  <c r="I68" i="60"/>
  <c r="I67" i="60"/>
  <c r="I66" i="60"/>
  <c r="I65" i="60"/>
  <c r="I64" i="60"/>
  <c r="I63" i="60"/>
  <c r="I62" i="60"/>
  <c r="I61" i="60"/>
  <c r="I60" i="60"/>
  <c r="I59" i="60"/>
  <c r="I58" i="60"/>
  <c r="I57" i="60"/>
  <c r="I56" i="60"/>
  <c r="I55" i="60"/>
  <c r="I47" i="60"/>
  <c r="H203" i="47"/>
  <c r="J155" i="47"/>
  <c r="H155" i="47"/>
  <c r="B121" i="47"/>
  <c r="H117" i="47"/>
  <c r="J117" i="47"/>
  <c r="H3" i="56"/>
  <c r="I38" i="57"/>
  <c r="I100" i="51"/>
  <c r="I269" i="40"/>
  <c r="I135" i="40"/>
  <c r="F23" i="3"/>
  <c r="G23" i="3" s="1"/>
  <c r="E23" i="3"/>
  <c r="I90" i="51"/>
  <c r="I89" i="51"/>
  <c r="I88" i="51"/>
  <c r="I87" i="51"/>
  <c r="I86" i="51"/>
  <c r="I85" i="51"/>
  <c r="I84" i="51"/>
  <c r="I83" i="51"/>
  <c r="I82" i="51"/>
  <c r="I81" i="51"/>
  <c r="I80" i="51"/>
  <c r="I79" i="51"/>
  <c r="I78" i="51"/>
  <c r="I77" i="51"/>
  <c r="I76" i="51"/>
  <c r="I75" i="51"/>
  <c r="I74" i="51"/>
  <c r="I73" i="51"/>
  <c r="I72" i="51"/>
  <c r="I71" i="51"/>
  <c r="I70" i="51"/>
  <c r="I69" i="51"/>
  <c r="I68" i="51"/>
  <c r="I67" i="51"/>
  <c r="I66" i="51"/>
  <c r="I65" i="51"/>
  <c r="I64" i="51"/>
  <c r="I63" i="51"/>
  <c r="I62" i="51"/>
  <c r="I61" i="51"/>
  <c r="I60" i="51"/>
  <c r="I59" i="51"/>
  <c r="I58" i="51"/>
  <c r="I57" i="51"/>
  <c r="I56" i="51"/>
  <c r="I55" i="51"/>
  <c r="I54" i="51"/>
  <c r="I53" i="51"/>
  <c r="I52" i="51"/>
  <c r="I51" i="51"/>
  <c r="I50" i="51"/>
  <c r="I49" i="51"/>
  <c r="I48" i="51"/>
  <c r="I47" i="51"/>
  <c r="I46" i="51"/>
  <c r="I45" i="51"/>
  <c r="I44" i="51"/>
  <c r="I43" i="51"/>
  <c r="I42" i="51"/>
  <c r="I41" i="51"/>
  <c r="I40" i="51"/>
  <c r="I39" i="51"/>
  <c r="I38" i="51"/>
  <c r="I37" i="51"/>
  <c r="I36" i="51"/>
  <c r="I35" i="51"/>
  <c r="I34" i="51"/>
  <c r="I33" i="51"/>
  <c r="I32" i="51"/>
  <c r="I31" i="51"/>
  <c r="I30" i="51"/>
  <c r="I29" i="51"/>
  <c r="I28" i="51"/>
  <c r="I27" i="51"/>
  <c r="I26" i="51"/>
  <c r="I25" i="51"/>
  <c r="I24" i="51"/>
  <c r="I23" i="51"/>
  <c r="I22" i="51"/>
  <c r="I21" i="51"/>
  <c r="I20" i="51"/>
  <c r="I19" i="51"/>
  <c r="I18" i="51"/>
  <c r="I17" i="51"/>
  <c r="I16" i="51"/>
  <c r="I15" i="51"/>
  <c r="I14" i="51"/>
  <c r="I13" i="51"/>
  <c r="I12" i="51"/>
  <c r="I11" i="51"/>
  <c r="I10" i="51"/>
  <c r="I9" i="51"/>
  <c r="I8" i="51"/>
  <c r="I92" i="51"/>
  <c r="B18" i="51"/>
  <c r="B20" i="51" s="1"/>
  <c r="B22" i="51" s="1"/>
  <c r="B24" i="51" s="1"/>
  <c r="B26" i="51" s="1"/>
  <c r="B28" i="51" s="1"/>
  <c r="B34" i="51" s="1"/>
  <c r="B36" i="51" s="1"/>
  <c r="B38" i="51" s="1"/>
  <c r="B40" i="51" s="1"/>
  <c r="B42" i="51" s="1"/>
  <c r="I103" i="40"/>
  <c r="I104" i="40"/>
  <c r="I59" i="55"/>
  <c r="I58" i="55"/>
  <c r="I57" i="55"/>
  <c r="I128" i="65"/>
  <c r="I127" i="65"/>
  <c r="I126" i="65"/>
  <c r="I125" i="65"/>
  <c r="I124" i="65"/>
  <c r="I123" i="65"/>
  <c r="I122" i="65"/>
  <c r="I121" i="65"/>
  <c r="I120" i="65"/>
  <c r="I119" i="65"/>
  <c r="I118" i="65"/>
  <c r="I117" i="65"/>
  <c r="I116" i="65"/>
  <c r="I115" i="65"/>
  <c r="I114" i="65"/>
  <c r="I113" i="65"/>
  <c r="I112" i="65"/>
  <c r="I111" i="65"/>
  <c r="I110" i="65"/>
  <c r="I109" i="65"/>
  <c r="I108" i="65"/>
  <c r="I107" i="65"/>
  <c r="I106" i="65"/>
  <c r="I105" i="65"/>
  <c r="I104" i="65"/>
  <c r="I103" i="65"/>
  <c r="I102" i="65"/>
  <c r="I101" i="65"/>
  <c r="I100" i="65"/>
  <c r="I99" i="65"/>
  <c r="I98" i="65"/>
  <c r="I97" i="65"/>
  <c r="I96" i="65"/>
  <c r="I95" i="65"/>
  <c r="I94" i="65"/>
  <c r="I93" i="65"/>
  <c r="I92" i="65"/>
  <c r="I91" i="65"/>
  <c r="I90" i="65"/>
  <c r="I89" i="65"/>
  <c r="I88" i="65"/>
  <c r="I87" i="65"/>
  <c r="I86" i="65"/>
  <c r="I85" i="65"/>
  <c r="I84" i="65"/>
  <c r="I83" i="65"/>
  <c r="I82" i="65"/>
  <c r="I81" i="65"/>
  <c r="I80" i="65"/>
  <c r="I79" i="65"/>
  <c r="I78" i="65"/>
  <c r="I77" i="65"/>
  <c r="I76" i="65"/>
  <c r="I75" i="65"/>
  <c r="I74" i="65"/>
  <c r="I73" i="65"/>
  <c r="I72" i="65"/>
  <c r="I71" i="65"/>
  <c r="I70" i="65"/>
  <c r="I69" i="65"/>
  <c r="I68" i="65"/>
  <c r="I67" i="65"/>
  <c r="I66" i="65"/>
  <c r="I65" i="65"/>
  <c r="I64" i="65"/>
  <c r="I63" i="65"/>
  <c r="I62" i="65"/>
  <c r="I61" i="65"/>
  <c r="I60" i="65"/>
  <c r="I59" i="65"/>
  <c r="I58" i="65"/>
  <c r="I57" i="65"/>
  <c r="I56" i="65"/>
  <c r="I55" i="65"/>
  <c r="I54" i="65"/>
  <c r="I53" i="65"/>
  <c r="I52" i="65"/>
  <c r="I51" i="65"/>
  <c r="I50" i="65"/>
  <c r="I49" i="65"/>
  <c r="I48" i="65"/>
  <c r="I47" i="65"/>
  <c r="I46" i="65"/>
  <c r="I45" i="65"/>
  <c r="I44" i="65"/>
  <c r="I43" i="65"/>
  <c r="I42" i="65"/>
  <c r="I41" i="65"/>
  <c r="I40" i="65"/>
  <c r="I39" i="65"/>
  <c r="I38" i="65"/>
  <c r="I37" i="65"/>
  <c r="I36" i="65"/>
  <c r="I35" i="65"/>
  <c r="I34" i="65"/>
  <c r="I33" i="65"/>
  <c r="I32" i="65"/>
  <c r="I31" i="65"/>
  <c r="I30" i="65"/>
  <c r="I29" i="65"/>
  <c r="I28" i="65"/>
  <c r="I27" i="65"/>
  <c r="I26" i="65"/>
  <c r="I25" i="65"/>
  <c r="I23" i="65"/>
  <c r="I22" i="65"/>
  <c r="I21" i="65"/>
  <c r="I20" i="65"/>
  <c r="I19" i="65"/>
  <c r="I18" i="65"/>
  <c r="I86" i="55"/>
  <c r="I85" i="55"/>
  <c r="I84" i="55"/>
  <c r="I83" i="55"/>
  <c r="I82" i="55"/>
  <c r="I81" i="55"/>
  <c r="I80" i="55"/>
  <c r="I79" i="55"/>
  <c r="I78" i="55"/>
  <c r="I77" i="55"/>
  <c r="I76" i="55"/>
  <c r="I75" i="55"/>
  <c r="I74" i="55"/>
  <c r="I73" i="55"/>
  <c r="I72" i="55"/>
  <c r="I71" i="55"/>
  <c r="I70" i="55"/>
  <c r="I69" i="55"/>
  <c r="I68" i="55"/>
  <c r="I67" i="55"/>
  <c r="I66" i="55"/>
  <c r="I65" i="55"/>
  <c r="I64" i="55"/>
  <c r="I63" i="55"/>
  <c r="I62" i="55"/>
  <c r="I61" i="55"/>
  <c r="I56" i="55"/>
  <c r="I55" i="55"/>
  <c r="I54" i="55"/>
  <c r="I53" i="55"/>
  <c r="I52" i="55"/>
  <c r="I51" i="55"/>
  <c r="I50" i="55"/>
  <c r="I49" i="55"/>
  <c r="I48" i="55"/>
  <c r="I47" i="55"/>
  <c r="I46" i="55"/>
  <c r="I45" i="55"/>
  <c r="I44" i="55"/>
  <c r="I43" i="55"/>
  <c r="I42" i="55"/>
  <c r="I41" i="55"/>
  <c r="I40" i="55"/>
  <c r="I39" i="55"/>
  <c r="I38" i="55"/>
  <c r="I37" i="55"/>
  <c r="I36" i="55"/>
  <c r="I35" i="55"/>
  <c r="I34" i="55"/>
  <c r="I33" i="55"/>
  <c r="I32" i="55"/>
  <c r="I31" i="55"/>
  <c r="I30" i="55"/>
  <c r="I28" i="55"/>
  <c r="I27" i="55"/>
  <c r="I26" i="55"/>
  <c r="I25" i="55"/>
  <c r="I24" i="55"/>
  <c r="I23" i="55"/>
  <c r="I22" i="55"/>
  <c r="I21" i="55"/>
  <c r="I20" i="55"/>
  <c r="I19" i="55"/>
  <c r="E43" i="55"/>
  <c r="I124" i="54"/>
  <c r="I122" i="54"/>
  <c r="I118" i="54"/>
  <c r="I120" i="54"/>
  <c r="I116" i="54"/>
  <c r="I110" i="54"/>
  <c r="I114" i="54"/>
  <c r="I112" i="54"/>
  <c r="I109" i="54"/>
  <c r="I108" i="54"/>
  <c r="I107" i="54"/>
  <c r="I106" i="54"/>
  <c r="B58" i="62"/>
  <c r="I36" i="62"/>
  <c r="I52" i="62"/>
  <c r="I30" i="62"/>
  <c r="I48" i="62"/>
  <c r="E44" i="62"/>
  <c r="I44" i="62"/>
  <c r="I40" i="62"/>
  <c r="I239" i="40"/>
  <c r="E221" i="40"/>
  <c r="I221" i="40"/>
  <c r="E143" i="57"/>
  <c r="B236" i="38"/>
  <c r="I227" i="38"/>
  <c r="B227" i="38"/>
  <c r="B225" i="38"/>
  <c r="I225" i="38"/>
  <c r="E223" i="38"/>
  <c r="B223" i="38"/>
  <c r="I223" i="38"/>
  <c r="I175" i="38"/>
  <c r="I171" i="38"/>
  <c r="B44" i="51" l="1"/>
  <c r="B50" i="51" s="1"/>
  <c r="E163" i="38" l="1"/>
  <c r="E165" i="38"/>
  <c r="I165" i="38"/>
  <c r="I163" i="38"/>
  <c r="E159" i="38"/>
  <c r="I159" i="38"/>
  <c r="E155" i="38"/>
  <c r="E151" i="38"/>
  <c r="I151" i="38"/>
  <c r="E145" i="38"/>
  <c r="I147" i="38"/>
  <c r="I145" i="38"/>
  <c r="E141" i="38"/>
  <c r="I141" i="38"/>
  <c r="E133" i="38"/>
  <c r="E137" i="38"/>
  <c r="I137" i="38"/>
  <c r="I133" i="38"/>
  <c r="I120" i="55"/>
  <c r="E120" i="55"/>
  <c r="E114" i="55"/>
  <c r="I116" i="55"/>
  <c r="I114" i="55"/>
  <c r="I110" i="55"/>
  <c r="I106" i="55"/>
  <c r="E106" i="55"/>
  <c r="I102" i="55"/>
  <c r="I98" i="55"/>
  <c r="E102" i="55"/>
  <c r="E98" i="55"/>
  <c r="B99" i="53"/>
  <c r="I91" i="53"/>
  <c r="I89" i="53"/>
  <c r="I87" i="53"/>
  <c r="I85" i="53"/>
  <c r="I84" i="53"/>
  <c r="I83" i="53"/>
  <c r="I82" i="53"/>
  <c r="I81" i="53"/>
  <c r="I195" i="40"/>
  <c r="I130" i="65"/>
  <c r="F15" i="3" s="1"/>
  <c r="B115" i="65"/>
  <c r="E94" i="65"/>
  <c r="F94" i="65" s="1"/>
  <c r="E92" i="65"/>
  <c r="F92" i="65" s="1"/>
  <c r="E90" i="65"/>
  <c r="F90" i="65" s="1"/>
  <c r="E88" i="65"/>
  <c r="F88" i="65" s="1"/>
  <c r="E86" i="65"/>
  <c r="F86" i="65" s="1"/>
  <c r="E84" i="65"/>
  <c r="F84" i="65" s="1"/>
  <c r="E82" i="65"/>
  <c r="F82" i="65" s="1"/>
  <c r="E80" i="65"/>
  <c r="F80" i="65" s="1"/>
  <c r="E78" i="65"/>
  <c r="F78" i="65" s="1"/>
  <c r="E76" i="65"/>
  <c r="F76" i="65" s="1"/>
  <c r="E74" i="65"/>
  <c r="F74" i="65" s="1"/>
  <c r="E72" i="65"/>
  <c r="F72" i="65" s="1"/>
  <c r="F62" i="65"/>
  <c r="F60" i="65"/>
  <c r="F52" i="65"/>
  <c r="F50" i="65"/>
  <c r="F48" i="65"/>
  <c r="K68" i="65"/>
  <c r="E68" i="65"/>
  <c r="F68" i="65" s="1"/>
  <c r="K66" i="65"/>
  <c r="E66" i="65"/>
  <c r="F66" i="65" s="1"/>
  <c r="E58" i="65"/>
  <c r="F58" i="65" s="1"/>
  <c r="K58" i="65"/>
  <c r="K56" i="65"/>
  <c r="E56" i="65"/>
  <c r="F56" i="65" s="1"/>
  <c r="K64" i="65"/>
  <c r="E64" i="65"/>
  <c r="F64" i="65" s="1"/>
  <c r="K62" i="65"/>
  <c r="E62" i="65"/>
  <c r="E50" i="65"/>
  <c r="E48" i="65"/>
  <c r="K48" i="65"/>
  <c r="K46" i="65"/>
  <c r="E46" i="65"/>
  <c r="F46" i="65" s="1"/>
  <c r="K52" i="65"/>
  <c r="E52" i="65"/>
  <c r="K54" i="65"/>
  <c r="E54" i="65"/>
  <c r="F54" i="65" s="1"/>
  <c r="K50" i="65"/>
  <c r="K60" i="65"/>
  <c r="E60" i="65"/>
  <c r="I24" i="65"/>
  <c r="B24" i="65"/>
  <c r="B32" i="65" s="1"/>
  <c r="B40" i="65" s="1"/>
  <c r="B46" i="65" s="1"/>
  <c r="B48" i="65" s="1"/>
  <c r="B50" i="65" s="1"/>
  <c r="B52" i="65" s="1"/>
  <c r="B54" i="65" s="1"/>
  <c r="B56" i="65" s="1"/>
  <c r="B58" i="65" s="1"/>
  <c r="B60" i="65" s="1"/>
  <c r="H3" i="65"/>
  <c r="I129" i="65"/>
  <c r="I6" i="65"/>
  <c r="I188" i="62"/>
  <c r="I187" i="62"/>
  <c r="I186" i="62"/>
  <c r="I185" i="62"/>
  <c r="I184" i="62"/>
  <c r="I183" i="62"/>
  <c r="I182" i="62"/>
  <c r="I181" i="62"/>
  <c r="I180" i="62"/>
  <c r="I179" i="62"/>
  <c r="I178" i="62"/>
  <c r="I177" i="62"/>
  <c r="I176" i="62"/>
  <c r="I175" i="62"/>
  <c r="I174" i="62"/>
  <c r="I173" i="62"/>
  <c r="I172" i="62"/>
  <c r="I171" i="62"/>
  <c r="I170" i="62"/>
  <c r="I169" i="62"/>
  <c r="I168" i="62"/>
  <c r="I167" i="62"/>
  <c r="I166" i="62"/>
  <c r="I165" i="62"/>
  <c r="I164" i="62"/>
  <c r="I163" i="62"/>
  <c r="I162" i="62"/>
  <c r="I161" i="62"/>
  <c r="I160" i="62"/>
  <c r="I159" i="62"/>
  <c r="I158" i="62"/>
  <c r="I157" i="62"/>
  <c r="I156" i="62"/>
  <c r="I155" i="62"/>
  <c r="I154" i="62"/>
  <c r="I153" i="62"/>
  <c r="I152" i="62"/>
  <c r="I151" i="62"/>
  <c r="I150" i="62"/>
  <c r="I149" i="62"/>
  <c r="I148" i="62"/>
  <c r="I147" i="62"/>
  <c r="I146" i="62"/>
  <c r="I145" i="62"/>
  <c r="I144" i="62"/>
  <c r="I143" i="62"/>
  <c r="I142" i="62"/>
  <c r="I141" i="62"/>
  <c r="I140" i="62"/>
  <c r="I139" i="62"/>
  <c r="I138" i="62"/>
  <c r="I137" i="62"/>
  <c r="I136" i="62"/>
  <c r="I135" i="62"/>
  <c r="I134" i="62"/>
  <c r="I133" i="62"/>
  <c r="I132" i="62"/>
  <c r="I131" i="62"/>
  <c r="I130" i="62"/>
  <c r="I129" i="62"/>
  <c r="I128" i="62"/>
  <c r="I127" i="62"/>
  <c r="I126" i="62"/>
  <c r="I125" i="62"/>
  <c r="I124" i="62"/>
  <c r="I123" i="62"/>
  <c r="I122" i="62"/>
  <c r="I121" i="62"/>
  <c r="I120" i="62"/>
  <c r="I119" i="62"/>
  <c r="I118" i="62"/>
  <c r="I117" i="62"/>
  <c r="I116" i="62"/>
  <c r="I115" i="62"/>
  <c r="I114" i="62"/>
  <c r="I113" i="62"/>
  <c r="I112" i="62"/>
  <c r="I111" i="62"/>
  <c r="I110" i="62"/>
  <c r="I109" i="62"/>
  <c r="I108" i="62"/>
  <c r="I107" i="62"/>
  <c r="I106" i="62"/>
  <c r="I105" i="62"/>
  <c r="I104" i="62"/>
  <c r="I103" i="62"/>
  <c r="I102" i="62"/>
  <c r="I101" i="62"/>
  <c r="I100" i="62"/>
  <c r="I99" i="62"/>
  <c r="I98" i="62"/>
  <c r="I97" i="62"/>
  <c r="I96" i="62"/>
  <c r="I95" i="62"/>
  <c r="I94" i="62"/>
  <c r="I93" i="62"/>
  <c r="I92" i="62"/>
  <c r="I91" i="62"/>
  <c r="I90" i="62"/>
  <c r="I89" i="62"/>
  <c r="I88" i="62"/>
  <c r="I87" i="62"/>
  <c r="I86" i="62"/>
  <c r="I85" i="62"/>
  <c r="I84" i="62"/>
  <c r="I83" i="62"/>
  <c r="I82" i="62"/>
  <c r="I81" i="62"/>
  <c r="I80" i="62"/>
  <c r="I79" i="62"/>
  <c r="I78" i="62"/>
  <c r="I77" i="62"/>
  <c r="I76" i="62"/>
  <c r="I75" i="62"/>
  <c r="I74" i="62"/>
  <c r="I73" i="62"/>
  <c r="I72" i="62"/>
  <c r="I71" i="62"/>
  <c r="I70" i="62"/>
  <c r="I69" i="62"/>
  <c r="I68" i="62"/>
  <c r="I67" i="62"/>
  <c r="I66" i="62"/>
  <c r="I65" i="62"/>
  <c r="I64" i="62"/>
  <c r="I63" i="62"/>
  <c r="I62" i="62"/>
  <c r="I61" i="62"/>
  <c r="I60" i="62"/>
  <c r="I59" i="62"/>
  <c r="I58" i="62"/>
  <c r="I57" i="62"/>
  <c r="I56" i="62"/>
  <c r="I55" i="62"/>
  <c r="I54" i="62"/>
  <c r="E116" i="62"/>
  <c r="E118" i="62"/>
  <c r="E67" i="62"/>
  <c r="E68" i="62" s="1"/>
  <c r="E66" i="62"/>
  <c r="E138" i="62"/>
  <c r="E96" i="62"/>
  <c r="E146" i="62" s="1"/>
  <c r="E94" i="62"/>
  <c r="E145" i="62" s="1"/>
  <c r="E109" i="62"/>
  <c r="E110" i="62" s="1"/>
  <c r="E132" i="62" s="1"/>
  <c r="E108" i="62"/>
  <c r="E130" i="62" s="1"/>
  <c r="G49" i="3"/>
  <c r="F49" i="3"/>
  <c r="E49" i="3"/>
  <c r="H45" i="32"/>
  <c r="J44" i="32"/>
  <c r="H44" i="32"/>
  <c r="J43" i="32"/>
  <c r="H43" i="32"/>
  <c r="J42" i="32"/>
  <c r="H42" i="32"/>
  <c r="J40" i="32"/>
  <c r="H40" i="32"/>
  <c r="J39" i="32"/>
  <c r="H39" i="32"/>
  <c r="J38" i="32"/>
  <c r="H38" i="32"/>
  <c r="H37" i="32"/>
  <c r="J37" i="32"/>
  <c r="J31" i="32"/>
  <c r="H31" i="32"/>
  <c r="J30" i="32"/>
  <c r="H30" i="32"/>
  <c r="J29" i="32"/>
  <c r="H29" i="32"/>
  <c r="J28" i="32"/>
  <c r="H28" i="32"/>
  <c r="J27" i="32"/>
  <c r="H27" i="32"/>
  <c r="J26" i="32"/>
  <c r="H26" i="32"/>
  <c r="J25" i="32"/>
  <c r="H25" i="32"/>
  <c r="J24" i="32"/>
  <c r="H24" i="32"/>
  <c r="J23" i="32"/>
  <c r="H23" i="32"/>
  <c r="J22" i="32"/>
  <c r="H22" i="32"/>
  <c r="J21" i="32"/>
  <c r="H21" i="32"/>
  <c r="J20" i="32"/>
  <c r="H20" i="32"/>
  <c r="J19" i="32"/>
  <c r="H19" i="32"/>
  <c r="J18" i="32"/>
  <c r="H18" i="32"/>
  <c r="J17" i="32"/>
  <c r="H17" i="32"/>
  <c r="J16" i="32"/>
  <c r="H16" i="32"/>
  <c r="J15" i="32"/>
  <c r="H15" i="32"/>
  <c r="H72" i="28"/>
  <c r="H69" i="28"/>
  <c r="H61" i="28"/>
  <c r="B23" i="28"/>
  <c r="I269" i="61"/>
  <c r="I268" i="61"/>
  <c r="I267" i="61"/>
  <c r="I266" i="61"/>
  <c r="I265" i="61"/>
  <c r="I264" i="61"/>
  <c r="I263" i="61"/>
  <c r="I262" i="61"/>
  <c r="I261" i="61"/>
  <c r="I260" i="61"/>
  <c r="I259" i="61"/>
  <c r="I258" i="61"/>
  <c r="I257" i="61"/>
  <c r="I256" i="61"/>
  <c r="I255" i="61"/>
  <c r="I254" i="61"/>
  <c r="I253" i="61"/>
  <c r="I252" i="61"/>
  <c r="I251" i="61"/>
  <c r="I250" i="61"/>
  <c r="I249" i="61"/>
  <c r="I248" i="61"/>
  <c r="I247" i="61"/>
  <c r="I246" i="61"/>
  <c r="I245" i="61"/>
  <c r="I244" i="61"/>
  <c r="I243" i="61"/>
  <c r="I242" i="61"/>
  <c r="I241" i="61"/>
  <c r="I240" i="61"/>
  <c r="I239" i="61"/>
  <c r="I238" i="61"/>
  <c r="I237" i="61"/>
  <c r="I236" i="61"/>
  <c r="I235" i="61"/>
  <c r="I234" i="61"/>
  <c r="I233" i="61"/>
  <c r="I232" i="61"/>
  <c r="I231" i="61"/>
  <c r="I230" i="61"/>
  <c r="I229" i="61"/>
  <c r="I228" i="61"/>
  <c r="I227" i="61"/>
  <c r="I226" i="61"/>
  <c r="I225" i="61"/>
  <c r="I224" i="61"/>
  <c r="I223" i="61"/>
  <c r="I222" i="61"/>
  <c r="I221" i="61"/>
  <c r="I220" i="61"/>
  <c r="I219" i="61"/>
  <c r="I218" i="61"/>
  <c r="I217" i="61"/>
  <c r="I216" i="61"/>
  <c r="I215" i="61"/>
  <c r="I214" i="61"/>
  <c r="I213" i="61"/>
  <c r="I212" i="61"/>
  <c r="I211" i="61"/>
  <c r="I210" i="61"/>
  <c r="I209" i="61"/>
  <c r="I208" i="61"/>
  <c r="I207" i="61"/>
  <c r="I206" i="61"/>
  <c r="I205" i="61"/>
  <c r="I204" i="61"/>
  <c r="I203" i="61"/>
  <c r="I202" i="61"/>
  <c r="I201" i="61"/>
  <c r="I200" i="61"/>
  <c r="I199" i="61"/>
  <c r="I198" i="61"/>
  <c r="I197" i="61"/>
  <c r="I196" i="61"/>
  <c r="I195" i="61"/>
  <c r="I194" i="61"/>
  <c r="I193" i="61"/>
  <c r="I192" i="61"/>
  <c r="I191" i="61"/>
  <c r="I190" i="61"/>
  <c r="I189" i="61"/>
  <c r="I188" i="61"/>
  <c r="I187" i="61"/>
  <c r="I186" i="61"/>
  <c r="I185" i="61"/>
  <c r="I184" i="61"/>
  <c r="I183" i="61"/>
  <c r="I182" i="61"/>
  <c r="I181" i="61"/>
  <c r="I180" i="61"/>
  <c r="I179" i="61"/>
  <c r="I178" i="61"/>
  <c r="I177" i="61"/>
  <c r="I176" i="61"/>
  <c r="I175" i="61"/>
  <c r="I174" i="61"/>
  <c r="I173" i="61"/>
  <c r="I172" i="61"/>
  <c r="I171" i="61"/>
  <c r="I170" i="61"/>
  <c r="I169" i="61"/>
  <c r="I168" i="61"/>
  <c r="I167" i="61"/>
  <c r="I166" i="61"/>
  <c r="I165" i="61"/>
  <c r="I164" i="61"/>
  <c r="I163" i="61"/>
  <c r="I162" i="61"/>
  <c r="I161" i="61"/>
  <c r="I160" i="61"/>
  <c r="I159" i="61"/>
  <c r="I158" i="61"/>
  <c r="I157" i="61"/>
  <c r="I156" i="61"/>
  <c r="I155" i="61"/>
  <c r="I154" i="61"/>
  <c r="I153" i="61"/>
  <c r="I152" i="61"/>
  <c r="I151" i="61"/>
  <c r="I150" i="61"/>
  <c r="I149" i="61"/>
  <c r="I148" i="61"/>
  <c r="I147" i="61"/>
  <c r="I146" i="61"/>
  <c r="I145" i="61"/>
  <c r="I144" i="61"/>
  <c r="I143" i="61"/>
  <c r="I142" i="61"/>
  <c r="I141" i="61"/>
  <c r="I140" i="61"/>
  <c r="I139" i="61"/>
  <c r="I138" i="61"/>
  <c r="I137" i="61"/>
  <c r="I136" i="61"/>
  <c r="I135" i="61"/>
  <c r="I134" i="61"/>
  <c r="I133" i="61"/>
  <c r="I132" i="61"/>
  <c r="I131" i="61"/>
  <c r="I130" i="61"/>
  <c r="I129" i="61"/>
  <c r="I128" i="61"/>
  <c r="I127" i="61"/>
  <c r="I126" i="61"/>
  <c r="I125" i="61"/>
  <c r="I124" i="61"/>
  <c r="I123" i="61"/>
  <c r="I122" i="61"/>
  <c r="I121" i="61"/>
  <c r="I120" i="61"/>
  <c r="I119" i="61"/>
  <c r="I118" i="61"/>
  <c r="I117" i="61"/>
  <c r="I116" i="61"/>
  <c r="I115" i="61"/>
  <c r="I114" i="61"/>
  <c r="I113" i="61"/>
  <c r="I112" i="61"/>
  <c r="I111" i="61"/>
  <c r="I110" i="61"/>
  <c r="I109" i="61"/>
  <c r="I108" i="61"/>
  <c r="I107" i="61"/>
  <c r="I106" i="61"/>
  <c r="I105" i="61"/>
  <c r="I104" i="61"/>
  <c r="I103" i="61"/>
  <c r="I102" i="61"/>
  <c r="I101" i="61"/>
  <c r="I100" i="61"/>
  <c r="I99" i="61"/>
  <c r="I98" i="61"/>
  <c r="I97" i="61"/>
  <c r="I96" i="61"/>
  <c r="I95" i="61"/>
  <c r="I94" i="61"/>
  <c r="I93" i="61"/>
  <c r="I92" i="61"/>
  <c r="I91" i="61"/>
  <c r="I90" i="61"/>
  <c r="I89" i="61"/>
  <c r="I88" i="61"/>
  <c r="I87" i="61"/>
  <c r="I86" i="61"/>
  <c r="I85" i="61"/>
  <c r="I84" i="61"/>
  <c r="I83" i="61"/>
  <c r="I82" i="61"/>
  <c r="I81" i="61"/>
  <c r="I80" i="61"/>
  <c r="I290" i="61"/>
  <c r="I289" i="61"/>
  <c r="I288" i="61"/>
  <c r="I287" i="61"/>
  <c r="I286" i="61"/>
  <c r="I285" i="61"/>
  <c r="I284" i="61"/>
  <c r="I283" i="61"/>
  <c r="I282" i="61"/>
  <c r="I281" i="61"/>
  <c r="I280" i="61"/>
  <c r="I279" i="61"/>
  <c r="I278" i="61"/>
  <c r="I277" i="61"/>
  <c r="I276" i="61"/>
  <c r="I275" i="61"/>
  <c r="I274" i="61"/>
  <c r="I273" i="61"/>
  <c r="I272" i="61"/>
  <c r="I271" i="61"/>
  <c r="I270" i="61"/>
  <c r="I291" i="61"/>
  <c r="I292" i="61"/>
  <c r="F43" i="3"/>
  <c r="E43" i="3"/>
  <c r="B3" i="63"/>
  <c r="H6" i="63"/>
  <c r="H24" i="63"/>
  <c r="H25" i="63"/>
  <c r="B26" i="63"/>
  <c r="H26" i="63"/>
  <c r="K26" i="63"/>
  <c r="H27" i="63"/>
  <c r="H28" i="63"/>
  <c r="H29" i="63"/>
  <c r="B30" i="63"/>
  <c r="B34" i="63" s="1"/>
  <c r="B36" i="63" s="1"/>
  <c r="B38" i="63" s="1"/>
  <c r="B44" i="63" s="1"/>
  <c r="H30" i="63"/>
  <c r="H31" i="63"/>
  <c r="H32" i="63"/>
  <c r="H33" i="63"/>
  <c r="H34" i="63"/>
  <c r="K34" i="63"/>
  <c r="H35" i="63"/>
  <c r="H36" i="63"/>
  <c r="H37" i="63"/>
  <c r="H38" i="63"/>
  <c r="H39" i="63"/>
  <c r="H40" i="63"/>
  <c r="H41" i="63"/>
  <c r="H42" i="63"/>
  <c r="H43" i="63"/>
  <c r="H44" i="63"/>
  <c r="J44" i="63"/>
  <c r="K44" i="63"/>
  <c r="H45" i="63"/>
  <c r="H46" i="63"/>
  <c r="H47" i="63"/>
  <c r="H48" i="63"/>
  <c r="H49" i="63"/>
  <c r="H50" i="63"/>
  <c r="H51" i="63"/>
  <c r="H52" i="63"/>
  <c r="J52" i="63"/>
  <c r="K52" i="63"/>
  <c r="M52" i="63"/>
  <c r="H53" i="63"/>
  <c r="H54" i="63"/>
  <c r="H55" i="63"/>
  <c r="H56" i="63"/>
  <c r="H57" i="63"/>
  <c r="H58" i="63"/>
  <c r="H59" i="63"/>
  <c r="H60" i="63"/>
  <c r="H61" i="63"/>
  <c r="H62" i="63"/>
  <c r="H63" i="63"/>
  <c r="H64" i="63"/>
  <c r="H65" i="63"/>
  <c r="H66" i="63"/>
  <c r="J66" i="63"/>
  <c r="K66" i="63"/>
  <c r="M66" i="63"/>
  <c r="H67" i="63"/>
  <c r="H68" i="63"/>
  <c r="H69" i="63"/>
  <c r="H70" i="63"/>
  <c r="J70" i="63"/>
  <c r="K70" i="63"/>
  <c r="H71" i="63"/>
  <c r="H72" i="63"/>
  <c r="H73" i="63"/>
  <c r="H74" i="63"/>
  <c r="J74" i="63"/>
  <c r="K74" i="63"/>
  <c r="M74" i="63"/>
  <c r="H75" i="63"/>
  <c r="H76" i="63"/>
  <c r="H77" i="63"/>
  <c r="H78" i="63"/>
  <c r="H79" i="63"/>
  <c r="H80" i="63"/>
  <c r="H81" i="63"/>
  <c r="H82" i="63"/>
  <c r="H83" i="63"/>
  <c r="H84" i="63"/>
  <c r="H85" i="63"/>
  <c r="H86" i="63"/>
  <c r="H87" i="63"/>
  <c r="H88" i="63"/>
  <c r="H89" i="63"/>
  <c r="H90" i="63"/>
  <c r="H91" i="63"/>
  <c r="H92" i="63"/>
  <c r="H93" i="63"/>
  <c r="I293" i="61" l="1"/>
  <c r="F45" i="3" s="1"/>
  <c r="G43" i="3"/>
  <c r="K69" i="65"/>
  <c r="E102" i="65" s="1"/>
  <c r="E95" i="65"/>
  <c r="E98" i="65" s="1"/>
  <c r="F98" i="65" s="1"/>
  <c r="B62" i="65"/>
  <c r="B64" i="65" s="1"/>
  <c r="E140" i="62"/>
  <c r="B48" i="63"/>
  <c r="B52" i="63" s="1"/>
  <c r="B54" i="63" s="1"/>
  <c r="B56" i="63" s="1"/>
  <c r="B60" i="63" s="1"/>
  <c r="B66" i="63" s="1"/>
  <c r="B70" i="63" s="1"/>
  <c r="B74" i="63" s="1"/>
  <c r="B76" i="63" s="1"/>
  <c r="B78" i="63" s="1"/>
  <c r="B82" i="63" s="1"/>
  <c r="B91" i="63" s="1"/>
  <c r="B66" i="65" l="1"/>
  <c r="B68" i="65" s="1"/>
  <c r="E211" i="61"/>
  <c r="E203" i="61"/>
  <c r="E195" i="61"/>
  <c r="E171" i="61"/>
  <c r="E181" i="61"/>
  <c r="E179" i="61"/>
  <c r="E167" i="61"/>
  <c r="E163" i="61"/>
  <c r="E159" i="61"/>
  <c r="E157" i="61"/>
  <c r="E153" i="61"/>
  <c r="E149" i="61"/>
  <c r="E131" i="61"/>
  <c r="E147" i="61"/>
  <c r="E137" i="61"/>
  <c r="E132" i="61"/>
  <c r="E127" i="61"/>
  <c r="E111" i="61"/>
  <c r="E101" i="61"/>
  <c r="E99" i="61"/>
  <c r="E93" i="61"/>
  <c r="E89" i="61"/>
  <c r="B121" i="65" l="1"/>
  <c r="B127" i="65" s="1"/>
  <c r="B72" i="65"/>
  <c r="B74" i="65" s="1"/>
  <c r="B76" i="65" s="1"/>
  <c r="B78" i="65" s="1"/>
  <c r="B80" i="65" s="1"/>
  <c r="B82" i="65" s="1"/>
  <c r="B84" i="65" s="1"/>
  <c r="B86" i="65" s="1"/>
  <c r="B88" i="65" s="1"/>
  <c r="B90" i="65" s="1"/>
  <c r="B92" i="65" s="1"/>
  <c r="B94" i="65" s="1"/>
  <c r="B98" i="65" s="1"/>
  <c r="B102" i="65" s="1"/>
  <c r="B106" i="65" s="1"/>
  <c r="E133" i="61"/>
  <c r="E143" i="61" s="1"/>
  <c r="E107" i="61" l="1"/>
  <c r="E109" i="61"/>
  <c r="E117" i="61"/>
  <c r="E97" i="61"/>
  <c r="I21" i="61"/>
  <c r="I92" i="57"/>
  <c r="I91" i="57"/>
  <c r="I90" i="57"/>
  <c r="I89" i="57"/>
  <c r="I88" i="57"/>
  <c r="I87" i="57"/>
  <c r="E89" i="57"/>
  <c r="E41" i="3"/>
  <c r="F41" i="3"/>
  <c r="I215" i="59"/>
  <c r="G41" i="3" l="1"/>
  <c r="E89" i="56"/>
  <c r="I89" i="56"/>
  <c r="I125" i="57"/>
  <c r="I123" i="57"/>
  <c r="I122" i="57"/>
  <c r="I121" i="57"/>
  <c r="H202" i="47"/>
  <c r="J201" i="47"/>
  <c r="H201" i="47"/>
  <c r="J200" i="47"/>
  <c r="H200" i="47"/>
  <c r="J199" i="47"/>
  <c r="H199" i="47"/>
  <c r="J198" i="47"/>
  <c r="H198" i="47"/>
  <c r="J197" i="47"/>
  <c r="H197" i="47"/>
  <c r="J196" i="47"/>
  <c r="H196" i="47"/>
  <c r="J195" i="47"/>
  <c r="H195" i="47"/>
  <c r="J194" i="47"/>
  <c r="H194" i="47"/>
  <c r="J193" i="47"/>
  <c r="H193" i="47"/>
  <c r="J192" i="47"/>
  <c r="H192" i="47"/>
  <c r="J191" i="47"/>
  <c r="H191" i="47"/>
  <c r="J190" i="47"/>
  <c r="H190" i="47"/>
  <c r="J189" i="47"/>
  <c r="H189" i="47"/>
  <c r="J188" i="47"/>
  <c r="H188" i="47"/>
  <c r="J187" i="47"/>
  <c r="H187" i="47"/>
  <c r="J186" i="47"/>
  <c r="H186" i="47"/>
  <c r="J185" i="47"/>
  <c r="H185" i="47"/>
  <c r="J184" i="47"/>
  <c r="H184" i="47"/>
  <c r="J183" i="47"/>
  <c r="H183" i="47"/>
  <c r="J182" i="47"/>
  <c r="H182" i="47"/>
  <c r="J181" i="47"/>
  <c r="H181" i="47"/>
  <c r="J180" i="47"/>
  <c r="H180" i="47"/>
  <c r="J179" i="47"/>
  <c r="H179" i="47"/>
  <c r="J178" i="47"/>
  <c r="H178" i="47"/>
  <c r="J177" i="47"/>
  <c r="H177" i="47"/>
  <c r="J176" i="47"/>
  <c r="H176" i="47"/>
  <c r="J175" i="47"/>
  <c r="H175" i="47"/>
  <c r="J174" i="47"/>
  <c r="H174" i="47"/>
  <c r="J173" i="47"/>
  <c r="H173" i="47"/>
  <c r="J172" i="47"/>
  <c r="H172" i="47"/>
  <c r="J171" i="47"/>
  <c r="H171" i="47"/>
  <c r="J170" i="47"/>
  <c r="H170" i="47"/>
  <c r="J169" i="47"/>
  <c r="H169" i="47"/>
  <c r="J168" i="47"/>
  <c r="H168" i="47"/>
  <c r="J167" i="47"/>
  <c r="H167" i="47"/>
  <c r="J166" i="47"/>
  <c r="H166" i="47"/>
  <c r="J165" i="47"/>
  <c r="H165" i="47"/>
  <c r="J164" i="47"/>
  <c r="H164" i="47"/>
  <c r="H154" i="47"/>
  <c r="J153" i="47"/>
  <c r="H153" i="47"/>
  <c r="J152" i="47"/>
  <c r="H152" i="47"/>
  <c r="J151" i="47"/>
  <c r="H151" i="47"/>
  <c r="J150" i="47"/>
  <c r="H150" i="47"/>
  <c r="J149" i="47"/>
  <c r="H149" i="47"/>
  <c r="J148" i="47"/>
  <c r="H148" i="47"/>
  <c r="J147" i="47"/>
  <c r="H147" i="47"/>
  <c r="J146" i="47"/>
  <c r="H146" i="47"/>
  <c r="J145" i="47"/>
  <c r="H145" i="47"/>
  <c r="J144" i="47"/>
  <c r="H144" i="47"/>
  <c r="J143" i="47"/>
  <c r="H143" i="47"/>
  <c r="J142" i="47"/>
  <c r="H142" i="47"/>
  <c r="J141" i="47"/>
  <c r="H141" i="47"/>
  <c r="J140" i="47"/>
  <c r="H140" i="47"/>
  <c r="J139" i="47"/>
  <c r="H139" i="47"/>
  <c r="J138" i="47"/>
  <c r="H138" i="47"/>
  <c r="J137" i="47"/>
  <c r="H137" i="47"/>
  <c r="J136" i="47"/>
  <c r="H136" i="47"/>
  <c r="J135" i="47"/>
  <c r="H135" i="47"/>
  <c r="J134" i="47"/>
  <c r="H134" i="47"/>
  <c r="J133" i="47"/>
  <c r="H133" i="47"/>
  <c r="J132" i="47"/>
  <c r="H132" i="47"/>
  <c r="J131" i="47"/>
  <c r="H131" i="47"/>
  <c r="J130" i="47"/>
  <c r="H130" i="47"/>
  <c r="J129" i="47"/>
  <c r="H129" i="47"/>
  <c r="J128" i="47"/>
  <c r="H128" i="47"/>
  <c r="J127" i="47"/>
  <c r="H127" i="47"/>
  <c r="J126" i="47"/>
  <c r="H126" i="47"/>
  <c r="J125" i="47"/>
  <c r="H125" i="47"/>
  <c r="J124" i="47"/>
  <c r="H124" i="47"/>
  <c r="J123" i="47"/>
  <c r="H123" i="47"/>
  <c r="J122" i="47"/>
  <c r="H122" i="47"/>
  <c r="J121" i="47"/>
  <c r="H121" i="47"/>
  <c r="J112" i="47"/>
  <c r="H112" i="47"/>
  <c r="J111" i="47"/>
  <c r="H111" i="47"/>
  <c r="J110" i="47"/>
  <c r="H110" i="47"/>
  <c r="J109" i="47"/>
  <c r="H109" i="47"/>
  <c r="J108" i="47"/>
  <c r="H108" i="47"/>
  <c r="J107" i="47"/>
  <c r="H107" i="47"/>
  <c r="J106" i="47"/>
  <c r="H106" i="47"/>
  <c r="J105" i="47"/>
  <c r="H105" i="47"/>
  <c r="J104" i="47"/>
  <c r="H104" i="47"/>
  <c r="J103" i="47"/>
  <c r="H103" i="47"/>
  <c r="J102" i="47"/>
  <c r="H102" i="47"/>
  <c r="J101" i="47"/>
  <c r="H101" i="47"/>
  <c r="J100" i="47"/>
  <c r="H100" i="47"/>
  <c r="J99" i="47"/>
  <c r="H99" i="47"/>
  <c r="J98" i="47"/>
  <c r="H98" i="47"/>
  <c r="J97" i="47"/>
  <c r="H97" i="47"/>
  <c r="J96" i="47"/>
  <c r="H96" i="47"/>
  <c r="J95" i="47"/>
  <c r="H95" i="47"/>
  <c r="J94" i="47"/>
  <c r="H94" i="47"/>
  <c r="J93" i="47"/>
  <c r="H93" i="47"/>
  <c r="J92" i="47"/>
  <c r="H92" i="47"/>
  <c r="J91" i="47"/>
  <c r="H91" i="47"/>
  <c r="J90" i="47"/>
  <c r="H90" i="47"/>
  <c r="J89" i="47"/>
  <c r="H89" i="47"/>
  <c r="J88" i="47"/>
  <c r="H88" i="47"/>
  <c r="J87" i="47"/>
  <c r="H87" i="47"/>
  <c r="J86" i="47"/>
  <c r="H86" i="47"/>
  <c r="J85" i="47"/>
  <c r="H85" i="47"/>
  <c r="J84" i="47"/>
  <c r="H84" i="47"/>
  <c r="J83" i="47"/>
  <c r="H83" i="47"/>
  <c r="J82" i="47"/>
  <c r="H82" i="47"/>
  <c r="J81" i="47"/>
  <c r="H81" i="47"/>
  <c r="J80" i="47"/>
  <c r="H80" i="47"/>
  <c r="J79" i="47"/>
  <c r="H79" i="47"/>
  <c r="J78" i="47"/>
  <c r="H78" i="47"/>
  <c r="J77" i="47"/>
  <c r="H77" i="47"/>
  <c r="J76" i="47"/>
  <c r="H76" i="47"/>
  <c r="J75" i="47"/>
  <c r="H75" i="47"/>
  <c r="J74" i="47"/>
  <c r="H74" i="47"/>
  <c r="J73" i="47"/>
  <c r="H73" i="47"/>
  <c r="J72" i="47"/>
  <c r="H72" i="47"/>
  <c r="J71" i="47"/>
  <c r="H71" i="47"/>
  <c r="J70" i="47"/>
  <c r="H70" i="47"/>
  <c r="J69" i="47"/>
  <c r="H69" i="47"/>
  <c r="J68" i="47"/>
  <c r="H68" i="47"/>
  <c r="J67" i="47"/>
  <c r="H67" i="47"/>
  <c r="J66" i="47"/>
  <c r="H66" i="47"/>
  <c r="J65" i="47"/>
  <c r="H65" i="47"/>
  <c r="J64" i="47"/>
  <c r="H64" i="47"/>
  <c r="J63" i="47"/>
  <c r="H63" i="47"/>
  <c r="J62" i="47"/>
  <c r="H62" i="47"/>
  <c r="J61" i="47"/>
  <c r="H61" i="47"/>
  <c r="J60" i="47"/>
  <c r="H60" i="47"/>
  <c r="J59" i="47"/>
  <c r="H59" i="47"/>
  <c r="J58" i="47"/>
  <c r="H58" i="47"/>
  <c r="J57" i="47"/>
  <c r="H57" i="47"/>
  <c r="J56" i="47"/>
  <c r="H56" i="47"/>
  <c r="J55" i="47"/>
  <c r="H55" i="47"/>
  <c r="H115" i="47" s="1"/>
  <c r="J46" i="47"/>
  <c r="H46" i="47"/>
  <c r="J45" i="47"/>
  <c r="H45" i="47"/>
  <c r="J44" i="47"/>
  <c r="H44" i="47"/>
  <c r="J43" i="47"/>
  <c r="H43" i="47"/>
  <c r="J42" i="47"/>
  <c r="H42" i="47"/>
  <c r="J41" i="47"/>
  <c r="H41" i="47"/>
  <c r="J40" i="47"/>
  <c r="H40" i="47"/>
  <c r="J39" i="47"/>
  <c r="H39" i="47"/>
  <c r="J38" i="47"/>
  <c r="H38" i="47"/>
  <c r="J37" i="47"/>
  <c r="H37" i="47"/>
  <c r="J36" i="47"/>
  <c r="H36" i="47"/>
  <c r="J35" i="47"/>
  <c r="H35" i="47"/>
  <c r="J34" i="47"/>
  <c r="H34" i="47"/>
  <c r="J33" i="47"/>
  <c r="H33" i="47"/>
  <c r="J32" i="47"/>
  <c r="H32" i="47"/>
  <c r="J31" i="47"/>
  <c r="H31" i="47"/>
  <c r="J30" i="47"/>
  <c r="H30" i="47"/>
  <c r="J29" i="47"/>
  <c r="H29" i="47"/>
  <c r="J28" i="47"/>
  <c r="H28" i="47"/>
  <c r="J27" i="47"/>
  <c r="H27" i="47"/>
  <c r="J26" i="47"/>
  <c r="H26" i="47"/>
  <c r="J25" i="47"/>
  <c r="H25" i="47"/>
  <c r="J24" i="47"/>
  <c r="H24" i="47"/>
  <c r="J23" i="47"/>
  <c r="H23" i="47"/>
  <c r="J22" i="47"/>
  <c r="H22" i="47"/>
  <c r="J21" i="47"/>
  <c r="H21" i="47"/>
  <c r="J20" i="47"/>
  <c r="H20" i="47"/>
  <c r="J19" i="47"/>
  <c r="H19" i="47"/>
  <c r="J18" i="47"/>
  <c r="H18" i="47"/>
  <c r="J17" i="47"/>
  <c r="H17" i="47"/>
  <c r="H49" i="47" s="1"/>
  <c r="E39" i="3" s="1"/>
  <c r="J16" i="47"/>
  <c r="H16" i="47"/>
  <c r="J15" i="47"/>
  <c r="H15" i="47"/>
  <c r="I187" i="59"/>
  <c r="I186" i="59"/>
  <c r="I185" i="59"/>
  <c r="I184" i="59"/>
  <c r="I183" i="59"/>
  <c r="I182" i="59"/>
  <c r="I181" i="59"/>
  <c r="I180" i="59"/>
  <c r="I179" i="59"/>
  <c r="I178" i="59"/>
  <c r="I177" i="59"/>
  <c r="I176" i="59"/>
  <c r="I175" i="59"/>
  <c r="I174" i="59"/>
  <c r="I173" i="59"/>
  <c r="I172" i="59"/>
  <c r="I171" i="59"/>
  <c r="I170" i="59"/>
  <c r="I169" i="59"/>
  <c r="I168" i="59"/>
  <c r="I167" i="59"/>
  <c r="I166" i="59"/>
  <c r="I165" i="59"/>
  <c r="I164" i="59"/>
  <c r="I163" i="59"/>
  <c r="I162" i="59"/>
  <c r="I161" i="59"/>
  <c r="I160" i="59"/>
  <c r="I159" i="59"/>
  <c r="I158" i="59"/>
  <c r="I157" i="59"/>
  <c r="I156" i="59"/>
  <c r="I155" i="59"/>
  <c r="I154" i="59"/>
  <c r="I153" i="59"/>
  <c r="I152" i="59"/>
  <c r="I151" i="59"/>
  <c r="I150" i="59"/>
  <c r="I212" i="59"/>
  <c r="I211" i="59"/>
  <c r="I210" i="59"/>
  <c r="I209" i="59"/>
  <c r="I208" i="59"/>
  <c r="I207" i="59"/>
  <c r="I206" i="59"/>
  <c r="I205" i="59"/>
  <c r="I204" i="59"/>
  <c r="I203" i="59"/>
  <c r="I202" i="59"/>
  <c r="I201" i="59"/>
  <c r="I200" i="59"/>
  <c r="I199" i="59"/>
  <c r="I198" i="59"/>
  <c r="I197" i="59"/>
  <c r="I196" i="59"/>
  <c r="I195" i="59"/>
  <c r="I194" i="59"/>
  <c r="I193" i="59"/>
  <c r="I192" i="59"/>
  <c r="I191" i="59"/>
  <c r="I190" i="59"/>
  <c r="I189" i="59"/>
  <c r="I188" i="59"/>
  <c r="I149" i="59"/>
  <c r="I148" i="59"/>
  <c r="I147" i="59"/>
  <c r="I146" i="59"/>
  <c r="I145" i="59"/>
  <c r="I144" i="59"/>
  <c r="I143" i="59"/>
  <c r="I142" i="59"/>
  <c r="I141" i="59"/>
  <c r="I140" i="59"/>
  <c r="I139" i="59"/>
  <c r="I138" i="59"/>
  <c r="I137" i="59"/>
  <c r="I136" i="59"/>
  <c r="I135" i="59"/>
  <c r="I134" i="59"/>
  <c r="I133" i="59"/>
  <c r="I132" i="59"/>
  <c r="I131" i="59"/>
  <c r="I130" i="59"/>
  <c r="I129" i="59"/>
  <c r="I128" i="59"/>
  <c r="I127" i="59"/>
  <c r="I126" i="59"/>
  <c r="I125" i="59"/>
  <c r="I124" i="59"/>
  <c r="I123" i="59"/>
  <c r="I122" i="59"/>
  <c r="I121" i="59"/>
  <c r="I120" i="59"/>
  <c r="I119" i="59"/>
  <c r="I118" i="59"/>
  <c r="I117" i="59"/>
  <c r="I116" i="59"/>
  <c r="I115" i="59"/>
  <c r="I114" i="59"/>
  <c r="I113" i="59"/>
  <c r="I112" i="59"/>
  <c r="I111" i="59"/>
  <c r="I110" i="59"/>
  <c r="I109" i="59"/>
  <c r="I108" i="59"/>
  <c r="I107" i="59"/>
  <c r="I106" i="59"/>
  <c r="I105" i="59"/>
  <c r="I104" i="59"/>
  <c r="I103" i="59"/>
  <c r="I102" i="59"/>
  <c r="I101" i="59"/>
  <c r="I100" i="59"/>
  <c r="I99" i="59"/>
  <c r="I98" i="59"/>
  <c r="I97" i="59"/>
  <c r="I96" i="59"/>
  <c r="I95" i="59"/>
  <c r="I94" i="59"/>
  <c r="I93" i="59"/>
  <c r="I92" i="59"/>
  <c r="I91" i="59"/>
  <c r="I90" i="59"/>
  <c r="I89" i="59"/>
  <c r="I88" i="59"/>
  <c r="I87" i="59"/>
  <c r="I86" i="59"/>
  <c r="I85" i="59"/>
  <c r="I87" i="56"/>
  <c r="E105" i="59"/>
  <c r="E159" i="40"/>
  <c r="E149" i="57" s="1"/>
  <c r="E157" i="40"/>
  <c r="I157" i="40"/>
  <c r="I145" i="57"/>
  <c r="I150" i="57"/>
  <c r="I149" i="57"/>
  <c r="I148" i="57"/>
  <c r="I147" i="57"/>
  <c r="I146" i="57"/>
  <c r="E147" i="57"/>
  <c r="I73" i="59"/>
  <c r="I72" i="59"/>
  <c r="I71" i="59"/>
  <c r="I70" i="59"/>
  <c r="I69" i="59"/>
  <c r="I68" i="59"/>
  <c r="I67" i="59"/>
  <c r="I66" i="59"/>
  <c r="I65" i="59"/>
  <c r="I64" i="59"/>
  <c r="I63" i="59"/>
  <c r="I62" i="59"/>
  <c r="I61" i="59"/>
  <c r="I60" i="59"/>
  <c r="I59" i="59"/>
  <c r="I58" i="59"/>
  <c r="I57" i="59"/>
  <c r="I56" i="59"/>
  <c r="I55" i="59"/>
  <c r="I54" i="59"/>
  <c r="I53" i="59"/>
  <c r="I52" i="59"/>
  <c r="I51" i="59"/>
  <c r="I50" i="59"/>
  <c r="I49" i="59"/>
  <c r="I48" i="59"/>
  <c r="I47" i="59"/>
  <c r="I46" i="59"/>
  <c r="I45" i="59"/>
  <c r="I44" i="59"/>
  <c r="I43" i="59"/>
  <c r="I42" i="59"/>
  <c r="I41" i="59"/>
  <c r="I40" i="59"/>
  <c r="I39" i="59"/>
  <c r="I38" i="59"/>
  <c r="I37" i="59"/>
  <c r="I36" i="59"/>
  <c r="I35" i="59"/>
  <c r="I34" i="59"/>
  <c r="I33" i="59"/>
  <c r="I32" i="59"/>
  <c r="I31" i="59"/>
  <c r="I30" i="59"/>
  <c r="I29" i="59"/>
  <c r="I28" i="59"/>
  <c r="I27" i="59"/>
  <c r="I26" i="59"/>
  <c r="I25" i="59"/>
  <c r="I24" i="59"/>
  <c r="I23" i="59"/>
  <c r="I22" i="59"/>
  <c r="I21" i="59"/>
  <c r="I20" i="59"/>
  <c r="I19" i="59"/>
  <c r="I18" i="59"/>
  <c r="I17" i="59"/>
  <c r="I113" i="46"/>
  <c r="I112" i="46"/>
  <c r="I111" i="46"/>
  <c r="I110" i="46"/>
  <c r="I109" i="46"/>
  <c r="I177" i="57"/>
  <c r="I176" i="57"/>
  <c r="I175" i="57"/>
  <c r="I174" i="57"/>
  <c r="I173" i="57"/>
  <c r="I172" i="57"/>
  <c r="I171" i="57"/>
  <c r="I170" i="57"/>
  <c r="I169" i="57"/>
  <c r="I168" i="57"/>
  <c r="I167" i="57"/>
  <c r="I166" i="57"/>
  <c r="I165" i="57"/>
  <c r="I164" i="57"/>
  <c r="I163" i="57"/>
  <c r="I162" i="57"/>
  <c r="I161" i="57"/>
  <c r="I160" i="57"/>
  <c r="I159" i="57"/>
  <c r="I158" i="57"/>
  <c r="I157" i="57"/>
  <c r="I156" i="57"/>
  <c r="I155" i="57"/>
  <c r="I154" i="57"/>
  <c r="I153" i="57"/>
  <c r="I152" i="57"/>
  <c r="I151" i="57"/>
  <c r="I144" i="57"/>
  <c r="I143" i="57"/>
  <c r="I142" i="57"/>
  <c r="I141" i="57"/>
  <c r="I140" i="57"/>
  <c r="I139" i="57"/>
  <c r="I138" i="57"/>
  <c r="I137" i="57"/>
  <c r="I136" i="57"/>
  <c r="I135" i="57"/>
  <c r="I134" i="57"/>
  <c r="I133" i="57"/>
  <c r="I132" i="57"/>
  <c r="I131" i="57"/>
  <c r="I130" i="57"/>
  <c r="I129" i="57"/>
  <c r="I128" i="57"/>
  <c r="I127" i="57"/>
  <c r="I120" i="57"/>
  <c r="I119" i="57"/>
  <c r="I118" i="57"/>
  <c r="I117" i="57"/>
  <c r="I116" i="57"/>
  <c r="I115" i="57"/>
  <c r="I114" i="57"/>
  <c r="I113" i="57"/>
  <c r="I112" i="57"/>
  <c r="I111" i="57"/>
  <c r="I110" i="57"/>
  <c r="I109" i="57"/>
  <c r="I108" i="57"/>
  <c r="I107" i="57"/>
  <c r="I106" i="57"/>
  <c r="I105" i="57"/>
  <c r="I104" i="57"/>
  <c r="I103" i="57"/>
  <c r="I102" i="57"/>
  <c r="I101" i="57"/>
  <c r="I100" i="57"/>
  <c r="I99" i="57"/>
  <c r="I98" i="57"/>
  <c r="I97" i="57"/>
  <c r="I96" i="57"/>
  <c r="I95" i="57"/>
  <c r="I94" i="57"/>
  <c r="I93" i="57"/>
  <c r="I86" i="57"/>
  <c r="I85" i="57"/>
  <c r="I84" i="57"/>
  <c r="I83" i="57"/>
  <c r="I82" i="57"/>
  <c r="I81" i="57"/>
  <c r="I80" i="57"/>
  <c r="I79" i="57"/>
  <c r="I78" i="57"/>
  <c r="I77" i="57"/>
  <c r="I76" i="57"/>
  <c r="I178" i="57"/>
  <c r="E101" i="57"/>
  <c r="E97" i="57"/>
  <c r="E95" i="57"/>
  <c r="E83" i="57"/>
  <c r="E145" i="57" s="1"/>
  <c r="E81" i="57"/>
  <c r="E117" i="57"/>
  <c r="E115" i="57"/>
  <c r="E141" i="57" s="1"/>
  <c r="I75" i="56"/>
  <c r="E109" i="57"/>
  <c r="E107" i="57"/>
  <c r="I140" i="58"/>
  <c r="I139" i="58"/>
  <c r="I138" i="58"/>
  <c r="I137" i="58"/>
  <c r="I136" i="58"/>
  <c r="I135" i="58"/>
  <c r="I134" i="58"/>
  <c r="I133" i="58"/>
  <c r="I132" i="58"/>
  <c r="I131" i="58"/>
  <c r="I130" i="58"/>
  <c r="I129" i="58"/>
  <c r="I128" i="58"/>
  <c r="I127" i="58"/>
  <c r="I126" i="58"/>
  <c r="I125" i="58"/>
  <c r="I124" i="58"/>
  <c r="I123" i="58"/>
  <c r="I122" i="58"/>
  <c r="I121" i="58"/>
  <c r="I120" i="58"/>
  <c r="I119" i="58"/>
  <c r="I118" i="58"/>
  <c r="I117" i="58"/>
  <c r="I116" i="58"/>
  <c r="I141" i="58"/>
  <c r="I115" i="58"/>
  <c r="I114" i="58"/>
  <c r="I113" i="58"/>
  <c r="I112" i="58"/>
  <c r="I111" i="58"/>
  <c r="I110" i="58"/>
  <c r="I109" i="58"/>
  <c r="I108" i="58"/>
  <c r="I107" i="58"/>
  <c r="I106" i="58"/>
  <c r="I105" i="58"/>
  <c r="I104" i="58"/>
  <c r="I103" i="58"/>
  <c r="I102" i="58"/>
  <c r="I101" i="58"/>
  <c r="I100" i="58"/>
  <c r="I99" i="58"/>
  <c r="I98" i="58"/>
  <c r="I97" i="58"/>
  <c r="I96" i="58"/>
  <c r="I95" i="58"/>
  <c r="I94" i="58"/>
  <c r="I93" i="58"/>
  <c r="I92" i="58"/>
  <c r="I91" i="58"/>
  <c r="I90" i="58"/>
  <c r="I89" i="58"/>
  <c r="I88" i="58"/>
  <c r="I87" i="58"/>
  <c r="I131" i="55"/>
  <c r="I130" i="55"/>
  <c r="I129" i="55"/>
  <c r="I128" i="55"/>
  <c r="I127" i="55"/>
  <c r="I126" i="55"/>
  <c r="I125" i="55"/>
  <c r="I124" i="55"/>
  <c r="E128" i="55"/>
  <c r="E87" i="58"/>
  <c r="E113" i="58" s="1"/>
  <c r="E99" i="58"/>
  <c r="E111" i="58" s="1"/>
  <c r="E83" i="56"/>
  <c r="E77" i="56" s="1"/>
  <c r="I179" i="57" l="1"/>
  <c r="I76" i="58" l="1"/>
  <c r="I75" i="58"/>
  <c r="I74" i="58"/>
  <c r="I73" i="58"/>
  <c r="I72" i="58"/>
  <c r="I71" i="58"/>
  <c r="I70" i="58"/>
  <c r="I69" i="58"/>
  <c r="I68" i="58"/>
  <c r="I67" i="58"/>
  <c r="I66" i="58"/>
  <c r="I65" i="58"/>
  <c r="I64" i="58"/>
  <c r="I63" i="58"/>
  <c r="I62" i="58"/>
  <c r="I61" i="58"/>
  <c r="I60" i="58"/>
  <c r="I59" i="58"/>
  <c r="I58" i="58"/>
  <c r="I57" i="58"/>
  <c r="I56" i="58"/>
  <c r="I55" i="58"/>
  <c r="I54" i="58"/>
  <c r="I53" i="58"/>
  <c r="I52" i="58"/>
  <c r="I51" i="58"/>
  <c r="I50" i="58"/>
  <c r="I49" i="58"/>
  <c r="I48" i="58"/>
  <c r="I47" i="58"/>
  <c r="I46" i="58"/>
  <c r="I45" i="58"/>
  <c r="I44" i="58"/>
  <c r="I43" i="58"/>
  <c r="I42" i="58"/>
  <c r="I41" i="58"/>
  <c r="I40" i="58"/>
  <c r="I39" i="58"/>
  <c r="I38" i="58"/>
  <c r="I37" i="58"/>
  <c r="I36" i="58"/>
  <c r="I35" i="58"/>
  <c r="I34" i="58"/>
  <c r="I33" i="58"/>
  <c r="I32" i="58"/>
  <c r="I31" i="58"/>
  <c r="I30" i="58"/>
  <c r="I29" i="58"/>
  <c r="I28" i="58"/>
  <c r="I27" i="58"/>
  <c r="I26" i="58"/>
  <c r="I25" i="58"/>
  <c r="I24" i="58"/>
  <c r="I23" i="58"/>
  <c r="I22" i="58"/>
  <c r="I21" i="58"/>
  <c r="I20" i="58"/>
  <c r="I19" i="58"/>
  <c r="I18" i="58"/>
  <c r="I125" i="56"/>
  <c r="I124" i="56"/>
  <c r="I123" i="56"/>
  <c r="I122" i="56"/>
  <c r="I121" i="56"/>
  <c r="I120" i="56"/>
  <c r="I119" i="56"/>
  <c r="I118" i="56"/>
  <c r="I117" i="56"/>
  <c r="I116" i="56"/>
  <c r="I115" i="56"/>
  <c r="I114" i="56"/>
  <c r="I113" i="56"/>
  <c r="I112" i="56"/>
  <c r="I111" i="56"/>
  <c r="I110" i="56"/>
  <c r="I109" i="56"/>
  <c r="I108" i="56"/>
  <c r="I107" i="56"/>
  <c r="I106" i="56"/>
  <c r="I105" i="56"/>
  <c r="I104" i="56"/>
  <c r="I103" i="56"/>
  <c r="I102" i="56"/>
  <c r="I101" i="56"/>
  <c r="I99" i="56"/>
  <c r="I98" i="56"/>
  <c r="I97" i="56"/>
  <c r="I96" i="56"/>
  <c r="I95" i="56"/>
  <c r="I94" i="56"/>
  <c r="I93" i="56"/>
  <c r="I92" i="56"/>
  <c r="I91" i="56"/>
  <c r="I86" i="56"/>
  <c r="I85" i="56"/>
  <c r="I84" i="56"/>
  <c r="I83" i="56"/>
  <c r="I82" i="56"/>
  <c r="I81" i="56"/>
  <c r="I80" i="56"/>
  <c r="I79" i="56"/>
  <c r="I78" i="56"/>
  <c r="I77" i="56"/>
  <c r="I76" i="56"/>
  <c r="I74" i="56"/>
  <c r="I73" i="56"/>
  <c r="I72" i="56"/>
  <c r="I71" i="56"/>
  <c r="I70" i="56"/>
  <c r="I69" i="56"/>
  <c r="I68" i="56"/>
  <c r="I67" i="56"/>
  <c r="I66" i="56"/>
  <c r="I65" i="56"/>
  <c r="I64" i="56"/>
  <c r="I63" i="56"/>
  <c r="I62" i="56"/>
  <c r="I100" i="56"/>
  <c r="E67" i="56"/>
  <c r="E97" i="56"/>
  <c r="E95" i="56"/>
  <c r="E75" i="56" s="1"/>
  <c r="E85" i="56"/>
  <c r="I77" i="58" l="1"/>
  <c r="E35" i="3" s="1"/>
  <c r="I21" i="56"/>
  <c r="I193" i="38"/>
  <c r="I69" i="57"/>
  <c r="I68" i="57"/>
  <c r="I67" i="57"/>
  <c r="I66" i="57"/>
  <c r="I65" i="57"/>
  <c r="I64" i="57"/>
  <c r="I63" i="57"/>
  <c r="I62" i="57"/>
  <c r="I61" i="57"/>
  <c r="I60" i="57"/>
  <c r="I59" i="57"/>
  <c r="I58" i="57"/>
  <c r="I57" i="57"/>
  <c r="I56" i="57"/>
  <c r="I55" i="57"/>
  <c r="I54" i="57"/>
  <c r="I53" i="57"/>
  <c r="I52" i="57"/>
  <c r="I51" i="57"/>
  <c r="I50" i="57"/>
  <c r="I49" i="57"/>
  <c r="I48" i="57"/>
  <c r="I47" i="57"/>
  <c r="I46" i="57"/>
  <c r="I45" i="57"/>
  <c r="I43" i="57"/>
  <c r="I42" i="57"/>
  <c r="I41" i="57"/>
  <c r="I40" i="57"/>
  <c r="I39" i="57"/>
  <c r="I37" i="57"/>
  <c r="I36" i="57"/>
  <c r="I35" i="57"/>
  <c r="I34" i="57"/>
  <c r="I33" i="57"/>
  <c r="I32" i="57"/>
  <c r="I31" i="57"/>
  <c r="I30" i="57"/>
  <c r="I29" i="57"/>
  <c r="I28" i="57"/>
  <c r="I27" i="57"/>
  <c r="I26" i="57"/>
  <c r="I25" i="57"/>
  <c r="I24" i="57"/>
  <c r="I23" i="57"/>
  <c r="I22" i="57"/>
  <c r="I21" i="57"/>
  <c r="I20" i="57"/>
  <c r="I19" i="57"/>
  <c r="I18" i="57"/>
  <c r="H3" i="57"/>
  <c r="I141" i="46"/>
  <c r="I140" i="46"/>
  <c r="I139" i="46"/>
  <c r="I138" i="46"/>
  <c r="I137" i="46"/>
  <c r="I136" i="46"/>
  <c r="I135" i="46"/>
  <c r="I134" i="46"/>
  <c r="I133" i="46"/>
  <c r="I132" i="46"/>
  <c r="I131" i="46"/>
  <c r="I130" i="46"/>
  <c r="I129" i="46"/>
  <c r="I128" i="46"/>
  <c r="I127" i="46"/>
  <c r="I126" i="46"/>
  <c r="I125" i="46"/>
  <c r="I124" i="46"/>
  <c r="I123" i="46"/>
  <c r="I122" i="46"/>
  <c r="I121" i="46"/>
  <c r="I120" i="46"/>
  <c r="I119" i="46"/>
  <c r="I118" i="46"/>
  <c r="I117" i="46"/>
  <c r="I116" i="46"/>
  <c r="I102" i="46"/>
  <c r="I101" i="46"/>
  <c r="I100" i="46"/>
  <c r="I99" i="46"/>
  <c r="I98" i="46"/>
  <c r="I97" i="46"/>
  <c r="I96" i="46"/>
  <c r="I95" i="46"/>
  <c r="I94" i="46"/>
  <c r="I93" i="46"/>
  <c r="I92" i="46"/>
  <c r="I91" i="46"/>
  <c r="I90" i="46"/>
  <c r="I89" i="46"/>
  <c r="I88" i="46"/>
  <c r="I87" i="46"/>
  <c r="I86" i="46"/>
  <c r="I85" i="46"/>
  <c r="I84" i="46"/>
  <c r="I83" i="46"/>
  <c r="I82" i="46"/>
  <c r="I81" i="46"/>
  <c r="I80" i="46"/>
  <c r="I79" i="46"/>
  <c r="I78" i="46"/>
  <c r="I77" i="46"/>
  <c r="I76" i="46"/>
  <c r="I75" i="46"/>
  <c r="I74" i="46"/>
  <c r="I73" i="46"/>
  <c r="I72" i="46"/>
  <c r="I71" i="46"/>
  <c r="I70" i="46"/>
  <c r="I69" i="46"/>
  <c r="I57" i="46"/>
  <c r="I56" i="46"/>
  <c r="I55" i="46"/>
  <c r="I54" i="46"/>
  <c r="I53" i="46"/>
  <c r="I52" i="46"/>
  <c r="I51" i="46"/>
  <c r="I50" i="46"/>
  <c r="I49" i="46"/>
  <c r="I48" i="46"/>
  <c r="I47" i="46"/>
  <c r="I46" i="46"/>
  <c r="I45" i="46"/>
  <c r="I44" i="46"/>
  <c r="I43" i="46"/>
  <c r="I42" i="46"/>
  <c r="I41" i="46"/>
  <c r="I40" i="46"/>
  <c r="I39" i="46"/>
  <c r="I38" i="46"/>
  <c r="I37" i="46"/>
  <c r="I36" i="46"/>
  <c r="I35" i="46"/>
  <c r="I34" i="46"/>
  <c r="I33" i="46"/>
  <c r="I32" i="46"/>
  <c r="I31" i="46"/>
  <c r="I30" i="46"/>
  <c r="I29" i="46"/>
  <c r="I28" i="46"/>
  <c r="I27" i="46"/>
  <c r="I26" i="46"/>
  <c r="I25" i="46"/>
  <c r="I24" i="46"/>
  <c r="I23" i="46"/>
  <c r="I22" i="46"/>
  <c r="I21" i="46"/>
  <c r="I20" i="46"/>
  <c r="I19" i="46"/>
  <c r="I18" i="46"/>
  <c r="I17" i="46"/>
  <c r="I59" i="46" l="1"/>
  <c r="I130" i="17"/>
  <c r="B18" i="17"/>
  <c r="B20" i="17" s="1"/>
  <c r="B24" i="17" s="1"/>
  <c r="I128" i="17"/>
  <c r="I127" i="17"/>
  <c r="I126" i="17"/>
  <c r="I125" i="17"/>
  <c r="I124" i="17"/>
  <c r="I123" i="17"/>
  <c r="I122" i="17"/>
  <c r="I1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70" i="17"/>
  <c r="I69" i="17"/>
  <c r="I68" i="17"/>
  <c r="I67" i="17"/>
  <c r="E27" i="3"/>
  <c r="I56" i="17"/>
  <c r="I54" i="17"/>
  <c r="I53" i="17"/>
  <c r="I52" i="17"/>
  <c r="I51" i="17"/>
  <c r="I50" i="17"/>
  <c r="I49" i="17"/>
  <c r="I48" i="17"/>
  <c r="I47" i="17"/>
  <c r="I46" i="17"/>
  <c r="I45" i="17"/>
  <c r="I44" i="17"/>
  <c r="I43" i="17"/>
  <c r="I42" i="17"/>
  <c r="I40" i="17"/>
  <c r="I39" i="17"/>
  <c r="I38" i="17"/>
  <c r="I37" i="17"/>
  <c r="I36" i="17"/>
  <c r="I35" i="17"/>
  <c r="I34" i="17"/>
  <c r="I33" i="17"/>
  <c r="I32" i="17"/>
  <c r="I31" i="17"/>
  <c r="I30" i="17"/>
  <c r="I29" i="17"/>
  <c r="I28" i="17"/>
  <c r="I27" i="17"/>
  <c r="I26" i="17"/>
  <c r="I25" i="17"/>
  <c r="I24" i="17"/>
  <c r="I23" i="17"/>
  <c r="I22" i="17"/>
  <c r="I21" i="17"/>
  <c r="I20" i="17"/>
  <c r="I19" i="17"/>
  <c r="I18" i="17"/>
  <c r="I41" i="17"/>
  <c r="B18" i="46"/>
  <c r="I66" i="17"/>
  <c r="I128" i="53" l="1"/>
  <c r="I127" i="53"/>
  <c r="I126" i="53"/>
  <c r="I125" i="53"/>
  <c r="I124" i="53"/>
  <c r="I123" i="53"/>
  <c r="I122" i="53"/>
  <c r="I121" i="53"/>
  <c r="I120" i="53"/>
  <c r="I119" i="53"/>
  <c r="I118" i="53"/>
  <c r="I117" i="53"/>
  <c r="I116" i="53"/>
  <c r="I115" i="53"/>
  <c r="I114" i="53"/>
  <c r="I113" i="53"/>
  <c r="I112" i="53"/>
  <c r="I111" i="53"/>
  <c r="I110" i="53"/>
  <c r="I109" i="53"/>
  <c r="I108" i="53"/>
  <c r="I107" i="53"/>
  <c r="I106" i="53"/>
  <c r="I105" i="53"/>
  <c r="I104" i="53"/>
  <c r="I102" i="53"/>
  <c r="I101" i="53"/>
  <c r="I100" i="53"/>
  <c r="I99" i="53"/>
  <c r="I98" i="53"/>
  <c r="I97" i="53"/>
  <c r="I96" i="53"/>
  <c r="I95" i="53"/>
  <c r="I94" i="53"/>
  <c r="I93" i="53"/>
  <c r="I80" i="53"/>
  <c r="I79" i="53"/>
  <c r="I78" i="53"/>
  <c r="I77" i="53"/>
  <c r="I103" i="53"/>
  <c r="E77" i="53" l="1"/>
  <c r="E79" i="53"/>
  <c r="I66" i="53"/>
  <c r="I65" i="53"/>
  <c r="I64" i="53"/>
  <c r="I63" i="53"/>
  <c r="I62" i="53"/>
  <c r="I61" i="53"/>
  <c r="I60" i="53"/>
  <c r="I59" i="53"/>
  <c r="I58" i="53"/>
  <c r="I57" i="53"/>
  <c r="I56" i="53"/>
  <c r="I55" i="53"/>
  <c r="I54" i="53"/>
  <c r="I53" i="53"/>
  <c r="I52" i="53"/>
  <c r="I51" i="53"/>
  <c r="I50" i="53"/>
  <c r="I49" i="53"/>
  <c r="I48" i="53"/>
  <c r="I47" i="53"/>
  <c r="I46" i="53"/>
  <c r="I45" i="53"/>
  <c r="I44" i="53"/>
  <c r="I43" i="53"/>
  <c r="I42" i="53"/>
  <c r="I41" i="53"/>
  <c r="I40" i="53"/>
  <c r="I39" i="53"/>
  <c r="I38" i="53"/>
  <c r="I37" i="53"/>
  <c r="I36" i="53"/>
  <c r="I35" i="53"/>
  <c r="I34" i="53"/>
  <c r="I33" i="53"/>
  <c r="I32" i="53"/>
  <c r="I31" i="53"/>
  <c r="I30" i="53"/>
  <c r="I29" i="53"/>
  <c r="I28" i="53"/>
  <c r="I27" i="53"/>
  <c r="I26" i="53"/>
  <c r="I25" i="53"/>
  <c r="I24" i="53"/>
  <c r="I23" i="53"/>
  <c r="I22" i="53"/>
  <c r="I21" i="53"/>
  <c r="I20" i="53"/>
  <c r="I19" i="53"/>
  <c r="I18" i="53"/>
  <c r="I195" i="38"/>
  <c r="E201" i="40"/>
  <c r="I278" i="38"/>
  <c r="I277" i="38"/>
  <c r="I276" i="38"/>
  <c r="I275" i="38"/>
  <c r="I274" i="38"/>
  <c r="I273" i="38"/>
  <c r="I272" i="38"/>
  <c r="I271" i="38"/>
  <c r="I270" i="38"/>
  <c r="I269" i="38"/>
  <c r="I268" i="38"/>
  <c r="I267" i="38"/>
  <c r="I266" i="38"/>
  <c r="I265" i="38"/>
  <c r="I264" i="38"/>
  <c r="I263" i="38"/>
  <c r="I262" i="38"/>
  <c r="I261" i="38"/>
  <c r="I260" i="38"/>
  <c r="I259" i="38"/>
  <c r="I258" i="38"/>
  <c r="I257" i="38"/>
  <c r="I256" i="38"/>
  <c r="I255" i="38"/>
  <c r="I254" i="38"/>
  <c r="I253" i="38"/>
  <c r="I252" i="38"/>
  <c r="I251" i="38"/>
  <c r="I250" i="38"/>
  <c r="I249" i="38"/>
  <c r="I248" i="38"/>
  <c r="I247" i="38"/>
  <c r="I246" i="38"/>
  <c r="I245" i="38"/>
  <c r="I244" i="38"/>
  <c r="I243" i="38"/>
  <c r="I242" i="38"/>
  <c r="I241" i="38"/>
  <c r="I240" i="38"/>
  <c r="I239" i="38"/>
  <c r="I238" i="38"/>
  <c r="I237" i="38"/>
  <c r="I236" i="38"/>
  <c r="I235" i="38"/>
  <c r="I234" i="38"/>
  <c r="I233" i="38"/>
  <c r="I232" i="38"/>
  <c r="I231" i="38"/>
  <c r="I230" i="38"/>
  <c r="I218" i="38"/>
  <c r="I217" i="38"/>
  <c r="I216" i="38"/>
  <c r="I215" i="38"/>
  <c r="I214" i="38"/>
  <c r="I213" i="38"/>
  <c r="I212" i="38"/>
  <c r="I211" i="38"/>
  <c r="I210" i="38"/>
  <c r="I209" i="38"/>
  <c r="I208" i="38"/>
  <c r="I207" i="38"/>
  <c r="I206" i="38"/>
  <c r="I205" i="38"/>
  <c r="I204" i="38"/>
  <c r="I203" i="38"/>
  <c r="I202" i="38"/>
  <c r="I201" i="38"/>
  <c r="I200" i="38"/>
  <c r="I199" i="38"/>
  <c r="I198" i="38"/>
  <c r="I197" i="38"/>
  <c r="I192" i="38"/>
  <c r="I191" i="38"/>
  <c r="I190" i="38"/>
  <c r="I189" i="38"/>
  <c r="I188" i="38"/>
  <c r="I187" i="38"/>
  <c r="I186" i="38"/>
  <c r="I185" i="38"/>
  <c r="I184" i="38"/>
  <c r="I183" i="38"/>
  <c r="I182" i="38"/>
  <c r="I181" i="38"/>
  <c r="I180" i="38"/>
  <c r="I179" i="38"/>
  <c r="I178" i="38"/>
  <c r="I177" i="38"/>
  <c r="I160" i="38"/>
  <c r="I156" i="38"/>
  <c r="I155" i="38"/>
  <c r="I154" i="38"/>
  <c r="I126" i="38"/>
  <c r="I125" i="38"/>
  <c r="E246" i="38"/>
  <c r="E244" i="38"/>
  <c r="E248" i="38"/>
  <c r="E185" i="38"/>
  <c r="E187" i="38"/>
  <c r="E183" i="38"/>
  <c r="I67" i="53" l="1"/>
  <c r="E25" i="3" s="1"/>
  <c r="I109" i="38"/>
  <c r="I108" i="38"/>
  <c r="I107" i="38"/>
  <c r="I106" i="38"/>
  <c r="I105" i="38"/>
  <c r="I104" i="38"/>
  <c r="I103" i="38"/>
  <c r="I102" i="38"/>
  <c r="I101" i="38"/>
  <c r="I100" i="38"/>
  <c r="I99" i="38"/>
  <c r="I98" i="38"/>
  <c r="I97" i="38"/>
  <c r="I96" i="38"/>
  <c r="I95" i="38"/>
  <c r="I94" i="38"/>
  <c r="I93" i="38"/>
  <c r="I92" i="38"/>
  <c r="I91" i="38"/>
  <c r="I90" i="38"/>
  <c r="I89" i="38"/>
  <c r="I88" i="38"/>
  <c r="I87" i="38"/>
  <c r="I86" i="38"/>
  <c r="I85" i="38"/>
  <c r="I84" i="38"/>
  <c r="I83" i="38"/>
  <c r="I82" i="38"/>
  <c r="I81" i="38"/>
  <c r="I80" i="38"/>
  <c r="I79" i="38"/>
  <c r="I78" i="38"/>
  <c r="I77" i="38"/>
  <c r="I76" i="38"/>
  <c r="I75" i="38"/>
  <c r="I74" i="38"/>
  <c r="I73" i="38"/>
  <c r="I72" i="38"/>
  <c r="I71" i="38"/>
  <c r="I70" i="38"/>
  <c r="I69" i="38"/>
  <c r="I68" i="38"/>
  <c r="I67" i="38"/>
  <c r="I66" i="38"/>
  <c r="I65" i="38"/>
  <c r="I64" i="38"/>
  <c r="I63" i="38"/>
  <c r="I62" i="38"/>
  <c r="I61" i="38"/>
  <c r="I60" i="38"/>
  <c r="I59" i="38"/>
  <c r="I58" i="38"/>
  <c r="I57" i="38"/>
  <c r="I56" i="38"/>
  <c r="I55" i="38"/>
  <c r="I54" i="38"/>
  <c r="I53" i="38"/>
  <c r="I52" i="38"/>
  <c r="I51" i="38"/>
  <c r="I50" i="38"/>
  <c r="I49" i="38"/>
  <c r="I48" i="38"/>
  <c r="I47" i="38"/>
  <c r="I46" i="38"/>
  <c r="I45" i="38"/>
  <c r="I44" i="38"/>
  <c r="I43" i="38"/>
  <c r="I42" i="38"/>
  <c r="I41" i="38"/>
  <c r="I40" i="38"/>
  <c r="I39" i="38"/>
  <c r="I38" i="38"/>
  <c r="I37" i="38"/>
  <c r="I36" i="38"/>
  <c r="I35" i="38"/>
  <c r="I34" i="38"/>
  <c r="I33" i="38"/>
  <c r="I32" i="38"/>
  <c r="I31" i="38"/>
  <c r="I30" i="38"/>
  <c r="I29" i="38"/>
  <c r="I28" i="38"/>
  <c r="I27" i="38"/>
  <c r="I26" i="38"/>
  <c r="I25" i="38"/>
  <c r="I24" i="38"/>
  <c r="I23" i="38"/>
  <c r="I22" i="38"/>
  <c r="I21" i="38"/>
  <c r="I20" i="38"/>
  <c r="I267" i="40"/>
  <c r="I266" i="40"/>
  <c r="I265" i="40"/>
  <c r="I264" i="40"/>
  <c r="I263" i="40"/>
  <c r="I262" i="40"/>
  <c r="I261" i="40"/>
  <c r="I260" i="40"/>
  <c r="I259" i="40"/>
  <c r="I258" i="40"/>
  <c r="I257" i="40"/>
  <c r="I256" i="40"/>
  <c r="I255" i="40"/>
  <c r="I254" i="40"/>
  <c r="I253" i="40"/>
  <c r="I252" i="40"/>
  <c r="I251" i="40"/>
  <c r="I250" i="40"/>
  <c r="I249" i="40"/>
  <c r="I248" i="40"/>
  <c r="I247" i="40"/>
  <c r="I246" i="40"/>
  <c r="I245" i="40"/>
  <c r="I244" i="40"/>
  <c r="I243" i="40"/>
  <c r="I242" i="40"/>
  <c r="I237" i="40"/>
  <c r="I236" i="40"/>
  <c r="I235" i="40"/>
  <c r="I234" i="40"/>
  <c r="I233" i="40"/>
  <c r="I231" i="40"/>
  <c r="I230" i="40"/>
  <c r="I229" i="40"/>
  <c r="I228" i="40"/>
  <c r="I227" i="40"/>
  <c r="I226" i="40"/>
  <c r="I225" i="40"/>
  <c r="I224" i="40"/>
  <c r="I223" i="40"/>
  <c r="I220" i="40"/>
  <c r="I219" i="40"/>
  <c r="I218" i="40"/>
  <c r="I217" i="40"/>
  <c r="I216" i="40"/>
  <c r="I215" i="40"/>
  <c r="I214" i="40"/>
  <c r="I213" i="40"/>
  <c r="I212" i="40"/>
  <c r="I211" i="40"/>
  <c r="I210" i="40"/>
  <c r="I209" i="40"/>
  <c r="I208" i="40"/>
  <c r="I207" i="40"/>
  <c r="I206" i="40"/>
  <c r="I205" i="40"/>
  <c r="I204" i="40"/>
  <c r="I203" i="40"/>
  <c r="I202" i="40"/>
  <c r="I201" i="40"/>
  <c r="I200" i="40"/>
  <c r="I199" i="40"/>
  <c r="I198" i="40"/>
  <c r="I197" i="40"/>
  <c r="I194" i="40"/>
  <c r="I193" i="40"/>
  <c r="I192" i="40"/>
  <c r="I191" i="40"/>
  <c r="I190" i="40"/>
  <c r="I189" i="40"/>
  <c r="I188" i="40"/>
  <c r="I187" i="40"/>
  <c r="I186" i="40"/>
  <c r="I185" i="40"/>
  <c r="I184" i="40"/>
  <c r="I183" i="40"/>
  <c r="I182" i="40"/>
  <c r="I181" i="40"/>
  <c r="I180" i="40"/>
  <c r="I179" i="40"/>
  <c r="I178" i="40"/>
  <c r="I177" i="40"/>
  <c r="I176" i="40"/>
  <c r="I175" i="40"/>
  <c r="I174" i="40"/>
  <c r="I173" i="40"/>
  <c r="I172" i="40"/>
  <c r="I171" i="40"/>
  <c r="I170" i="40"/>
  <c r="I169" i="40"/>
  <c r="I168" i="40"/>
  <c r="I167" i="40"/>
  <c r="I166" i="40"/>
  <c r="I165" i="40"/>
  <c r="I164" i="40"/>
  <c r="I163" i="40"/>
  <c r="I162" i="40"/>
  <c r="I161" i="40"/>
  <c r="I156" i="40"/>
  <c r="I155" i="40"/>
  <c r="I154" i="40"/>
  <c r="I153" i="40"/>
  <c r="I152" i="40"/>
  <c r="I151" i="40"/>
  <c r="I150" i="40"/>
  <c r="I149" i="40"/>
  <c r="I148" i="40"/>
  <c r="I147" i="40"/>
  <c r="I146" i="40"/>
  <c r="I145" i="40"/>
  <c r="E237" i="40"/>
  <c r="E211" i="40"/>
  <c r="E180" i="40"/>
  <c r="E207" i="40"/>
  <c r="E219" i="40" l="1"/>
  <c r="E165" i="40"/>
  <c r="E171" i="40"/>
  <c r="E169" i="40"/>
  <c r="E175" i="40"/>
  <c r="E154" i="40"/>
  <c r="E149" i="40"/>
  <c r="E181" i="40" l="1"/>
  <c r="E147" i="40"/>
  <c r="E144" i="40"/>
  <c r="I133" i="40"/>
  <c r="I132" i="40"/>
  <c r="I131" i="40"/>
  <c r="I130" i="40"/>
  <c r="I129" i="40"/>
  <c r="I128" i="40"/>
  <c r="I127" i="40"/>
  <c r="I126" i="40"/>
  <c r="I125" i="40"/>
  <c r="I124" i="40"/>
  <c r="I123" i="40"/>
  <c r="I122" i="40"/>
  <c r="I121" i="40"/>
  <c r="I120" i="40"/>
  <c r="I119" i="40"/>
  <c r="I118" i="40"/>
  <c r="I117" i="40"/>
  <c r="I116" i="40"/>
  <c r="I115" i="40"/>
  <c r="I114" i="40"/>
  <c r="I113" i="40"/>
  <c r="I112" i="40"/>
  <c r="I111" i="40"/>
  <c r="I110" i="40"/>
  <c r="I109" i="40"/>
  <c r="I108" i="40"/>
  <c r="I107" i="40"/>
  <c r="I106" i="40"/>
  <c r="I105" i="40"/>
  <c r="I102" i="40"/>
  <c r="I101" i="40"/>
  <c r="I100" i="40"/>
  <c r="I99" i="40"/>
  <c r="I98" i="40"/>
  <c r="I97" i="40"/>
  <c r="I96" i="40"/>
  <c r="I95" i="40"/>
  <c r="I94" i="40"/>
  <c r="I93" i="40"/>
  <c r="I92" i="40"/>
  <c r="I91" i="40"/>
  <c r="I90" i="40"/>
  <c r="I89" i="40"/>
  <c r="I88" i="40"/>
  <c r="I87" i="40"/>
  <c r="I86" i="40"/>
  <c r="I85" i="40"/>
  <c r="I84" i="40"/>
  <c r="I83" i="40"/>
  <c r="I82" i="40"/>
  <c r="I81" i="40"/>
  <c r="I80" i="40"/>
  <c r="I79" i="40"/>
  <c r="I78" i="40"/>
  <c r="I77" i="40"/>
  <c r="I76" i="40"/>
  <c r="I75" i="40"/>
  <c r="I74" i="40"/>
  <c r="I73" i="40"/>
  <c r="I72" i="40"/>
  <c r="I71" i="40"/>
  <c r="I70" i="40"/>
  <c r="I69" i="40"/>
  <c r="I68" i="40"/>
  <c r="I67" i="40"/>
  <c r="I66" i="40"/>
  <c r="I65" i="40"/>
  <c r="I64" i="40"/>
  <c r="I63" i="40"/>
  <c r="I62" i="40"/>
  <c r="I61" i="40"/>
  <c r="I60" i="40"/>
  <c r="I59" i="40"/>
  <c r="I58" i="40"/>
  <c r="I57" i="40"/>
  <c r="I56" i="40"/>
  <c r="I55" i="40"/>
  <c r="I54" i="40"/>
  <c r="I53" i="40"/>
  <c r="I52" i="40"/>
  <c r="I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2" i="62"/>
  <c r="E158" i="62"/>
  <c r="E166" i="62"/>
  <c r="E164" i="62"/>
  <c r="E142" i="62"/>
  <c r="E102" i="62"/>
  <c r="E58" i="62"/>
  <c r="E80" i="62" s="1"/>
  <c r="E98" i="62" s="1"/>
  <c r="E114" i="62" s="1"/>
  <c r="E147" i="62" s="1"/>
  <c r="E156" i="62" l="1"/>
  <c r="E148" i="62"/>
  <c r="E124" i="62"/>
  <c r="E155" i="40"/>
  <c r="E86" i="62"/>
  <c r="E62" i="62"/>
  <c r="E74" i="62" s="1"/>
  <c r="B22" i="62" l="1"/>
  <c r="B30" i="62" s="1"/>
  <c r="B36" i="62" s="1"/>
  <c r="B40" i="62" s="1"/>
  <c r="I189" i="62"/>
  <c r="I190" i="62" s="1"/>
  <c r="I17" i="62"/>
  <c r="I6" i="62"/>
  <c r="B62" i="62" l="1"/>
  <c r="B66" i="62" s="1"/>
  <c r="B68" i="62" s="1"/>
  <c r="B72" i="62" s="1"/>
  <c r="B74" i="62" s="1"/>
  <c r="B44" i="62"/>
  <c r="B48" i="62" s="1"/>
  <c r="B52" i="62" s="1"/>
  <c r="F13" i="3"/>
  <c r="G13" i="3" s="1"/>
  <c r="B80" i="62" l="1"/>
  <c r="B86" i="62" l="1"/>
  <c r="B94" i="62" l="1"/>
  <c r="B96" i="62" s="1"/>
  <c r="B98" i="62" s="1"/>
  <c r="B102" i="62" s="1"/>
  <c r="B108" i="62" s="1"/>
  <c r="B110" i="62" s="1"/>
  <c r="B114" i="62" s="1"/>
  <c r="B116" i="62" s="1"/>
  <c r="B118" i="62" s="1"/>
  <c r="B124" i="62" s="1"/>
  <c r="B130" i="62" s="1"/>
  <c r="B132" i="62" s="1"/>
  <c r="B138" i="62" s="1"/>
  <c r="B140" i="62" s="1"/>
  <c r="B142" i="62" s="1"/>
  <c r="B148" i="62" l="1"/>
  <c r="B156" i="62" s="1"/>
  <c r="B158" i="62" l="1"/>
  <c r="B164" i="62" s="1"/>
  <c r="B166" i="62" s="1"/>
  <c r="B175" i="62" s="1"/>
  <c r="B181" i="62" s="1"/>
  <c r="B187" i="62" s="1"/>
  <c r="I130" i="54" l="1"/>
  <c r="I99" i="54"/>
  <c r="I98" i="54"/>
  <c r="I97" i="54"/>
  <c r="I96" i="54"/>
  <c r="I95" i="54"/>
  <c r="I94" i="54"/>
  <c r="I93" i="54"/>
  <c r="I92" i="54"/>
  <c r="I91" i="54"/>
  <c r="I90" i="54"/>
  <c r="I89" i="54"/>
  <c r="I88" i="54"/>
  <c r="I87" i="54"/>
  <c r="I86" i="54"/>
  <c r="I85" i="54"/>
  <c r="I84" i="54"/>
  <c r="I83" i="54"/>
  <c r="I82" i="54"/>
  <c r="I81" i="54"/>
  <c r="I80" i="54"/>
  <c r="I79" i="54"/>
  <c r="I78" i="54"/>
  <c r="I77" i="54"/>
  <c r="I76" i="54"/>
  <c r="I75" i="54"/>
  <c r="I101" i="54"/>
  <c r="I104" i="54"/>
  <c r="I105" i="54"/>
  <c r="I132" i="54"/>
  <c r="I133" i="54"/>
  <c r="I134" i="54"/>
  <c r="I74" i="61"/>
  <c r="I73" i="61"/>
  <c r="I72" i="61"/>
  <c r="I71" i="61"/>
  <c r="I70" i="61"/>
  <c r="I69" i="61"/>
  <c r="I68" i="61"/>
  <c r="I67" i="61"/>
  <c r="I66" i="61"/>
  <c r="I65" i="61"/>
  <c r="I64" i="61"/>
  <c r="I63" i="61"/>
  <c r="I62" i="61"/>
  <c r="I61" i="61"/>
  <c r="I60" i="61"/>
  <c r="I59" i="61"/>
  <c r="I58" i="61"/>
  <c r="I57" i="61"/>
  <c r="I56" i="61"/>
  <c r="I55" i="61"/>
  <c r="I54" i="61"/>
  <c r="I53" i="61"/>
  <c r="I52" i="61"/>
  <c r="I51" i="61"/>
  <c r="I50" i="61"/>
  <c r="I49" i="61"/>
  <c r="I48" i="61"/>
  <c r="I45" i="61"/>
  <c r="I44" i="61"/>
  <c r="I43" i="61"/>
  <c r="I42" i="61"/>
  <c r="I41" i="61"/>
  <c r="I40" i="61"/>
  <c r="I39" i="61"/>
  <c r="I38" i="61"/>
  <c r="I37" i="61"/>
  <c r="I36" i="61"/>
  <c r="I35" i="61"/>
  <c r="I34" i="61"/>
  <c r="I33" i="61"/>
  <c r="I32" i="61"/>
  <c r="I31" i="61"/>
  <c r="I30" i="61"/>
  <c r="I29" i="61"/>
  <c r="I28" i="61"/>
  <c r="I27" i="61"/>
  <c r="I26" i="61"/>
  <c r="I25" i="61"/>
  <c r="I24" i="61"/>
  <c r="I23" i="61"/>
  <c r="I22" i="61"/>
  <c r="I20" i="61"/>
  <c r="I19" i="61"/>
  <c r="I18" i="61"/>
  <c r="H3" i="61"/>
  <c r="B18" i="61"/>
  <c r="I7" i="61"/>
  <c r="I6" i="61"/>
  <c r="I3" i="61"/>
  <c r="B3" i="61"/>
  <c r="B2" i="61"/>
  <c r="I75" i="61" l="1"/>
  <c r="E45" i="3" s="1"/>
  <c r="G45" i="3" s="1"/>
  <c r="B24" i="61"/>
  <c r="B28" i="61" s="1"/>
  <c r="B30" i="61" s="1"/>
  <c r="B36" i="61" s="1"/>
  <c r="B38" i="61" s="1"/>
  <c r="B44" i="61" s="1"/>
  <c r="B55" i="61" s="1"/>
  <c r="B61" i="61" s="1"/>
  <c r="B67" i="61" s="1"/>
  <c r="B73" i="61" s="1"/>
  <c r="B83" i="61" s="1"/>
  <c r="B89" i="61" l="1"/>
  <c r="B93" i="61" s="1"/>
  <c r="B97" i="61" s="1"/>
  <c r="B99" i="61" s="1"/>
  <c r="B101" i="61" s="1"/>
  <c r="I7" i="51"/>
  <c r="I6" i="51"/>
  <c r="E42" i="58"/>
  <c r="E42" i="57"/>
  <c r="E36" i="58"/>
  <c r="E48" i="38"/>
  <c r="B18" i="58"/>
  <c r="B22" i="58" s="1"/>
  <c r="B24" i="58" s="1"/>
  <c r="B26" i="58" s="1"/>
  <c r="B28" i="58" s="1"/>
  <c r="B30" i="58" s="1"/>
  <c r="B36" i="58" s="1"/>
  <c r="B42" i="58" s="1"/>
  <c r="B48" i="58" s="1"/>
  <c r="B57" i="58" s="1"/>
  <c r="B18" i="59"/>
  <c r="B22" i="59" s="1"/>
  <c r="B26" i="59" s="1"/>
  <c r="B30" i="59" s="1"/>
  <c r="B34" i="59" s="1"/>
  <c r="B38" i="59" s="1"/>
  <c r="I16" i="59"/>
  <c r="B103" i="61" l="1"/>
  <c r="B107" i="61" s="1"/>
  <c r="B109" i="61" s="1"/>
  <c r="B111" i="61" s="1"/>
  <c r="B113" i="61" s="1"/>
  <c r="B117" i="61" s="1"/>
  <c r="B119" i="61" s="1"/>
  <c r="B123" i="61" s="1"/>
  <c r="B127" i="61" s="1"/>
  <c r="B133" i="61" s="1"/>
  <c r="B137" i="61" s="1"/>
  <c r="B141" i="61" s="1"/>
  <c r="B143" i="61" s="1"/>
  <c r="B147" i="61" s="1"/>
  <c r="B18" i="60"/>
  <c r="B27" i="60" s="1"/>
  <c r="I18" i="60"/>
  <c r="E36" i="57"/>
  <c r="E28" i="56"/>
  <c r="B18" i="57"/>
  <c r="B22" i="57" s="1"/>
  <c r="B24" i="57" s="1"/>
  <c r="B26" i="57" s="1"/>
  <c r="B28" i="57" s="1"/>
  <c r="B30" i="57" s="1"/>
  <c r="B32" i="57" s="1"/>
  <c r="B36" i="57" s="1"/>
  <c r="B38" i="57" s="1"/>
  <c r="B42" i="57" s="1"/>
  <c r="B51" i="57" s="1"/>
  <c r="E20" i="56"/>
  <c r="E26" i="56"/>
  <c r="I26" i="56"/>
  <c r="I25" i="56"/>
  <c r="I24" i="56"/>
  <c r="I23" i="56"/>
  <c r="I22" i="56"/>
  <c r="B20" i="56"/>
  <c r="B26" i="56" s="1"/>
  <c r="I20" i="56"/>
  <c r="I19" i="56"/>
  <c r="I18" i="56"/>
  <c r="I17" i="56"/>
  <c r="I16" i="56"/>
  <c r="I15" i="56"/>
  <c r="I14" i="56"/>
  <c r="B149" i="61" l="1"/>
  <c r="B153" i="61" s="1"/>
  <c r="H3" i="60"/>
  <c r="I94" i="60"/>
  <c r="I46" i="60"/>
  <c r="I45" i="60"/>
  <c r="I44" i="60"/>
  <c r="I43" i="60"/>
  <c r="I42" i="60"/>
  <c r="I41" i="60"/>
  <c r="I40" i="60"/>
  <c r="I39" i="60"/>
  <c r="I38" i="60"/>
  <c r="I37" i="60"/>
  <c r="I36" i="60"/>
  <c r="I35" i="60"/>
  <c r="I34" i="60"/>
  <c r="I33" i="60"/>
  <c r="I32" i="60"/>
  <c r="I31" i="60"/>
  <c r="I30" i="60"/>
  <c r="I29" i="60"/>
  <c r="I28" i="60"/>
  <c r="I27" i="60"/>
  <c r="I26" i="60"/>
  <c r="I25" i="60"/>
  <c r="I24" i="60"/>
  <c r="I23" i="60"/>
  <c r="I22" i="60"/>
  <c r="I21" i="60"/>
  <c r="I20" i="60"/>
  <c r="B33" i="60"/>
  <c r="B39" i="60" s="1"/>
  <c r="B45" i="60" s="1"/>
  <c r="B55" i="60" s="1"/>
  <c r="B65" i="60" s="1"/>
  <c r="B74" i="60" s="1"/>
  <c r="B80" i="60" s="1"/>
  <c r="B86" i="60" s="1"/>
  <c r="B92" i="60" s="1"/>
  <c r="I7" i="60"/>
  <c r="I6" i="60"/>
  <c r="I3" i="60"/>
  <c r="H3" i="63" s="1"/>
  <c r="B3" i="60"/>
  <c r="B2" i="60"/>
  <c r="B2" i="63" s="1"/>
  <c r="H3" i="59"/>
  <c r="I214" i="59"/>
  <c r="F37" i="3" s="1"/>
  <c r="I74" i="59"/>
  <c r="I75" i="59" s="1"/>
  <c r="E37" i="3" s="1"/>
  <c r="B42" i="59"/>
  <c r="B46" i="59" s="1"/>
  <c r="B55" i="59" s="1"/>
  <c r="B61" i="59" s="1"/>
  <c r="B67" i="59" s="1"/>
  <c r="B73" i="59" s="1"/>
  <c r="B85" i="59" s="1"/>
  <c r="B87" i="59" s="1"/>
  <c r="B89" i="59" s="1"/>
  <c r="B91" i="59" s="1"/>
  <c r="B93" i="59" s="1"/>
  <c r="B95" i="59" s="1"/>
  <c r="B97" i="59" s="1"/>
  <c r="B99" i="59" s="1"/>
  <c r="B101" i="59" s="1"/>
  <c r="B103" i="59" s="1"/>
  <c r="I7" i="59"/>
  <c r="I6" i="59"/>
  <c r="I3" i="59"/>
  <c r="J3" i="47" s="1"/>
  <c r="B3" i="59"/>
  <c r="B2" i="59"/>
  <c r="H3" i="58"/>
  <c r="I142" i="58"/>
  <c r="B63" i="58"/>
  <c r="B69" i="58" s="1"/>
  <c r="B75" i="58" s="1"/>
  <c r="B87" i="58" s="1"/>
  <c r="B89" i="58" s="1"/>
  <c r="B91" i="58" s="1"/>
  <c r="B93" i="58" s="1"/>
  <c r="B99" i="58" s="1"/>
  <c r="B101" i="58" s="1"/>
  <c r="B103" i="58" s="1"/>
  <c r="B111" i="58" s="1"/>
  <c r="B113" i="58" s="1"/>
  <c r="B122" i="58" s="1"/>
  <c r="B128" i="58" s="1"/>
  <c r="B134" i="58" s="1"/>
  <c r="B140" i="58" s="1"/>
  <c r="I7" i="58"/>
  <c r="I6" i="58"/>
  <c r="I3" i="58"/>
  <c r="B3" i="58"/>
  <c r="B2" i="58"/>
  <c r="I70" i="57"/>
  <c r="I44" i="57"/>
  <c r="B57" i="57"/>
  <c r="B63" i="57" s="1"/>
  <c r="B69" i="57" s="1"/>
  <c r="B81" i="57" s="1"/>
  <c r="B83" i="57" s="1"/>
  <c r="B85" i="57" s="1"/>
  <c r="I7" i="57"/>
  <c r="I6" i="57"/>
  <c r="I3" i="57"/>
  <c r="B3" i="57"/>
  <c r="B2" i="57"/>
  <c r="I126" i="56"/>
  <c r="I127" i="56" s="1"/>
  <c r="I56" i="56"/>
  <c r="I55" i="56"/>
  <c r="I54" i="56"/>
  <c r="I53" i="56"/>
  <c r="I52" i="56"/>
  <c r="I51" i="56"/>
  <c r="I50" i="56"/>
  <c r="I49" i="56"/>
  <c r="I48" i="56"/>
  <c r="I47" i="56"/>
  <c r="I46" i="56"/>
  <c r="I45" i="56"/>
  <c r="I44" i="56"/>
  <c r="I43" i="56"/>
  <c r="I42" i="56"/>
  <c r="I41" i="56"/>
  <c r="I40" i="56"/>
  <c r="I39" i="56"/>
  <c r="I38" i="56"/>
  <c r="I37" i="56"/>
  <c r="I36" i="56"/>
  <c r="I35" i="56"/>
  <c r="I34" i="56"/>
  <c r="I33" i="56"/>
  <c r="I32" i="56"/>
  <c r="I31" i="56"/>
  <c r="I30" i="56"/>
  <c r="I29" i="56"/>
  <c r="I28" i="56"/>
  <c r="I27" i="56"/>
  <c r="B28" i="56"/>
  <c r="I7" i="56"/>
  <c r="I6" i="56"/>
  <c r="I3" i="56"/>
  <c r="B3" i="56"/>
  <c r="B2" i="56"/>
  <c r="I129" i="53"/>
  <c r="I130" i="53" s="1"/>
  <c r="F25" i="3" s="1"/>
  <c r="G25" i="3" s="1"/>
  <c r="B18" i="53"/>
  <c r="B22" i="53" s="1"/>
  <c r="B24" i="53" s="1"/>
  <c r="B26" i="53" s="1"/>
  <c r="B28" i="53" s="1"/>
  <c r="B30" i="53" s="1"/>
  <c r="I6" i="53"/>
  <c r="I3" i="53"/>
  <c r="H3" i="53"/>
  <c r="B3" i="53"/>
  <c r="B2" i="53"/>
  <c r="E35" i="55"/>
  <c r="H3" i="55"/>
  <c r="I132" i="55"/>
  <c r="I133" i="55" s="1"/>
  <c r="I87" i="55"/>
  <c r="I29" i="55"/>
  <c r="I88" i="55" s="1"/>
  <c r="B19" i="55"/>
  <c r="B23" i="55" s="1"/>
  <c r="B25" i="55" s="1"/>
  <c r="I6" i="55"/>
  <c r="I3" i="55"/>
  <c r="B3" i="55"/>
  <c r="B2" i="55"/>
  <c r="E54" i="38"/>
  <c r="E58" i="38"/>
  <c r="E52" i="38"/>
  <c r="E40" i="38"/>
  <c r="E78" i="38"/>
  <c r="E72" i="38"/>
  <c r="B20" i="38"/>
  <c r="B24" i="38" s="1"/>
  <c r="I23" i="40"/>
  <c r="E17" i="3" s="1"/>
  <c r="B23" i="40"/>
  <c r="B27" i="40" s="1"/>
  <c r="B29" i="40" s="1"/>
  <c r="B31" i="40" s="1"/>
  <c r="B33" i="40" s="1"/>
  <c r="B35" i="40" s="1"/>
  <c r="B37" i="40" s="1"/>
  <c r="B43" i="40" s="1"/>
  <c r="I67" i="54"/>
  <c r="B22" i="54"/>
  <c r="B26" i="54" s="1"/>
  <c r="B32" i="54" s="1"/>
  <c r="I66" i="54"/>
  <c r="I72" i="54"/>
  <c r="I71" i="54"/>
  <c r="I70" i="54"/>
  <c r="I69" i="54"/>
  <c r="I68" i="54"/>
  <c r="I65" i="54"/>
  <c r="I64" i="54"/>
  <c r="I63" i="54"/>
  <c r="I62" i="54"/>
  <c r="I61" i="54"/>
  <c r="I60" i="54"/>
  <c r="I58" i="54"/>
  <c r="I56" i="54"/>
  <c r="I55" i="54"/>
  <c r="I54" i="54"/>
  <c r="I53" i="54"/>
  <c r="I52" i="54"/>
  <c r="I51" i="54"/>
  <c r="I50" i="54"/>
  <c r="I49" i="54"/>
  <c r="I48" i="54"/>
  <c r="I47" i="54"/>
  <c r="I46" i="54"/>
  <c r="I45" i="54"/>
  <c r="I44" i="54"/>
  <c r="I43" i="54"/>
  <c r="I42" i="54"/>
  <c r="I41" i="54"/>
  <c r="I40" i="54"/>
  <c r="I39" i="54"/>
  <c r="I38" i="54"/>
  <c r="I37" i="54"/>
  <c r="I36" i="54"/>
  <c r="I35" i="54"/>
  <c r="I34" i="54"/>
  <c r="I33" i="54"/>
  <c r="I32" i="54"/>
  <c r="I31" i="54"/>
  <c r="I30" i="54"/>
  <c r="I29" i="54"/>
  <c r="I28" i="54"/>
  <c r="I27" i="54"/>
  <c r="I26" i="54"/>
  <c r="I25" i="54"/>
  <c r="I24" i="54"/>
  <c r="I23" i="54"/>
  <c r="I22" i="54"/>
  <c r="I15" i="54"/>
  <c r="I14" i="54"/>
  <c r="I13" i="54"/>
  <c r="I6" i="54"/>
  <c r="H3" i="54"/>
  <c r="I148" i="54"/>
  <c r="I147" i="54"/>
  <c r="I146" i="54"/>
  <c r="I145" i="54"/>
  <c r="I144" i="54"/>
  <c r="I143" i="54"/>
  <c r="I142" i="54"/>
  <c r="I141" i="54"/>
  <c r="I140" i="54"/>
  <c r="I139" i="54"/>
  <c r="I138" i="54"/>
  <c r="I137" i="54"/>
  <c r="I136" i="54"/>
  <c r="I135" i="54"/>
  <c r="F21" i="3" l="1"/>
  <c r="B89" i="57"/>
  <c r="B91" i="57" s="1"/>
  <c r="B95" i="57" s="1"/>
  <c r="B97" i="57" s="1"/>
  <c r="B101" i="57" s="1"/>
  <c r="B107" i="57" s="1"/>
  <c r="B109" i="57" s="1"/>
  <c r="B115" i="57" s="1"/>
  <c r="B117" i="57" s="1"/>
  <c r="B119" i="57" s="1"/>
  <c r="B121" i="57" s="1"/>
  <c r="B123" i="57" s="1"/>
  <c r="B125" i="57" s="1"/>
  <c r="B131" i="57" s="1"/>
  <c r="B133" i="57" s="1"/>
  <c r="B141" i="57" s="1"/>
  <c r="B143" i="57" s="1"/>
  <c r="B145" i="57" s="1"/>
  <c r="B147" i="57" s="1"/>
  <c r="B149" i="57" s="1"/>
  <c r="B158" i="57" s="1"/>
  <c r="B164" i="57" s="1"/>
  <c r="B170" i="57" s="1"/>
  <c r="B176" i="57" s="1"/>
  <c r="I150" i="54"/>
  <c r="F11" i="3" s="1"/>
  <c r="B157" i="61"/>
  <c r="B159" i="61" s="1"/>
  <c r="B163" i="61" s="1"/>
  <c r="B167" i="61" s="1"/>
  <c r="G37" i="3"/>
  <c r="B105" i="59"/>
  <c r="B111" i="59" s="1"/>
  <c r="B113" i="59" s="1"/>
  <c r="B115" i="59" s="1"/>
  <c r="B117" i="59" s="1"/>
  <c r="B119" i="59" s="1"/>
  <c r="B121" i="59" s="1"/>
  <c r="B123" i="59" s="1"/>
  <c r="B129" i="59" s="1"/>
  <c r="B131" i="59" s="1"/>
  <c r="B137" i="59" s="1"/>
  <c r="B143" i="59" s="1"/>
  <c r="I143" i="58"/>
  <c r="F35" i="3" s="1"/>
  <c r="G35" i="3" s="1"/>
  <c r="I71" i="57"/>
  <c r="E31" i="3" s="1"/>
  <c r="E21" i="3"/>
  <c r="I57" i="56"/>
  <c r="E33" i="3" s="1"/>
  <c r="I102" i="54"/>
  <c r="E11" i="3" s="1"/>
  <c r="B42" i="54"/>
  <c r="B48" i="54" s="1"/>
  <c r="B50" i="54" s="1"/>
  <c r="B52" i="54" s="1"/>
  <c r="B54" i="54" s="1"/>
  <c r="B56" i="54" s="1"/>
  <c r="B38" i="54"/>
  <c r="B37" i="56"/>
  <c r="B43" i="56" s="1"/>
  <c r="B49" i="56" s="1"/>
  <c r="B55" i="56" s="1"/>
  <c r="B67" i="56" s="1"/>
  <c r="B75" i="56" s="1"/>
  <c r="B77" i="56" s="1"/>
  <c r="B83" i="56" s="1"/>
  <c r="B85" i="56" s="1"/>
  <c r="B36" i="53"/>
  <c r="B38" i="53" s="1"/>
  <c r="B35" i="55"/>
  <c r="B27" i="55"/>
  <c r="B29" i="55" s="1"/>
  <c r="B37" i="55" l="1"/>
  <c r="B39" i="55" s="1"/>
  <c r="B43" i="55" s="1"/>
  <c r="B47" i="55" s="1"/>
  <c r="B51" i="55" s="1"/>
  <c r="B55" i="55" s="1"/>
  <c r="B62" i="54"/>
  <c r="B64" i="54" s="1"/>
  <c r="B66" i="54" s="1"/>
  <c r="B68" i="54" s="1"/>
  <c r="B70" i="54" s="1"/>
  <c r="B72" i="54" s="1"/>
  <c r="B81" i="54" s="1"/>
  <c r="B87" i="54" s="1"/>
  <c r="B93" i="54" s="1"/>
  <c r="B99" i="54" s="1"/>
  <c r="B110" i="54" s="1"/>
  <c r="B112" i="54" s="1"/>
  <c r="B114" i="54" s="1"/>
  <c r="B116" i="54" s="1"/>
  <c r="B118" i="54" s="1"/>
  <c r="B120" i="54" s="1"/>
  <c r="B122" i="54" s="1"/>
  <c r="B124" i="54" s="1"/>
  <c r="G21" i="3"/>
  <c r="G11" i="3"/>
  <c r="B171" i="61"/>
  <c r="B175" i="61" s="1"/>
  <c r="B179" i="61" s="1"/>
  <c r="B181" i="61" s="1"/>
  <c r="B185" i="61" s="1"/>
  <c r="B187" i="61" s="1"/>
  <c r="B189" i="61" s="1"/>
  <c r="B195" i="61" s="1"/>
  <c r="B87" i="56"/>
  <c r="B149" i="59"/>
  <c r="B151" i="59" s="1"/>
  <c r="B194" i="59" s="1"/>
  <c r="B200" i="59" s="1"/>
  <c r="B206" i="59" s="1"/>
  <c r="B212" i="59" s="1"/>
  <c r="B157" i="59"/>
  <c r="F31" i="3"/>
  <c r="G31" i="3" s="1"/>
  <c r="F33" i="3"/>
  <c r="G33" i="3" s="1"/>
  <c r="B47" i="53"/>
  <c r="B53" i="53" s="1"/>
  <c r="B59" i="53" s="1"/>
  <c r="B65" i="53" s="1"/>
  <c r="B77" i="53" s="1"/>
  <c r="B79" i="53" s="1"/>
  <c r="B68" i="55" l="1"/>
  <c r="B59" i="55"/>
  <c r="B130" i="54"/>
  <c r="B141" i="54" s="1"/>
  <c r="B147" i="54" s="1"/>
  <c r="B101" i="53"/>
  <c r="B109" i="53" s="1"/>
  <c r="B115" i="53" s="1"/>
  <c r="B121" i="53" s="1"/>
  <c r="B127" i="53" s="1"/>
  <c r="B85" i="53"/>
  <c r="B87" i="53" s="1"/>
  <c r="B89" i="53" s="1"/>
  <c r="B91" i="53" s="1"/>
  <c r="B197" i="61"/>
  <c r="B203" i="61" s="1"/>
  <c r="B205" i="61" s="1"/>
  <c r="B211" i="61" s="1"/>
  <c r="B213" i="61" s="1"/>
  <c r="B89" i="56"/>
  <c r="B95" i="56" s="1"/>
  <c r="B97" i="56" s="1"/>
  <c r="B106" i="56" s="1"/>
  <c r="B112" i="56" s="1"/>
  <c r="B118" i="56" s="1"/>
  <c r="B124" i="56" s="1"/>
  <c r="B165" i="59"/>
  <c r="B159" i="59"/>
  <c r="B161" i="59" s="1"/>
  <c r="B74" i="55"/>
  <c r="B80" i="55" s="1"/>
  <c r="B86" i="55" s="1"/>
  <c r="E898" i="4"/>
  <c r="E9" i="3" s="1"/>
  <c r="F898" i="4"/>
  <c r="F9" i="3" s="1"/>
  <c r="G9" i="3" l="1"/>
  <c r="B98" i="55"/>
  <c r="B102" i="55" s="1"/>
  <c r="B106" i="55" s="1"/>
  <c r="B110" i="55" s="1"/>
  <c r="B114" i="55" s="1"/>
  <c r="B116" i="55" s="1"/>
  <c r="B120" i="55" s="1"/>
  <c r="B128" i="55" s="1"/>
  <c r="B130" i="55" s="1"/>
  <c r="B219" i="61"/>
  <c r="B223" i="61" s="1"/>
  <c r="B229" i="61" s="1"/>
  <c r="B231" i="61" s="1"/>
  <c r="B233" i="61" s="1"/>
  <c r="B235" i="61" s="1"/>
  <c r="B239" i="61" s="1"/>
  <c r="B169" i="59"/>
  <c r="B173" i="59" s="1"/>
  <c r="B177" i="59" s="1"/>
  <c r="B181" i="59" s="1"/>
  <c r="B185" i="59" s="1"/>
  <c r="I18" i="40"/>
  <c r="I17" i="40"/>
  <c r="B245" i="61" l="1"/>
  <c r="B251" i="61" s="1"/>
  <c r="B257" i="61" s="1"/>
  <c r="B263" i="61" s="1"/>
  <c r="B272" i="61" s="1"/>
  <c r="B278" i="61" s="1"/>
  <c r="B284" i="61" s="1"/>
  <c r="B290" i="61" s="1"/>
  <c r="H39" i="28"/>
  <c r="H35" i="28"/>
  <c r="H27" i="28"/>
  <c r="I110" i="38"/>
  <c r="I111" i="38" s="1"/>
  <c r="E19" i="3" s="1"/>
  <c r="H3" i="17" l="1"/>
  <c r="I16" i="40" l="1"/>
  <c r="I15" i="40"/>
  <c r="I13" i="40"/>
  <c r="H3" i="38" l="1"/>
  <c r="B26" i="38" l="1"/>
  <c r="B28" i="38" s="1"/>
  <c r="B30" i="38" s="1"/>
  <c r="B32" i="38" s="1"/>
  <c r="B34" i="38" s="1"/>
  <c r="I99" i="51"/>
  <c r="I3" i="51"/>
  <c r="B3" i="51"/>
  <c r="B2" i="51"/>
  <c r="B40" i="38" l="1"/>
  <c r="B20" i="46"/>
  <c r="B22" i="46" s="1"/>
  <c r="B26" i="17" l="1"/>
  <c r="B35" i="17" s="1"/>
  <c r="B41" i="17" s="1"/>
  <c r="B47" i="17" s="1"/>
  <c r="B53" i="17" s="1"/>
  <c r="B66" i="17" s="1"/>
  <c r="B70" i="17" s="1"/>
  <c r="B78" i="17" s="1"/>
  <c r="B80" i="17" s="1"/>
  <c r="B86" i="17" s="1"/>
  <c r="B92" i="17" s="1"/>
  <c r="B94" i="17" s="1"/>
  <c r="B102" i="17" s="1"/>
  <c r="B26" i="46"/>
  <c r="B28" i="46" s="1"/>
  <c r="B30" i="46" s="1"/>
  <c r="B39" i="46" s="1"/>
  <c r="B42" i="38"/>
  <c r="B44" i="38" s="1"/>
  <c r="B48" i="38" s="1"/>
  <c r="B52" i="38" s="1"/>
  <c r="B54" i="38" l="1"/>
  <c r="B56" i="38" s="1"/>
  <c r="B45" i="40"/>
  <c r="B47" i="40" s="1"/>
  <c r="B49" i="40" s="1"/>
  <c r="B51" i="40" s="1"/>
  <c r="B58" i="38" l="1"/>
  <c r="B60" i="38" s="1"/>
  <c r="B62" i="38" s="1"/>
  <c r="B108" i="17"/>
  <c r="B114" i="17" s="1"/>
  <c r="B53" i="40"/>
  <c r="B64" i="38" l="1"/>
  <c r="B68" i="38" s="1"/>
  <c r="B72" i="38" s="1"/>
  <c r="B74" i="38" s="1"/>
  <c r="B76" i="38" s="1"/>
  <c r="B78" i="38" s="1"/>
  <c r="B80" i="38" s="1"/>
  <c r="B82" i="38" s="1"/>
  <c r="B91" i="38" s="1"/>
  <c r="B55" i="40"/>
  <c r="B61" i="40" s="1"/>
  <c r="B63" i="40" s="1"/>
  <c r="B65" i="40" s="1"/>
  <c r="B67" i="40" s="1"/>
  <c r="B45" i="46"/>
  <c r="B73" i="40" l="1"/>
  <c r="B75" i="40" s="1"/>
  <c r="B77" i="40" s="1"/>
  <c r="B79" i="40" s="1"/>
  <c r="B52" i="51"/>
  <c r="B54" i="51" s="1"/>
  <c r="B60" i="51" s="1"/>
  <c r="B62" i="51" s="1"/>
  <c r="B72" i="51" s="1"/>
  <c r="B81" i="40" l="1"/>
  <c r="B83" i="40" s="1"/>
  <c r="B85" i="40" s="1"/>
  <c r="B87" i="40" s="1"/>
  <c r="B89" i="40" s="1"/>
  <c r="B78" i="51"/>
  <c r="B84" i="51" s="1"/>
  <c r="B90" i="51" s="1"/>
  <c r="B91" i="40" l="1"/>
  <c r="B93" i="40" l="1"/>
  <c r="B99" i="40" s="1"/>
  <c r="B101" i="40" s="1"/>
  <c r="H43" i="28"/>
  <c r="B15" i="32"/>
  <c r="B17" i="32" s="1"/>
  <c r="B19" i="32" s="1"/>
  <c r="B21" i="32" s="1"/>
  <c r="B23" i="32" s="1"/>
  <c r="B25" i="32" s="1"/>
  <c r="B27" i="32" s="1"/>
  <c r="B29" i="32" s="1"/>
  <c r="B31" i="32" s="1"/>
  <c r="B35" i="32" s="1"/>
  <c r="B37" i="32" s="1"/>
  <c r="B41" i="32" s="1"/>
  <c r="B43" i="32" s="1"/>
  <c r="H31" i="28"/>
  <c r="H23" i="28"/>
  <c r="E29" i="3"/>
  <c r="B15" i="47"/>
  <c r="B17" i="47" s="1"/>
  <c r="B21" i="47" s="1"/>
  <c r="B23" i="47" s="1"/>
  <c r="B25" i="47" s="1"/>
  <c r="B27" i="47" s="1"/>
  <c r="B29" i="47" s="1"/>
  <c r="J202" i="47"/>
  <c r="J154" i="47"/>
  <c r="J52" i="47"/>
  <c r="J6" i="47"/>
  <c r="G3" i="47"/>
  <c r="B3" i="47"/>
  <c r="H55" i="28" l="1"/>
  <c r="E47" i="3" s="1"/>
  <c r="B103" i="40"/>
  <c r="B105" i="40" s="1"/>
  <c r="B107" i="40" s="1"/>
  <c r="B115" i="40" s="1"/>
  <c r="B31" i="47"/>
  <c r="B33" i="47" s="1"/>
  <c r="B35" i="47" s="1"/>
  <c r="B37" i="47" s="1"/>
  <c r="B39" i="47" s="1"/>
  <c r="B41" i="47" s="1"/>
  <c r="B43" i="47" s="1"/>
  <c r="B45" i="47" s="1"/>
  <c r="B47" i="47" s="1"/>
  <c r="B55" i="47" s="1"/>
  <c r="B57" i="47" s="1"/>
  <c r="B61" i="47" s="1"/>
  <c r="B63" i="47" s="1"/>
  <c r="B65" i="47" s="1"/>
  <c r="B67" i="47" s="1"/>
  <c r="B69" i="47" s="1"/>
  <c r="B71" i="47" s="1"/>
  <c r="B73" i="47" s="1"/>
  <c r="B75" i="47" s="1"/>
  <c r="B77" i="47" s="1"/>
  <c r="B79" i="47" s="1"/>
  <c r="B81" i="47" s="1"/>
  <c r="B83" i="47" s="1"/>
  <c r="B85" i="47" s="1"/>
  <c r="B87" i="47" s="1"/>
  <c r="B89" i="47" s="1"/>
  <c r="B91" i="47" s="1"/>
  <c r="B93" i="47" s="1"/>
  <c r="B95" i="47" s="1"/>
  <c r="B97" i="47" s="1"/>
  <c r="B99" i="47" s="1"/>
  <c r="B101" i="47" s="1"/>
  <c r="B103" i="47" s="1"/>
  <c r="B105" i="47" s="1"/>
  <c r="B107" i="47" s="1"/>
  <c r="B109" i="47" s="1"/>
  <c r="B111" i="47" s="1"/>
  <c r="B113" i="47" s="1"/>
  <c r="B25" i="28"/>
  <c r="J115" i="47"/>
  <c r="J49" i="47"/>
  <c r="B125" i="47" l="1"/>
  <c r="B127" i="47" s="1"/>
  <c r="B129" i="47" s="1"/>
  <c r="B131" i="47" s="1"/>
  <c r="B133" i="47" s="1"/>
  <c r="B135" i="47" s="1"/>
  <c r="B137" i="47" s="1"/>
  <c r="B27" i="28"/>
  <c r="B29" i="28" s="1"/>
  <c r="B31" i="28" s="1"/>
  <c r="B33" i="28" s="1"/>
  <c r="J203" i="47" l="1"/>
  <c r="F39" i="3" s="1"/>
  <c r="G39" i="3" s="1"/>
  <c r="B141" i="47"/>
  <c r="B143" i="47" s="1"/>
  <c r="B145" i="47" s="1"/>
  <c r="B149" i="47" s="1"/>
  <c r="B153" i="47" s="1"/>
  <c r="B164" i="47" s="1"/>
  <c r="B170" i="47" s="1"/>
  <c r="B176" i="47" s="1"/>
  <c r="B182" i="47" s="1"/>
  <c r="B188" i="47" s="1"/>
  <c r="B194" i="47" s="1"/>
  <c r="B200" i="47" s="1"/>
  <c r="B35" i="28"/>
  <c r="B37" i="28" s="1"/>
  <c r="B39" i="28" s="1"/>
  <c r="B41" i="28" s="1"/>
  <c r="B43" i="28" l="1"/>
  <c r="B45" i="28" s="1"/>
  <c r="B47" i="28" s="1"/>
  <c r="B49" i="28" s="1"/>
  <c r="B53" i="28" s="1"/>
  <c r="B61" i="28"/>
  <c r="B63" i="28" s="1"/>
  <c r="B65" i="28" s="1"/>
  <c r="B67" i="28" s="1"/>
  <c r="B69" i="28" s="1"/>
  <c r="B70" i="28" s="1"/>
  <c r="B72" i="28" s="1"/>
  <c r="B74" i="28" s="1"/>
  <c r="B78" i="28" s="1"/>
  <c r="H3" i="46"/>
  <c r="I142" i="46"/>
  <c r="I143" i="46" s="1"/>
  <c r="F29" i="3" s="1"/>
  <c r="G29" i="3" s="1"/>
  <c r="I7" i="46"/>
  <c r="I6" i="46"/>
  <c r="I3" i="46"/>
  <c r="B3" i="46"/>
  <c r="B2" i="46"/>
  <c r="B2" i="47" s="1"/>
  <c r="B121" i="40" l="1"/>
  <c r="B127" i="40" s="1"/>
  <c r="B133" i="40" s="1"/>
  <c r="B145" i="40" l="1"/>
  <c r="B147" i="40" s="1"/>
  <c r="B149" i="40" s="1"/>
  <c r="B155" i="40" s="1"/>
  <c r="B157" i="40" s="1"/>
  <c r="B159" i="40" s="1"/>
  <c r="B165" i="40" s="1"/>
  <c r="B51" i="46"/>
  <c r="B57" i="46" s="1"/>
  <c r="B69" i="46" s="1"/>
  <c r="B73" i="46" s="1"/>
  <c r="B77" i="46" s="1"/>
  <c r="B83" i="46" s="1"/>
  <c r="B89" i="46" s="1"/>
  <c r="B93" i="46" s="1"/>
  <c r="B95" i="46" s="1"/>
  <c r="B97" i="46" s="1"/>
  <c r="B99" i="46" s="1"/>
  <c r="B101" i="46" s="1"/>
  <c r="B107" i="46" s="1"/>
  <c r="B113" i="46" l="1"/>
  <c r="B122" i="46" s="1"/>
  <c r="B128" i="46" s="1"/>
  <c r="B134" i="46" s="1"/>
  <c r="B140" i="46" s="1"/>
  <c r="B169" i="40"/>
  <c r="B171" i="40" s="1"/>
  <c r="B175" i="40" s="1"/>
  <c r="B120" i="17"/>
  <c r="B126" i="17" s="1"/>
  <c r="B181" i="40" l="1"/>
  <c r="B187" i="40" s="1"/>
  <c r="B189" i="40" s="1"/>
  <c r="B191" i="40" s="1"/>
  <c r="B97" i="38"/>
  <c r="B103" i="38" s="1"/>
  <c r="B109" i="38" s="1"/>
  <c r="B125" i="38" s="1"/>
  <c r="B133" i="38" s="1"/>
  <c r="B137" i="38" s="1"/>
  <c r="B141" i="38" s="1"/>
  <c r="B145" i="38" s="1"/>
  <c r="B147" i="38" s="1"/>
  <c r="B151" i="38" s="1"/>
  <c r="B155" i="38" s="1"/>
  <c r="B159" i="38" s="1"/>
  <c r="B163" i="38" s="1"/>
  <c r="B165" i="38" s="1"/>
  <c r="B171" i="38" s="1"/>
  <c r="B175" i="38" s="1"/>
  <c r="B183" i="38" s="1"/>
  <c r="B193" i="40" l="1"/>
  <c r="B195" i="40" s="1"/>
  <c r="B201" i="40" s="1"/>
  <c r="I3" i="17"/>
  <c r="B185" i="38" l="1"/>
  <c r="B187" i="38" s="1"/>
  <c r="B189" i="38" s="1"/>
  <c r="B191" i="38" s="1"/>
  <c r="B193" i="38" s="1"/>
  <c r="B195" i="38" s="1"/>
  <c r="B197" i="38" s="1"/>
  <c r="B207" i="40"/>
  <c r="B211" i="40" s="1"/>
  <c r="B219" i="40" s="1"/>
  <c r="J36" i="32"/>
  <c r="B221" i="40" l="1"/>
  <c r="B223" i="40" s="1"/>
  <c r="B225" i="40" s="1"/>
  <c r="B227" i="40" s="1"/>
  <c r="B229" i="40" s="1"/>
  <c r="B231" i="40" s="1"/>
  <c r="B237" i="40" s="1"/>
  <c r="B199" i="38"/>
  <c r="B201" i="38" s="1"/>
  <c r="B203" i="38" s="1"/>
  <c r="B211" i="38" s="1"/>
  <c r="B217" i="38" s="1"/>
  <c r="B238" i="38" s="1"/>
  <c r="B240" i="38" s="1"/>
  <c r="B244" i="38" s="1"/>
  <c r="B246" i="38" s="1"/>
  <c r="B248" i="38" s="1"/>
  <c r="B250" i="38" s="1"/>
  <c r="B258" i="38" s="1"/>
  <c r="B264" i="38" s="1"/>
  <c r="B270" i="38" s="1"/>
  <c r="B276" i="38" s="1"/>
  <c r="H3" i="40"/>
  <c r="I268" i="40"/>
  <c r="I6" i="40"/>
  <c r="I3" i="40"/>
  <c r="B3" i="40"/>
  <c r="B2" i="40"/>
  <c r="B239" i="40" l="1"/>
  <c r="B248" i="40" s="1"/>
  <c r="B254" i="40" s="1"/>
  <c r="B260" i="40" s="1"/>
  <c r="B266" i="40" s="1"/>
  <c r="F17" i="3"/>
  <c r="G17" i="3" s="1"/>
  <c r="I3" i="38" l="1"/>
  <c r="I279" i="38" l="1"/>
  <c r="I280" i="38" s="1"/>
  <c r="F19" i="3" s="1"/>
  <c r="G19" i="3" s="1"/>
  <c r="I6" i="38"/>
  <c r="B3" i="38"/>
  <c r="B2" i="38"/>
  <c r="G3" i="32" l="1"/>
  <c r="G3" i="28"/>
  <c r="J14" i="32"/>
  <c r="J13" i="32"/>
  <c r="J12" i="32"/>
  <c r="J11" i="32"/>
  <c r="J10" i="32"/>
  <c r="J9" i="32"/>
  <c r="J8" i="32"/>
  <c r="J7" i="32"/>
  <c r="J6" i="32"/>
  <c r="J3" i="32"/>
  <c r="B3" i="32"/>
  <c r="B2" i="32"/>
  <c r="H82" i="28"/>
  <c r="H81" i="28"/>
  <c r="H22" i="28"/>
  <c r="H21" i="28"/>
  <c r="H7" i="28"/>
  <c r="H6" i="28"/>
  <c r="H3" i="28"/>
  <c r="B3" i="28"/>
  <c r="B2" i="28"/>
  <c r="H83" i="28" l="1"/>
  <c r="F47" i="3" s="1"/>
  <c r="G47" i="3" s="1"/>
  <c r="J45" i="32"/>
  <c r="I129" i="17"/>
  <c r="F27" i="3" s="1"/>
  <c r="G27" i="3" s="1"/>
  <c r="I7" i="17"/>
  <c r="I6" i="17"/>
  <c r="B3" i="17"/>
  <c r="B2" i="17"/>
  <c r="G3" i="4"/>
  <c r="F3" i="4"/>
  <c r="B2" i="4"/>
  <c r="B2" i="54" s="1"/>
  <c r="B3" i="4"/>
  <c r="B3" i="54" s="1"/>
  <c r="G864"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12" i="4"/>
  <c r="G11" i="4"/>
  <c r="G10" i="4"/>
  <c r="G8" i="4"/>
  <c r="G7" i="4"/>
  <c r="G6" i="4"/>
  <c r="G898" i="4" l="1"/>
  <c r="B3" i="62"/>
  <c r="B3" i="65"/>
  <c r="B2" i="62"/>
  <c r="B2" i="65"/>
  <c r="I3" i="62"/>
  <c r="I3" i="65"/>
  <c r="G56" i="3"/>
</calcChain>
</file>

<file path=xl/sharedStrings.xml><?xml version="1.0" encoding="utf-8"?>
<sst xmlns="http://schemas.openxmlformats.org/spreadsheetml/2006/main" count="2953" uniqueCount="1488">
  <si>
    <t>Total Exc Fees and VAT</t>
  </si>
  <si>
    <t>Quantity</t>
  </si>
  <si>
    <t>Unit</t>
  </si>
  <si>
    <t>Rate</t>
  </si>
  <si>
    <t xml:space="preserve">Total to Collection £   </t>
  </si>
  <si>
    <t>Total £      p</t>
  </si>
  <si>
    <t>Preliminaries</t>
  </si>
  <si>
    <t>Tender Document</t>
  </si>
  <si>
    <t>Section</t>
  </si>
  <si>
    <t>A10 PROJECT PARTICULARS</t>
  </si>
  <si>
    <t>THE PROJECT:</t>
  </si>
  <si>
    <t>EMPLOYER</t>
  </si>
  <si>
    <t>THE PRINCIPAL CONTRACTOR: The Appointed Contractor</t>
  </si>
  <si>
    <t>CONTRACT ADMINSTRATOR</t>
  </si>
  <si>
    <t>IWSA Ltd</t>
  </si>
  <si>
    <t>2 Brighton Villas</t>
  </si>
  <si>
    <t>Walwyn Road</t>
  </si>
  <si>
    <t>Colwall</t>
  </si>
  <si>
    <t>Worcestershire</t>
  </si>
  <si>
    <t>WR13 6QG</t>
  </si>
  <si>
    <t>Tel +44 (0) 7798 565635</t>
  </si>
  <si>
    <t>QUANTITY SURVEYOR</t>
  </si>
  <si>
    <t>STRUCTURAL ENGINEER</t>
  </si>
  <si>
    <t>MECHANICAL AND ELECTRICAL ENGINEER</t>
  </si>
  <si>
    <t>CDM CO-ORDINATOR</t>
  </si>
  <si>
    <t>A11 TENDER AND CONTRACT DOCUMENTS</t>
  </si>
  <si>
    <t>CONTRACT DOCUMENTS</t>
  </si>
  <si>
    <t>A12 THE SITE/EXISTING BUILDINGS</t>
  </si>
  <si>
    <t>THE SITE</t>
  </si>
  <si>
    <t>SITE BOUNDARIES</t>
  </si>
  <si>
    <t>EXISTING BUILDINGS ON/ADJACENT TO THE SITE</t>
  </si>
  <si>
    <t>EXISTING MAINS/SERVICES</t>
  </si>
  <si>
    <t>The location of existing services will be advised. The Contractor is responsible of identifying and tracing services that pass through the site and ensuring that such services are protected and maintained during the stripping and refit out the area</t>
  </si>
  <si>
    <t>ASBESTOS SURVEY</t>
  </si>
  <si>
    <t xml:space="preserve">A Demolition/Refurbishment Survey may need to be undertaken by the Contractor. Should any asbestos be identified it will be stripped out by sub- contractor to the contract </t>
  </si>
  <si>
    <t>SITE VISIT</t>
  </si>
  <si>
    <t>SCHEDULE OF EXISTING CONDITION</t>
  </si>
  <si>
    <t>A13 DESCRIPTION OF THE WORK</t>
  </si>
  <si>
    <t>THE WORK</t>
  </si>
  <si>
    <t>WORK BY OTHERS CONCURRENT WITH THE CONTRACT</t>
  </si>
  <si>
    <t>Is described in section A50 of Bill No. 1 Preliminaries</t>
  </si>
  <si>
    <t>A20 THE CONTRACT - MAIN CONTRACT WORKS</t>
  </si>
  <si>
    <t>RECITALS</t>
  </si>
  <si>
    <t>Third Recital/Fourth Recital/Fifth Recital/Sixth Recital/Seventh Recital/Eight Recital</t>
  </si>
  <si>
    <t>Tenth Recital/Eleventh Recital/Twelfth Recital/Thirteenth Recital</t>
  </si>
  <si>
    <t>ARTICLES</t>
  </si>
  <si>
    <t>Article 1/Article 2</t>
  </si>
  <si>
    <t>CONTRACT PARTICULARS</t>
  </si>
  <si>
    <t>Part 1 General</t>
  </si>
  <si>
    <t>Fourth Recital: Employers Requirements</t>
  </si>
  <si>
    <t>Sixth Recital: Contractor's Proposals</t>
  </si>
  <si>
    <t xml:space="preserve">                To be determined</t>
  </si>
  <si>
    <t>Sixth Recital: CDP Analysis</t>
  </si>
  <si>
    <t xml:space="preserve">                  Employer at the Base Date is not a "Contractor" for the         purposes of the CIS regulations</t>
  </si>
  <si>
    <t>Tenth Recital: CDM Regulations</t>
  </si>
  <si>
    <t xml:space="preserve">             The project is notifiable</t>
  </si>
  <si>
    <t>Eleventh Recital: Description of Sections:</t>
  </si>
  <si>
    <t xml:space="preserve">             Not applicable</t>
  </si>
  <si>
    <t>Twelfth Recital: Framework Agreement</t>
  </si>
  <si>
    <t xml:space="preserve">              Not applicable</t>
  </si>
  <si>
    <t>Thirteenth Recital</t>
  </si>
  <si>
    <t xml:space="preserve">               Does not apply</t>
  </si>
  <si>
    <t>Clause 1.1 Base Date:</t>
  </si>
  <si>
    <t xml:space="preserve">                  Employer: As above</t>
  </si>
  <si>
    <t xml:space="preserve">                  Contractor: As provided by the Contractor</t>
  </si>
  <si>
    <t>Clause 2.4 Date for Possession of the Site</t>
  </si>
  <si>
    <t>Clause 2.5 Deferment of possession of the Site</t>
  </si>
  <si>
    <t xml:space="preserve">                     Clause 2.5 applies - 2 weeks</t>
  </si>
  <si>
    <t>Clause 2.23.2 Liquidated damages:</t>
  </si>
  <si>
    <t>Clause 2.29 Sections: Section Sums</t>
  </si>
  <si>
    <t xml:space="preserve">                      Applies</t>
  </si>
  <si>
    <t>Clause 2.30 Rectification Period</t>
  </si>
  <si>
    <t xml:space="preserve">                      12 months</t>
  </si>
  <si>
    <t xml:space="preserve">          Nil</t>
  </si>
  <si>
    <t xml:space="preserve">          Monthly</t>
  </si>
  <si>
    <t xml:space="preserve">          95% pre- practical completion</t>
  </si>
  <si>
    <t xml:space="preserve">          97.5% post practical completion</t>
  </si>
  <si>
    <t xml:space="preserve">          Insurance cover (for any one occurrence or series of occurrence out of one event £10m (ten million pounds)</t>
  </si>
  <si>
    <t>Clause 6.5.1 Insurance - liability of the Employer</t>
  </si>
  <si>
    <t>Clause 6.7 and schedule 1 Insurance of the Works - Insurance Options</t>
  </si>
  <si>
    <t>Clause 6.7 and Schedule 1 insurance Option C (paragraph C2) Percentage to cover professional fees</t>
  </si>
  <si>
    <t xml:space="preserve">          15 per cent</t>
  </si>
  <si>
    <t>Clause 6.10 and Schedule 1: Terrorism Cover</t>
  </si>
  <si>
    <t xml:space="preserve">            Not required</t>
  </si>
  <si>
    <t>Clause 6.12 Joint Fire Code</t>
  </si>
  <si>
    <t xml:space="preserve">           The Joint Fire Code applies</t>
  </si>
  <si>
    <t xml:space="preserve">           Insurer to advise if works are a "large project"</t>
  </si>
  <si>
    <t>Clause 6.15 Joint Fire Code - amendments/revisions</t>
  </si>
  <si>
    <t xml:space="preserve">          Amount of indemnity required relates to claims or series of claims arising out of one event and is £1m (five million pounds).</t>
  </si>
  <si>
    <t xml:space="preserve">          Cover for pollution and contamination claims is £5m (five million pounds).</t>
  </si>
  <si>
    <t xml:space="preserve">          Expiry of required period of CDP PI insurance is 12 years</t>
  </si>
  <si>
    <t>Clause 8.9.2 Period of Suspension</t>
  </si>
  <si>
    <t xml:space="preserve">          2 months</t>
  </si>
  <si>
    <t xml:space="preserve">          Nominator of Adjudicator- President or Vice President of the Royal Institution of Chartered Surveyors</t>
  </si>
  <si>
    <t xml:space="preserve">          To be deleted</t>
  </si>
  <si>
    <t>Part 2 Third Party Rights and Collateral Warranties</t>
  </si>
  <si>
    <t>P&amp;T Rights Particulars - none required</t>
  </si>
  <si>
    <t>Funder Rights Particulars - none required</t>
  </si>
  <si>
    <t xml:space="preserve">Collateral Warranties from Sub Contractors - Design Warranties in favour of the Employer will be required from all sub-contractors undertaking a design function. </t>
  </si>
  <si>
    <t>ATTESTATION</t>
  </si>
  <si>
    <t>The Agreement is to be executed as a deed</t>
  </si>
  <si>
    <t>THE CONDITIONS</t>
  </si>
  <si>
    <t>Section 1 Definitions and Interpretation</t>
  </si>
  <si>
    <t>Section 2 Carrying out the Works</t>
  </si>
  <si>
    <t>Section 3 Control of the Works</t>
  </si>
  <si>
    <t>Section 4 Payment</t>
  </si>
  <si>
    <t>Section 5 Variations</t>
  </si>
  <si>
    <t>Section 6 Injury, Damage and Insurance</t>
  </si>
  <si>
    <t>Section 7 Assignment and Collateral Warranties</t>
  </si>
  <si>
    <t>Section 8 Termination</t>
  </si>
  <si>
    <t>Section 9 Settlement of Disputes</t>
  </si>
  <si>
    <t>SCHEDULES</t>
  </si>
  <si>
    <t>Schedule 1 insurance Options - Contractor's Design Submission Procedure</t>
  </si>
  <si>
    <t>Schedule 2 Named Sub Contractors</t>
  </si>
  <si>
    <t>Schedule 3 Forms of Bonds</t>
  </si>
  <si>
    <t>PERFORMANCE BOND</t>
  </si>
  <si>
    <t>The Contractor is to allow for the cost of providing a 10% performance bond.  The sum of money required to provide the performance bond is to be included against the relevant item in the main summary</t>
  </si>
  <si>
    <t>A30 EMPLOYER'S REQUIREMENTS TENDERING/SUBLETTING/SUPPLY</t>
  </si>
  <si>
    <t>MAIN CONTRACT TENDERING</t>
  </si>
  <si>
    <t>SCOPE</t>
  </si>
  <si>
    <t>These conditions are supplementary to those stated in the invitation to tender and on the Form of Tender</t>
  </si>
  <si>
    <t>TENDERING PROCEDURE</t>
  </si>
  <si>
    <t>Generally in accordance with the principles of the JCT Practice Note 6 Main Contract Tendering</t>
  </si>
  <si>
    <t>ACCEPTANCE OF TENDER</t>
  </si>
  <si>
    <t>The Employer and the Employer's representatives:-</t>
  </si>
  <si>
    <t xml:space="preserve">          - Offer no guarantee that the lowest or any tender will be recommended for acceptance of accepted</t>
  </si>
  <si>
    <t xml:space="preserve">          - Will consider the overall quality of the submission by the Contractor</t>
  </si>
  <si>
    <t xml:space="preserve">          - Will not be responsible for any cost incurred in the preparation of any tender submission provided by the Contractor or sub contractors</t>
  </si>
  <si>
    <t>PERIOD OF VALIDITY</t>
  </si>
  <si>
    <t>Tenders must remain open for consideration (unless previously withdrawn) for not less than 12 weeks from the date fixed for the submission of tenders.</t>
  </si>
  <si>
    <t>PRICING/SUBMISSION OF DOCUMENTS AT TENDER STAGE</t>
  </si>
  <si>
    <t>PRELIMINARIES</t>
  </si>
  <si>
    <t>It is the Contractors' responsibility to ensure that the costs of all items of a preliminary nature required for the project are included and priced or otherwise included in the tender.</t>
  </si>
  <si>
    <t>ERRORS IN THE PRICED DOCUMENTS</t>
  </si>
  <si>
    <t>TENDER RETURNS:</t>
  </si>
  <si>
    <t>The contractor is to provide the following documents as part of their tender submission: The list is to be read in conjunction with the items listed in the Introduction to these documents.</t>
  </si>
  <si>
    <t>1) A copy of the fully priced Bills of Quantities, including a full breakdown of the preliminaries costs, is to be forwarded with the tender return.</t>
  </si>
  <si>
    <t>SUB - LETTING</t>
  </si>
  <si>
    <t xml:space="preserve">SUB - CONTRACTORS: </t>
  </si>
  <si>
    <t>DEFINITIONS AND INTERPRETATIONS</t>
  </si>
  <si>
    <t>DEFINITIONS: The meaning of terms, derived terms and synonyms used in the preliminaries/ general conditions and specification is as defined below or in the appropriate British Standard glossary.</t>
  </si>
  <si>
    <t>CA</t>
  </si>
  <si>
    <t xml:space="preserve"> Employer's Agent means the person nominated in the Contract as Contract Administrator or their authorised agent.</t>
  </si>
  <si>
    <t>IN WRITING:</t>
  </si>
  <si>
    <t>When required to, advise, notify, inform, instruct, agree, obtain information, obtain approval or obtain instructions do so in writing.</t>
  </si>
  <si>
    <t>APPROVAL (and words derived therefrom)</t>
  </si>
  <si>
    <t>means the approval in writing of the CA unless specified otherwise.</t>
  </si>
  <si>
    <t>SUBMIT (and words derived therefrom)</t>
  </si>
  <si>
    <t>means to the CA unless otherwise instructed.</t>
  </si>
  <si>
    <t>PRODUCTS</t>
  </si>
  <si>
    <t>Means materials (including naturally occurring materials) and goods (including components, equipment and accessories) intended for permanent incorporation in the Works.</t>
  </si>
  <si>
    <t>CROSS - REFERENCES TO THE SPECIFICATION:</t>
  </si>
  <si>
    <t>Where a numerical cross - reference to a specification section or clause is given on drawings or in any other document the Contractor must verify its accuracy by checking the remainder of the annotation or item description against the terminology used in the referred to section or clause.</t>
  </si>
  <si>
    <t>Where a numerical cross - reference is not given the relevant section(s) and clause (s) of the specification will apply, cross - reference thereto being by means of related terminology.</t>
  </si>
  <si>
    <t>Where a cross - reference for a particular type of work, feature, material or product is given, relevant clause(s) elsewhere in the referred to specification section dealing with general matters, ancillary products and workmanship also apply.</t>
  </si>
  <si>
    <t>The Contractor must, before proceeding, obtain clarification or instructions in relation to any discrepancy or ambiguity that may be discovered.</t>
  </si>
  <si>
    <t>EQUIVALENT PRODUCTS:</t>
  </si>
  <si>
    <t xml:space="preserve">Where the specification permits substitution of a product of different manufacture to that specified and such substitution is desired, before ordering the product notify the CA and, when requested, submit for verification documentary evidence that the alternative product is equivalent in respect of material, safety, reliability, function, compatibility with adjacent construction, availability of compatible accessories and, where relevant appearance. Submit certified English translations of any foreign language documents.  </t>
  </si>
  <si>
    <t>Any proposal for use of an alternative product must also include proposals for substitution of compatible accessory products and variation of details as necessary, with evidence of equivalent durability, function and appearance of the construction as a whole. If such substitution is sanctioned, and before ordering products, provide revised drawings, specification and manufacturer's guarantees as required by the CA.</t>
  </si>
  <si>
    <t>BRITISH STANDARD PRODUCTS:</t>
  </si>
  <si>
    <t>Where any product is specified to comply with a British Standard for which there is no equivalent European Standard, it may be substituted by a product complying with a grade or category within a national standard of another Member State of the European Community or an international standard recognised in the UK specifying equivalent requirements and assurances in respect of material, safety, reliability, function, compatibility with adjacent construction, availability of compatible accessories and, where relevant, appearance. In advance of ordering notify the CA of all such substitutions and, when requested, submit for verification documentary evidence confirming that the products comply with the specified requirements. Any submitted foreign language documents must be accompanied by certified translations into English.</t>
  </si>
  <si>
    <t>REFERENCES TO BSI DOCUMENTS</t>
  </si>
  <si>
    <t>are to the versions and amendments listed in the BSI Standards Catalogue and in subsequent issues of BSI Update - Standards.</t>
  </si>
  <si>
    <t xml:space="preserve"> SIZES: Unless otherwise stated:</t>
  </si>
  <si>
    <t>Products are specified by their coordinating sizes.</t>
  </si>
  <si>
    <t>Cross section dimensions of timber/steels shown on drawings are</t>
  </si>
  <si>
    <t>nominal sizes before any required planing.</t>
  </si>
  <si>
    <t>FIX ONLY:</t>
  </si>
  <si>
    <t>means all labours in unloading,handling,storage and fixing in position, including use of all plant, and all necessary materials to fix.</t>
  </si>
  <si>
    <t>SUPPLY AND FIX:</t>
  </si>
  <si>
    <t>Unless stated otherwise all items given in the schedule of work and/or on the drawings are to be supplied and fixed complete.</t>
  </si>
  <si>
    <t>MAKE GOOD:</t>
  </si>
  <si>
    <t>means carry out local remedial work to components, features and finishes which have been disturbed by other, previous work under this Contract and leave in a sound and neat condition. It does not include:</t>
  </si>
  <si>
    <t xml:space="preserve">    Replacement of components or parts of components.</t>
  </si>
  <si>
    <t xml:space="preserve">    Redecoration.</t>
  </si>
  <si>
    <t>The meaning of the term shall not be limited by this definition where used in connection with the defects liability provisions of the Contract.</t>
  </si>
  <si>
    <t>EASE:</t>
  </si>
  <si>
    <t>means make minor adjustments to moving parts of the stated component to achieve good fit in both open and closed positions and ensure free movement in relation to fixed surrounds. Make good as necessary.</t>
  </si>
  <si>
    <t>TO MATCH EXISTING:</t>
  </si>
  <si>
    <t>means use products, materials and methods to match closely all visual characteristics and features of the existing work, with joints between existing and new work as inconspicuous as possible, all to approval of appearance.</t>
  </si>
  <si>
    <t>DOCUMENTS PROVIDED ON BEHALF OF EMPLOYER</t>
  </si>
  <si>
    <t>DIMENSIONS:</t>
  </si>
  <si>
    <t>The accuracy of dimensions scaled from the drawings is not guaranteed. Obtain from the CA any dimensions required but not given in figures on the drawings  nor calculable from figures on the drawings.</t>
  </si>
  <si>
    <t>THE MEASURED QUANTITIES:</t>
  </si>
  <si>
    <t>For purposes of ordering products and constructing the Works:</t>
  </si>
  <si>
    <t xml:space="preserve">    The accuracy and sufficiency of any measured quantities is not guaranteed.</t>
  </si>
  <si>
    <t xml:space="preserve">    The specification and drawings shall take precedence over any measured quantities.</t>
  </si>
  <si>
    <t>THE SPECIFICATION:</t>
  </si>
  <si>
    <t>All sections of the specification must be read in conjunction with Main Contract Preliminaries/General conditions.</t>
  </si>
  <si>
    <t>DRAWING NUMBERS:</t>
  </si>
  <si>
    <t>Where drawing numbers are referenced throughout this document they are given without revision numbers.</t>
  </si>
  <si>
    <t>TECHNICAL LITERATURE:</t>
  </si>
  <si>
    <t>The Contractor is to keep copies of the following on site, readily accessible for reference by all supervisory personnel:</t>
  </si>
  <si>
    <t xml:space="preserve">    Manufacturers' current literature relating to all products to be used in the Works.</t>
  </si>
  <si>
    <t>A32 EMPLOYER'S REQUIREMENTS: MANAGEMENT OF THE WORKS.</t>
  </si>
  <si>
    <t>GENERALLY</t>
  </si>
  <si>
    <t>SUPERVISION:</t>
  </si>
  <si>
    <t>Accept responsibility for co-ordination, supervision and administration of the Works, including all subcontracts. Arrange and monitor a programme with each subcontractor, supplier, local authority and statutory undertaker and obtain and supply information as necessary for co-ordination of the work.</t>
  </si>
  <si>
    <t>INSURANCES:</t>
  </si>
  <si>
    <t>Before starting work on site submit documentary evidence and/or policies and receipts for the insurances required by the Conditions of contract.</t>
  </si>
  <si>
    <t>OWNERSHIP:</t>
  </si>
  <si>
    <t>Materials arising from the alteration work are to become the property of the Contractor except where otherwise stated. Remove from site as work proceeds.</t>
  </si>
  <si>
    <t>PROGRAMME/PROGRESS</t>
  </si>
  <si>
    <t>PROGRAMME:</t>
  </si>
  <si>
    <t>The Contractor shall submit 3 No copies of the approved programme to the CA.</t>
  </si>
  <si>
    <t>SUBMISSION OF PROGRAMMES:</t>
  </si>
  <si>
    <t>will not relieve the Contractor of responsibility to advise the CA of the need for further drawings or details or instructions.</t>
  </si>
  <si>
    <t>MONITORING:</t>
  </si>
  <si>
    <t>Record progress on a copy of the programme kept on site. If any circumstances arise, which may affect the progress of the Works put forward proposals, or take other action as appropriate to minimise any delay and to recover any lost time.</t>
  </si>
  <si>
    <t>SITE MEETINGS:</t>
  </si>
  <si>
    <t>The CA will hold regular formal site meetings to review progress and other matters arising from the administration of the Contract. Meetings will be held fortnightly.</t>
  </si>
  <si>
    <t>Attend all meetings and inform subcontractors and suppliers when their presence is required. The CA will chair the meetings and take and distribute minutes.</t>
  </si>
  <si>
    <t>The CA will carry out regular site inspections to monitor the quality and progress of the works. These inspections will normally be held every week.</t>
  </si>
  <si>
    <t>CONTRACTOR'S PROGRESS REPORT:</t>
  </si>
  <si>
    <t>Submit a progress report to the CA prior to each CA's site meeting. Notwithstanding the Contractor's obligations under the Contract the report must include:</t>
  </si>
  <si>
    <t xml:space="preserve">    A progress statement by reference to the master programme for the Works.</t>
  </si>
  <si>
    <t xml:space="preserve">    Details of any matters materially affecting the regular progress of the Works.</t>
  </si>
  <si>
    <t xml:space="preserve">    Any requirements for further drawings or details or instructions to enable the CA to fulfil their obligations. </t>
  </si>
  <si>
    <t>CONTRACTOR'S SITE MEETINGS:</t>
  </si>
  <si>
    <t>Hold meetings with appropriate subcontractors and suppliers shortly before main site meetings to facilitate accurate reporting of progress.</t>
  </si>
  <si>
    <t>CONTROL OF COST</t>
  </si>
  <si>
    <t>CASH FLOW FORECAST:</t>
  </si>
  <si>
    <t xml:space="preserve">As soon as possible and before starting work on site submit to the CA a forecast showing the gross valuation of the Works at the date of each Interim Certificate throughout the Contract period and based upon the programme for the Works. </t>
  </si>
  <si>
    <t>MEASUREMENTS:</t>
  </si>
  <si>
    <t>Give reasonable notice to the Quantity Surveyor before covering up work, which the Quantity Surveyor requires to be measured.</t>
  </si>
  <si>
    <t>DAYWORK VOUCHERS:</t>
  </si>
  <si>
    <t>Give reasonable notice to the CA of the commencement of any work for which day work vouchers are to be submitted. Before being delivered each voucher must be:</t>
  </si>
  <si>
    <t xml:space="preserve">   Referenced to the instruction under which the work is authorised. and </t>
  </si>
  <si>
    <t xml:space="preserve">   Signed by the person in charge as evidence that the  workmen's names, the time spent by each, the plant and materials shown are correct.</t>
  </si>
  <si>
    <t>LABOUR AND PLANT RETURNS:</t>
  </si>
  <si>
    <t>At the beginning of each week provided for verification by the records for each day of the previous week showing:</t>
  </si>
  <si>
    <t xml:space="preserve">    The number and description of craftsmen, labourers and other persons employed on or in connection with the Works, including those employed by subcontractors.</t>
  </si>
  <si>
    <t xml:space="preserve">    The number, type and capacity of all mechanical and power operated plant employed on the Works.</t>
  </si>
  <si>
    <t>A33    EMPLOYER'S REQUIREMENTS QUALITY STANDARDS/ CONTROL</t>
  </si>
  <si>
    <t>MATERIALS AND WORK GENERALLY</t>
  </si>
  <si>
    <t>PROTECTION OF PRODUCTS:</t>
  </si>
  <si>
    <t>Adequately protect all materials in appropriate storage conditions prior to their installation into the works.</t>
  </si>
  <si>
    <t>WATER FOR THE WORKS:</t>
  </si>
  <si>
    <t>Clean and uncontaminated. If other than mains supply is proposed, provide evidence of suitability. Test to BS 3148 if instructed.</t>
  </si>
  <si>
    <t>SETTING OUT:</t>
  </si>
  <si>
    <t>Inform CA when overall setting out is complete and before commencing construction.</t>
  </si>
  <si>
    <t>RECORD DRAWINGS:</t>
  </si>
  <si>
    <t>Record details of all grid lines, setting-out stations, benchmarks and profiles on the site setting-out drawing. Retain on site throughout the contract and hand to CA on Completion.</t>
  </si>
  <si>
    <t>MECHANICAL AND ELECTRICAL SERVICES:</t>
  </si>
  <si>
    <t>Must have final tests and commissioning carried out so that they are in full working order at Practical Completion.</t>
  </si>
  <si>
    <t xml:space="preserve">In addition to the constant management and supervision of the works provided by the Contractor's person in charge, all significant types of work must be under the close control of competent trade supervisors to ensure maintenance of satisfactory quality and progress. </t>
  </si>
  <si>
    <t>PERSON-IN-CHARGE:</t>
  </si>
  <si>
    <t>Give maximum possible notice to the CA before changing the person-in-charge.</t>
  </si>
  <si>
    <t>OVERTIME WORKING:</t>
  </si>
  <si>
    <t>Whenever overtime is to be worked, give CA not less than 48 hours notice, specifying times, types and locations of work to be done. Concealed work executed during overtime for which notice has not been given may be required to be opened up for inspection and reinstated at the Contractor's expense.</t>
  </si>
  <si>
    <t>DEFECTS IN EXISTING CONSTRUCTION:</t>
  </si>
  <si>
    <t>To be reported to CA without delay. Obtain instructions before proceeding with work, which may:</t>
  </si>
  <si>
    <t xml:space="preserve">    Cover up or otherwise hinder access to the defective construction, or</t>
  </si>
  <si>
    <t xml:space="preserve">    Be rendered abortive by the carrying out of remedial work.</t>
  </si>
  <si>
    <t>ACCESSS FOR INSPECTION:</t>
  </si>
  <si>
    <t>Give CA not less than 3 working days notice before removing scaffolding or other facilities for access.</t>
  </si>
  <si>
    <t>TIMING OF TESTS AND INSPECTIONS:</t>
  </si>
  <si>
    <t>Agree dates and times of tests and inspections with CA several days in advance, to enable the CA and other affected parties to be present. On the previous working day to each such test or inspection confirm that the work or sample in question will be ready or, if not ready, agree a new date and time.</t>
  </si>
  <si>
    <t>TEST CERTIFICATES:</t>
  </si>
  <si>
    <t>Submit a copy of each certificate to CA as soon as practicable and keep copies of all certificates on site.</t>
  </si>
  <si>
    <t>QUALITY CONTROL:</t>
  </si>
  <si>
    <t xml:space="preserve">Establish and maintain procedures to ensure that the Works, including the work of all subcontractors, comply with specified requirements. </t>
  </si>
  <si>
    <t>Maintain full records, keep copies on site for inspection by the CA, and submit copies of particular parts of the record on request. The records must include:</t>
  </si>
  <si>
    <t xml:space="preserve">    Identification of the element , item, batch or lot including location in the works.</t>
  </si>
  <si>
    <t xml:space="preserve">    The nature and dates of inspections by the contractor or CA, tests and approvals.</t>
  </si>
  <si>
    <t xml:space="preserve">    The nature and extent of any nonconforming work found.</t>
  </si>
  <si>
    <t xml:space="preserve">    Details of any corrective action.</t>
  </si>
  <si>
    <t>BUILDING CONTROL:</t>
  </si>
  <si>
    <t>It will be the Employer's responsibility for obtaining Building Control agreement, which will be via Approved Design Building Control.</t>
  </si>
  <si>
    <t>WORK AT OR AFTER COMPLETION</t>
  </si>
  <si>
    <t>GENERALLY:</t>
  </si>
  <si>
    <t>Make good all damage consequent upon the work.</t>
  </si>
  <si>
    <t>Remove all temporary markings, coverings and protective wrappings unless otherwise instructed.</t>
  </si>
  <si>
    <t>Clean the works thoroughly inside and out including all accessible ducts and voids, remove all splashes, deposits, efflorescence, rubbish and surplus materials consequent upon the execution of the work.</t>
  </si>
  <si>
    <t>Cleaning materials and methods to be as recommended by manufacturers of products being cleaned, and to be such that there is no damage or disfigurement to other materials or construction.</t>
  </si>
  <si>
    <t>Obtain COSHH dated data sheets for all materials used for cleaning and ensure they are used only as recommended by their manufacturers.</t>
  </si>
  <si>
    <t>Touch up any minor faults in newly painted/repainted work, carefully matching colour, and brushing out edges. Repaint badly marked areas back to suitable breaks or junctions.</t>
  </si>
  <si>
    <t>Adjust, ease and lubricate moving parts of new work as necessary to ensure easy and efficient operation, including doors, windows, drawers, ironmongery, appliances, valves and controls.</t>
  </si>
  <si>
    <t>SECURITY AT COMPLETION:</t>
  </si>
  <si>
    <t>Leave the works secure with all accesses locked. Account for and adequately label all keys and hand over to Employer with itemised schedule, retaining duplicate schedule signed by Employer as receipt.</t>
  </si>
  <si>
    <t xml:space="preserve"> A34  EMPLOYER'S REQUIREMENTS SECURITY / SAFETY / PROTECTION</t>
  </si>
  <si>
    <t>THE CONSTRUCTION PHASE HEALTH AND SAFETY PLAN</t>
  </si>
  <si>
    <t>must be submitted to the CA not less than one week before the date for start of construction work. Do not start construction work until the Employer has confirmed in writing that the Construction Phase Health and Safety Plan includes the procedures and arrangements required by CDM Regulation 15(4).</t>
  </si>
  <si>
    <t>SECURITY:</t>
  </si>
  <si>
    <t>Adequately safeguard the site, the Works, products, materials, plant, and any existing buildings affected by the works from damage  and theft. Take all reasonable precautions to prevent unauthorised access to the site , the Works and adjoining property.</t>
  </si>
  <si>
    <t>The site is to be locked down at night and alarms activated where possible.</t>
  </si>
  <si>
    <t>STABILITY:</t>
  </si>
  <si>
    <t>Accept responsibility for the stability and structural integrity of the works during the Contract, and support as necessary. Prevent overloading: details of design loads shall be submitted to the CA for structural approval by a structural engineer prior to any structural works commencing.</t>
  </si>
  <si>
    <t>EMPLOYER'S REPRESENTATIVES SITE VISITS:</t>
  </si>
  <si>
    <t>Inform the CA in advance of all safety provisions and procedures (including those relating to materials which may be deleterious) that will require the compliance of the Employer or the Employer's representatives when visiting the site. Provide protective clothing and/or  equipment for the Employer  or the Employer's representatives as appropriate.</t>
  </si>
  <si>
    <t>PROTECT AGAINST THE FOLLOWING:</t>
  </si>
  <si>
    <t>NOISE:</t>
  </si>
  <si>
    <t>The Contractor is to take all reasonable and practical steps to minimise noise on site. The use of radios and other audio equipment is forbidden.</t>
  </si>
  <si>
    <t>Non-noisy works can be undertaken at any time.</t>
  </si>
  <si>
    <t>POLLUTION:</t>
  </si>
  <si>
    <t>Take all reasonable precautions to prevent pollution of the site, the Works and the general environment including streams and waterways. If pollution occurs inform the appropriate Authorities and the CA without delay and provide them with all relevant information.</t>
  </si>
  <si>
    <t>NUISANCE:</t>
  </si>
  <si>
    <t>Take all necessary precautions to prevent nuisance from smoke, dust, rubbish, vermin and other causes.</t>
  </si>
  <si>
    <t>ASBESTOS BASED MATERIALS:</t>
  </si>
  <si>
    <t>Report immediately to the CA any suspected asbestos  based materials discovered during demolition/refurbishment work. Avoid disturbing such materials. Agree with the CA methods for safe removal or encapsulation.</t>
  </si>
  <si>
    <t>FIRE PREVENTION:</t>
  </si>
  <si>
    <t>Smoking will not be permitted on the site.</t>
  </si>
  <si>
    <t>PERMIT</t>
  </si>
  <si>
    <t>Permit to work procedures will operate for all hot work to be carried out on site.</t>
  </si>
  <si>
    <t>FIRE SPECIFIC REQUIREMENTS:</t>
  </si>
  <si>
    <t>All fire escapes, including fire escapes from scaffolds are to be kept clear at all times.</t>
  </si>
  <si>
    <t>BURNING ON SITE</t>
  </si>
  <si>
    <t>Burning on site of materials arising from the work will not be permitted.</t>
  </si>
  <si>
    <t>WATER:</t>
  </si>
  <si>
    <t>Prevent damage from storm and surface water. Use all reasonable and suitable building aids and methods to prevent or minimise delays during adverse weather conditions.</t>
  </si>
  <si>
    <t>MOISTURE:</t>
  </si>
  <si>
    <t>Prevent the work from becoming wet or damp where this may cause damage. Dry out the Works thoroughly. Control the drying out and humidity of the Works and the application of heat to prevent:</t>
  </si>
  <si>
    <t xml:space="preserve">    Blistering and failure of adhesion.</t>
  </si>
  <si>
    <t xml:space="preserve">    Damage due to trapped moisture.</t>
  </si>
  <si>
    <t xml:space="preserve">    Excessive movement.</t>
  </si>
  <si>
    <t>INFECTED TIMBER:</t>
  </si>
  <si>
    <t>Where instructed to remove timber infected by fungal/insect attack from the building, do so in a way, which will minimise the risk of infecting other parts of the building.</t>
  </si>
  <si>
    <t>PROTECT THE FOLLOWING</t>
  </si>
  <si>
    <t>WORK IN ALL SECTIONS:</t>
  </si>
  <si>
    <t>Adequately protect all types of work and all parts of the Works, including work carried out by others, throughout the Contract. Wherever work is of an especially vulnerable nature or is exposed to abnormal risks provide special protection to ensure that damage does not occur.</t>
  </si>
  <si>
    <t>MAINTAIN LIVE / EXISTING SERVICES:</t>
  </si>
  <si>
    <t>Notify all service authorities and/or  adjacent owners of the proposed works not less than one week before commencing site operations.</t>
  </si>
  <si>
    <t>Before starting work check and mark positions of existing mains/services. Where positions are not shown on drawings obtain relevant details from service authorities or other owners.</t>
  </si>
  <si>
    <t>Observe service authority's recommendations for work adjacent to existing services.</t>
  </si>
  <si>
    <t>Adequately protect and prevent damage to all services. Do not interfere with their operation without the consent of the service authorities or their owners.</t>
  </si>
  <si>
    <t>Identify below ground services with signboards, giving type and depth, and overhead services with headroom markers.</t>
  </si>
  <si>
    <t>If any damage to services results from  the execution of the Works, immediately notify CA and appropriate service authority. Make arrangements for the work to be made good without delay to the satisfaction of the service authority or other owner as appropriate. Any measures taken by the CA to deal with an emergency will not affect the extent of the Contractor's liability.</t>
  </si>
  <si>
    <t>Replace marker tapes or protective covers disturbed during site operations to the service authority's recommendations.</t>
  </si>
  <si>
    <t>MAINTAIN PUBLIC AND PRIVATE ROADS AND FOOTPATHS:</t>
  </si>
  <si>
    <t>Adequately maintain roads and footpaths within and adjacent to the site and keep clear of mud and debris. Any damage to roads and footpaths caused by site traffic or otherwise consequent upon the Works must be made good to the satisfaction of the Local Authority or other owner.</t>
  </si>
  <si>
    <t>Bear any costs arising.</t>
  </si>
  <si>
    <t>EXISTING FEATURES:</t>
  </si>
  <si>
    <t>Prevent damage to existing buildings.</t>
  </si>
  <si>
    <t>EXISTING WORK:</t>
  </si>
  <si>
    <t>Prevent damage to existing property undergoing alteration or extension and make good to match existing any defects so caused. Remove existing work the minimum necessary and with care to reduce the amount of making good to a minimum.</t>
  </si>
  <si>
    <t>BUILDING INTERIORS:</t>
  </si>
  <si>
    <t>Protect building interiors exposed to weather during the course of alteration work with temporary enclosures of sufficient size to permit execution of the work and which will remain weather tight in severe weather.</t>
  </si>
  <si>
    <t>Allow for protecting all retained finishes in working areas.</t>
  </si>
  <si>
    <t>MAINTAIN ADJOINING PROPERTY:</t>
  </si>
  <si>
    <t xml:space="preserve">Prevent trespass of workpeople. </t>
  </si>
  <si>
    <t>Take all reasonable precautions to prevent damage to adjoining property. Obtain permission as necessary from the owners if requiring to erect scaffolding on, or otherwise use adjoining property, and pay all charges. Remove and make good on completion or when directed. Bear the cost of repairing any damage arising from execution of the Works.</t>
  </si>
  <si>
    <t>EXISTING STRUCTURES:</t>
  </si>
  <si>
    <t>Check proposed methods of work for effects on adjacent structures inside and outside the site boundary.</t>
  </si>
  <si>
    <t>Provide and maintain during the execution of the Works all incidental shoring, strutting, needling and other supports as may be necessary to preserve the stability of existing structures on the site or adjoining that may be endangered or affected by the Works.</t>
  </si>
  <si>
    <t>Support existing structure as necessary during cutting of new openings or replacement of structural parts.</t>
  </si>
  <si>
    <t>Monitor adjacent structures and immediately report excessive movement to the CA.</t>
  </si>
  <si>
    <t>Do not remove supports until new work is strong enough to support the existing structure. Prevent overstressing of completed work when removing supports.</t>
  </si>
  <si>
    <t xml:space="preserve">          SPECIFIC LIMITATIONS ON METHOD / SEQUENCE / TIMING</t>
  </si>
  <si>
    <t>METHOD/SEQUENCE OF WORK:</t>
  </si>
  <si>
    <t>The Contractor is to consider these constraints in their scheduling of the Works.</t>
  </si>
  <si>
    <t>ACCESS TO THE SITE:</t>
  </si>
  <si>
    <t>Access to the site is to be advised</t>
  </si>
  <si>
    <t>All contractor's workmen and staff are to proceed to the contractor's temporary facilities from where they will proceed to the appropriate work area.</t>
  </si>
  <si>
    <t>All goods entering or leaving will have to be brought in at agreed times and accommodated on site in agreed locations.</t>
  </si>
  <si>
    <t>USE OF THE SITE:</t>
  </si>
  <si>
    <t>Do not use the site for any purpose other than undertaking the works.</t>
  </si>
  <si>
    <t>SITE RULES:</t>
  </si>
  <si>
    <t>The site rules are as follows. Include for all costs in connection with the rules:</t>
  </si>
  <si>
    <t>The following specific rules are to be incorporated within the Principal Contractor's development of the Safety Plan:-</t>
  </si>
  <si>
    <t xml:space="preserve">  * Contractor's passes to be worn at all times.</t>
  </si>
  <si>
    <t xml:space="preserve">  * No smoking other than in the permitted smoking area.</t>
  </si>
  <si>
    <t xml:space="preserve">  * No burning of rubbish.</t>
  </si>
  <si>
    <t xml:space="preserve">  * Deliveries/collections to be planned outside peak trading hours</t>
  </si>
  <si>
    <t xml:space="preserve">  * Foul and abusive language and/or behaviour will not be permitted.</t>
  </si>
  <si>
    <t xml:space="preserve">  * A"Cover Up" Policy is to be enforced, i.e. shirts must be worn at all</t>
  </si>
  <si>
    <t xml:space="preserve">      times.</t>
  </si>
  <si>
    <t xml:space="preserve">  * No radios permitted.</t>
  </si>
  <si>
    <t xml:space="preserve">      players or other personal stereo equipment.</t>
  </si>
  <si>
    <t xml:space="preserve">  * If required by the Client mobile phones only to be used in        </t>
  </si>
  <si>
    <t xml:space="preserve">      designated areas.</t>
  </si>
  <si>
    <t xml:space="preserve">  * All equipment  and the site to be secured and left in a safe state     </t>
  </si>
  <si>
    <t xml:space="preserve">      outside working hours.</t>
  </si>
  <si>
    <t xml:space="preserve">  * All deliveries of materials etc to report to the Principal Contractor.</t>
  </si>
  <si>
    <t xml:space="preserve">  * All materials to be left safe and sound during and outside working</t>
  </si>
  <si>
    <t xml:space="preserve">      hours.</t>
  </si>
  <si>
    <t xml:space="preserve">  * Hard hats, liveried Hi Viz vests and other appropriate PPE to be </t>
  </si>
  <si>
    <t xml:space="preserve">     worn by all contractors and visitors to the site.</t>
  </si>
  <si>
    <t xml:space="preserve">  * Construction work shall not impinge on any Client work.</t>
  </si>
  <si>
    <t xml:space="preserve">  * Hazardous materials are not to be left on site unless locked away.</t>
  </si>
  <si>
    <t xml:space="preserve">  * Use all necessary protective clothing and equipment when required.</t>
  </si>
  <si>
    <t xml:space="preserve">  * All enquiries regarding Health and Safety on site to be directed to </t>
  </si>
  <si>
    <t xml:space="preserve">      the Principal Contractor.</t>
  </si>
  <si>
    <t xml:space="preserve">  * Remove rubbish and debris as it accumulates and keep the site </t>
  </si>
  <si>
    <t xml:space="preserve">     and works clean and tidy. The use of the Client's refuse facilities</t>
  </si>
  <si>
    <t xml:space="preserve">     will not be permitted.</t>
  </si>
  <si>
    <t xml:space="preserve">  * All Contractor staff are expected to carry out their duties in a</t>
  </si>
  <si>
    <t xml:space="preserve">      manner that promotes equality of opportunity and supports </t>
  </si>
  <si>
    <t xml:space="preserve">      diversity and inclusion, and takes into account the Client's </t>
  </si>
  <si>
    <t xml:space="preserve">      commitment to environmentally sustainable ways of working. </t>
  </si>
  <si>
    <t xml:space="preserve">      No deviation from this will be tolerated - operatives found to    </t>
  </si>
  <si>
    <t xml:space="preserve">      be in breach of this will be excluded from the site.</t>
  </si>
  <si>
    <t>CONTRACTOR'S IDENTIFICATION:</t>
  </si>
  <si>
    <t>Included for all costs in connection with the following:</t>
  </si>
  <si>
    <t>All Contractors, including Sub-Contractors, I.D passes to be worn or carried at all times.</t>
  </si>
  <si>
    <t>All Contractors are required to sign in at facilities reception.</t>
  </si>
  <si>
    <t>Weekly passes/parking permits to be issued on a Monday morning, or when Contractors attend site.</t>
  </si>
  <si>
    <t>All passes are to be returned to facilities reception at the end of EACH working day, and collected the following day.</t>
  </si>
  <si>
    <t>SITE INDUCTION:</t>
  </si>
  <si>
    <t>All members of the Contractors and Sub-Contractors will be required to have a site induction. Include for all cost.</t>
  </si>
  <si>
    <t>USE OR DISPOSAL OF MATERIALS:</t>
  </si>
  <si>
    <t>Contractor to ensure all debris and materials are disposed of safely and at a licensed site where applicable.</t>
  </si>
  <si>
    <t>Inform CA of the intended siting of all spoil heaps, temporary works and services. An area of the site will be allocated to the Contractor where they can store materials out and materials in.</t>
  </si>
  <si>
    <t>WORKING HOURS:</t>
  </si>
  <si>
    <t>It is the Contractors responsibility to determine the hours they need to work to achieve completion in line with the stated completion date.</t>
  </si>
  <si>
    <t>The constraining factor is noise. Non-noisy works can be undertaken at anytime.</t>
  </si>
  <si>
    <t>NOISY WORKS</t>
  </si>
  <si>
    <t xml:space="preserve"> A  36    EMPLOYER'S REQUIREMENTS </t>
  </si>
  <si>
    <t xml:space="preserve"> FACILITIES /  TEMPORARY    WORK/SERVICES</t>
  </si>
  <si>
    <t>OFFICES:</t>
  </si>
  <si>
    <t>The Employer requires temporary facilities on site within the existing building to conduct regular site meetings and site inspections.</t>
  </si>
  <si>
    <t>The Contractor must provide all temporary furniture, all facilities as necessary to do this. The Employer will make available an area on site for the Contractors offices, compound and storage area. This area is to be agreed on site with the Employer.</t>
  </si>
  <si>
    <t>SANITARY ACCOMMODATION:</t>
  </si>
  <si>
    <t>Must satisfy CDM regulations.</t>
  </si>
  <si>
    <t>TEMPORARY SCREENS AND HOARDINGS:</t>
  </si>
  <si>
    <t>Allow for providing all necessary temporary screens and hoardings to enable the Works to be undertaken. Allow for final removal and making good of any structure, finishes etc. disturbed.</t>
  </si>
  <si>
    <t>SIGNAGE:</t>
  </si>
  <si>
    <t>NAME BOARDS:</t>
  </si>
  <si>
    <t>The main Contractors name board will be permitted subject to relevant consents.</t>
  </si>
  <si>
    <t xml:space="preserve">   A37  EMPLOYER'S REQUIREMENTS  OPERATION/ MAINTENANCE         </t>
  </si>
  <si>
    <t>OF THE FINISHED BUILDING</t>
  </si>
  <si>
    <t>MANUALS</t>
  </si>
  <si>
    <t>See Pre-Construction Information for details of requirements for manuals.</t>
  </si>
  <si>
    <t>TRAINING OF EMPLOYER'S STAFF:</t>
  </si>
  <si>
    <t>Before Practical Completion explain and demonstrate to the Employer's maintenance staff the purpose, function and operation of the installations including all items and procedures listed in the Building Manual.</t>
  </si>
  <si>
    <t>SPARE PARTS:</t>
  </si>
  <si>
    <t>At least one week before practical Completion submit to the CA a schedule of spare parts that the Contractor recommends should be obtained and kept in stock by the Employer for maintenance of the services installations. State against each item the manufacturer's current price, including packaging and delivery to site.</t>
  </si>
  <si>
    <t>TOOLS:</t>
  </si>
  <si>
    <t>At Practical Completion provide two complete sets of tools and portable indicating instruments for the operation and maintenance of all  services plant and equipment ( except any installed under Named Subcontracts) together with suitable means of identifying, storing and securing same.</t>
  </si>
  <si>
    <t xml:space="preserve">A40 CONTRACTOR'S GENERAL COST ITEMS: </t>
  </si>
  <si>
    <t>MANAGEMENT AND STAFF</t>
  </si>
  <si>
    <t>A41 CONTRACTOR'S GENERAL COST ITEMS:</t>
  </si>
  <si>
    <t>SITE ACCOMMODATION</t>
  </si>
  <si>
    <t>A42 CONTRACTOR'S GENERAL COST ITEMS:</t>
  </si>
  <si>
    <t>SERVICES AND FACILITIES.</t>
  </si>
  <si>
    <t>POWER:</t>
  </si>
  <si>
    <t>Electricity and gas and water supply from the Employer's mains may be used free issue for the Works. Temporary metering is not required.</t>
  </si>
  <si>
    <t>TELEPHONE AND ADMINSTRATION</t>
  </si>
  <si>
    <t>SAFETY, HEALTH AND WELFARE</t>
  </si>
  <si>
    <t>STORAGE OF MATERIALS</t>
  </si>
  <si>
    <t>RUBBISH DISPOSAL</t>
  </si>
  <si>
    <t>CLEANING (including a "sparkle clean" of all areas including full clean of all windows and doors at Practical Completion)</t>
  </si>
  <si>
    <t>DRYING OUT</t>
  </si>
  <si>
    <t>PROTECTION OF WORK IN ALL SECTIONS</t>
  </si>
  <si>
    <t xml:space="preserve">SECURITY : see A34 120 </t>
  </si>
  <si>
    <t>MAINTAIN PUBLIC AND PRIVATE ROADS</t>
  </si>
  <si>
    <t>SMALL PLANT AND TOOLS</t>
  </si>
  <si>
    <t>ADDITIONAL SERVICES AND FACILITIES ITEMS:</t>
  </si>
  <si>
    <t>Insert below further cost items as may be required, with fixed charges and time related charges as appropriate:</t>
  </si>
  <si>
    <t>A43  CONTRACTOR'S GENERAL COST ITEMS: MECHANICAL PLANT</t>
  </si>
  <si>
    <t>CRANES</t>
  </si>
  <si>
    <t>HOISTS</t>
  </si>
  <si>
    <t>PERSONNEL TRANSPORT</t>
  </si>
  <si>
    <t>TRANSPORT</t>
  </si>
  <si>
    <t>EARTHMOVING PLANT</t>
  </si>
  <si>
    <t>CONCRETE PLANT</t>
  </si>
  <si>
    <t>PILING PLANT</t>
  </si>
  <si>
    <t>PAVING AND SURFACING PLANT</t>
  </si>
  <si>
    <t>ADDITIONAL MECHANICAL PLANT ITEMS:</t>
  </si>
  <si>
    <t>Insert below further cost items as may be required, with fixed charges and time related charges as required.</t>
  </si>
  <si>
    <t xml:space="preserve">  A44 CONTRACTOR'S GENERAL COST ITEMS:</t>
  </si>
  <si>
    <t>TEMPORARY WORKS</t>
  </si>
  <si>
    <t>TEMPORARY ROADS</t>
  </si>
  <si>
    <t>TEMPORARY WALKWAYS</t>
  </si>
  <si>
    <t>ACCESS SCAFFOLDING:</t>
  </si>
  <si>
    <t>Allow for access facilities to ceilings enabling works to mechanical, electrical, data wiring, ceilings, insulation and the like to be undertaken.</t>
  </si>
  <si>
    <t xml:space="preserve">Allow for access facilities to wall surfaces to allow wall finishes to be applied. </t>
  </si>
  <si>
    <t>SUPPORT SCAFFOLDING AND PROPPING</t>
  </si>
  <si>
    <t>HOARDINGS, FANS, FENCING, ETC.</t>
  </si>
  <si>
    <t>HARDSTANDING</t>
  </si>
  <si>
    <t>TRAFFIC REGULATIONS</t>
  </si>
  <si>
    <t xml:space="preserve">  A50    WORK/PRODUCTS BY/ON BEHALF OF THE EMPLOYER</t>
  </si>
  <si>
    <t xml:space="preserve">WORKS BY OTHERS: </t>
  </si>
  <si>
    <t>The following works will be undertaken by others directly employed by the Employer:</t>
  </si>
  <si>
    <t>ADD for attendances, profit, overheads on the above if required.</t>
  </si>
  <si>
    <t>A53 WORK BY STATUTORY AUTHORITIES/UNDERTAKERS</t>
  </si>
  <si>
    <t>The Client will be responsible for any changes to the existing incoming services connections. There will be a requirement for the main contractor to provide builders work in connection with any changes in the entry of the existing services into the building. Exact details are yet to be established.</t>
  </si>
  <si>
    <t>DAYWORKS</t>
  </si>
  <si>
    <t>Include the following Provisional Sums</t>
  </si>
  <si>
    <t>Labour</t>
  </si>
  <si>
    <t>The Contractor is to allow for all costs in connection with the employment of the following trades. This is to include for all incidental costs, overheads and profit as defined in Section 6 of Definition of Prime Cost of Daywork to be Carried out Under a Building Contract</t>
  </si>
  <si>
    <t>Hr</t>
  </si>
  <si>
    <t>Carpenter</t>
  </si>
  <si>
    <t>Joiner</t>
  </si>
  <si>
    <t>Tiler / Carpet Fitter</t>
  </si>
  <si>
    <t>Dry liner / plasterer</t>
  </si>
  <si>
    <t xml:space="preserve">Painter &amp; Decorator </t>
  </si>
  <si>
    <t>General unskilled labourer</t>
  </si>
  <si>
    <t>Mechanical Fitter / Installer</t>
  </si>
  <si>
    <t>Electrician</t>
  </si>
  <si>
    <t>Plumber</t>
  </si>
  <si>
    <t>Materials and Goods</t>
  </si>
  <si>
    <t>prime cost of materials and goods incurred before the Final Completion date</t>
  </si>
  <si>
    <t>Add for percentage adjustment</t>
  </si>
  <si>
    <t>%</t>
  </si>
  <si>
    <t>Plant and machinery already on site shall be charged at the rates as detailed in the RICS Publication Schedule of Basic Plant Charges' current at Base Schedule of Basic Plant Charges' current at Base Date</t>
  </si>
  <si>
    <t>prime cost of plant incurred before the Final Completion date</t>
  </si>
  <si>
    <t xml:space="preserve">  </t>
  </si>
  <si>
    <t>Sum</t>
  </si>
  <si>
    <t>Provisional sums</t>
  </si>
  <si>
    <t>Dayworks</t>
  </si>
  <si>
    <t>TENDER DOCUMENTS</t>
  </si>
  <si>
    <t>The tender documents are as listed on the invitation to tender e-mail</t>
  </si>
  <si>
    <t>The Contract Documents are to be agreed between the Principal Contractor and the Quantity Surveyor. The Contract Drawings are to be those drawings upon which the contract sum has been based</t>
  </si>
  <si>
    <t>Before submitting their tender the Contractor shall ascertain the nature of the site, access thereto and all local conditions and restrictions likely to affect the execution of the Works and make due allowance in their tender. Arrangements to visit may be made by contacting Ian Wilson on +44 (0) 7798 565635</t>
  </si>
  <si>
    <t>Prior to works starting on site the Contractor is to undertake a schedule of Dilapidations. The Schedule is to include digital photographic records of all existing cracks, damage defects and the like summarised into a written report. The Schedule is to be agreed with the Contract Administrator who will control the Schedule. Any cracks, defects and the like subsequently discovered and not referenced in the Schedule will be deemed to have been caused by the Contractor who will be responsible for making good such defects at his own expense prior to completion of the contract. The Schedule shall include the access routes to the site within the building outside of the demised work area and site storage areas.</t>
  </si>
  <si>
    <t xml:space="preserve">Second Recital: To be confirmed </t>
  </si>
  <si>
    <t>As detailed on the tender drawings</t>
  </si>
  <si>
    <t xml:space="preserve">                10 days before the date for receipt of tenders</t>
  </si>
  <si>
    <t xml:space="preserve">          The cost, if any, of compliance with amendments or revisions to the Joint Fire Code shall be borne by the Employer</t>
  </si>
  <si>
    <t>Errors in the priced documents will be dealt with in accordance with the Code of Procedure for Single Stage Selective Tendering (confirmation or correction of pricing errors).</t>
  </si>
  <si>
    <t>3) Quality Submission - the contractor is required to submit quality submission information. Additional method statements for key elements of the works will be required during the second stage process.</t>
  </si>
  <si>
    <t>4) Health &amp; Safety - any information required by the Pre-Construction Health &amp; Safety Information.</t>
  </si>
  <si>
    <t>2) Programme: The contractor's proposed programme as specified in A32  or a summary thereof showing the sequence, phasing and timing of the principal parts of the Works must be submitted.</t>
  </si>
  <si>
    <t>Contractor to advise principal sub contractors</t>
  </si>
  <si>
    <t>As soon as possible and before starting work on site prepare in an approved form a master programme for the Works. See A35 for details of constraints on the method/sequence of works.</t>
  </si>
  <si>
    <t xml:space="preserve"> A35 EMPLOYER'S REQUIREMENTS:</t>
  </si>
  <si>
    <t>Noisy work which will disturb the hotel operations are to be undertaken by agreement with the Employer</t>
  </si>
  <si>
    <t>Exterior and internal furniture</t>
  </si>
  <si>
    <t>Sub Totals</t>
  </si>
  <si>
    <t xml:space="preserve">      i.e. not between the hours 10.00 and 17.30.</t>
  </si>
  <si>
    <t>Contingencies</t>
  </si>
  <si>
    <t>sum</t>
  </si>
  <si>
    <t>ROD DRAWINGS:</t>
  </si>
  <si>
    <t>Prepare Rod drawings for all joinery items and issue to the CA for approval</t>
  </si>
  <si>
    <t>LANDLORDS REQUIREMENTS</t>
  </si>
  <si>
    <t>The Contractor will be responsible for preparing a setting out  drawing and for the setting out of the works. Notify CA in writing of any discrepancies between the design intent drawings and the setting out  and obtain instructions before proceeding.</t>
  </si>
  <si>
    <t xml:space="preserve">Contractors are to note that the sizes hereunder stated are indicative only and they should allow for checking and establishing actual dimensions by measuring on site. No adjustments to prices will be allowed should measurements vary from those dimensions stated. </t>
  </si>
  <si>
    <t>generally</t>
  </si>
  <si>
    <t>Item</t>
  </si>
  <si>
    <t>Other Work not described above</t>
  </si>
  <si>
    <t>Description</t>
  </si>
  <si>
    <t>Mechanical Services</t>
  </si>
  <si>
    <t>Mechanical Services Total</t>
  </si>
  <si>
    <t>Electrical Services</t>
  </si>
  <si>
    <t>Fire Alarm System</t>
  </si>
  <si>
    <t>Electrical Services Total</t>
  </si>
  <si>
    <t>Add for</t>
  </si>
  <si>
    <t>main contractor's mark-up for complete domestication</t>
  </si>
  <si>
    <t>Special attendance</t>
  </si>
  <si>
    <t>provide attendance and supervision for this contractor during the guaranteed working period</t>
  </si>
  <si>
    <t>provide attendance and supervision for this contractor working outside the hours of 8.00am to 8.00pm in order to comply with the programme</t>
  </si>
  <si>
    <t>provide scaffolding, trestles, moveable platforms or towers</t>
  </si>
  <si>
    <t>positioning materials</t>
  </si>
  <si>
    <t>unloading and storing materials and/or components, hoisting to and distributing to required positions</t>
  </si>
  <si>
    <t>providing electric power for small hand tools</t>
  </si>
  <si>
    <t>allow for further attendance not mentioned above</t>
  </si>
  <si>
    <t>all other Builder's work in connection with the M&amp;E Services</t>
  </si>
  <si>
    <t>All technical information that Contractor's proposal is based on and all samples are required to be submitted for approval</t>
  </si>
  <si>
    <t>Allow for all other M&amp;E services work not described previously, but deemed necessary as determined from the Drawings and the Site Conditions</t>
  </si>
  <si>
    <t>SUNDRIES</t>
  </si>
  <si>
    <t>Samples</t>
  </si>
  <si>
    <t>Samples to be submitted for approval</t>
  </si>
  <si>
    <t>Tests &amp; Inspections</t>
  </si>
  <si>
    <t>Allow for complying with all tests &amp; inspections</t>
  </si>
  <si>
    <t>Energy Performance certification</t>
  </si>
  <si>
    <t>Allow for complying and obtaining Energy Performance certification</t>
  </si>
  <si>
    <t>Test &amp; Inspections</t>
  </si>
  <si>
    <t>Allow for fully complying with all tests &amp; inspections; all as described in the Specification</t>
  </si>
  <si>
    <t>Allow for fully complying and obtaining Energy Performance certification; all as described in the Specification</t>
  </si>
  <si>
    <t>ADDITIONAL TEMPORARY WORKS ITEMS:</t>
  </si>
  <si>
    <t xml:space="preserve">The measurements included in any of the measured sections are not measured in accordance with the Standard Method of Measurement. </t>
  </si>
  <si>
    <t>An item has been allowed against each provisional</t>
  </si>
  <si>
    <t>sum for the Contractor to put his required overhead,</t>
  </si>
  <si>
    <t>profit and discount percentage to be applied against</t>
  </si>
  <si>
    <t>the net cost of any sub-contract quotation . The</t>
  </si>
  <si>
    <t>percentage addition should be extended to the cash</t>
  </si>
  <si>
    <t>column, totalled and form part of the overall tender</t>
  </si>
  <si>
    <t>sum. If no percentage is included the Contractor will</t>
  </si>
  <si>
    <t>receive no overhead, profit and discount upon</t>
  </si>
  <si>
    <t>expenditure of the provisional sum.</t>
  </si>
  <si>
    <t>Items that can be adjusted using rates from the Bills of Quantities</t>
  </si>
  <si>
    <t>will not be subject to the percentage addition.</t>
  </si>
  <si>
    <t>Extra; main contractor's overheads, profit and discount</t>
  </si>
  <si>
    <t>Allow the following provisional sums for Defined Works:</t>
  </si>
  <si>
    <t>Allow the following provisional sums for Undefined Works:</t>
  </si>
  <si>
    <t xml:space="preserve">Contractors are to note that the latest drawing revisions issued with the tender have been used, even though drawing revision references are not stated hereunder. </t>
  </si>
  <si>
    <t>Clause 2.34.3 Contractors Designed Portion: Limit of Contractor's liability for loss of use etc</t>
  </si>
  <si>
    <t>Additional Items</t>
  </si>
  <si>
    <t>The Contractor is to insert below any additional preliminary items required:-</t>
  </si>
  <si>
    <t xml:space="preserve">  * Operatives are not permitted to wear earphones for iPod, MP3           </t>
  </si>
  <si>
    <t>Allow for signs on site hoardings/Herras fencing with multi lingual language.</t>
  </si>
  <si>
    <t>Msr</t>
  </si>
  <si>
    <t>nr</t>
  </si>
  <si>
    <t>External Walls</t>
  </si>
  <si>
    <t>Roofs</t>
  </si>
  <si>
    <t>Allow for submitting a 10 year warranty against roofing watertightness and defects in an approved format</t>
  </si>
  <si>
    <t xml:space="preserve">Contractors are to include for removal of all demolished, debris, surplus and redundant materials off site, unless specifically requested not to do so, and sustainably disposal at a registered Local Authority tip in accordance with the Site Waste Management Plan Regulations 2008 </t>
  </si>
  <si>
    <t>Please refer to Mechanical Services Tender Documents &amp; Drawings</t>
  </si>
  <si>
    <t>Standard Technical Requirements</t>
  </si>
  <si>
    <t>Specific Technical Requirements: -</t>
  </si>
  <si>
    <t>General Clauses</t>
  </si>
  <si>
    <t>CDM Regulations</t>
  </si>
  <si>
    <t>Client Instruction and Drawings</t>
  </si>
  <si>
    <t>Operating and Maintenance Instruction Manual</t>
  </si>
  <si>
    <t xml:space="preserve">Removal and Adaptation of Existing Services </t>
  </si>
  <si>
    <t>Hot and Cold Water Services</t>
  </si>
  <si>
    <t>Thermal Insulation</t>
  </si>
  <si>
    <t>Ventilation</t>
  </si>
  <si>
    <t>Above Ground Drainage</t>
  </si>
  <si>
    <t>Builder's Works</t>
  </si>
  <si>
    <t>Fire Stopping of Penetrations: All penetrations to the building fabric to allow pipes/cable/conduit/trunking/trays/etc. passage, etc, shall be made good by the Main Contractor in accordance with Fire-Stopping in full accordance with Building Regulations Approved Document B, Fire Safety, section B3 Internal Fire Spread - Structure. The Approved Document refers to documentation produced by the Association for Specialist Fire Protection (ASFP). In this respect all Fire-Stopping of penetrations of the building fabric shall strictly be in accordance with ASFP 'Fire Stopping and Penetration Seals for the Construction Industry' - Second Edition the 'Red Book' ISBN 1 87040 923 using only approved materials and methodologies.</t>
  </si>
  <si>
    <t>Provisional Sum for Contingencies</t>
  </si>
  <si>
    <t>Please refer to Electrical Services Tender Documents &amp; Drawings</t>
  </si>
  <si>
    <t>Shutdown of Services</t>
  </si>
  <si>
    <t>Main and Sub Main Distribution</t>
  </si>
  <si>
    <t>Earthing</t>
  </si>
  <si>
    <t>Utility Power</t>
  </si>
  <si>
    <t>ARC Fault Detection Devices</t>
  </si>
  <si>
    <t>Surge Protection</t>
  </si>
  <si>
    <t>General Lighting</t>
  </si>
  <si>
    <t>Emergency Lighting</t>
  </si>
  <si>
    <t>External Lighting</t>
  </si>
  <si>
    <t xml:space="preserve">Special Light Fittings; as per Lighting Schedule </t>
  </si>
  <si>
    <t>All other lighting not described above</t>
  </si>
  <si>
    <t>Solar PV System</t>
  </si>
  <si>
    <t>Intruder Alarm System</t>
  </si>
  <si>
    <t>Carbon Monoxide Alarm</t>
  </si>
  <si>
    <t>Induction Loops</t>
  </si>
  <si>
    <t>Panic Alarm System</t>
  </si>
  <si>
    <t>Voice and Data System</t>
  </si>
  <si>
    <t>Electrical Services to HVAC Plant</t>
  </si>
  <si>
    <t>Add for Builder's Work; all as per Clause 24 of the Specification, as follows:</t>
  </si>
  <si>
    <t>Cut all notches, chases, holes in floors and plaster as required for electrician and plumber; Make good all plaster after installation using the appropriate plaster; Cut holes in external walls for boiler flue and all fans; Run plastic ducts for fans through walls, between floors and through roof, with lead slates; Remove and replace all floor boards where required, to be carried out by a carpenter; Allow for replacement of damaged boards to match; Block up and make good brickwork where all external pipes removed; Supply and fix back boards for electrician's fuse boxes and meter; Form riser ducts, generally in 50 x 50mm framing plasterboard and skim; Provide access panels in floors and ducts for valves and junction boxes as required; Provide secure additional fixings for wall hung sanitary fittings</t>
  </si>
  <si>
    <t>All cutting of holes, notching, etc. is to be carried out to the minimal extent required and without compromising the structural performance of the building element concerned</t>
  </si>
  <si>
    <t>Continuity of Thermal Insulation</t>
  </si>
  <si>
    <t>Allow for complying and obtaining Continuity of Thermal Insulation</t>
  </si>
  <si>
    <t>See  PC Bill</t>
  </si>
  <si>
    <t>M&amp;E Services</t>
  </si>
  <si>
    <t>The Contractor</t>
  </si>
  <si>
    <t>Allow for all other work not described previously, but deemed necessary as determined from the Drawings and the Site Conditions</t>
  </si>
  <si>
    <t>24 DOORS, SHUTTERS AND HATCHES</t>
  </si>
  <si>
    <t>1. Minor demolitions, alterations and repairs.</t>
  </si>
  <si>
    <t>Carry out remedial work as follows:  -</t>
  </si>
  <si>
    <t>Allow for fully complying with fire strategy plans, as per the drawings 20014-04-001 to 006 and as described in the specification</t>
  </si>
  <si>
    <t>Fire strategy compliance</t>
  </si>
  <si>
    <t>Preliminaries, including design</t>
  </si>
  <si>
    <t xml:space="preserve">Buttress </t>
  </si>
  <si>
    <t>41 Bengal Street</t>
  </si>
  <si>
    <t>Manchester</t>
  </si>
  <si>
    <t>M4 6AF</t>
  </si>
  <si>
    <t>Tel: (0161) 236 3303</t>
  </si>
  <si>
    <t>TBA</t>
  </si>
  <si>
    <t>ARCHITECT</t>
  </si>
  <si>
    <t>4. Mechanical services installation, including plumbing, above ground wastes, HVAC, etc.</t>
  </si>
  <si>
    <t>7. Below Ground Drainage</t>
  </si>
  <si>
    <t>8. External Works</t>
  </si>
  <si>
    <t>A31   EMPLOYER'S REQUIREMENTS: PROVISION, CONTENT AND USE OF DOCUMENTS</t>
  </si>
  <si>
    <t>External Repairs work</t>
  </si>
  <si>
    <t>General Notes</t>
  </si>
  <si>
    <t>C90: ALTERATIONS - SPOT ITEMS</t>
  </si>
  <si>
    <t>Allow for fully complying with fire strategy plans, as per the drawings and as described in the specification</t>
  </si>
  <si>
    <t>£</t>
  </si>
  <si>
    <t>Allow for fully complying with fire strategy plans, as per the drawing and as described in the specification</t>
  </si>
  <si>
    <t>Fittings</t>
  </si>
  <si>
    <t>Excl</t>
  </si>
  <si>
    <t>Below Ground Drainage &amp; External works sundries</t>
  </si>
  <si>
    <t>Allow for fully complying with fire strategy, as required and as described in the specification</t>
  </si>
  <si>
    <t>Bird control to roof</t>
  </si>
  <si>
    <t xml:space="preserve">Contractors are to note that the sizes and any quantities hereunder stated are indicative only and they should allow for checking and establishing actual dimensions and quantities by measuring on site. No adjustments to prices will be allowed should measurements vary from those dimensions and quantities stated. </t>
  </si>
  <si>
    <t>m2</t>
  </si>
  <si>
    <t>m</t>
  </si>
  <si>
    <t>Structural Repair Works</t>
  </si>
  <si>
    <t>Structural Repairs</t>
  </si>
  <si>
    <t>Carry out the following Structural Repairs work; including making good all work disturbed; removing all debris offsite; all to approval</t>
  </si>
  <si>
    <t>Internal doors; works all as per the above Drawings; including wood paint treatment to timber doors, frames/linings, architraves, etc; all to match existing</t>
  </si>
  <si>
    <t>New sanitary ware, including taking out existing, etc</t>
  </si>
  <si>
    <t>Heating system/Radiators</t>
  </si>
  <si>
    <t>Bandstand</t>
  </si>
  <si>
    <t>Bowls Pavilion</t>
  </si>
  <si>
    <t>Total</t>
  </si>
  <si>
    <t>Todmarden Bandstand Restoration &amp; Refurbishment &amp; Bowls Pavilion New Build</t>
  </si>
  <si>
    <t>New Build</t>
  </si>
  <si>
    <t>Refurbishment</t>
  </si>
  <si>
    <t>Bowls Pavilion Total £      p</t>
  </si>
  <si>
    <t>Bandstand Refurb Total £      p</t>
  </si>
  <si>
    <t xml:space="preserve">Contractor are responsible for identifying all items and quantities. Any quantities are given as guidance only.  </t>
  </si>
  <si>
    <t>Contractors are to include for removal of all materials off site, unless specifically requested not to do so, and sustainably disposal at a registered Local Authority tip in accordance with the Site Waste Management Plan Regulations 2008</t>
  </si>
  <si>
    <t>General Protection</t>
  </si>
  <si>
    <t>Include for all necessary and on-going maintenance and adjustments of all protection throughout the works; Where damage of existing fabric or new work occurs as result of poor protection or the absence of suitable protection, the contractor will responsible for making good, as necessary and in accordance with the Specification</t>
  </si>
  <si>
    <t xml:space="preserve">The main contractor remains responsible for the suitability and maintenance of all protection throughout the duration of the works and shall inspect protection on a regular basis to ensure that it is sound and performing adequately. </t>
  </si>
  <si>
    <t>Cleaning areas</t>
  </si>
  <si>
    <t>The Contractor is required to clean all existing roof areas and external walls, removing all dirt, growth, vegetation, etc, before work commences and after work is complete to approval</t>
  </si>
  <si>
    <t>Access &amp; Protection</t>
  </si>
  <si>
    <t>Erect independent access scaffold as necessary; Scaffold is not to be fixed to the building</t>
  </si>
  <si>
    <t>Include for temporary protection to roofs using tarpaulins and polythene sheeting (plywood boards if necessary)</t>
  </si>
  <si>
    <t>Site Arrangement plan work; all as per work on Drawing and as follows:</t>
  </si>
  <si>
    <t>Bats preservation</t>
  </si>
  <si>
    <t>All crevices and open joints to be checked for bats by the project ecologist, before repointing, repair or other closure. Known bat access points or crevices must be retained</t>
  </si>
  <si>
    <t>Testing</t>
  </si>
  <si>
    <t>Testing; pipework and gutters</t>
  </si>
  <si>
    <t>CDM Notes</t>
  </si>
  <si>
    <t>Demolitions &amp; Alterations</t>
  </si>
  <si>
    <t>Drawings used 9691-BUT-XX-XX-DR-A-1002 to 1004, 2001 to 2004, 3001, 4001, 5001 to 5004, 6001 to 6002, 09001 &amp; Specification</t>
  </si>
  <si>
    <t xml:space="preserve">DOFF clean all of stone plinth , removing all biological growth (BUT10-105); Rake out all loose defective mortar entirety of stone plinth in NHL3.5 with a ratio of 1part lime : 2.5parts of sharp sand; New lime mortar to match the appearance of the existing mortar  in every respect (BUT07-100); Allow for a test panel to be approved by the Architect prior to commencement of work </t>
  </si>
  <si>
    <t>reinstate missing balustrade with traditional profiles NBS L30/550; Prime and paint finish in a non-standard colour to match historic colour scheme NBS M60/110</t>
  </si>
  <si>
    <t>carefully remove plywood and allow for full replacement of timber penny gap boarding NBS H21/110; Setting out and jointing to be confirmed on site by the Architect; Prime and paint in a non-standard colour to match historic paint scheme NBS M60/110 Type C</t>
  </si>
  <si>
    <t>repair damaged timber mouldings to balustrade in Accoya timber to match existing like-for-like  NBS L30/550; Allow for 50% replacement; Prime and paint finish in a non-standard colour to match historic colour scheme NBS M60/110</t>
  </si>
  <si>
    <t>carefully remove plywood covering to stage front and reinstate shiplap boarding to match existing NBS H21/116; Prime and paint full extent of timber boarding on all elevations in a non-standard colour NBS M60/110</t>
  </si>
  <si>
    <t>Proposed South Elevation, as per Drawing 9691-BUT-XX-XX-DR-A-05001</t>
  </si>
  <si>
    <t>Proposed West Elevation, as per Drawing 9691-BUT-XX-XX-DR-A-05002</t>
  </si>
  <si>
    <t>remove rust, prime and paint metalwork trellis in a non-standard colour; all as per NBS BUT17/115 and NBXS M60/110 Type G</t>
  </si>
  <si>
    <t>Proposed North Elevation, as per Drawing 9691-BUT-XX-XX-DR-A-05003</t>
  </si>
  <si>
    <t>repairs to timber frame; all as per SE's drawings</t>
  </si>
  <si>
    <t xml:space="preserve">allow for sufficient time for all steel members to be exposed and assessed for extent of corrosion by the SE; Clean and reprime with heavy duty bitumen as per SE's drawings; Primed and painted finish in a non-standard colour NBS M60/110 </t>
  </si>
  <si>
    <t>existing steel frame to be cleaned, rust removed, primed and redecorated, paint finish; all as per SE's drawings</t>
  </si>
  <si>
    <t>reglaze all fanlight windows in toughened clear float glass; Appearance and thickness to match existing; Single glazed; all as per NBS BUT15</t>
  </si>
  <si>
    <t>allow for 25% renewal of timber shiplap boarding in isolated locations, as NBS H21/110; Strip back to bare wood, prime and paint full extent of timber boarding in a non-standard colour to match historic colour scheme NBS M60/110 Type C</t>
  </si>
  <si>
    <t>wet rot to timber structure; allow for 25% timber replacement, all as per SE's drawings</t>
  </si>
  <si>
    <t>allow for replacement of timber fascia, timber softwood cladding, as per NBS H21/110; Prime and painted finish in a non-standard colour, as per NBS M60/110 Type A</t>
  </si>
  <si>
    <t>Proposed East Elevation, as per Drawing 9691-BUT-XX-XX-DR-A-05004</t>
  </si>
  <si>
    <t>carefully remove temporary OSB covering; Allow for full renewal of timber  boarding behind temporary OSB covering missing or damaged timber shiplap boarding infill; Allow for complete renewal of timber boarding to both panels in Accoya timber to match existing as per NBS H71/116; All boarding to elevations to be primed and painted finish, all as per NBS M60/110 Type C</t>
  </si>
  <si>
    <t>remove rust, prime and paint metalwork trellis in a non-standard colour; all as per NBS BUT17/115 and NBXS M60/110 Type E</t>
  </si>
  <si>
    <t>disconnect, cap off all existing sanitary ware and cart away from site for recycling; Install new fixtures (measured separately); all as per Drawing 4001</t>
  </si>
  <si>
    <t>remove all debris and make good concrete floor beneath stage; make good all work disturbed; all as per Drawing 4001</t>
  </si>
  <si>
    <t>allow to remove extensive debris throughout floor; all as per Drawing 1002</t>
  </si>
  <si>
    <t xml:space="preserve">carefully take off single door and frame; make good all work disturbed; 2nr </t>
  </si>
  <si>
    <t>Allow for carrying out the work taking measures to avoid CDM Risks as follows:</t>
  </si>
  <si>
    <t>1. Working at height: Allow for work to be carried out from permanent or stable temporary floors where possible; Maximise prefabrication and limit intricate works at high level</t>
  </si>
  <si>
    <t>2. Cuts and abrasions: Insure all necessary PPE is worn; All metal roofing works to be carried out by a member of the Federation of Traditional Metal Roofing Contractor</t>
  </si>
  <si>
    <t>Contractor is to comply with Items 1 to 9 on Drawings 4001</t>
  </si>
  <si>
    <t>3. Risk of burns: Appropriate PPE to be worn at all times when handling lime</t>
  </si>
  <si>
    <t>6. Electrical shock: Identify possibility of unknown live services; Cables assumed disused, to be identified and checked</t>
  </si>
  <si>
    <t xml:space="preserve">5. Structural collapse: Ensure all necessary temporary works are erected, including all types of scaffolding,  shoring, propping; Ensure temporary works designer and coordinator are appointed </t>
  </si>
  <si>
    <t>extra; stop ends</t>
  </si>
  <si>
    <t>extra; nozzle outlet</t>
  </si>
  <si>
    <t>extra; swanneck bends</t>
  </si>
  <si>
    <t>extra; shoe</t>
  </si>
  <si>
    <t>Renew rainwater goods in cast iron with 5" gutter and 4" downpipe with cast iron plinth offset and shoe NBS R10/315; including primed and painted in a non-standard colour to match historic colour schedule  NBS M60/110 Type A; Downpipe to discharge into existing drainage network NBS R10/380; including taking off old goods as necessary</t>
  </si>
  <si>
    <t>generally; all as pe Drawing 5001; approximate flat area overall of: 91m2</t>
  </si>
  <si>
    <t>generally, to curved profile pitched roof; all as pe Drawing 5001; approximate flat area overall of: 91m2</t>
  </si>
  <si>
    <t>Extra for Roof Structure and internal condition unknown; Allow sufficient time for all steel members to be exposed and assessed for extent of corrosion to be investigated by the SE; all as per Drawing 6001</t>
  </si>
  <si>
    <t xml:space="preserve">3. Manual Handling; Provide adequate access facilities, working space and lifting equipment where necessary </t>
  </si>
  <si>
    <t>4. Risk of burns: Appropriate PPE to be worn at all times when handling lime</t>
  </si>
  <si>
    <t xml:space="preserve">6. Structural collapse: Ensure all necessary temporary works are erected, including all types of scaffolding,  shoring, propping; Ensure temporary works designer and coordinator are appointed </t>
  </si>
  <si>
    <t>Drawings used 9691-BUT-XX-B1-DR-A-2001 to 4, 3001, 4003, 5001 to 4, 6001 &amp; 2, 37001  &amp; 2 &amp; Specification</t>
  </si>
  <si>
    <t xml:space="preserve">Proposed Roof, as per above Drawings </t>
  </si>
  <si>
    <t>Extra for wet rot to timber structure; Allow for 25% timber replacement; as per SE's drawing; all as per Drawing 6001</t>
  </si>
  <si>
    <t>extra for Masterform lead replacement flashing and all terne coated stainless steel junctions, sealing as necessary as necessary; on the South Elevation only; following the curvature of the roof verge capping; all as per NBS H75/460, all as per Drawings 4003 &amp; 37001; approximate total girth of: 8m</t>
  </si>
  <si>
    <t>extra for full like-for-like replacement of front fascia on South Elevation only; following the curvature of the roof verge capping, with tradition timber profile, fascia and dentil course in Accoya softwood; including primed and painted in a non-standard colour to match historic colour scheme; Profiles NBS M60/110 Type A; Dentils NBS M60/110 Type C, all as per Drawings 4003 &amp; 37001; approximate total girth of: 8m</t>
  </si>
  <si>
    <t>125mm (5") gutter on and including approved brackets fixed to eaves fascia</t>
  </si>
  <si>
    <t>100mm (4") downpipe in and including approved brackets fixed to walls</t>
  </si>
  <si>
    <t>Contractor is to comply with Items 1 to 9 on Drawings 4002</t>
  </si>
  <si>
    <t>2. Erecting structures: Contractor to provide adequate temporary props and bracing</t>
  </si>
  <si>
    <t xml:space="preserve">4. Structural collapse: Ensure all necessary temporary works are erected, including all types of scaffolding,  shoring, propping; Ensure temporary works designer and coordinator are appointed </t>
  </si>
  <si>
    <t xml:space="preserve">Proposed Ground Floor Plan, as per above Drawings </t>
  </si>
  <si>
    <t>generally; all as pe Drawing 4002; approximate area of: 18m2</t>
  </si>
  <si>
    <t>generally; all as pe Drawing 4002; approximate area of: 20m2</t>
  </si>
  <si>
    <t>extra for wet rot to structural timber due to holes in stage floor; Make repairs as necessary; Splice or replace beams as per SE's drawing; all as per Drawings 1002, 3001, 6001</t>
  </si>
  <si>
    <t>extra for delamination to plywood, which has exacerbated wet rot to floorboards/missing areas to stage floor due to deterioration and vandalism of floor boards to various areas, some as hatched in 'red' on Drawing 1003</t>
  </si>
  <si>
    <t>Upper Floors &amp; Staircases</t>
  </si>
  <si>
    <t>Drawings used 9691-BUT-XX-B1-DR-A-4001 &amp; 2, 6001 &amp; 2, &amp; Specification</t>
  </si>
  <si>
    <t>Interior Walls</t>
  </si>
  <si>
    <t>Contractor is to comply with Items 1 to 9 on Drawings 6001 &amp; 2</t>
  </si>
  <si>
    <t>generally; 2,000mm high; approximate total length of: 3m</t>
  </si>
  <si>
    <t>Drawings used 9691-BUT-XX-B1-DR-A-4001 &amp; 2, 9001 &amp; Specification</t>
  </si>
  <si>
    <t>External doors; works all as per the above Drawings; including wood paint treatment to timber doors, frames/linings, architraves, etc; all to match existing</t>
  </si>
  <si>
    <t xml:space="preserve">carefully take off double door and frame (temporary doorset); make good all work disturbed; ED-B1-04-01; 1nr </t>
  </si>
  <si>
    <t xml:space="preserve">Door Type 1; ED-B1-04-01: Replace double door and frame with paint grade timber double door NBS L20/55; including painted finish in a non-standard colour NBS M60/110 Type C; ironmongery measured separately; door size 1,180 x 1,924mm; all as per  Drawing 9001                                                        </t>
  </si>
  <si>
    <t xml:space="preserve">Door Type 3; ED-GF-02-01: Replace single door and frame with paint grade softwood single door; T&amp;G boarding to door exterior to match stage wall; Prime &amp; paint finish to match wall cladding NBS M60/110 Type C; ironmongery measured separately; door size 700 x 2,010mm; all as per  Drawing 9001                                                        </t>
  </si>
  <si>
    <t xml:space="preserve">Door Type 4; B1-05-01: Replace single door and frame with paint grade softwood single door; Prime &amp; paint finish NBS M60/110 Type D; ironmongery measured separately; door size 910 x 2,100mm; all as per  Drawing 9001                                                        </t>
  </si>
  <si>
    <t xml:space="preserve">Door Type 5 FR30; B1-06-01: Replace single door and frame with paint grade softwood single door; Prime &amp; paint finish, non-standard colour NBS M60/110 Type D; ironmongery measured separately; door size 600 x 2,100mm; all as per  Drawing 9001                                                        </t>
  </si>
  <si>
    <t xml:space="preserve">Door Type 7 FR30; ID-B1-07-01: Replace double door and frame with paint grade softwood double door; Prime &amp; paint finish, non-standard colour NBS M60/110 Type D; ironmongery measured separately; door size 1,200 x 1,750mm; all as per  Drawing 9001                                                        </t>
  </si>
  <si>
    <t>External doors; Supply &amp; fix ironmongery; all as per Allgood Schedule:Q00034112</t>
  </si>
  <si>
    <t>single door; ED-GF-02-01</t>
  </si>
  <si>
    <t>double door; ED-B1-04-01</t>
  </si>
  <si>
    <t>Set</t>
  </si>
  <si>
    <t>Internal doors; Supply &amp; fix ironmongery; all as per Allgood Schedule:Q00034112</t>
  </si>
  <si>
    <t>single door; ID-B1-05-01</t>
  </si>
  <si>
    <t>single door; ID-B1-06-01</t>
  </si>
  <si>
    <t>double door; ID-B1-07-01</t>
  </si>
  <si>
    <t>Wall Finishes</t>
  </si>
  <si>
    <t>Floor Finishes</t>
  </si>
  <si>
    <t>Ceiling Finishes</t>
  </si>
  <si>
    <t>Sanitary Fittings</t>
  </si>
  <si>
    <t>28 FLOOR, WALL, CEILING AND ROOF FINISHINGS</t>
  </si>
  <si>
    <t>Screeds, beds; on existing slab</t>
  </si>
  <si>
    <t>75mm thick; exceeding 600mm wide</t>
  </si>
  <si>
    <t>2.5mm thick; welded joints and labour; fixed with adhesive on and including 8mm thick flooring grade plywood underlay</t>
  </si>
  <si>
    <t>exceeding 600mm wide;</t>
  </si>
  <si>
    <t>extra for coved skirting 100mm high</t>
  </si>
  <si>
    <t>Drawings used 9691-BUT-XX-B1-DR-A-4001, 5005 &amp; Specification</t>
  </si>
  <si>
    <t>Screeds; Cement and sand screed, fully bonded, trowelled to smooth finish; all as per Clause 4 of M10 and all other relevant clauses of the Specification</t>
  </si>
  <si>
    <t>generally; as shown as a 'red dashed line on Drawing 4001</t>
  </si>
  <si>
    <t xml:space="preserve">Allow for 25% renewal of T&amp;G boarding to stairwell in isolated locations to match existing NBS H21/110; Prime and redecorate all internal T&amp;G boarding NBS M60/110 Type D </t>
  </si>
  <si>
    <t>re-use services penetration at high level to provide mechanical ventilation to Toilets; Vent to terminate in quality aluminium, powder coated to match external cladding  decorative scheme; all as per Services Engineer's design</t>
  </si>
  <si>
    <t>Accessible WCs</t>
  </si>
  <si>
    <t>Doc M DDA compliant pack, Dolphin Solutions; including: accessible WC suite, white, white soft close hinge seat, dual flush for front access - chrome, cistern as required; pedestal wash basin with mixer tap, chrome waste , trap, etc; hinged and fixed grab rails; toilet roll holders; all as per NBS N13/12</t>
  </si>
  <si>
    <t>fixing pan, wash basin, plugged and screwed to floors and walls; sealing around with approved sealant</t>
  </si>
  <si>
    <t>Sanitary accessories; all as per Clause N13 and all relevant clauses of the Specification</t>
  </si>
  <si>
    <t>fixing to walls, plugging and screwing</t>
  </si>
  <si>
    <t>380 wide x 950mm; fixing to walls; plugging and screwing</t>
  </si>
  <si>
    <t>Toilet paper dispenser, TP; approved selection</t>
  </si>
  <si>
    <t>Soap dispenser, SD; approved selection</t>
  </si>
  <si>
    <t>Paper towel dispensers, PT; approved selection</t>
  </si>
  <si>
    <t>Colostomy shelf; approved selection</t>
  </si>
  <si>
    <t>Coat hooks on timber pattress at 1,050mm height; approved selection</t>
  </si>
  <si>
    <t>Automatic Hand dryer, HD; approved selection; electric isolation switch located in store cupboard, including wiring up as necessary</t>
  </si>
  <si>
    <t>Alarm reset button, AR, together with pull chord, including wiring up as necessary</t>
  </si>
  <si>
    <t>extra for full like-for-like replacement of roof verges, with traditional timber profile, fascia and dentil course in Accoya softwood; including primed and painted in a non-standard colour to match historic colour scheme; Profiles NBS M60/110 Type A; Dentils NBS M60/110 Type C; approximate total length of: 20m</t>
  </si>
  <si>
    <t>Contractor is to comply with Items 1 to 9 on Drawings 5001</t>
  </si>
  <si>
    <t>Drawings used 9691-BUT-XX-B1-DR-A-5001 &amp; 2, 9001 &amp; Specification</t>
  </si>
  <si>
    <t>allow for 25% replacement of timber boarding to sloping soffit in isolated areas, as NBS H21/110; Redecorate entire soffit, strip back to bare wood, prime and paint finish NBS M60/110 Type C; to sloping soffit; approximate total area of: 65m2</t>
  </si>
  <si>
    <t>Basement Floor Plan, as per Drawing 9691-BUT-XX-XX-DR-A-04001</t>
  </si>
  <si>
    <t>generally; as shown on Drawing 4001: approx total decoration area of: 27m2</t>
  </si>
  <si>
    <t>allow for complete replacement of WC ceiling boards in T&amp;G softwood boarding to match existing 100 x 25mm as per NBS H21/110; Redecorate, prime and paint finish NBS M60/110 Type D; approximate total area of: 12m2</t>
  </si>
  <si>
    <t>Basement Floor Plan, as per Drawing 9691-BUT-XX-XX-DR-A-6001 &amp; 2</t>
  </si>
  <si>
    <t>allow for existing metalwork to be modified to be opened out and provide access to stage; Carefully remove metal trellis; Drill cast iron columns, insert threaded inserts with hinges and lock; Clean and remove rust, prime and paint in a non-standard colour to match historic colour scheme; all as per NBS M60/110 Type G &amp; Drawing 34002: Reinstate trellis</t>
  </si>
  <si>
    <t>extra for forming profiled end to roof verge at eaves detail; Projected roof feature to each gable wall to be replicated and with 0.5mm terne coated stainless steel sheet over projected roof with drip; Timber profiles indicative, to be confirmed on site; Soffit and linings to match existing in 25 x 100mm T&amp;G Accoya boarding NBS H71-110; Prime and painted finish to all boarding NBS M60-110 Types A &amp; C and all as per Drawing 37002; 2nr</t>
  </si>
  <si>
    <t>External Works</t>
  </si>
  <si>
    <t>Site Clearance/preparation</t>
  </si>
  <si>
    <t>Removing all undergrowth, including all debris, arisings, etc, in way of new external areas; disposing off site</t>
  </si>
  <si>
    <t>External Paving</t>
  </si>
  <si>
    <t>External Fencing</t>
  </si>
  <si>
    <t>extra for double gate and posts</t>
  </si>
  <si>
    <t>Planting</t>
  </si>
  <si>
    <t>BANDSTAND</t>
  </si>
  <si>
    <t>BOWLS PAVILION</t>
  </si>
  <si>
    <t>existing Bowls Pavilion building, comprising single storey block, constructed out of: timber/brick, approximate overall GFA of: 60m2  x 3m high to eaves; including isolating and decommissioning existing M&amp;E services, etc. taking out and disposing of all redundant materials and all other plant and machinery; breaking out any ground floor slab under, together with all surrounding paving, ramps, steps and retaining walls, etc., including grubbing up any concrete foundations; disposing of all debris off site; temporary supports if necessary where abutting perimeter pavement; filling back with MOT Type 1 material, ready for new Pavilion construction with external paved areas, etc.</t>
  </si>
  <si>
    <t>Allow for complying with CDM requirements, as per Drawings and as per the Specification</t>
  </si>
  <si>
    <t>Allow for all other Demolition &amp; Alterations work not described previously, but deemed necessary as determined from the Drawings and the Site Conditions</t>
  </si>
  <si>
    <t>Demolitions &amp; Alterations works, Bandstand - To  Summary</t>
  </si>
  <si>
    <t>Demolitions &amp; Alterations works, Bowls Pavilion - To  Summary</t>
  </si>
  <si>
    <t>Substructure</t>
  </si>
  <si>
    <t>Substructures</t>
  </si>
  <si>
    <t xml:space="preserve">Contractors are to include for removal of all materials off site, unless specifically requested not to do so, and sustainably disposal at a registered Local Authority tip in accordance with the Site Waste Management Plan Regulations 2008 </t>
  </si>
  <si>
    <t>5 EXCAVATING AND FILLING</t>
  </si>
  <si>
    <t>m3</t>
  </si>
  <si>
    <t>Type 1 granular material (measured in m2 not cubic); including sand blinding to top surfaces; under ground slab</t>
  </si>
  <si>
    <t>11 IN SITU CONCRETE WORKS</t>
  </si>
  <si>
    <t>Mass concrete (1:2:4) mix to BS8110</t>
  </si>
  <si>
    <t>Cavity infill; vertical; not exceeding 300mm thick</t>
  </si>
  <si>
    <t>Horizontal; not exceeding 300mm thick</t>
  </si>
  <si>
    <t>in ground slab</t>
  </si>
  <si>
    <t>Reinforcement; fabric mesh (no allowance made for laps)</t>
  </si>
  <si>
    <t>Fabric mesh; reference A393</t>
  </si>
  <si>
    <t>Formwork</t>
  </si>
  <si>
    <t>Vertical sides</t>
  </si>
  <si>
    <t>beds not exceeding 300mm wide</t>
  </si>
  <si>
    <t>Sundries</t>
  </si>
  <si>
    <t>Trowelling surfaces of concrete</t>
  </si>
  <si>
    <t>14 MASONRY</t>
  </si>
  <si>
    <t>Skins of hollow walls</t>
  </si>
  <si>
    <t>100mm thick</t>
  </si>
  <si>
    <t>Forming cavities in hollow walls; including approved stainless steel ties at 750mm centres horizontally and 450mm centres vertically</t>
  </si>
  <si>
    <t>150mm wide</t>
  </si>
  <si>
    <t>19 WATERPROOFING</t>
  </si>
  <si>
    <t>Horizontal to concrete slabs</t>
  </si>
  <si>
    <t>coverings over 500mm wide</t>
  </si>
  <si>
    <t>Horizontal to concrete slabs; laid in accordance with manufacturer's recommendations</t>
  </si>
  <si>
    <t>No Substructure work required</t>
  </si>
  <si>
    <t>Removing all undergrowth, including all debris, arisings, etc, in way of new construction; disposing off site</t>
  </si>
  <si>
    <t>Site strip topsoil; to temporary spoil heap at agreed locations at site</t>
  </si>
  <si>
    <t>150mm thick</t>
  </si>
  <si>
    <t>ground water (Including surface water disposal)</t>
  </si>
  <si>
    <t>Disposal</t>
  </si>
  <si>
    <t>excavated material off site; disposing off site to an approved tip</t>
  </si>
  <si>
    <t>Filling; DoT type 1 compacted granular fill</t>
  </si>
  <si>
    <t>125mm wide</t>
  </si>
  <si>
    <t>Visqueen Low Permeability Gas dpm</t>
  </si>
  <si>
    <t>Visqueen dpm laid under concrete ground slab</t>
  </si>
  <si>
    <t>Blockwork; solid dense concrete blocks; in approved mortar; all as per NBS F10/225</t>
  </si>
  <si>
    <t>Waterproof membrane, Visqueen 1000 gauge Visqueen  vcl dpm; with joints well lapped and sealed with polythene adhesive tape or sealed with double welt</t>
  </si>
  <si>
    <t>extra for dressing up face of wall 270mm high</t>
  </si>
  <si>
    <t>Floor insulation, PIR board; joints well lapped and sealed; all as per NBS M10/290</t>
  </si>
  <si>
    <t>Cavity insulation</t>
  </si>
  <si>
    <t>Foil faced PIR insulation; building into cavity of hollow wall; installed in strict accordance with the manufacturer's recommendations; all as per NBS P10/141</t>
  </si>
  <si>
    <t>80mm thick</t>
  </si>
  <si>
    <t>External Walls works, Bandstand - To  Summary</t>
  </si>
  <si>
    <t>Substructure works, Bowls Pavilion - To  Summary</t>
  </si>
  <si>
    <t>100mm thick; faced and pointed one side; as plinth</t>
  </si>
  <si>
    <t>100mm thick; faced and pointed one side; above plinth</t>
  </si>
  <si>
    <t>Lintel; building into wall</t>
  </si>
  <si>
    <t>fair returns; faced and pointed</t>
  </si>
  <si>
    <t>150mm wide; sloping top at verge</t>
  </si>
  <si>
    <t>150mm wide at eaves</t>
  </si>
  <si>
    <t>21 CLADDING AND COVERING</t>
  </si>
  <si>
    <t>Vertical; fixing to external block wall surfaces</t>
  </si>
  <si>
    <t>exceeding 600mm wide</t>
  </si>
  <si>
    <t>Cavity gutters at base of wall; built into cavity</t>
  </si>
  <si>
    <t>Cavity gutters over doors; built into cavity</t>
  </si>
  <si>
    <t>DPC; as per the Specification</t>
  </si>
  <si>
    <t>550mm girth; dressing down cavity over opening</t>
  </si>
  <si>
    <t>550mm girth; dressing down cavity at base</t>
  </si>
  <si>
    <t>over 600mm wide</t>
  </si>
  <si>
    <t>Roof works, Bandstand - To  Summary</t>
  </si>
  <si>
    <t>Drawings used 9691-BUT-X1-XX-DR-A-4001, 4014, 4016, 4017, 4018, 4021, 5011 to 5015, 6001 to 6008 &amp; Specification</t>
  </si>
  <si>
    <t>TIMBER ROOF CONSTRUCTION</t>
  </si>
  <si>
    <t>The Roof Construction has been measured as a Design &amp; Build section of the works and the Employer will be fully reliant on the system and methods proposed by the Contractor and expects the works to be carried out in a safe, proper and best workmanlike manner, fit for purpose for the life expectancy of the building</t>
  </si>
  <si>
    <t xml:space="preserve">Detailing, drawing and design </t>
  </si>
  <si>
    <t>Coverings to slopes</t>
  </si>
  <si>
    <t>18  TILE AND SLATE ROOF AND WALL COVERINGS</t>
  </si>
  <si>
    <t>extra; gable stop ends</t>
  </si>
  <si>
    <t>23 WINDOWS, SCREENS AND LIGHTS</t>
  </si>
  <si>
    <t>Rooflight, fixed/opening as required; to pitched roof</t>
  </si>
  <si>
    <t>2nr rooflights each size 943 x 1,275mm; connected together with connection kit; over Lounge /Clubroom</t>
  </si>
  <si>
    <t>Rooflight Warranty</t>
  </si>
  <si>
    <t>33 DRAINAGE ABOVE GROUND</t>
  </si>
  <si>
    <t xml:space="preserve">m </t>
  </si>
  <si>
    <t>extra; downpipe nozzle outlets</t>
  </si>
  <si>
    <t>101.6mm diameter fixed by approved means to walls</t>
  </si>
  <si>
    <t>extra; bends</t>
  </si>
  <si>
    <t>extra; junction with stormwater drain</t>
  </si>
  <si>
    <t>External Walls works, Bowls Pavilion  - To  Summary</t>
  </si>
  <si>
    <t>Roofs works, Bowls Pavilion  - To  Summary</t>
  </si>
  <si>
    <t>Drawings used 9740-BUT-X1-XX-DR-A-4001, 4016, 4017, 4021, 5011 to 5015, 6001 to 6008 &amp; Specification</t>
  </si>
  <si>
    <t>Drawings used 9740-BUT-X1-00-DR-A-1011, 1012, 1014, 1015, 2012 &amp; Specification</t>
  </si>
  <si>
    <t>Upper Floor &amp; Staircase works, Bandstand - To  Summary</t>
  </si>
  <si>
    <t>Upper Floor &amp; Staircase works, Bowls Pavilion  - To  Summary</t>
  </si>
  <si>
    <t xml:space="preserve">Aluminium rainwater goods; Dales Fabrications System 120 (Alloy 120 alloy 1050 Powder Coated); all as per Drawing 6003 </t>
  </si>
  <si>
    <t>Internal walls works, Bandstand - To  Summary</t>
  </si>
  <si>
    <t>New internal wall to improve circulation accessibility: Timber stud wall with 18 x 75mm softwood T&amp;G cladding; Paint finish to match existing internal boarding NBS M60/110 Type C; all as per SE's drawing</t>
  </si>
  <si>
    <t>Walls</t>
  </si>
  <si>
    <t>100mm thick; fair faced and flush pointing one side</t>
  </si>
  <si>
    <t>20  PROPRIETARY LININGS &amp; PARTITIONS</t>
  </si>
  <si>
    <t>Internal walls FR 60 100mm stud wall (K10), to be built to an approved acoustic rating and 60min fire resistance; 2 layers of 15mm Wallboard both sides, each side of 48  S 50mm C studs at 600mm centres, floor sole plate, head member and noggins at 750mm centres, and all fixed by approved means to floors and soffits; Acoustic wool fixing in cavities; including deflection head and packing over as required all as per Drawings 4018, 4022 and K10/25</t>
  </si>
  <si>
    <t xml:space="preserve">Timber stud framed system to form Internal Walls; including approved movement joints and head junction with raking roof soffit with 2nr 100 x 50mm softwood infill at door head for fixing door built of floor edge </t>
  </si>
  <si>
    <t>160mm thick overall; 3 to 4.5m high</t>
  </si>
  <si>
    <t>extra for forming double door openings</t>
  </si>
  <si>
    <t>Internal walls works, Bowls Pavilion  - To  Summary</t>
  </si>
  <si>
    <t>Drawings used 9740-BUT-X1-XX-DR-A-4001, 4016, 4017, 4020, 4021, 5011 to 5015, 6001 to 6008 &amp; Specification</t>
  </si>
  <si>
    <t>910 x 880mm; W-00-002</t>
  </si>
  <si>
    <t>910 x 825mm; W-00-001</t>
  </si>
  <si>
    <t>24  DOORS, SHUTTERS AND HATCHES</t>
  </si>
  <si>
    <t>Windows, Type H: Top hung casement window; as per NBS L10/330</t>
  </si>
  <si>
    <t>Windows, Type G: Side hung casement window; as per NBS L10/331</t>
  </si>
  <si>
    <t>Windows; Aluminium polyester powder coated windows; double glazed hermetically sealed units; including all ironmongery as required; Black RAL9005 ; sealants, packers and the like both sides; fixing with and including brackets, to brick reveals; bedding and sealing all-round in mastic; on and including dpc/EPDM; airtight and weathertight; all to approval: all as per Drawing 4020 and L10/300 &amp; 331 and all relevant clauses of the Specification</t>
  </si>
  <si>
    <t>single door in frame, overall size 1,020 x approx, 2,010mm; including s.s. lever handles, lock, hinges , Level threshold; ED-00-02 &amp; 3</t>
  </si>
  <si>
    <t>single door in frame, overall size 1,135 x approx, 2,010mm; including radar key, s.s. lever handles, privacy indicator lock, hinges, 450 Grabrail to rear, DDA WC sign, Level threshold; ED-00-02 &amp; 3</t>
  </si>
  <si>
    <t>External doors in frames; sills, weatherstripping as required, etc.; opening sizes as follows: -</t>
  </si>
  <si>
    <t>single door in frame, overall size 1,130 x approx, 2,200mm; including s.s. lockable, pull handle, hinges , Level threshold; with and including 2 rows circles laser cut; ED-00-04</t>
  </si>
  <si>
    <t>Glazed External Doors, Sliding Bifolding Corner Doors, Type I; glazed hermetically sealed safety glass units in powder coated aluminium doors and frames; Schuco glazed doors, Black RAL9005; including all ironmongery as per the Specification; complete with all intumescent seals; sealants, packers and the like both sides; fixing with and including brackets, building into brick walls; bedding and sealing all-round in mastic; airtight and weathertight; all to approval; all as per Drawing 4020 and NBS L20/530</t>
  </si>
  <si>
    <t>2 panel door in frame, overall size 2,001 x approx, 2,200mm; including s.s. lockable, pull handle, hinges, Level threshold; with and including 2 rows circles laser cut; ED-00-04</t>
  </si>
  <si>
    <t>3 panel door in frame, overall size 2,930 x approx, 2,200mm; including s.s. lockable, pull handle, hinges, Level threshold; with and including 2 rows circles laser cut; ED-00-04</t>
  </si>
  <si>
    <t>Glazed External Door, Type J; glazed hermetically sealed safety glass units in powder coated aluminium doors and frames; Schuco glazed doors, Black RAL9005; including all ironmongery as per the Specification; complete with all intumescent seals; sealants, packers and the like both sides; fixing with and including brackets, building into brick walls; bedding and sealing all-round in mastic; airtight and weathertight; all to approval; all as per Drawing 4020 and NBS L10/525</t>
  </si>
  <si>
    <t>Internal Doors</t>
  </si>
  <si>
    <t>Windows &amp; External Doors</t>
  </si>
  <si>
    <t>Drawings used 9740-BUT-X1-X0-DR-A-4016, 4017, 4020 &amp; Specification</t>
  </si>
  <si>
    <t>810 x 2,100mm; ID-00-042-01</t>
  </si>
  <si>
    <t>Single doorset, Type C; flush doors; laminated faced both sides, Ash lipped solid core door; supply and fix approved ironmongery (measured separately); including approved wood treatment to timber doors, frames and architraves; in structural openings</t>
  </si>
  <si>
    <t>set</t>
  </si>
  <si>
    <t>1,010 x 2,100mm; including stainless 450mm steel grab rail to rear and coat hook; Disabled ID-00-045-01</t>
  </si>
  <si>
    <t>1,010 x 2,100mm; Lounge ID-00-044-01</t>
  </si>
  <si>
    <t>Single doorset, Type B; flush door; laminated faced both sides, Ash lipped solid core door; supply and fix approved ironmongery (measured separately); including approved wood treatment to timber door, frame and architraves; in structural openings</t>
  </si>
  <si>
    <t>Single doorset, Type A; flush door; laminated faced both sides, Ash lipped solid core door; supply and fix approved ironmongery (measured separately); including approved wood treatment to timber door, frame and architraves; in structural openings</t>
  </si>
  <si>
    <t>1,010 x 2,100mm; Kitchen ID-00-011-01</t>
  </si>
  <si>
    <t>3,455 x 2,110mm; 3nr double door and frame units, door frame posts, screw fixed to floors with and including 50 x 50mm m.s. angles to rear; including stainless steel recessed pull handles, locks, 3 hinges, flush bolts to slave leafs, sprung ball catches, Lounge Store RD-00-008-001, 2 &amp; 3</t>
  </si>
  <si>
    <t>single door, non fire rated; ID-00-042-01</t>
  </si>
  <si>
    <t>single door, non fire rated; Disabled ID-00-045-01</t>
  </si>
  <si>
    <t>single door, non fire rated; Lounge ID-00-044-01</t>
  </si>
  <si>
    <t>single door, 60s fire rated; Kitchen ID-00-011-01</t>
  </si>
  <si>
    <t>Drawings used 9740-BUT-XX-XX-DR-A-4021, 6006 &amp; Specification</t>
  </si>
  <si>
    <t>Internal Doors work, Bandstand - To  Summary</t>
  </si>
  <si>
    <t>Internal Doors work, Bowls Pavilion - To  Summary</t>
  </si>
  <si>
    <t>Wall finishes work, Bowls Pavilion - To  Summary</t>
  </si>
  <si>
    <t>Floor finishes work, Bowls Pavilion - To  Summary</t>
  </si>
  <si>
    <t>Wall Finishes work, Bandstand - To  Summary</t>
  </si>
  <si>
    <t>Floor Finishes work, Bandstand - To  Summary</t>
  </si>
  <si>
    <t>Screeds, beds and toppings, incorporating underfloor heating; on Visqueen  1000gauge vcl and insulation (measured in the Substructures Section)</t>
  </si>
  <si>
    <t>110mm thick over 500 wide</t>
  </si>
  <si>
    <t>exceeding 600mm wide; Kitchen, WC, DDA WCs, Workshop</t>
  </si>
  <si>
    <t>extra; coved skirting, fitted into capping strip; Gradus cove formers; all as per M50/770</t>
  </si>
  <si>
    <t>Screeds; cement and sand heated screed; Surfaces flatness class: SR2; all as per Drawing 6006 and  M10/115 and all other relevant clauses of the Specification</t>
  </si>
  <si>
    <t>Vinyl Sheet Flooring, F2; Polyflor Ultima, colour: Peral Granite 4330, 2.5mm Flooring; laid in strict accordance with the manufacturer's instructions; all as per M50/155 and all other relevant  clauses of the Specification</t>
  </si>
  <si>
    <t>Resin Bound 'Carpet' Gravel, F1; Polybound Stones Carpet Resin bound kit, colour: Orion, 8mm Flooring; laid in strict accordance with the manufacturer's instructions; all as per M50/160 and all other relevant  clauses of the Specification</t>
  </si>
  <si>
    <t>8mm thick; laid on screed (measured separately)</t>
  </si>
  <si>
    <t>2.5mm thick; welded joints and labour; laid on screed  (measured separately)</t>
  </si>
  <si>
    <t>exceeding 600mm wide; Lounge/Club Room, Store, Lobby</t>
  </si>
  <si>
    <t>22 GENERAL JOINERY</t>
  </si>
  <si>
    <t>19 x 70mm, pencil-rounded</t>
  </si>
  <si>
    <t>Skirtings; screwed and plugged to walls</t>
  </si>
  <si>
    <t>65mm thick; exceeding 600mm wide</t>
  </si>
  <si>
    <t>Skirtings; all to match engineered timber flooring; wood treatment/ decorations to approval; fixed to base of walls; provide sample for approval;; all as per P20/110 and M60/150 and all other relevant clauses of the Specification</t>
  </si>
  <si>
    <t>Ceiling Finishes work, Bandstand - To  Summary</t>
  </si>
  <si>
    <t>Ceiling finishes work, Bowls Pavilion - To  Summary</t>
  </si>
  <si>
    <t>20  PROPRIETARY LININGS AND PARTITIONS</t>
  </si>
  <si>
    <t>Ceiling linings; to ceiling joists; fixed in accordance with the manufacturer's recommendations with approved adhesive and secondary mechanical fixings</t>
  </si>
  <si>
    <t>Ceiling linings, Type C2; double layer of 12.5mm thick Gyproc Fireline, seamless jointing; skim coat plaster over all surfaces to receive decoration (measured elsewhere); including all additional timber framing required, fixed to timber soffit by approved means; provide samples of all materials for approval; all as per Drawing 4021 and NBS K10/245 all relevant clauses of the Specification</t>
  </si>
  <si>
    <t>Ceiling linings, Type C1; single layer of 15mm thick Gyproc acoustic plasterboard, seamless jointing; skim coat plaster over all surfaces to receive decoration (measured elsewhere); including all additional timber framing required, fixed to timber soffit by approved means; provide samples of all materials for approval; all as per Drawing 4021 and NBS K10/245 all relevant clauses of the Specification</t>
  </si>
  <si>
    <t>Ceiling linings, sloping; to rafters; fixed in accordance with the manufacturer's recommendations with approved adhesive and secondary mechanical fixings</t>
  </si>
  <si>
    <t>extra over for lining to rooflight openings 1,886 x 1,275mm; Rooflights RL01 &amp; 2</t>
  </si>
  <si>
    <t>allow for forming all cut outs and MDF pattresses for light fittings, fire detectors, air conditioning units, grills and the like</t>
  </si>
  <si>
    <t>extra for hidden access panels for maintenance and inspection</t>
  </si>
  <si>
    <t>Rooms</t>
  </si>
  <si>
    <t>Boarding</t>
  </si>
  <si>
    <t>22mm thick over 600mm wide</t>
  </si>
  <si>
    <t>29  DECORATION</t>
  </si>
  <si>
    <t>Painting to general surfaces</t>
  </si>
  <si>
    <t>over 300mm girth; internal; work to ceilings</t>
  </si>
  <si>
    <t>over 300mm girth; internal; work to sloping ceilings</t>
  </si>
  <si>
    <t>extra; transition strip; satin anodised aluminium threshold strip, screw fixed by approved means</t>
  </si>
  <si>
    <t>Particleboard loft decking, chipboard planks; tongued, grooved and screwed all edges; with taped joints for airtightness; mechanical fixed  to joists and noggins at 300mm centres; all as per Drawing 4012 and NBS P20/250, M50/535 and all relevant clauses from the Specification</t>
  </si>
  <si>
    <t>Wall linings; to walls; fixed in accordance with the manufacturer's recommendations with approved adhesive and secondary mechanical fixings</t>
  </si>
  <si>
    <t>Wall linings; single layer of 12.5mm thick Gyproc Moisture-resistant plasterboard, seamless jointing; skim plaster over all surfaces to receive decoration (measured elsewhere); on dots and dabs, fixed to walls; provide samples of all materials for approval; all as per Drawing 4021 and NBS K10/185, 403 and all relevant clauses of the Specification</t>
  </si>
  <si>
    <t>not exceeding 600mm wide in reveals</t>
  </si>
  <si>
    <t>Lining to walls; fixed to new wall surfaces</t>
  </si>
  <si>
    <t>Wall linings; 18mm thick Gyproc Birch faced plywood, clear lacquered finish; secret fixing to and including 25 x 50mm battens, fixed to walls; provide samples of all materials for approval; all as per Drawings 4023, 4024 and NBS P20/260, M60/162 and all relevant clauses of the Specification</t>
  </si>
  <si>
    <t xml:space="preserve">950 x 2,400mm, jointing edges profiled to form 10mm shadow gaps </t>
  </si>
  <si>
    <t xml:space="preserve">1,318 x 2,400mm, jointing edges profiled to form 10mm shadow gaps </t>
  </si>
  <si>
    <t>Pipe casings; to 2-sides of pipe; on and including all additional timber battens; fixed in accordance with the manufacturer's recommendations with approved adhesive and secondary mechanical fixings</t>
  </si>
  <si>
    <t xml:space="preserve">Tiling to walls; fixed to plasterboard surfaces </t>
  </si>
  <si>
    <t>Ceramic wall tiling; Jonsons Prismatics, standard colour range, size 200 x 100 x 6.5mm; grouted and pointed in Mapei mastic and grouts; provide samples as required; all as per Drawing 4025 and NBS M40/110 and all other relevant clauses of the Specification</t>
  </si>
  <si>
    <t>extra for 8mm brushed silver aluminium square edge tile trims</t>
  </si>
  <si>
    <t>Pipe casings; to 3-sides of pipe; on and including all additional timber battens; fixed in accordance with the manufacturer's recommendations with approved adhesive and secondary mechanical fixings</t>
  </si>
  <si>
    <t>200 x 200mm; DDA Wcs</t>
  </si>
  <si>
    <t>Fittings, Bandstand - To  Summary</t>
  </si>
  <si>
    <t>32 FURNITURE, FITTINGS AND EQUIPMENT</t>
  </si>
  <si>
    <t>over 300mm girth; internal; work to plaster walls</t>
  </si>
  <si>
    <t>over 300mm girth; internal; work to fairfaced block walls; Workshop</t>
  </si>
  <si>
    <t>Random course split faced stone walling with 10mm recessed pointing; in approved gauged lime mortar; all as per NBS F21/110 and all other relevant clauses of the Specification</t>
  </si>
  <si>
    <t>Blockwork; solid dense concrete blocks; in approved mortar; all as per NBS F10/225 and all other relevant clauses of the Specification</t>
  </si>
  <si>
    <t>corner tables, Vogue, code: CB907, size 900 x 800 x 600mm</t>
  </si>
  <si>
    <t>table (over Dishwash), Parry fully welded, code: DC598, size 1,200 x 600 x 900mm</t>
  </si>
  <si>
    <t>work table, Vogue, code: GJ508, size 1,500 x 900 x 600mm</t>
  </si>
  <si>
    <t>4-drawer workstation, Vogue, code: CR988, size 600 x 900 x 600mm</t>
  </si>
  <si>
    <t>sink double drainer, Vogue, code: DY826, size 1,500 x 900 x 600mm with Vogue mixer tap, cod: Y770</t>
  </si>
  <si>
    <t>wash hand basin &amp; lever tap, Vogue mini wash  hand basin tap Vogue domehead taps</t>
  </si>
  <si>
    <t>kitchen shelf, Vogue, code: Y749, size 600mm</t>
  </si>
  <si>
    <t>kitchen shelf, Vogue, code: Y750, size 900mm</t>
  </si>
  <si>
    <t>Supply &amp; install the following units:</t>
  </si>
  <si>
    <t>Kitchen units; Nisbets appliances, delivery and installation; all as per Drawing 4015 and NBS N11/360 and all relevant clauses of the Specification on Drawing</t>
  </si>
  <si>
    <t>Supply &amp; install the following appliances:</t>
  </si>
  <si>
    <t>freestanding stainless tall fridge; BOSCH Series 4 KSV36VLEP Tall Fridge</t>
  </si>
  <si>
    <t>freestanding stainless tall freezer; BOSCH GSN36VLFPG No Frost Upright Freezer</t>
  </si>
  <si>
    <t>microwave stainless steel; BOSCH HMT75G451G 17L 800W- BOSHMT75G451</t>
  </si>
  <si>
    <t>freestanding dishwasher; BOSCH SMS25AI00E silver</t>
  </si>
  <si>
    <t>coffee machine, Bravilor Esprecious 12 bean to cup espresso machine with installation power type 9.7A, supplier model no: 8.03.031.82001 (install), voltage: 230V with 3/4 water mains installation</t>
  </si>
  <si>
    <t>BOSCH DWP64CC50M 60cm stainless steel chimney cooker hood (B-46609); ducted to external via 1,500mm wall duct with white external grill</t>
  </si>
  <si>
    <t>BOSCH HKR39A250U  Serie 4 approach kitchen CM.60; 4 electrical zones, plus 1 electric oven - stainless steel</t>
  </si>
  <si>
    <t>Kitchen units; Nisbets stainless steel units, delivery and installation; all as per Drawing 4015 and all as per NBS N11/320, 330, 350, 351, 370, 380 and all relevant clauses of the Specification</t>
  </si>
  <si>
    <t>extra; dressing and working into gulley; with and including supply and install Wade central floor gulley with grating</t>
  </si>
  <si>
    <t>Wall Units to Lounge; CNC Creations; Birch Plywood kitchen wall units (above and below worktop); all as per Drawing 4022 and all as per NBS N11/310, 340 and all relevant clauses of the Specification</t>
  </si>
  <si>
    <t>Plywood Shelf with Laminate finish under window; sales@madeinply.co.uk; ; all as per Drawing 4022 and all as per NBS N11/341 and all relevant clauses of the Specification</t>
  </si>
  <si>
    <t>worktop, Formica 'Green Slate F8793' laminate faced birch plywood on 200 x 250mm HD shelf brackets, TG Supplies, at 600mm centres; 2,400 long x 250mm wide; fixed by approved means to walls</t>
  </si>
  <si>
    <t>worktop, Formica 'Green Slate F8793' on floor units under; 5,006 long x 350 deep x 600mm high, including 1,200 long x 350 deep x 1,180mm high, complete with doors and all approved ironmongery; fixed by approved means to walls</t>
  </si>
  <si>
    <t>wall units; 2,595 long x 350 deep x 600mm high, complete with doors and all approved ironmongery; fixed by approved means to walls</t>
  </si>
  <si>
    <t>Supply &amp; install the following shelving unit:</t>
  </si>
  <si>
    <t>shelving system; 2,100 long x 1,500 high x 300mm deep, complete with 6 shelves; fixed by approved means to walls</t>
  </si>
  <si>
    <t>oak veneer worktops, clear lacquer, on chrome metal pedestal units; 1,500 long x 750 wide x 740mm high</t>
  </si>
  <si>
    <t>Folding tables &amp; Stacking Chairs to Lounge; New Design Group; Theo folding table: Alto Flip-Top Table; Theo Stacking Chairs, Wooden Stacking Chairs; all as per Drawing 4022 and all as per NBS N10/125, 177 and all relevant clauses of the Specification</t>
  </si>
  <si>
    <t>Supply &amp; install the following folding table units and stacking chairs units:</t>
  </si>
  <si>
    <t>stacking chairs, Ash; 510 x 540 x 455mm</t>
  </si>
  <si>
    <t>200 x 200mm; including metal mesh protection and softwood boxing to protect RWPs; all as per NBS P20/150 and all relevant clauses of the Specification; Store &amp; Workshop</t>
  </si>
  <si>
    <t>Drawings used 9740-BUT-XX-XX-DR-A-4015, 4017, 4021, 4023 to 4025, &amp; Specification</t>
  </si>
  <si>
    <t>412 wide x 1,052mm; fixing to walls; plugging and screwing</t>
  </si>
  <si>
    <t>700 wide x 1,761mm; fixing to walls; plugging and screwing</t>
  </si>
  <si>
    <t>1,050 wide x 1,990mm; fixing to walls; plugging and screwing</t>
  </si>
  <si>
    <t>Toilet paper dispenser, TP; approved selection; NBS N13/441</t>
  </si>
  <si>
    <t>Soap dispenser, SD; approved selection; NBS N13/458</t>
  </si>
  <si>
    <t>fixing to doors, screwing</t>
  </si>
  <si>
    <t>Automatic Hand dryer, HD; approved selection; electric isolation switch located in store cupboard, including wiring up as necessary; NBS N13/472</t>
  </si>
  <si>
    <t>Emergency pull chord audible and visual alarm above door externally; alarm reset button, AR, including wiring up as necessary</t>
  </si>
  <si>
    <t>Baby changing unit; approved selection; NBS N13/494</t>
  </si>
  <si>
    <t>Bowls Pavln</t>
  </si>
  <si>
    <t>Sanitary Fittings, Bandstand - To  Summary</t>
  </si>
  <si>
    <t>splashback to handriers; size 300 x 200mm</t>
  </si>
  <si>
    <t>splashback to washbasin; size 400 x 200mm</t>
  </si>
  <si>
    <t>splashback to washbasin; size 400 x 400mm</t>
  </si>
  <si>
    <t>extra; painted timber services boxing out at floor level with cove vinyl skirting with capping; box out size 132 x 200mm; including WBP plywood and all additional timber fixings, plugged and screwed to floors; including all ends and angles; all as per NBS M50/700</t>
  </si>
  <si>
    <t>WCs</t>
  </si>
  <si>
    <t>fixing pan to wall; sealing around with approved sealant</t>
  </si>
  <si>
    <t>WCs and Cistern to Toilet BTW; Back to wall close coupled; Armitage Shanks Contour 21; vitreous china white; seat and cover, cistern, etc; Push button flush; all as per Drawing 4023 and all NBS N13/300 and all relevant clauses of the Specification</t>
  </si>
  <si>
    <t>of size shown; fixing basins to walls; sealing around with approved sealant</t>
  </si>
  <si>
    <t>Wash Hand Basin to Toilet; Armitage Shanks on wall-mounted brackets;  lever action mixer tap; waste, bottle trap; all as per Drawing 4023 and all as per NBS N13/335 and all relevant clauses of the Specification</t>
  </si>
  <si>
    <t>Doc M DDA compliant pack, Armitage Shanks Contour 21 + Doc M Pack; including: accessible WC suite, white, white soft close hinge seat, dual flush for front access - chrome, cistern as required; wash basin with mixer tap, chrome waste , trap, etc; hinged and fixed grab rails; toilet roll holders; all as per NBS N13/311</t>
  </si>
  <si>
    <t>Fittings work, Bowls Pavilion - To  Summary</t>
  </si>
  <si>
    <t>External Works, Bandstand - To  Summary</t>
  </si>
  <si>
    <t>Servery window shutter; fixed by approved means to block wall</t>
  </si>
  <si>
    <t>Lounge servery hatch; fixed by approved means to block wall</t>
  </si>
  <si>
    <t>1,200 x 1,180mm; Lounge</t>
  </si>
  <si>
    <t>1,200 x 1,210mm; Kitchen RD-00-042-21</t>
  </si>
  <si>
    <t>Wall linings/Box out of Lounge wall to achieve as flush face finish with cupboard joinery, approx. 320mm projection; on and including 70mm 'I' studs and all additional timber framing, all fixed in accordance with the manufacturer's recommendations with approved adhesive and secondary mechanical fixings; all fixed to walls by approved means; all as per Drawings 4022 &amp; 6009 and NBS K10/205 and all relevant clauses of the Specification</t>
  </si>
  <si>
    <t>320mm wide soffit to bottom edge and over Kitchen shutter</t>
  </si>
  <si>
    <t>Hygienic PVCu Lining to walls; Altro Whiterock Satin white on and including backing board fixed to block wall; installed in strict accordance with the manufacturer's instructions; all as per NBS M50/150 and all other relevant clauses of the Specification</t>
  </si>
  <si>
    <t>Supply and lay permeable hogging; including all excavation, removing all excavated material offsite; all to approval</t>
  </si>
  <si>
    <t xml:space="preserve">extra for 100mm treated timber edging with 200mm stakes; colour: Buff </t>
  </si>
  <si>
    <t>Supply and lay permeable resin bound mixed aggregate surfacings; Polybound, UV resistant resin bound kit; on and including 150mm thick Type 1 compacted stone subbase on Geotextile membrane with edging strip 500mm wide; including all excavation, removing all excavated material offsite; all to approval; all as per NBSQ23/225 and all relevant clauses of the Specification</t>
  </si>
  <si>
    <t>extra; in sloping ramp</t>
  </si>
  <si>
    <t>Pin kerb edging; Marshalls Flat Pin kerb; colour grey; laid straight</t>
  </si>
  <si>
    <t>Supply and lay permeable hogging; DCM Surfacers, Cedec Silver self-binding gravel; on and including 150mm thick Type 1 compacted stone subbase on Geotextile membrane with edging strip 500mm wide; including all excavation, removing all excavated material offsite; all to approval; all as per Drawing 4013 and NBS Q23/130 and all relevant clauses of the Specification</t>
  </si>
  <si>
    <t>400 x 400 x 50mm; bedded on and including ST2 concrete foundation 350 x 150mm with haunching one side; all formwork, excavation &amp; disposal offsite, Type 1 granular subbase under; all as per Drawing 4013 and NBS Q25/310 and all relevant clauses of the Specification</t>
  </si>
  <si>
    <t>50 x 250mm; bedded on and including ST2 concrete foundation 350 x 150mm with haunching one side; all formwork, excavation &amp; disposal offsite; all as per Drawing 4013 and NBS Q23/130 and all relevant clauses of the Specification</t>
  </si>
  <si>
    <t>extra for ACO brickslot drain on and including concrete bed and surround; all formwork, excavation &amp; disposal offsite; all as per Drawing 4013 and NBS R11/310 and all relevant clauses of the Specification</t>
  </si>
  <si>
    <t>extra tactile paving, Marshalls Tactile blister paving 400 x 400 x 50, charcoal; in patch size 2,000 x 800mm</t>
  </si>
  <si>
    <t>Existing tarmac footpath</t>
  </si>
  <si>
    <t>extra cutting into existing and supply and install tactile paving, Marshalls Tactile blister paving 400 x 400 x 50, charcoal; in patch size 2,000 x 800mm</t>
  </si>
  <si>
    <t>extra for cycle hoops; Marshalls Sheffield stand, on and including concrete footing; all formwork, excavation &amp; disposal offsite; all as per Drawing 4013 and NBS Q50/210 and all relevant clauses of the Specification</t>
  </si>
  <si>
    <t>Supply and lay Grasscrete permeable paving system; comprising cellular pavers; filling back with earth and grass seeding; on and including 150mm thick Type 1 compacted stone subbase on Geotextile membrane with edging strip 500mm wide; including all excavation, removing all excavated material offsite; all to approval; all as per NBS Q30/310. 361 and all relevant clauses of the Specification</t>
  </si>
  <si>
    <t xml:space="preserve">Excavating foundation trench </t>
  </si>
  <si>
    <t>generally; m total length</t>
  </si>
  <si>
    <t>Backfill with imported selected excavated material</t>
  </si>
  <si>
    <t>Concrete (1:2:4) mix to BS8110 to cavity infill; vertical</t>
  </si>
  <si>
    <t>100mm thick skins of hollow walls; faced and pointed one side</t>
  </si>
  <si>
    <t>140mm thick skins of hollow walls</t>
  </si>
  <si>
    <t>in wall foundations</t>
  </si>
  <si>
    <t>in steps foundations</t>
  </si>
  <si>
    <t>75mm wide</t>
  </si>
  <si>
    <t xml:space="preserve"> risers, not exceeding 300mm high</t>
  </si>
  <si>
    <t xml:space="preserve"> steps, over 300mm wide</t>
  </si>
  <si>
    <t>Formwork to vertical sides</t>
  </si>
  <si>
    <t>Flags on edge; Marshalls Scoutmoor Yorkstone; laid straight, on edge</t>
  </si>
  <si>
    <t>Random course split faced stone walling with 10mm recessed pointing; in approved gauged lime mortar; all as per NBS F21/110 and all relevant clauses of the Specification</t>
  </si>
  <si>
    <t>Blockwork; solid dense concrete blocks; in approved mortar; all as per NBS F10/225 and all relevant clauses of the Specification</t>
  </si>
  <si>
    <t>Natural Stone coping stones; York Sandstones, reclaimed; fixed on new wall; all as per NBS Q25/315 and all relevant clauses of the Specification</t>
  </si>
  <si>
    <t xml:space="preserve">350 x 30mm </t>
  </si>
  <si>
    <t>Retaining walls &amp; Steps; all as per Drawings 24001 &amp; 24002</t>
  </si>
  <si>
    <t>Natural stone slabs for steps; Marshalls Scoutmore; York Sandstone; all as per NBS Q25/310 and all relevant clauses of the Specification</t>
  </si>
  <si>
    <t>250mm wide treads with inset slip resistant discs; bedded in full mortar bed and haunch</t>
  </si>
  <si>
    <t>150mm high risers; bedded in full mortar bed and haunch</t>
  </si>
  <si>
    <t>generally; 1,064 high x 9,200mm long; horizontal on top of walls</t>
  </si>
  <si>
    <t>generally; 1,064 high x 16,100mm long; horizontal on top of walls</t>
  </si>
  <si>
    <t>generally; 1,064 high x 1,500mm long; raking to sides of steps</t>
  </si>
  <si>
    <t>Supply and lay hot rolled asphalt paving; Porous Tarmac; on and including 150mm thick Type 1 compacted stone subbase on Geotextile membrane with edging strip 500mm wide; including all excavation, removing all excavated material offsite; all to approval; all as per NBS Q22/154 and all relevant clauses of the Specification</t>
  </si>
  <si>
    <t>Handrail railing; handrails, black stained oval Oak timber handrails; flat galvanised steel horizontal bars and vertical bars; all PPC Black; with and including fixed in the grouted pockets in walls, etc; all as per NBS Q41/110 and all relevant clauses of the Specification</t>
  </si>
  <si>
    <t>extra for double gate and posts; to include Driveway Gate pack: adjustable Hook and Band Gate hinges with gate bolts; all fencing accessories; including hinges, shoot bolts and lock, etc</t>
  </si>
  <si>
    <t>Supply and install new 2,100mm high vertical timber fencing using charred timber cladding; 600mm embedment in new concrete post foundation; including all excavation, removing all excavated material offsite; black stain to timber fence posts; all to approval; all as per Drawing 24003 and NBS Q40/260 and all relevant clauses of the Specification</t>
  </si>
  <si>
    <t>Bin Store</t>
  </si>
  <si>
    <t>extra for single gates and posts; to include; all fencing accessories; including hinges, locks, etc</t>
  </si>
  <si>
    <t>ASHP Enclosure</t>
  </si>
  <si>
    <t>Supply and install new 2,100mm high vertical timber fencing using charred timber cladding; 600mm embedment in new concrete post foundations; including all excavation, removing all excavated material offsite; black stain to timber fence posts; all to approval; all as per Drawing 21004 and NBS Q40/260 and all relevant clauses of the Specification</t>
  </si>
  <si>
    <t>extra for single gate and posts; to include; all fencing accessories; including hinges, lock, simple shoot bolt and padlock, etc</t>
  </si>
  <si>
    <t>generally; size 1,920 long x 480 wide x 440mm high; surface mounted 2 base plates bolted with M10 expanding rawlbolts to and including concrete pads, including excavation; excavated material remove offsite</t>
  </si>
  <si>
    <t>generally; size 600 long x 480 wide x 440mm high; surface mounted 2 base plates bolted with M10 expanding rawlbolts to and including concrete pads, including excavation; excavated material remove offsite</t>
  </si>
  <si>
    <t>generally; size 1,000 long x 300 wide x tbc high; surface mounted 2 base plates bolted with M10 expanding rawlbolts to and including concrete pads, including excavation; excavated material remove offsite</t>
  </si>
  <si>
    <t>generally; 1,800 long x 450mm; along stone low wall at front</t>
  </si>
  <si>
    <t>IBS Tank</t>
  </si>
  <si>
    <t>Supply and install Rainwater collector units; 1,000 litre IBC Schutz Mx composite: on and including blockwork plinth 440mm high; ; all to approval; all as per Drawing 21004 and NBS R10/460 and all relevant clauses of the Specification</t>
  </si>
  <si>
    <t>External Benches</t>
  </si>
  <si>
    <t>Supply and install all rainwater collection system; including all pipework and pumps, etc to feed into tanks</t>
  </si>
  <si>
    <t>item</t>
  </si>
  <si>
    <t>Planting strip</t>
  </si>
  <si>
    <t>Excavating to reduce levels, removing all excavated material offsite; Dig over in preparation and supply and lay top soil 150mm thick in planting strip around building; all as per NBS Q25 and all relevant clauses of the Specification</t>
  </si>
  <si>
    <t>External  bib taps, lockable; together with housing fixed to wall, by approved means; connecting into water main with pipework as required; all as per NBS N13/363, 364  and all relevant clauses of the Specification</t>
  </si>
  <si>
    <t>Drinking fountain</t>
  </si>
  <si>
    <t>External wall-mounted bottle filler; Washware Essentials, ref: WMBF; Heavy duty vandal resistant stainless, with and including waste fitting and waste pipe; all fixed to wall, by approved means; connecting into water main with pipework as required; all as per NBS N13/379  and all relevant clauses of the Specification</t>
  </si>
  <si>
    <t>External taps</t>
  </si>
  <si>
    <t>Power points</t>
  </si>
  <si>
    <t>Electric external power points; Double lockable in black housing; setting into wall finishes; including wiring up; all as shown on Drawings 5011, 5013, 5015</t>
  </si>
  <si>
    <t>Coat hooks to doors; approved selection; NBS P21/690</t>
  </si>
  <si>
    <t>double door, non fire rated; all as per NBS P21/320, 540, 582, 641 and all relevant clauses of the Specification; Lounge Store RD-00-008-001, 2 &amp; 3</t>
  </si>
  <si>
    <t>Internal doorsets; Forza Doors Ltd; solid core, F60s fire rated with vision panel; in hardwood frames, painted architraves; including all ironmongery, etc; all as per Drawing 4020 and NBS L20/411 and all relevant clauses of the Specification</t>
  </si>
  <si>
    <t>Internal doorsets; DoorPac; solid core, non fire rated; in hardwood frames, painted architraves; including all ironmongery, etc; all as per Drawing 4020 and NBS L20/413 and all relevant clauses of the Specification</t>
  </si>
  <si>
    <t>Internal doorsets; Forza Doors Ltd; solid core, non fire rated with vision panel; in hardwood frames, painted architraves; including all ironmongery, etc; all as per Drawing 4020 and NBS L20/412 and all relevant clauses of the Specification</t>
  </si>
  <si>
    <t>Fire-Resisting Roller Grill; Bolton Gate Co, Fireroll E60; White PPC steel, FR60 electrically operated, fire linked into fire alarm with key switch; including all ironmongery: key, etc;  all as per Drawing 4020 and NBS L20/612 and all relevant clauses of the Specification</t>
  </si>
  <si>
    <t>External Service mains BWIC</t>
  </si>
  <si>
    <t>External Services (ALL PROVISIONAL QUANTITIES)</t>
  </si>
  <si>
    <t>New Incoming Electric Main; all as per Drawing</t>
  </si>
  <si>
    <t>Pea gravel bed and surround to</t>
  </si>
  <si>
    <t>1No 100mm electric ducts</t>
  </si>
  <si>
    <t>Ducts in trenches; including all draw wires, etc</t>
  </si>
  <si>
    <t>100mm cable ducts</t>
  </si>
  <si>
    <t>extra slow radius bend; building into concrete foundation and floor slab</t>
  </si>
  <si>
    <t>extra sealing at top around pipe</t>
  </si>
  <si>
    <t>Ducts, Rigiducts, in trenches; including all draw wires, etc</t>
  </si>
  <si>
    <t>Data Fibre Link to Comms Cabinet; all as per Drawing</t>
  </si>
  <si>
    <t>Excavate trench for 100mm electric main duct (Data Fibre Link); including disposing of surplus off site; backfilling with selected earth backfill; warning tapes at top of trench</t>
  </si>
  <si>
    <t>100mm electric ducts</t>
  </si>
  <si>
    <t>Turning/Pulling chamber of standard construction c/w watertight lid</t>
  </si>
  <si>
    <t>600 x 600 x 850mm deep</t>
  </si>
  <si>
    <t xml:space="preserve">Building Water Pipe Connections; all as per Drawing </t>
  </si>
  <si>
    <t>100mm</t>
  </si>
  <si>
    <t>SRV pit to approved construction</t>
  </si>
  <si>
    <t>Allow for all other External BWIC work not described previously, but deemed necessary as determined from the Drawings and the Site Conditions</t>
  </si>
  <si>
    <t>Drawings used 9740-BUT-X1-XX-DR-A-1011, 1012 &amp; Specification</t>
  </si>
  <si>
    <t>Excavate trench for 1No 100mm electric main (incoming main to Distribution Board in Store) duct; including disposing of surplus off site; backfilling with selected earth backfill; warning tapes at top of trench</t>
  </si>
  <si>
    <t>Excavate service trench for 32mm MDPE Site Water Service including disposing of surplus off site; backfilling with selected earth backfill; warning tapes at top of trench</t>
  </si>
  <si>
    <t>32mm PE Site Water Service</t>
  </si>
  <si>
    <t>No work required to existing mans supplies</t>
  </si>
  <si>
    <t>External Services Works, Bandstand - To  Summary</t>
  </si>
  <si>
    <t xml:space="preserve"> Sanitary Fittings work, Bowls Pavilion - To  Summary</t>
  </si>
  <si>
    <t xml:space="preserve"> External Services work, Bowls Pavilion - To  Summary</t>
  </si>
  <si>
    <t>External Mains Services</t>
  </si>
  <si>
    <t>Provisional Sums, Bandstand - To  Summary</t>
  </si>
  <si>
    <t>Signage</t>
  </si>
  <si>
    <t xml:space="preserve">External Planting </t>
  </si>
  <si>
    <t>External Service LA main connections (Water, Electric, Telecom)</t>
  </si>
  <si>
    <t>Upgrade External Service LA main connections (Water, Electric, Telecom)</t>
  </si>
  <si>
    <t>Reinforced concrete; designated mix (C25/30 concrete) mix to BS8110; laid in accordance with Engineer's approval</t>
  </si>
  <si>
    <t>Horizontal; exceeding 300mm thick</t>
  </si>
  <si>
    <t>in pile caps</t>
  </si>
  <si>
    <t>in ground beams</t>
  </si>
  <si>
    <t>200mm thick ground slab</t>
  </si>
  <si>
    <t>Blinding concrete beds</t>
  </si>
  <si>
    <t>50mm under pile caps</t>
  </si>
  <si>
    <t>50mm under ground beams</t>
  </si>
  <si>
    <t>pile caps; exceeding 300mm deep</t>
  </si>
  <si>
    <t>in ground beams; exceeding 300mm deep</t>
  </si>
  <si>
    <t>Reinforcement; deformed high tensile bars; in accordance with BS4449: 2009</t>
  </si>
  <si>
    <t>Any diameter; bent to shape as required</t>
  </si>
  <si>
    <t>kg</t>
  </si>
  <si>
    <t>in pile caps (Provisional Quantities)</t>
  </si>
  <si>
    <t>in ground beams (Provisional Quantities)</t>
  </si>
  <si>
    <t>reduced level excavation; not exceeding 1.5m deep</t>
  </si>
  <si>
    <t>Excavations, commencing at reduced level</t>
  </si>
  <si>
    <t>Excavations, commencing at strip level</t>
  </si>
  <si>
    <t>ground beams; not exceeding 1.5m deep</t>
  </si>
  <si>
    <t>pile caps; not exceeding 1.5m deep</t>
  </si>
  <si>
    <t>150mm layer under concrete slabs; compacting in layers and blinding surfaces</t>
  </si>
  <si>
    <t>Mass concrete designated mix to BS8110, 8500 &amp; BS EN 2066-1</t>
  </si>
  <si>
    <t>50mm thick under ground slab</t>
  </si>
  <si>
    <t>200 x 75mm steps; including reinforcing as necessary; formwork both sides; Drawing 6006</t>
  </si>
  <si>
    <t>100 x 180mm thresholds; including reinforcing as necessary; formwork both sides; Drawing 6003</t>
  </si>
  <si>
    <t>widen access to Lobby; Supply and install new timber lintel 100 x 275mm C24 solid section, refer to SE's drawing; Stud wall overhead to be rebuilt to new alignment and clad in T&amp;G softwood boarding to match existing NBS H21/110; Paint in non-standard colour scheme NBS M60/110 Type D</t>
  </si>
  <si>
    <t xml:space="preserve">Demolition of Individual structures, carry out survey by licensed Asbestos Removal Specialist prior to demolition and remove all contamination and dispose to approved licensed tip if required; all as per Drawing 1012, 1014, 1015, 2012 and Clause C20 and all other relevant clauses of the Specification </t>
  </si>
  <si>
    <t>extra for dressing up face of wall; 20mm thick x 100mm high</t>
  </si>
  <si>
    <t>No New steel frame work required</t>
  </si>
  <si>
    <t>Steel Frame</t>
  </si>
  <si>
    <t>Todmorden</t>
  </si>
  <si>
    <t>Todmorden Bandstand Refurbishment &amp; Bowls Pavilion New Build</t>
  </si>
  <si>
    <t>15  STRUCTURAL METALWORK</t>
  </si>
  <si>
    <t>Structural steelwork; sand blasting and shop priming; all as per Drawings and the specification</t>
  </si>
  <si>
    <t>Framed members, framing and fabrication</t>
  </si>
  <si>
    <t>lengths 1.00-9.00m;  weight not exceeding 25 kg/m; RSA; roof bracing</t>
  </si>
  <si>
    <t>lengths 1.00-9.00m;  weight not exceeding 25 kg/m; RSA; wall bracing</t>
  </si>
  <si>
    <t>General Notes; all as per Drawings 5851-ST-01 to 06 and the relevant clauses of the Specification</t>
  </si>
  <si>
    <t>GENERAL</t>
  </si>
  <si>
    <t>Allow for complying with all General Notes as stated on the above drawing and all clauses of above Specification</t>
  </si>
  <si>
    <t>11  IN SITU CONCRETE WORKS</t>
  </si>
  <si>
    <t>In-situ concrete sundries; approved non-shrink grout; as per the structural specification</t>
  </si>
  <si>
    <t>Grouting baseplates</t>
  </si>
  <si>
    <t>stanchion bases; approx. 350  x 350mm baseplates</t>
  </si>
  <si>
    <t xml:space="preserve">The Contractor shall be responsible for the design of all steelwork and connections on the above project. He shall allow for submitting all design information, together with all calculations, etc. and fabrication drawings for approval all  in accordance with the agreed programme; all as per relevant clauses of the specification </t>
  </si>
  <si>
    <t>Steelwork design</t>
  </si>
  <si>
    <t>t</t>
  </si>
  <si>
    <t>lengths 1.00-9.00m; weight 25-50 kg/m; UC; columns</t>
  </si>
  <si>
    <t>lengths 1.00-9.00m;  weight not exceeding 25 kg/m; UB; rafters</t>
  </si>
  <si>
    <t>lengths 1.00-9.00m;  weight not exceeding 25 kg/m; UB; eaves beams</t>
  </si>
  <si>
    <t>lengths 1.00-9.00m;  weight 25-50 kg/m; UB; 1F beams</t>
  </si>
  <si>
    <t>lengths 1.00-9.00m;  weight not exceeding 25 kg/m; RHS; 1F beams</t>
  </si>
  <si>
    <t>lengths 1.00-9.00m;  weight not exceeding 25 kg/m; UB; 1F beams</t>
  </si>
  <si>
    <t>lengths n0t exceeding 1.00m;  weight not exceeding 25 kg/m; TUB; under gutter</t>
  </si>
  <si>
    <t>lengths 1.00-9.00m;  weight not exceeding 25 kg/m; SHS; under gutters</t>
  </si>
  <si>
    <t>lengths 1.00-9.00m;  weight not exceeding 25 kg/m; RSA; roof beams</t>
  </si>
  <si>
    <t>Framed members, permanent erection on site</t>
  </si>
  <si>
    <t>Allowance for fittings</t>
  </si>
  <si>
    <t>percentage allowance, 15%; to framed members; including base plates (Provisional Quantities)</t>
  </si>
  <si>
    <t>Surface treatments</t>
  </si>
  <si>
    <t>painting to structural steel; preparation - blast clean to Sa2.5 BS EN ISO 8501-1: 2001; surface profile to be applied with intumescent paint to 60 minute fire resistance</t>
  </si>
  <si>
    <t>Accessories cast into in-situ concrete</t>
  </si>
  <si>
    <t>set of 4 no. M20 HD bolts; 450mm long; set into ROM or similar polystyrene bolt boxes with 100 x 100 x10mm thick washer plates; cast into concrete; grouted back with Conbextra non-shrink grout</t>
  </si>
  <si>
    <t>Nr</t>
  </si>
  <si>
    <t>Steel Frame works, Bowls Pavilion - To  Summary</t>
  </si>
  <si>
    <t>Lintels/support over openings; with and including integrated dpc; all as per Drawings</t>
  </si>
  <si>
    <t>to clear opening 840mm wide; Type L5 Lintel</t>
  </si>
  <si>
    <t>to clear opening 1,140mm wide; Type L6 Lintel</t>
  </si>
  <si>
    <t>to clear opening 1,020mm wide; Type L8 Lintel</t>
  </si>
  <si>
    <t>to clear opening 1,135mm wide; Type L7 Lintel</t>
  </si>
  <si>
    <t>to 2nr openings overall 2,147mm wide; Type L9 Lintel</t>
  </si>
  <si>
    <t>to openings 4,898mm girth, 'L' shaped in plan Type L10 Lintel</t>
  </si>
  <si>
    <t>to clear opening 810mm wide; Type L4 Lintel</t>
  </si>
  <si>
    <t>to clear opening 910mm wide; Type L2 Lintel</t>
  </si>
  <si>
    <t>to clear opening 1,010mm wide; Type L1 Lintel</t>
  </si>
  <si>
    <t>to clear opening 1,200mm wide; Type L3 Lintel</t>
  </si>
  <si>
    <t>G20 CARPENTRY/TIMBER FRAMING/FIRST FIXING</t>
  </si>
  <si>
    <t>60 x 170mm</t>
  </si>
  <si>
    <t>2No 60 x 170mm; bolted together with  M12 grade 8.8 bolts &amp; plate washers at 450mm centres</t>
  </si>
  <si>
    <t>Noggins; cutting and fittings between joists</t>
  </si>
  <si>
    <t>Frame up openings as follows:</t>
  </si>
  <si>
    <t>700 x 1,200mm</t>
  </si>
  <si>
    <t>to suit 60 x 170mm joists</t>
  </si>
  <si>
    <t>to suit double 60 x 170mm joists</t>
  </si>
  <si>
    <t>Joists hangers fixed to steel beams by approved means</t>
  </si>
  <si>
    <t>Stainless steel restraint straps</t>
  </si>
  <si>
    <t>2.5 x 30mm straps to be fitted across floor joists at 900mm centres across a minimum of 3 joists, screw fixed to each joists; fixed to steel by approved means</t>
  </si>
  <si>
    <t>Floor joists ; C24; fixed to steel beams with joist hangers (measured separately)</t>
  </si>
  <si>
    <t>Roof joists ; C24; fixed to steel beams with joist hangers (measured separately)</t>
  </si>
  <si>
    <t>63 x 150mm</t>
  </si>
  <si>
    <t>Double floor joists ; C24; fixed to steel beams with joist hangers (measured separately)</t>
  </si>
  <si>
    <t>Double roof joists ; C24; fixed to steel beams with joist hangers (measured separately)</t>
  </si>
  <si>
    <t>2No 63 x 150mm; bolted together with  M12 grade 8.8 bolts &amp; plate washers at 450mm centres</t>
  </si>
  <si>
    <t>to suit 63 x 150mm joists</t>
  </si>
  <si>
    <t>to suit double 63 x 150mm joists</t>
  </si>
  <si>
    <t>Ceiling joists ; C24; fixed to steel beams with joist hangers (measured separately)</t>
  </si>
  <si>
    <t>Double ceiling joists ; C24; fixed to steel beams with joist hangers (measured separately)</t>
  </si>
  <si>
    <t>75 x 100mm; eaves soffit support; Drawing 6006</t>
  </si>
  <si>
    <t>2No 50 x 100mm; bolted together with  M12 grade 8.8 bolts &amp; plate washers at 450mm centres; eaves soffit support; Drawing 6006</t>
  </si>
  <si>
    <t>50 x 100mm</t>
  </si>
  <si>
    <t>to suit 50 x 100mm joists</t>
  </si>
  <si>
    <t>to suit double 50 x 100mm joists</t>
  </si>
  <si>
    <t>Eaves fascia board; on and including timber bracketing to eaves of pitched roof</t>
  </si>
  <si>
    <t>extra; verge with undercloak; bedded in mortar and Kytun C02 Aluminium dry verge profile T2, Black as per Drawing 6003</t>
  </si>
  <si>
    <t>extra; double course at eaves, including underlay, dressing down over gutters; including black aluminium drip flashing as per Drawing 6006</t>
  </si>
  <si>
    <t>Eaves fascia board; on and including timber bracketing to eaves of pitched roof and soffit board under, on and including all additional timber bearers fixed to wall by approved means</t>
  </si>
  <si>
    <t>Wrought softwood, preservative and fire retardant impregnation treatment; including painting with 2 undercoats &amp; 1 finishing coat black paint; all as per Drawing</t>
  </si>
  <si>
    <t>25 x 100mm, all as per Drawing 6006</t>
  </si>
  <si>
    <t>25 x 100mm, 108mm projection, all as per Drawing 6003</t>
  </si>
  <si>
    <t>extra; natural slate angled ridge (factory cut and bonded 450 long x 15mm thick, graphite; on and including Glidevale Fulmetal RediRoll dry ridge system (grey); including all additional battens, and bedding in mortar; all as per Drawing 6006 and NBS H60/120 and all relevant clauses of the Specification</t>
  </si>
  <si>
    <t>Slating, Natural Welsh Slate, Premium Slates Uk Cwt-y-Bugail Capital Grade, Dark Blue Grey; 500 x 300 x 5.5mm; laid strictly in accordance with manufacturer's recommendations; on and including 38 x 25mm battens and 50 x 75mm counterbattens and vapour permeable underlay; two layers of 90mm thick insulation, cut &amp; fit tightly between rafters; all as per NBS H60/105 and all relevant clauses of the Specification</t>
  </si>
  <si>
    <t>New rainwater gutters with leaf guards; fixing on and including brackets; all as per NBS R10/350 and all relevant clauses of the Specification</t>
  </si>
  <si>
    <t>The Contractor shall be responsible for the design of the roof structure on the project and he shall allow for submitting all design information, together with all calculations, etc for approval in accordance with the agreed programme. The Contractor is to size all steel/softwood members accordingly.</t>
  </si>
  <si>
    <t>Vertical Timber Cladding; Douglas Fir Deep Charred finish, Shou Sugi Ban, ref:  RW14; black-painted screw fixings; on and including: 25 x 38mm pressure impregnated softwood battens and 45 x 45mm counter battens and Dupont Tyvek VC Facade prospective membrane; all as per NBS H21/100 and all relevant clauses of the Specification</t>
  </si>
  <si>
    <t>Ceiling linings, to ceiling joists; fixed in accordance with the manufacturer's recommendations and secondary mechanical fixings</t>
  </si>
  <si>
    <t>extra for cutting and accommodating recessed slimline black LED downlighters (included in Electrical)</t>
  </si>
  <si>
    <t>extra for screw on panels adjacent to rainwater pipes for maintenance access</t>
  </si>
  <si>
    <t>extra for painting in Little Green Livid 263 Jewel Beetle to Feature wall (Lounge wall with cupboard); all as per NBS M60/110 and all relevant clauses of the Specification</t>
  </si>
  <si>
    <t>Dark grey silicone render; K-Rend Pewter Grey render carried out strictly in accordance with the manufacturer's instructions; to include all galvanised steel angle and stop beads as required; all as per M20/160 and all relevant clauses of the Specification</t>
  </si>
  <si>
    <t>extra for supply and fix bat roost box integrated into cladding 215 wide x 415  high x 1,05mm deep; all as per NBS F30/160 and all other relevant clauses of the Specification</t>
  </si>
  <si>
    <t>7 PILING</t>
  </si>
  <si>
    <t>Mobilising, moving about site and demobilising plant and equipment as necessary</t>
  </si>
  <si>
    <t>Supply and install 250 x 250mm driven pc piling to hard strata, as necessary, all to Engineer's approval</t>
  </si>
  <si>
    <t>generally (Provisional Quantities)</t>
  </si>
  <si>
    <t>Piling design</t>
  </si>
  <si>
    <t xml:space="preserve">The Contractor shall be responsible for the design of all piling on the above project. He shall allow for submitting all design information, together with all calculations, etc. and proposed drawings for approval all  in accordance with the agreed programme; all as per relevant clauses of the specification </t>
  </si>
  <si>
    <t>Piling work</t>
  </si>
  <si>
    <t xml:space="preserve"> Carry out testing of piling as required by PDA/Kentledge to be agreed with the Engineer</t>
  </si>
  <si>
    <t>Supply and lay temporary piling mat and removing on completion</t>
  </si>
  <si>
    <t>Site Arrangement Plan Work - Generally as shown on Drawing 1101 and all Specification notes on the drawings</t>
  </si>
  <si>
    <t>footpath to east and west of bandstand to be closed to the public; Contractor to provide secure hoarding and waymarking</t>
  </si>
  <si>
    <t>pedestrian access to footpath running along top ownership boundary to remain open; Contractor is to provide adequate signage for wayfinding, access and safety</t>
  </si>
  <si>
    <t>site access to both sites is subject to agreement with Todmorden Town Council; A clear route is to be maintained throughout; The Gate in maintained by TTC</t>
  </si>
  <si>
    <t>Works Area and extent of hoarding is as shown by Red line; Contractor is to provide solid timber hoarding also provide tree protection to those trees outside of the hoarding</t>
  </si>
  <si>
    <t xml:space="preserve"> primary site compound for both projects is at Bowls pavilion for storage of materials and skips; Contractor parking is to be confirmed with Todmorden Town Council </t>
  </si>
  <si>
    <t>gas pipe and drains are located under footpath; Permissions may be required in case of damage below</t>
  </si>
  <si>
    <t>footpath running south of Bandstand is to be closed to all park users ; Contractor is to provide adequate signage for wayfinding to alternative route, access and safety</t>
  </si>
  <si>
    <t>Contractor is to provide adequate signage for wayfinding, access and safety; Alternative pedestrian to the West of thr bowling greens towards Fielden Hall</t>
  </si>
  <si>
    <t>ground protection matting to corners to allow site vehicles to reverse and turn; all as per NBS Q22/170 and all relevant clauses of the Specification; Temporary barriers to b e in use during vehicle turning to avoid clashing with pedestrians</t>
  </si>
  <si>
    <t>potential to use area adjacent to Bowling greens for site welfare, subject to agreement with Todmarden Town Council</t>
  </si>
  <si>
    <t>Demolition &amp; Alteration:</t>
  </si>
  <si>
    <t>Basement Floor Plan as Existing &amp; Proposed on Drawing 1002 &amp; 4001 and all Specification notes on the drawings and carry out work as follows:</t>
  </si>
  <si>
    <t>Carefully remove plywood and lower stage floor boards; Remove all debris and redundant materials from site; Allow for complete renewal of stepped stage floor boards in 25 x 100mm Accoya decking boards, orientated perpendicular to joists (NBS K20/15 Type A; Close-boarded (max. 2mm gap) between boards and screwed fixed to joists, 2 screws per end, 18mm from side edge of board; Set out from centreline, staggered jointing to line through with structural grid; Bull nosings and rebated brass inserts formed to follow curve of radial steps; Accoya risers to match 25 x 100mm vertical boarding all as NBS H21/1110; all as per Drawing 24002; Allow for treatment with fire resistant coating and non-slip decking oil; all as per NBS M60/180</t>
  </si>
  <si>
    <t>Carefully replacement of treads and nosings on 3rd, 8th, 9th steps to match existing; Appraisal needed of underside upon opening up on site; Allow for replacement of 2 more treads and nosings; New nosings and recessed non-slip stair inserts on all stairs as Drawing 24001; All treads, risers to be sanded to remove existing finish and stripped back to clean, bare wood; Apply non-slip oil finish to all steps, all as per NBS M60/180 Type B</t>
  </si>
  <si>
    <t xml:space="preserve">Redecorate stringer, prime and paint finish; all as per Drawing 24001 and NBS M60/110 Type C </t>
  </si>
  <si>
    <t>lengths 1.00-9.00m;  weight not exceeding 25 kg/m; UB; ridge &amp; parallel roof beams</t>
  </si>
  <si>
    <t xml:space="preserve">Area of timber boarding next to banister rail, strip back to bare wood, prime and paint finish; all as per Drawing 24001 and NBS M60/110 Type C </t>
  </si>
  <si>
    <t>Drawings used 9691-BUT-XX-B1-DR-A-1002 &amp; 3, 3001, 4001 &amp; 2, 6001 &amp; 2, 24001 &amp; Specification</t>
  </si>
  <si>
    <t>Carefully remove plywood and lower stage floor boards; Remove all debris and redundant materials from site; Allow for complete renewal of stepped stage floor boards in 25 x 125mm Accoya decking boards, orientated perpendicular to joists (NBS K20/15 Type B; Minimum 5mm gap between boards and screwed fixed to joists, 2screws per end, 20mm from side edge of board; Set out from centreline, staggered jointing to line through with structural grid; Allow for treatment with fire resistant coating and non-slip decking oil; all as per NBS M60/180</t>
  </si>
  <si>
    <t xml:space="preserve">Allow for full replacement of timber handrail in oak, profile and dimensions to match existing, all as per NBS L30/510; Handrail fixed to existing fascia, reuse existing fittings; Redecorate fitting and fascia in non-standard colour, all as per Drawing 24001 and NBS M60/110 Type C </t>
  </si>
  <si>
    <t>Drawings used   Clach 171-DR-S-200 &amp; Specification</t>
  </si>
  <si>
    <t xml:space="preserve">Lower Ground Floor Level, as per Drawing </t>
  </si>
  <si>
    <t>Upper Ground Floor, as per Drawing</t>
  </si>
  <si>
    <t>Post feet: surgically splice decayed post feet on new Simpson strong tie heavy duty post bases, bolted to concrete slab; Allow 12nr</t>
  </si>
  <si>
    <t>Cast iron columns: Southern c.i. columns to be replumbed; Jack weight off roof grillage, off column heads (temporary work required); Columns to be freed and realigned plumb, and reaffixed to beam grillage (Allow replacement of capital bolts)</t>
  </si>
  <si>
    <t>Internal opening: New timber lintel 100 x 275mm C24 solid section (stud walling overhead to be rebuilt to new alignment ); New 100 x 100mm C24 solid section crippled stud post each end set on shoe on concrete slab; To be sheathed into stud wall behind</t>
  </si>
  <si>
    <t xml:space="preserve">Repairs to Steel Beam Grillage: Beam grillage to be exposed and blast cleaned or very thorough wire-brushed clean to Sa2.5 standard, and receive 3 coats of heavy duty bitumen to reinstate corrosion protection  </t>
  </si>
  <si>
    <t>thoroughly clean off existing cast iron columns; Prime and paint cast iron column in a non-standard colour NBS M60/110 Type E</t>
  </si>
  <si>
    <t>Recommended Investigations</t>
  </si>
  <si>
    <t>Carry out the following Investigations; all to approval</t>
  </si>
  <si>
    <t>locate and survey all below ground drainage and water carrying services to check for escape of water potentially softening the ground around the SW corner</t>
  </si>
  <si>
    <t>trial pit investigation to prove foundation and soil conditions at the SW corner to better understand whether rotational settlement may be driving the leaning/lozenging of the South frame</t>
  </si>
  <si>
    <t>intrusively prove the head connection details between the South cast iron columns and the cross girders</t>
  </si>
  <si>
    <t>intrusively prove the structural condition of all steel/cast iron column bases and steel roof beams</t>
  </si>
  <si>
    <t>timber condition survey by experienced historic buildings pathologist to determine the structural extent of decay and better forecast the scope of timber repairs/replacements</t>
  </si>
  <si>
    <t>Other Remedial Works, as per Drawing</t>
  </si>
  <si>
    <t>repair broken drains, water-carrying services and consider improving ground drainage with field drain linked to soakaway/similar</t>
  </si>
  <si>
    <t>subject to outcomes of drainage/trial pit investigation, localised foundation repairs to South Front may be required</t>
  </si>
  <si>
    <t>Structural Repairs works, Bandstand - To  Summary</t>
  </si>
  <si>
    <t>No repair work</t>
  </si>
  <si>
    <t>Structural Repairs works, Bowls Pavilion  - To  Summary</t>
  </si>
  <si>
    <t>Timber floor: Strip floor deck to inspect all joists and stud walling below; Pair or replace decayed members: Allow 30% joist replacement; 25% pairing/stiffening; Replace  all wall plates; Replace all deck boarding/sheathing with 25mm thick marine plywood (Architectural finish included elsewhere)</t>
  </si>
  <si>
    <t>Steel Frame: All steel frame members to be exposed and assessed for extent of corrosion: Blast clean or very thoroughly wire brush back to bright metal to prepare surface,; Apply bitumen primer and then paint with 2 coats heavy duty bitumen to achieve corrosion protection; Allow for welded plate repairs to base on stanchions</t>
  </si>
  <si>
    <t>External Wall: outer bays of rear wall to be formed with 24mm marine plywood as structural racking panel, behind shiplap cladding; to sheath stud walling fixing schedule to be determined following intrusive investigations</t>
  </si>
  <si>
    <t>Roof Repairs: Strip roof, timber structure to be repaired/replaced  as required; Allow common rafter replacement with C24 treated timber to match existing profile  to 25% of roof area; Allow common rafter pairing to partially decayed members to 25% of roof; Sheath roof rafters with 15mm thick marine plywood to diaphragm (Architectural finish included elsewhere)</t>
  </si>
  <si>
    <t>Roof Repairs: Supply and fit plan steel bracing to underside of common rafters and top of ceiling spars via 50 x 100C24board twice screwed to each common rafter/spar crossing (half notch at crossing between braces; 2 layers required (spars are suspended from bottom flange of girders)</t>
  </si>
  <si>
    <t>5. Confined spaces: No welding, cutting or other hazardous activities should be carried out in a confined space; Contractor to follow a safe system of work and put in place adequate emergency arrangements before work starts</t>
  </si>
  <si>
    <t>Carefully remove vegetation growth towards North Elevation and all other areas; Remove existing bitumen roof covering; Remove existing plywood substrate; Upon opening up of roof, allow sufficient time for  appraisal; Allow for replacement of 4 rafters as per SE's design; Remove all debris and redundant materials from site</t>
  </si>
  <si>
    <t xml:space="preserve">Replacement timber boarding: 18mm WBP Douglas fir exterior grade C sheeting plywood; Airtrak Airboard; on existing 125 x 50mm  rafters at 450mm centres; Roof structure requires further survey </t>
  </si>
  <si>
    <t>Full roof re-covering in terne coated stainless steel; Steel sheets to be jointed using a roll joint on 40x40mm timber trapezoidal batten rolls, spaced regularly at 600mm centres; For purposes of tendering , allow for staggered jointing with a 220mm minimum lap, double weld cross joints; The batten and upturns are to be protected with a separate stainless capping strip, dressed to shape and fitted over the battens; Roof to be secured with stainless steel cleats (NBS H75/110), setting out of steel sheets; all as per Drawings 9691/4003, 37001 &amp; 2</t>
  </si>
  <si>
    <t>generally, to curved profile pitched roof; on and including 5mm acoustic membrane and Tyvek Metal spiral mesh underlay (NBS H75/645); approximate flat area overall of: 91m2</t>
  </si>
  <si>
    <t>extra for eaves detail; Black PVC eaves tray; and all replacement eaves fascia, as required; all as per Drawing 37002; approximate total length of: 7m</t>
  </si>
  <si>
    <t>The Roof has been measured based Drawings  and all as per Clause G20 of the Structural Specification. All timber shall be pressure impregnated  to approval and those exposed shall be wrought. Structural steel frame shall be Contractor-designed and submitted to the Engineer for approval.</t>
  </si>
  <si>
    <t>extra; preformed custom PPC black aluminium secret gutter; South East Fabricators; 225 wide x 250mm; 1:500 falls (joggle jointed to system), together with leaf guards; on and including treated plywood support on timber battens; including Marley Universal 25mm fascia vent system, felt support tray and over facia ventilators and all additional flashings and leafguard as required and dressing roof tiles around as per Detail 05 on Drawing 6006 and NBS R10/311 and all relevant clauses of the Specification</t>
  </si>
  <si>
    <t>Ceiling linings, Douglas Fir Deep Charred finish, Shou Sugi Ban, ref:  RW14; black-painted screw fixings; on and including: 25 x 38mm pressure impregnated softwood battens; fixed to timber soffit by approved means; including Dupont Tyvek VC Facade prospective membrane and eaves filled with 90mm Ecotherm ECO-Versa PIR insulation between steel stubs; all as per NBS H21/100 and all relevant clauses of the Specification</t>
  </si>
  <si>
    <t>Rainwater downpipes; fixing in brackets, fixed by approved means to wall sand NBS R10/365 and all relevant clauses of the Specification</t>
  </si>
  <si>
    <t>1. Exposure to drug paraphernalias: The contractor is maintain a supply of sharps disposal kits complete with latex and anti-needlestick gloves ; Contractor is to make sure all areas are cleaned and maintained accordingly</t>
  </si>
  <si>
    <t>2. Falling material: Contractor to design temporary work to avoid falling materials ; Tethering of  tools is recommended</t>
  </si>
  <si>
    <t>4. Confined spaces: No welding, cutting or other hazardous activities should be carried out in a confined space; Contractor to follow a safe system of work and put in place adequate emergency arrangements before work starts</t>
  </si>
  <si>
    <t>extra for staggered jointing to  timber boarding set out to line through with top and centre line of door frame</t>
  </si>
  <si>
    <t>allow for 25% replacement of internal timber T&amp;G boarding in isolated areas, as NBS H21/110; Redecorate entire timber boarding, strip back to bare wood, prime and paint finish NBS M60/110 Type C; to curved wall at back to tiered stage</t>
  </si>
  <si>
    <t>missing internal &amp; external wall cladding; reinstate missing panels and recentre door; Allow for full cladding of each panel in shiplap timber boarding to match existing NBS H21-110 &amp; H21/116; Prime and non-standard colour the full extent of timber boarding on all elevations NBS M60/110 Type D; New door in paint grade timber, together with Allgood ironmongery specification (measured separately)</t>
  </si>
  <si>
    <t>carefully remove temporary OSB covering; Allow for full renewal of timber  boarding behind temporary OSB covering as per NBS H21/116; Prime and painted finish to full extent of timber boarding as per NBS M60/110 Type C</t>
  </si>
  <si>
    <t>100mm thick; fair faced finish</t>
  </si>
  <si>
    <t>extra for  forming perforated black aluminium base angle trim at bottom; all as per Drawing 6006</t>
  </si>
  <si>
    <t>extra for  square-edge black render stop bead at bottom; all as per Drawing 6006</t>
  </si>
  <si>
    <t>Windows &amp; External Doors works, Bandstand - To  Summary</t>
  </si>
  <si>
    <t>External Doors, Type E; metal doorsets; Lathams security heavy duty metal doorsets; polyester powder coated, RAL9005; including satin stainless steel ironmongery all as per Specification; complete with all intumescent seals; sealants, packers and the like both sides; fixing with and including brackets, fixed to brick external walls; bedding and sealing all-round in mastic; airtight and weathertight; all as per Drawing 4020 and L20/420</t>
  </si>
  <si>
    <t>Double doorsets, Type D; flush doors; Birch Ply faced both sides, Ash lipped solid core door; supply and fix approved ironmongery (measured separately); including approved clear matt lacquer treatment to timber doors, frames and architraves; in structural openings</t>
  </si>
  <si>
    <t>Wall lined with 25 x 100mm T&amp;G softwood boarding to match existing; fixed by approved means to walls; Prime and redecorate all internal T&amp;G boarding NBS M60/110 Type D</t>
  </si>
  <si>
    <t>extra over lining to accommodate and upgrade electrical switch distribution box to Services Engineer's drawings</t>
  </si>
  <si>
    <t>extra for supply and apply magnetic plaster skim, Thistlepro Magantic Plaster (in lieu of ordinary skim); to area size 2,500 x 1,200mm; including supplying 200pieces of 4 x 8mm Neodymium Disc Magnetic N42 (1.79kg Pull) silver, via Magnetic store; all as per M20/220 and all relevant clauses of the Specification</t>
  </si>
  <si>
    <t>200 x 200mm; Store</t>
  </si>
  <si>
    <t>Paint finishes to walls; Dulux Diamond Matt White; one mist coat and minimum 2 finishing coats of emulsion to ensure even coverage and full opacity, all strictly in accordance with manufacturer's recommendations; all as per Drawing 4021 and NBS M60/110 and all relevant clauses of the Specification</t>
  </si>
  <si>
    <t>not exceeding 300mm girth; internal; work to plaster reveals</t>
  </si>
  <si>
    <t>not exceeding 300mm girth; internal; work to fairfaced block reveals</t>
  </si>
  <si>
    <t>Linoleum Flooring, Forbo Flooring Systems; Marmoleum Solid Walton; 2.5mm Flooring; laid in strict accordance with the manufacturer's instructions; all as per Clause 150 of M50 and all other relevant clauses of the Specification</t>
  </si>
  <si>
    <t>boxing out around stage floor joists in softwood timber T&amp;G boarding to match existing boarding as per NBS H71/110; Redecorate, prime and paint finish NBS M60/110 Type C; approximate total girth of: 4m</t>
  </si>
  <si>
    <t>Paint finishes to ceilings; Dulux Diamond Matt White; one mist coat and minimum 2 finishing coats of emulsion to ensure even coverage and full opacity, all strictly in accordance with manufacturer's recommendations; all as per Drawing 4021 and NBS M60/110 and all relevant clauses of the Specification</t>
  </si>
  <si>
    <t>Mirrors; frameless glass; polished edges; dome screw fixings</t>
  </si>
  <si>
    <t>lockable wall units: Kent stainless, code: KWMSC600 with internal shelf, size 600 x 700 x 350</t>
  </si>
  <si>
    <t>4-tier wire shelving kit Vogue, 1,220 wide x  460mm, overall size 1,853 high x 1,220 wide x 460mm deep; material: galvanised zinc flat packed</t>
  </si>
  <si>
    <t>Mirrors; frameless glass; polished edges; dome screw fixings; NBS N13/438</t>
  </si>
  <si>
    <t>Mechanical &amp; Electrical Services Installation Total</t>
  </si>
  <si>
    <t>extra for timber edging, all as per NBS Q23/10 and all relevant clauses of the Specification</t>
  </si>
  <si>
    <t>Supply and install new 2,500high classic welded pale-through-rail metal security fence (NBS Q40/40); powder coat finish, Black RAL 9005; 800mm embedment in new concrete (NBS Q40/70) post foundation; including all excavation, removing all redundant material offsite; all to approval; all as per Drawings 4005, 4006 and all relevant clauses of the Specification</t>
  </si>
  <si>
    <t>generally in and including planting beds</t>
  </si>
  <si>
    <t>extra for removing 4nr courses of paving</t>
  </si>
  <si>
    <t>Defensive planting in mixed native species as follows: 50% Crataegus monogyna (hawthorn); and 10% each of: Prunus spinosa (blackthorn); Rosa canina (dog rose); Acer campestre (field maple); Corylus avellana (hazel); Prunus padre (Bird cherry); all as per Drawing 4005, 4006 and NBS Q31/400 and all relevant clauses of the Specification</t>
  </si>
  <si>
    <t>Drawings used 9691-BUT-XX-B1-DR-A-1001, 4005, 4006 &amp; Specification</t>
  </si>
  <si>
    <t>Uncover, remove all biological growth from full extent of paving, clean as NBS Q24-605; Allow for 2% repairs to existing block paving in isolated locations; All paving to have sand brushed into joints and made good</t>
  </si>
  <si>
    <t>Supply and install new 2,100mm high metal open mesh fencing; CLD ModSec Securus S1; mesh and wire 76.2 x 12.5mm mesh; special flanged posts, galvanised after  manufacture and PPE  Black RAL 9005 to match fencing; 600mm embedment in new concrete post foundations; including all excavation, removing all excavated material offsite; all to approval; all as per Drawing 21004 and NBS Q40/125 and all relevant clauses of the Specification</t>
  </si>
  <si>
    <t>Supply and install External Benches; Broxap Ltd; Base  plates, PPC galvanised steel; Timber with  steel frame; all to approval; all as per Drawing 21004 and NBS Q50/221 and all relevant clauses of the Specification</t>
  </si>
  <si>
    <t>generally; size 700 long x 300 wide x 600mm (tbc) high; surface mounted 2 base plates bolted with M10 expanding rawlbolts to and including concrete pads, including excavation; excavated material remove offsite</t>
  </si>
  <si>
    <t>Existing External Benches; relocated and reallocated; all to approval; all as per Drawing 4013 and all relevant clauses of the Specification</t>
  </si>
  <si>
    <t>The site is at Centre Vale Park, Todmarden</t>
  </si>
  <si>
    <t>The site boundaries are indicated on drawing 9691-BUT-XX-XX-DR-A-01101</t>
  </si>
  <si>
    <t>2. Substructure, including piling, Superstructure of the buildings, etc.</t>
  </si>
  <si>
    <t>3. Interior fitout and finishes throughout</t>
  </si>
  <si>
    <t>5. Electrical services installations including complete rewiring of power, lighting, fire alarms, etc.</t>
  </si>
  <si>
    <t>The Works comprise: restoration and refurbishment works to the Bandstand and the New Build of the Bowls Pavilion. The works comprise, but are not limited to:-</t>
  </si>
  <si>
    <t>Roof access improvements</t>
  </si>
  <si>
    <t>Repairs to Roof Timbers &amp; Substrate to roof</t>
  </si>
  <si>
    <t>Adjustments to gutters at parapet abutment</t>
  </si>
  <si>
    <t xml:space="preserve">Repairs to Roof Coverings Leadwork to flat roof, gutters, parapets and flashings  and flashings to  services penetrations on pitched roof </t>
  </si>
  <si>
    <t xml:space="preserve">Works Area and extent of hoarding is as shown by Red line; Contractor is to provide solid timber hoarding also provide tree protection to those trees outside of the hoarding; Secondary site compound at bandstand including area to store materials is also shown </t>
  </si>
  <si>
    <t>site vehicles are limited to axle weight of less than 4 tonnes on footpath to bandstand site; All site vehicles are to be escorted by a banksman on each side</t>
  </si>
  <si>
    <t>all bowling greens to remain in use throughout construction and to be clear at all times; Access is via the Arrows shown</t>
  </si>
  <si>
    <t>Drawings used 9740-BUT-X1-XX-DR-A-4001, 4016, 4017, 4021, 5011 to 5015, 6001 to 6008 &amp; Specification &amp; Booth King Drawings15231-BKP-VI-XX-DR-S-050, 100, 200</t>
  </si>
  <si>
    <t xml:space="preserve"> Carefully cutting heads of piles to expose reinforcement, bending and jointing with pile cap reinforcement as required and to the approval of the Engineer</t>
  </si>
  <si>
    <t xml:space="preserve">Drawings used Booth King Drawings15231-BKP-VI-XX-DR-S-050, 100, 200, 201, 202, 210, 250, 300 </t>
  </si>
  <si>
    <t>1. Exposure to drug paraphernalia: The contractor is maintain a supply of sharps disposal kits complete with latex and anti-needlestick gloves ; Contractor is to make sure all areas are cleaned and maintained accordingly</t>
  </si>
  <si>
    <t>Closing cavity of hollow walls at top with insulated cavity closers, Kingspan Therma bate; fixed in accordance with manufacturer's instructions; all as per NBS F30/180 and all other relevant clauses of the Specification</t>
  </si>
  <si>
    <t>Closing cavity of hollow walls at openings with insulated cavity closers, Kingspan Therma bate; fixed in accordance with manufacturer's instructions; all as per NBS F30/180 and all other relevant clauses of the Specification</t>
  </si>
  <si>
    <t>Lintels/support; IG L1/S 130  cavity wall lintel to carry cavity wall, comprising 100mm block wall outer leaf, 75mm cavity; 100mm concrete block inner skin; over window/door openings; all as per Booth King Drawing 215, 216</t>
  </si>
  <si>
    <t>Galvanised steel lintel; comprising 356 x 127 x 33 UB with 300 x 10mm thick tongued plate and 200 x 150 x 5 RHS with 300 x 10mm thick tongued plate, all welded together; to support walls at corner, fixed with 2No M16 resin anchors; all as per Booth King Drawing 215, 216</t>
  </si>
  <si>
    <t>extra for forming hatch openings size 850 x 1,200mm; including timber reveal linings all-round; with and including: pair of timber shutters doors in matching 20mm charred timber cladding; shutters on hinges and with magnetic door holders; all together with drop down hinged servery shelf on piano hinge; 2nr internal fixed shoot bolts and slide bolts in black; all as per Drawing 6005 and  NBS P21/321, 385, 720 and all relevant clauses of the Specification</t>
  </si>
  <si>
    <t>extra for forming window opening size 910 x 825mm; including timber reveal linings all-round</t>
  </si>
  <si>
    <t>extra for forming door openings size 1,020 x 1,700mm; including timber reveal linings all-round</t>
  </si>
  <si>
    <t>extra for forming door openings size 1,135/1,140 x 1,700mm; including timber reveal linings all-round</t>
  </si>
  <si>
    <t>Booth King Drawings15231-BKP-VI-XX-DR-S-202, 210</t>
  </si>
  <si>
    <t>extra for terne coated stainless steel flashing NBS H75/460; approximate total length of: 20m</t>
  </si>
  <si>
    <t>Structural softwood; strength class as stated, preservative and fire retardant impregnation treatment; all as per Booth King Drawing 202</t>
  </si>
  <si>
    <t xml:space="preserve">extra; saddle flashings around SVPs; cutting and fitting slates all-round </t>
  </si>
  <si>
    <t>extra; for accommodating and supply and install Marley Solartile recessed PVA panels, Ref: MAPV16-405-M10,  size 1,722 x 1,134 x 70mm x 6nr, Output : 405 Wp, Colour: Black, PV recessed; directly fitted on and including all additional battens (to tiles below) and all additional flashings around; all as per NBS H60/105 Item 10 and all relevant clauses of the Specification</t>
  </si>
  <si>
    <t>extra; shute outlets  and overflows, integral leaf guards</t>
  </si>
  <si>
    <t xml:space="preserve">extra; working around 2nr rooflights each size 943 x 1,275mm; connected together with connection kit; including Code lead flashing all-round on all necessary additional timber fillets </t>
  </si>
  <si>
    <t>Rooflights, to have minimum insulation value of: 1.4W/m2K; The Rooflight Company 'Conservation' Rooflights CR-14 Low Profile Fixed/opening as required; black powder coat finish double glazed unit; including epdm and all flashings, etc.; fixing by approved means between rafters; bedding and sealing around in mastic; airtight and weathertight; all to approval; allow for submitting all pre-fabrication drawings; all as per Drawing 4020 and NBS L10/460 and all other relevant clauses of the Specification</t>
  </si>
  <si>
    <t>140m box; fixed by approved means to fascia's</t>
  </si>
  <si>
    <t>Booth King Drawings15231-BKP-VI-XX-DR-S-201, 210</t>
  </si>
  <si>
    <t>Structural softwood; strength class as stated, preservative and fire retardant impregnation treatment; all as per Booth King Drawing 201</t>
  </si>
  <si>
    <t>extra for supply and install loft ladder, Dolle Loft Ladder Click Fix 76G- Flush option and 70mm insulated loft hatch 1,200 x 700mm; including framing up and lining all-round; all as per NBS L30/421 and all relevant clauses of the Specification</t>
  </si>
  <si>
    <t xml:space="preserve">calculation-based (quantitate) assessment of frame structural behaviour to justify or rule out the needs to provide vertical bracing to the Southern cast iron columns </t>
  </si>
  <si>
    <t>Lintels/support; Naylor P100 wall lintel to carry 100mm block wall; over window/door openings; all as per Booth King Drawing 215, 216</t>
  </si>
  <si>
    <t>Lounge servery hatch, comprising: 4nr vertically sliding 18mm birch ply door leaves of equal width, in birch ply lining and extended lining all-round opening; all clear lacquer finish; including routed pull handle in door meeting leaf; all ironmongery, sliding door track, etc; all as per Drawing 6009 and NBS P21/350, 583, 584 and all relevant clauses of the Specification</t>
  </si>
  <si>
    <t>extra for opening 700 x 1,200mm for loft access hatch to Loft; including framing up and lining all-round</t>
  </si>
  <si>
    <t>stainless steel splashback to 3 walls bonded to Whiterock, 60cm high; total girth: 8,300mm</t>
  </si>
  <si>
    <t>Shelving system to stores; Light/Medium duty freestanding shelving; Mecalux M3 metal shelving, blue ppc metal, mesh back panel; all as per Drawing 4017 and all as per NBS N10/160 and all relevant clauses of the Specification</t>
  </si>
  <si>
    <t>Noisy works which may disturb the user of the park are to be undertaken subject to agreement with the Employer.</t>
  </si>
  <si>
    <t>The site is in a park open to the general public and vehicular access is only available until 10.30am in the mornings. The Contractor is to ensure that deliveries are planned to provide sufficient materials for each day's activities</t>
  </si>
  <si>
    <t>Allow to undertake the works in accordance with the requirements and restrictions of The Council and their agents . The tender sum is deemed to include for complying with all such requirements and restrictions.</t>
  </si>
  <si>
    <t xml:space="preserve">                 Mechanical and Electrical services; Piling</t>
  </si>
  <si>
    <t>Section 1 Bandstand £500 per week</t>
  </si>
  <si>
    <t xml:space="preserve">          Schedule 3: Insurance Option C applies. Insurance by other means. The Employer will be responsible fot insuring the Bandstand the Contractor will be responsible for th einsurance of the Bowls Pavillion.</t>
  </si>
  <si>
    <t>The Conditions applicable to the Contractor's offer and the Employer's subsequent written acceptance for the main contract works shall be those of the JCT Intermediate Building Contract with Contractor's Design (ICD) 2024. Allow for the obligations, liabilities and services described therein against the headings set out as below:</t>
  </si>
  <si>
    <t>First Recital: The works comprise:  Repairs to Bandstand and construction of new Bowls Pavillion</t>
  </si>
  <si>
    <t>Ninth Recital</t>
  </si>
  <si>
    <t>Article 3</t>
  </si>
  <si>
    <t>Article 5 Quantity Surveyor is IWSA Ltd</t>
  </si>
  <si>
    <t xml:space="preserve">Article 4 Architect is Buttress </t>
  </si>
  <si>
    <t>Article 6 CDM Co-ordinator is Buttress</t>
  </si>
  <si>
    <t>Article 7/Article 8/Article 9/Article 10</t>
  </si>
  <si>
    <t>Eighth Recital and Clause 4.6: Construction Industry Scheme (CIS)</t>
  </si>
  <si>
    <t>Article 9 Arbitration</t>
  </si>
  <si>
    <t xml:space="preserve">               Article 9 and clauses 9.4 to 9.9 (Arbitration) does not apply</t>
  </si>
  <si>
    <t>Clause 1.1 BIM Protocol</t>
  </si>
  <si>
    <t>Not Applicable</t>
  </si>
  <si>
    <t>Clause 1.1 Dates for Completion of Sections</t>
  </si>
  <si>
    <t xml:space="preserve"> `</t>
  </si>
  <si>
    <t>Clause 1.7.4 Address for the service of notices etc by the Parties</t>
  </si>
  <si>
    <t>Section 1 Bandstand TBC</t>
  </si>
  <si>
    <t>Section 2 Bowls Pavillion TBC</t>
  </si>
  <si>
    <t>Section 2 Bowls Pavillion £1000 per week</t>
  </si>
  <si>
    <t>Clause 4.7 Advance Payment</t>
  </si>
  <si>
    <t xml:space="preserve">          Clause 4.7 does not apply</t>
  </si>
  <si>
    <t>Clause 4.8.1 Interim Payments Due Date</t>
  </si>
  <si>
    <t>Clause 4.9.1 Interim Payments - Percentages of Value</t>
  </si>
  <si>
    <t>Clause 4.10.4 and 4.10.5 Listed Items</t>
  </si>
  <si>
    <t xml:space="preserve">          Clause 4.10 will be deleted. There will be no payments for materials or goods off site</t>
  </si>
  <si>
    <t>Clause 6.4.1 Contractor's Insurance - Injury to persons or property</t>
  </si>
  <si>
    <t xml:space="preserve">          Insurance may be required </t>
  </si>
  <si>
    <t>Clause 6.19 Contractors Design Portion (CDP) Professional Indemnity Insurance</t>
  </si>
  <si>
    <t>Clause 8.11.1 to 8.11.1.6 Period of Suspension</t>
  </si>
  <si>
    <t>Clause 9.1 Adjudication</t>
  </si>
  <si>
    <t>Clause 9.5.1 Arbitration</t>
  </si>
  <si>
    <t xml:space="preserve">          Amendment: clause 4.10 will be omitted. There will be no payments for materials off site</t>
  </si>
  <si>
    <t>Schedule 4 Supplemental Provisons</t>
  </si>
  <si>
    <t>Schedule 5 Design Submission Procedure</t>
  </si>
  <si>
    <t>Todmorden Town Council</t>
  </si>
  <si>
    <t>Todmorden Town Hall</t>
  </si>
  <si>
    <t>Bridge Street</t>
  </si>
  <si>
    <t>OL14 5AQ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</si>
</sst>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409]dd\-mmm\-yy;@"/>
    <numFmt numFmtId="166" formatCode="0.000"/>
    <numFmt numFmtId="167" formatCode="d\ mmmm\,\ yyyy"/>
    <numFmt numFmtId="168" formatCode="_-\ #,##0_-;\-\ #,##0_-;_-\ &quot;-&quot;_-;_-@_-"/>
    <numFmt numFmtId="169" formatCode="_-\ #,##0.00_-;\-\ #,##0.00_-;_-\ &quot;&quot;??_-;_-@_-"/>
    <numFmt numFmtId="170" formatCode="_-* #,##0_-;\-* #,##0_-;_-* &quot;-&quot;??_-;_-@_-"/>
  </numFmts>
  <fonts count="37"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u/>
      <sz val="11"/>
      <color theme="10"/>
      <name val="Calibri"/>
      <family val="2"/>
      <scheme val="minor"/>
    </font>
    <font>
      <sz val="11"/>
      <name val="Calibri"/>
      <family val="2"/>
      <scheme val="minor"/>
    </font>
    <font>
      <b/>
      <u/>
      <sz val="11"/>
      <name val="Calibri"/>
      <family val="2"/>
      <scheme val="minor"/>
    </font>
    <font>
      <b/>
      <sz val="14"/>
      <color theme="1"/>
      <name val="Calibri"/>
      <family val="2"/>
      <scheme val="minor"/>
    </font>
    <font>
      <b/>
      <sz val="11"/>
      <name val="Calibri"/>
      <family val="2"/>
      <scheme val="minor"/>
    </font>
    <font>
      <sz val="11"/>
      <color rgb="FF00B050"/>
      <name val="Calibri"/>
      <family val="2"/>
      <scheme val="minor"/>
    </font>
    <font>
      <b/>
      <sz val="11"/>
      <color rgb="FF00B050"/>
      <name val="Calibri"/>
      <family val="2"/>
      <scheme val="minor"/>
    </font>
    <font>
      <u/>
      <sz val="11"/>
      <name val="Calibri"/>
      <family val="2"/>
      <scheme val="minor"/>
    </font>
    <font>
      <b/>
      <sz val="11"/>
      <color theme="9" tint="-0.249977111117893"/>
      <name val="Calibri"/>
      <family val="2"/>
      <scheme val="minor"/>
    </font>
    <font>
      <sz val="11"/>
      <color theme="1"/>
      <name val="Calibri"/>
      <family val="2"/>
      <scheme val="minor"/>
    </font>
    <font>
      <b/>
      <sz val="11"/>
      <name val="Arial Narrow"/>
      <family val="2"/>
    </font>
    <font>
      <sz val="11"/>
      <name val="Arial Narrow"/>
      <family val="2"/>
    </font>
    <font>
      <u/>
      <sz val="11"/>
      <name val="Arial Narrow"/>
      <family val="2"/>
    </font>
    <font>
      <sz val="10"/>
      <name val="Arial"/>
      <family val="2"/>
    </font>
    <font>
      <sz val="11"/>
      <color rgb="FF00B050"/>
      <name val="Arial Narrow"/>
      <family val="2"/>
    </font>
    <font>
      <i/>
      <sz val="11"/>
      <name val="Calibri"/>
      <family val="2"/>
      <scheme val="minor"/>
    </font>
    <font>
      <sz val="11"/>
      <color rgb="FFFF0000"/>
      <name val="Calibri"/>
      <family val="2"/>
      <scheme val="minor"/>
    </font>
    <font>
      <sz val="11"/>
      <color rgb="FF00B050"/>
      <name val="Calibri"/>
      <family val="2"/>
    </font>
    <font>
      <u/>
      <sz val="11"/>
      <name val="Calibri"/>
      <family val="2"/>
    </font>
    <font>
      <sz val="11"/>
      <name val="Calibri"/>
      <family val="2"/>
    </font>
    <font>
      <b/>
      <sz val="11"/>
      <color rgb="FF00B050"/>
      <name val="Calibri"/>
      <family val="2"/>
    </font>
    <font>
      <b/>
      <sz val="11"/>
      <name val="Calibri"/>
      <family val="2"/>
    </font>
    <font>
      <b/>
      <sz val="11"/>
      <color rgb="FFFF0000"/>
      <name val="Calibri"/>
      <family val="2"/>
      <scheme val="minor"/>
    </font>
    <font>
      <b/>
      <sz val="11"/>
      <color theme="1"/>
      <name val="Calibri"/>
      <family val="2"/>
    </font>
    <font>
      <sz val="11"/>
      <color theme="1"/>
      <name val="Calibri"/>
      <family val="2"/>
    </font>
    <font>
      <u/>
      <sz val="12"/>
      <name val="Calibri"/>
      <family val="2"/>
      <scheme val="minor"/>
    </font>
    <font>
      <b/>
      <u/>
      <sz val="12"/>
      <name val="Calibri"/>
      <family val="2"/>
      <scheme val="minor"/>
    </font>
    <font>
      <b/>
      <i/>
      <sz val="11"/>
      <name val="Calibri"/>
      <family val="2"/>
      <scheme val="minor"/>
    </font>
    <font>
      <b/>
      <i/>
      <u/>
      <sz val="11"/>
      <name val="Calibri"/>
      <family val="2"/>
      <scheme val="minor"/>
    </font>
    <font>
      <b/>
      <u/>
      <sz val="11"/>
      <name val="Arial Narrow"/>
      <family val="2"/>
    </font>
    <font>
      <b/>
      <sz val="11"/>
      <color rgb="FF00B050"/>
      <name val="Arial Narrow"/>
      <family val="2"/>
    </font>
    <font>
      <b/>
      <u/>
      <sz val="11"/>
      <name val="Calibri"/>
      <family val="2"/>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rgb="FF87CEF9"/>
      </left>
      <right/>
      <top/>
      <bottom/>
      <diagonal/>
    </border>
    <border>
      <left/>
      <right style="medium">
        <color rgb="FF87CEF9"/>
      </right>
      <top/>
      <bottom/>
      <diagonal/>
    </border>
    <border>
      <left style="medium">
        <color rgb="FF87CEF9"/>
      </left>
      <right style="medium">
        <color rgb="FF87CEF9"/>
      </right>
      <top/>
      <bottom/>
      <diagonal/>
    </border>
    <border>
      <left style="medium">
        <color rgb="FF87CEF9"/>
      </left>
      <right/>
      <top style="medium">
        <color rgb="FF87CEF9"/>
      </top>
      <bottom/>
      <diagonal/>
    </border>
    <border>
      <left/>
      <right/>
      <top style="medium">
        <color rgb="FF87CEF9"/>
      </top>
      <bottom/>
      <diagonal/>
    </border>
    <border>
      <left/>
      <right style="medium">
        <color rgb="FF87CEF9"/>
      </right>
      <top style="medium">
        <color rgb="FF87CEF9"/>
      </top>
      <bottom/>
      <diagonal/>
    </border>
    <border>
      <left style="medium">
        <color rgb="FF87CEF9"/>
      </left>
      <right/>
      <top/>
      <bottom style="medium">
        <color rgb="FF87CEF9"/>
      </bottom>
      <diagonal/>
    </border>
    <border>
      <left/>
      <right/>
      <top/>
      <bottom style="medium">
        <color rgb="FF87CEF9"/>
      </bottom>
      <diagonal/>
    </border>
    <border>
      <left/>
      <right style="medium">
        <color rgb="FF87CEF9"/>
      </right>
      <top/>
      <bottom style="medium">
        <color rgb="FF87CEF9"/>
      </bottom>
      <diagonal/>
    </border>
    <border>
      <left style="medium">
        <color rgb="FF87CEF9"/>
      </left>
      <right style="medium">
        <color rgb="FF87CEF9"/>
      </right>
      <top style="medium">
        <color rgb="FF87CEF9"/>
      </top>
      <bottom/>
      <diagonal/>
    </border>
    <border>
      <left style="medium">
        <color rgb="FF87CEF9"/>
      </left>
      <right style="medium">
        <color rgb="FF87CEF9"/>
      </right>
      <top/>
      <bottom style="medium">
        <color rgb="FF87CEF9"/>
      </bottom>
      <diagonal/>
    </border>
    <border>
      <left style="medium">
        <color rgb="FF87CEF9"/>
      </left>
      <right style="medium">
        <color rgb="FF87CEF9"/>
      </right>
      <top style="medium">
        <color rgb="FF87CEF9"/>
      </top>
      <bottom style="medium">
        <color rgb="FF87CEF9"/>
      </bottom>
      <diagonal/>
    </border>
    <border>
      <left/>
      <right style="medium">
        <color rgb="FF87CEF9"/>
      </right>
      <top style="medium">
        <color rgb="FF87CEF9"/>
      </top>
      <bottom style="medium">
        <color rgb="FF87CEF9"/>
      </bottom>
      <diagonal/>
    </border>
    <border>
      <left style="medium">
        <color rgb="FF87CEF9"/>
      </left>
      <right style="medium">
        <color rgb="FF87CEF9"/>
      </right>
      <top/>
      <bottom style="thin">
        <color indexed="64"/>
      </bottom>
      <diagonal/>
    </border>
    <border>
      <left style="hair">
        <color indexed="64"/>
      </left>
      <right/>
      <top/>
      <bottom/>
      <diagonal/>
    </border>
    <border>
      <left style="thin">
        <color indexed="64"/>
      </left>
      <right style="medium">
        <color rgb="FF87CEF9"/>
      </right>
      <top style="medium">
        <color rgb="FF87CEF9"/>
      </top>
      <bottom style="medium">
        <color rgb="FF87CEF9"/>
      </bottom>
      <diagonal/>
    </border>
    <border>
      <left style="thin">
        <color indexed="64"/>
      </left>
      <right style="medium">
        <color rgb="FF87CEF9"/>
      </right>
      <top/>
      <bottom/>
      <diagonal/>
    </border>
    <border>
      <left style="thin">
        <color indexed="64"/>
      </left>
      <right style="medium">
        <color rgb="FF87CEF9"/>
      </right>
      <top/>
      <bottom style="medium">
        <color rgb="FF87CEF9"/>
      </bottom>
      <diagonal/>
    </border>
    <border>
      <left style="medium">
        <color rgb="FF87CEF9"/>
      </left>
      <right/>
      <top style="medium">
        <color rgb="FF87CEF9"/>
      </top>
      <bottom style="medium">
        <color rgb="FF87CEF9"/>
      </bottom>
      <diagonal/>
    </border>
    <border>
      <left style="medium">
        <color rgb="FF87CEF9"/>
      </left>
      <right style="thin">
        <color rgb="FF87CEF9"/>
      </right>
      <top/>
      <bottom/>
      <diagonal/>
    </border>
    <border>
      <left style="thin">
        <color rgb="FF87CEF9"/>
      </left>
      <right style="thin">
        <color rgb="FF87CEF9"/>
      </right>
      <top/>
      <bottom/>
      <diagonal/>
    </border>
    <border>
      <left style="thin">
        <color rgb="FF87CEF9"/>
      </left>
      <right/>
      <top/>
      <bottom/>
      <diagonal/>
    </border>
    <border>
      <left/>
      <right style="thin">
        <color rgb="FF87CEF9"/>
      </right>
      <top/>
      <bottom/>
      <diagonal/>
    </border>
    <border>
      <left style="medium">
        <color rgb="FF87CEF9"/>
      </left>
      <right style="thin">
        <color rgb="FF87CEF9"/>
      </right>
      <top style="medium">
        <color rgb="FF87CEF9"/>
      </top>
      <bottom style="medium">
        <color rgb="FF87CEF9"/>
      </bottom>
      <diagonal/>
    </border>
    <border>
      <left style="thin">
        <color rgb="FF87CEF9"/>
      </left>
      <right style="thin">
        <color rgb="FF87CEF9"/>
      </right>
      <top style="medium">
        <color rgb="FF87CEF9"/>
      </top>
      <bottom style="medium">
        <color rgb="FF87CEF9"/>
      </bottom>
      <diagonal/>
    </border>
    <border>
      <left style="medium">
        <color rgb="FF87CEF9"/>
      </left>
      <right style="thin">
        <color rgb="FF87CEF9"/>
      </right>
      <top/>
      <bottom style="medium">
        <color rgb="FF87CEF9"/>
      </bottom>
      <diagonal/>
    </border>
    <border>
      <left style="thin">
        <color rgb="FF87CEF9"/>
      </left>
      <right style="thin">
        <color rgb="FF87CEF9"/>
      </right>
      <top/>
      <bottom style="medium">
        <color rgb="FF87CEF9"/>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4" fillId="0" borderId="0" applyNumberFormat="0" applyFill="0" applyBorder="0" applyAlignment="0" applyProtection="0"/>
    <xf numFmtId="164" fontId="13" fillId="0" borderId="0" applyFont="0" applyFill="0" applyBorder="0" applyAlignment="0" applyProtection="0"/>
    <xf numFmtId="43" fontId="17" fillId="0" borderId="0" applyFont="0" applyFill="0" applyBorder="0" applyAlignment="0" applyProtection="0"/>
    <xf numFmtId="0" fontId="17" fillId="0" borderId="0"/>
    <xf numFmtId="0" fontId="17" fillId="0" borderId="0"/>
    <xf numFmtId="0" fontId="17" fillId="0" borderId="0"/>
    <xf numFmtId="0" fontId="17" fillId="0" borderId="0"/>
  </cellStyleXfs>
  <cellXfs count="497">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wrapText="1"/>
    </xf>
    <xf numFmtId="4" fontId="0" fillId="0" borderId="2" xfId="0" applyNumberFormat="1" applyBorder="1" applyAlignment="1">
      <alignment vertical="top" wrapText="1"/>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4" fontId="0" fillId="0" borderId="2" xfId="0" applyNumberFormat="1" applyBorder="1" applyAlignment="1">
      <alignment vertical="center" wrapText="1"/>
    </xf>
    <xf numFmtId="0" fontId="1" fillId="0" borderId="1" xfId="0" applyFont="1" applyBorder="1" applyAlignment="1">
      <alignment vertical="center"/>
    </xf>
    <xf numFmtId="0" fontId="0" fillId="0" borderId="1" xfId="0" applyBorder="1" applyAlignment="1">
      <alignment vertical="center"/>
    </xf>
    <xf numFmtId="0" fontId="0" fillId="0" borderId="3" xfId="0" applyBorder="1"/>
    <xf numFmtId="0" fontId="1"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vertical="center"/>
    </xf>
    <xf numFmtId="0" fontId="1" fillId="0" borderId="0" xfId="0" applyFont="1" applyAlignment="1">
      <alignment horizontal="right" vertical="center"/>
    </xf>
    <xf numFmtId="165" fontId="1" fillId="0" borderId="2" xfId="0" applyNumberFormat="1" applyFont="1" applyBorder="1" applyAlignment="1">
      <alignment horizontal="left" vertical="center" indent="1"/>
    </xf>
    <xf numFmtId="0" fontId="1" fillId="0" borderId="7" xfId="0" applyFont="1" applyBorder="1" applyAlignment="1">
      <alignment vertical="center"/>
    </xf>
    <xf numFmtId="0" fontId="0" fillId="0" borderId="8" xfId="0" applyBorder="1" applyAlignment="1">
      <alignment horizontal="left" vertical="center" indent="1"/>
    </xf>
    <xf numFmtId="4" fontId="0" fillId="0" borderId="9" xfId="0" applyNumberFormat="1" applyBorder="1" applyAlignment="1">
      <alignment vertical="center" wrapText="1"/>
    </xf>
    <xf numFmtId="0" fontId="0" fillId="0" borderId="1" xfId="0" applyBorder="1"/>
    <xf numFmtId="0" fontId="0" fillId="0" borderId="7" xfId="0" applyBorder="1" applyAlignment="1">
      <alignment horizontal="left" vertical="center"/>
    </xf>
    <xf numFmtId="0" fontId="0" fillId="0" borderId="9" xfId="0"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xf>
    <xf numFmtId="0" fontId="1" fillId="0" borderId="0" xfId="0" applyFont="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0" fillId="0" borderId="6" xfId="0" applyBorder="1"/>
    <xf numFmtId="0" fontId="0" fillId="0" borderId="9" xfId="0" applyBorder="1"/>
    <xf numFmtId="165" fontId="1" fillId="0" borderId="2" xfId="0" applyNumberFormat="1" applyFont="1" applyBorder="1" applyAlignment="1">
      <alignment horizontal="right" vertical="center" indent="1"/>
    </xf>
    <xf numFmtId="0" fontId="2" fillId="0" borderId="1" xfId="0" applyFont="1" applyBorder="1" applyAlignment="1">
      <alignment vertical="center"/>
    </xf>
    <xf numFmtId="0" fontId="0" fillId="0" borderId="1" xfId="0" applyBorder="1" applyAlignment="1">
      <alignment vertical="center" wrapText="1"/>
    </xf>
    <xf numFmtId="0" fontId="0" fillId="0" borderId="11" xfId="0" applyBorder="1"/>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0" xfId="0" applyAlignment="1">
      <alignment horizontal="right" vertical="center"/>
    </xf>
    <xf numFmtId="0" fontId="1" fillId="0" borderId="12" xfId="0" applyFont="1" applyBorder="1" applyAlignment="1">
      <alignment horizontal="center" wrapText="1"/>
    </xf>
    <xf numFmtId="0" fontId="1" fillId="0" borderId="13" xfId="0" applyFont="1" applyBorder="1" applyAlignment="1">
      <alignment horizontal="center" wrapText="1"/>
    </xf>
    <xf numFmtId="4" fontId="1" fillId="0" borderId="13" xfId="0" applyNumberFormat="1" applyFont="1" applyBorder="1" applyAlignment="1">
      <alignment horizontal="center" wrapText="1"/>
    </xf>
    <xf numFmtId="0" fontId="1" fillId="0" borderId="12" xfId="0" applyFont="1" applyBorder="1" applyAlignment="1">
      <alignment horizontal="center"/>
    </xf>
    <xf numFmtId="0" fontId="1" fillId="0" borderId="12" xfId="0" applyFont="1" applyBorder="1" applyAlignment="1">
      <alignment horizontal="center" vertical="center" wrapText="1"/>
    </xf>
    <xf numFmtId="0" fontId="3" fillId="0" borderId="0" xfId="0" applyFont="1" applyAlignment="1">
      <alignment wrapText="1"/>
    </xf>
    <xf numFmtId="0" fontId="0" fillId="0" borderId="0" xfId="0" applyAlignment="1">
      <alignment wrapText="1"/>
    </xf>
    <xf numFmtId="0" fontId="2" fillId="0" borderId="0" xfId="0" applyFont="1" applyAlignment="1">
      <alignment wrapText="1"/>
    </xf>
    <xf numFmtId="0" fontId="5" fillId="0" borderId="0" xfId="1" applyFont="1" applyAlignment="1">
      <alignment wrapText="1"/>
    </xf>
    <xf numFmtId="0" fontId="0" fillId="0" borderId="3" xfId="0" applyBorder="1" applyAlignment="1">
      <alignment horizontal="center"/>
    </xf>
    <xf numFmtId="0" fontId="3" fillId="0" borderId="3" xfId="0" applyFont="1" applyBorder="1" applyAlignment="1">
      <alignment horizontal="center"/>
    </xf>
    <xf numFmtId="0" fontId="0" fillId="0" borderId="3" xfId="0" applyBorder="1" applyAlignment="1">
      <alignment horizontal="center" vertical="center"/>
    </xf>
    <xf numFmtId="0" fontId="0" fillId="0" borderId="3" xfId="0" applyBorder="1" applyAlignment="1">
      <alignment horizontal="center" vertical="top"/>
    </xf>
    <xf numFmtId="4" fontId="0" fillId="0" borderId="3" xfId="0" applyNumberFormat="1" applyBorder="1" applyAlignment="1">
      <alignment vertical="center" wrapText="1"/>
    </xf>
    <xf numFmtId="0" fontId="6" fillId="0" borderId="2" xfId="0" applyFont="1" applyBorder="1" applyProtection="1">
      <protection locked="0"/>
    </xf>
    <xf numFmtId="0" fontId="5" fillId="0" borderId="2" xfId="0" applyFont="1" applyBorder="1" applyProtection="1">
      <protection locked="0"/>
    </xf>
    <xf numFmtId="0" fontId="0" fillId="0" borderId="2" xfId="0" quotePrefix="1" applyBorder="1" applyAlignment="1" applyProtection="1">
      <alignment horizontal="left" vertical="center" wrapText="1"/>
      <protection locked="0"/>
    </xf>
    <xf numFmtId="0" fontId="0" fillId="0" borderId="2" xfId="0" quotePrefix="1" applyBorder="1" applyAlignment="1" applyProtection="1">
      <alignment vertical="center"/>
      <protection locked="0"/>
    </xf>
    <xf numFmtId="0" fontId="0" fillId="0" borderId="2" xfId="0" quotePrefix="1" applyBorder="1" applyAlignment="1" applyProtection="1">
      <alignment horizontal="left" vertical="center" indent="3"/>
      <protection locked="0"/>
    </xf>
    <xf numFmtId="0" fontId="0" fillId="0" borderId="2" xfId="0" applyBorder="1" applyAlignment="1" applyProtection="1">
      <alignment vertical="center"/>
      <protection locked="0"/>
    </xf>
    <xf numFmtId="0" fontId="0" fillId="0" borderId="2" xfId="0" applyBorder="1" applyAlignment="1" applyProtection="1">
      <alignment horizontal="left" vertical="center" indent="3"/>
      <protection locked="0"/>
    </xf>
    <xf numFmtId="0" fontId="5" fillId="0" borderId="2" xfId="0" quotePrefix="1" applyFont="1" applyBorder="1" applyProtection="1">
      <protection locked="0"/>
    </xf>
    <xf numFmtId="0" fontId="5" fillId="0" borderId="2" xfId="0" quotePrefix="1" applyFont="1" applyBorder="1" applyAlignment="1" applyProtection="1">
      <alignment horizontal="left"/>
      <protection locked="0"/>
    </xf>
    <xf numFmtId="0" fontId="5" fillId="0" borderId="2" xfId="0" quotePrefix="1" applyFont="1" applyBorder="1" applyAlignment="1" applyProtection="1">
      <alignment horizontal="left" wrapText="1" indent="3"/>
      <protection locked="0"/>
    </xf>
    <xf numFmtId="0" fontId="5" fillId="0" borderId="2" xfId="0" quotePrefix="1" applyFont="1" applyBorder="1" applyAlignment="1" applyProtection="1">
      <alignment horizontal="left" indent="5"/>
      <protection locked="0"/>
    </xf>
    <xf numFmtId="0" fontId="5" fillId="0" borderId="2" xfId="0" applyFont="1" applyBorder="1" applyAlignment="1" applyProtection="1">
      <alignment wrapText="1"/>
      <protection locked="0"/>
    </xf>
    <xf numFmtId="0" fontId="0" fillId="0" borderId="2" xfId="0" applyBorder="1" applyAlignment="1" applyProtection="1">
      <alignment horizontal="right" vertical="center"/>
      <protection locked="0"/>
    </xf>
    <xf numFmtId="0" fontId="0" fillId="0" borderId="2" xfId="0" quotePrefix="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horizontal="center"/>
      <protection locked="0"/>
    </xf>
    <xf numFmtId="0" fontId="5" fillId="0" borderId="2" xfId="0" quotePrefix="1" applyFont="1" applyBorder="1" applyAlignment="1" applyProtection="1">
      <alignment horizontal="center"/>
      <protection locked="0"/>
    </xf>
    <xf numFmtId="0" fontId="7" fillId="0" borderId="0" xfId="0" applyFont="1" applyAlignment="1">
      <alignment horizontal="center" vertical="center" wrapText="1"/>
    </xf>
    <xf numFmtId="40" fontId="0" fillId="0" borderId="0" xfId="0" applyNumberFormat="1"/>
    <xf numFmtId="0" fontId="5" fillId="0" borderId="0" xfId="0" applyFont="1"/>
    <xf numFmtId="0" fontId="5" fillId="0" borderId="3" xfId="0" applyFont="1" applyBorder="1"/>
    <xf numFmtId="0" fontId="8" fillId="0" borderId="1"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 vertical="center" wrapText="1"/>
    </xf>
    <xf numFmtId="4" fontId="5" fillId="0" borderId="2" xfId="0" applyNumberFormat="1" applyFont="1" applyBorder="1" applyAlignment="1">
      <alignment vertical="center" wrapText="1"/>
    </xf>
    <xf numFmtId="0" fontId="9" fillId="0" borderId="3" xfId="0" applyFont="1" applyBorder="1"/>
    <xf numFmtId="0" fontId="9" fillId="0" borderId="2" xfId="0" applyFont="1" applyBorder="1" applyAlignment="1">
      <alignment horizontal="center" vertical="center" wrapText="1"/>
    </xf>
    <xf numFmtId="4" fontId="9" fillId="0" borderId="2" xfId="0" applyNumberFormat="1" applyFont="1" applyBorder="1" applyAlignment="1">
      <alignment vertical="center" wrapText="1"/>
    </xf>
    <xf numFmtId="0" fontId="9" fillId="0" borderId="0" xfId="0" applyFont="1"/>
    <xf numFmtId="0" fontId="10" fillId="0" borderId="1" xfId="0" applyFont="1" applyBorder="1" applyAlignment="1">
      <alignment vertical="center"/>
    </xf>
    <xf numFmtId="0" fontId="5" fillId="0" borderId="2" xfId="0" applyFont="1" applyBorder="1" applyAlignment="1">
      <alignment vertical="center" wrapText="1"/>
    </xf>
    <xf numFmtId="0" fontId="5" fillId="0" borderId="0" xfId="0" applyFont="1" applyAlignment="1">
      <alignment vertical="center"/>
    </xf>
    <xf numFmtId="0" fontId="6" fillId="0" borderId="1" xfId="0" applyFont="1" applyBorder="1" applyAlignment="1">
      <alignment vertical="center"/>
    </xf>
    <xf numFmtId="0" fontId="5" fillId="0" borderId="11" xfId="0" applyFont="1" applyBorder="1"/>
    <xf numFmtId="0" fontId="8" fillId="0" borderId="7" xfId="0" applyFont="1" applyBorder="1" applyAlignment="1">
      <alignment vertic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4" fontId="5" fillId="0" borderId="9" xfId="0" applyNumberFormat="1" applyFont="1" applyBorder="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right" vertical="center"/>
    </xf>
    <xf numFmtId="4" fontId="5" fillId="0" borderId="12" xfId="0" applyNumberFormat="1" applyFont="1" applyBorder="1" applyAlignment="1">
      <alignment vertical="center"/>
    </xf>
    <xf numFmtId="0" fontId="8"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6" xfId="0" applyFont="1" applyBorder="1"/>
    <xf numFmtId="0" fontId="8" fillId="0" borderId="0" xfId="0" applyFont="1" applyAlignment="1">
      <alignment horizontal="center" vertical="center"/>
    </xf>
    <xf numFmtId="0" fontId="8" fillId="0" borderId="0" xfId="0" applyFont="1" applyAlignment="1">
      <alignment horizontal="right" vertical="center"/>
    </xf>
    <xf numFmtId="165" fontId="8" fillId="0" borderId="2" xfId="0" applyNumberFormat="1" applyFont="1" applyBorder="1" applyAlignment="1">
      <alignment horizontal="right" vertical="center" indent="1"/>
    </xf>
    <xf numFmtId="0" fontId="5" fillId="0" borderId="8" xfId="0" applyFont="1" applyBorder="1" applyAlignment="1">
      <alignment horizontal="left" vertical="center" indent="1"/>
    </xf>
    <xf numFmtId="0" fontId="5" fillId="0" borderId="8" xfId="0" applyFont="1" applyBorder="1" applyAlignment="1">
      <alignment horizontal="center" vertical="center"/>
    </xf>
    <xf numFmtId="0" fontId="5" fillId="0" borderId="9" xfId="0" applyFont="1" applyBorder="1"/>
    <xf numFmtId="4" fontId="8" fillId="0" borderId="13" xfId="0" applyNumberFormat="1" applyFont="1" applyBorder="1" applyAlignment="1">
      <alignment horizontal="center" wrapText="1"/>
    </xf>
    <xf numFmtId="0" fontId="8" fillId="0" borderId="12" xfId="0" applyFont="1" applyBorder="1"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 xfId="0" applyFont="1" applyBorder="1" applyAlignment="1">
      <alignment horizontal="left" vertical="center"/>
    </xf>
    <xf numFmtId="40" fontId="5" fillId="0" borderId="2" xfId="0" applyNumberFormat="1" applyFont="1" applyBorder="1" applyAlignment="1">
      <alignment horizontal="center" vertical="center" wrapText="1"/>
    </xf>
    <xf numFmtId="0" fontId="5" fillId="0" borderId="0" xfId="0" applyFont="1" applyAlignment="1">
      <alignment horizontal="left" vertical="center"/>
    </xf>
    <xf numFmtId="0" fontId="11" fillId="0" borderId="2" xfId="0" applyFont="1" applyBorder="1" applyAlignment="1">
      <alignment vertical="center" wrapText="1"/>
    </xf>
    <xf numFmtId="0" fontId="5" fillId="0" borderId="2" xfId="0" applyFont="1" applyBorder="1" applyAlignment="1">
      <alignment horizontal="left" vertical="center" wrapText="1"/>
    </xf>
    <xf numFmtId="4" fontId="12" fillId="0" borderId="3" xfId="0" applyNumberFormat="1" applyFont="1" applyBorder="1" applyAlignment="1">
      <alignment horizontal="center" vertical="center" wrapText="1"/>
    </xf>
    <xf numFmtId="164" fontId="5" fillId="0" borderId="0" xfId="2" applyFont="1"/>
    <xf numFmtId="164" fontId="5" fillId="0" borderId="5" xfId="2" applyFont="1" applyBorder="1" applyAlignment="1">
      <alignment vertical="center"/>
    </xf>
    <xf numFmtId="164" fontId="5" fillId="0" borderId="6" xfId="2" applyFont="1" applyBorder="1"/>
    <xf numFmtId="164" fontId="8" fillId="0" borderId="0" xfId="2" applyFont="1" applyBorder="1" applyAlignment="1">
      <alignment horizontal="right" vertical="center"/>
    </xf>
    <xf numFmtId="164" fontId="5" fillId="0" borderId="8" xfId="2" applyFont="1" applyBorder="1" applyAlignment="1">
      <alignment horizontal="left" vertical="center" indent="1"/>
    </xf>
    <xf numFmtId="164" fontId="5" fillId="0" borderId="9" xfId="2" applyFont="1" applyBorder="1"/>
    <xf numFmtId="164" fontId="8" fillId="0" borderId="13" xfId="2" applyFont="1" applyBorder="1" applyAlignment="1">
      <alignment horizontal="center" wrapText="1"/>
    </xf>
    <xf numFmtId="164" fontId="8" fillId="0" borderId="12" xfId="2" applyFont="1" applyBorder="1" applyAlignment="1">
      <alignment horizontal="center"/>
    </xf>
    <xf numFmtId="164" fontId="5" fillId="0" borderId="2" xfId="2" applyFont="1" applyBorder="1" applyAlignment="1">
      <alignment vertical="center" wrapText="1"/>
    </xf>
    <xf numFmtId="164" fontId="5" fillId="0" borderId="9" xfId="2" applyFont="1" applyBorder="1" applyAlignment="1">
      <alignment vertical="center" wrapText="1"/>
    </xf>
    <xf numFmtId="164" fontId="5" fillId="0" borderId="12" xfId="2" applyFont="1" applyBorder="1" applyAlignment="1">
      <alignment vertical="center"/>
    </xf>
    <xf numFmtId="0" fontId="14" fillId="0" borderId="0" xfId="0" applyFont="1" applyAlignment="1">
      <alignment vertical="top" wrapText="1"/>
    </xf>
    <xf numFmtId="4" fontId="14" fillId="0" borderId="0" xfId="0" applyNumberFormat="1" applyFont="1" applyAlignment="1">
      <alignment horizontal="right" vertical="top" wrapText="1"/>
    </xf>
    <xf numFmtId="4" fontId="15" fillId="0" borderId="0" xfId="0" applyNumberFormat="1" applyFont="1" applyAlignment="1">
      <alignment horizontal="left" vertical="top" wrapText="1"/>
    </xf>
    <xf numFmtId="0" fontId="5" fillId="0" borderId="2" xfId="0" applyFont="1" applyBorder="1" applyAlignment="1">
      <alignment horizontal="center" wrapText="1"/>
    </xf>
    <xf numFmtId="4" fontId="5" fillId="0" borderId="2" xfId="0" applyNumberFormat="1" applyFont="1" applyBorder="1" applyAlignment="1">
      <alignment wrapText="1"/>
    </xf>
    <xf numFmtId="164" fontId="5" fillId="0" borderId="2" xfId="2" applyFont="1" applyBorder="1" applyAlignment="1">
      <alignment wrapText="1"/>
    </xf>
    <xf numFmtId="164" fontId="0" fillId="0" borderId="12" xfId="2" applyFont="1" applyBorder="1" applyAlignment="1">
      <alignment vertical="center"/>
    </xf>
    <xf numFmtId="0" fontId="15" fillId="0" borderId="2" xfId="0" applyFont="1" applyBorder="1" applyAlignment="1">
      <alignment horizontal="center" vertical="center" wrapText="1"/>
    </xf>
    <xf numFmtId="4" fontId="15" fillId="0" borderId="2" xfId="0" applyNumberFormat="1" applyFont="1" applyBorder="1" applyAlignment="1">
      <alignment vertical="center" wrapText="1"/>
    </xf>
    <xf numFmtId="0" fontId="15" fillId="0" borderId="0" xfId="0" applyFont="1"/>
    <xf numFmtId="0" fontId="5" fillId="0" borderId="1" xfId="0" applyFont="1" applyBorder="1" applyAlignment="1">
      <alignment vertical="center" wrapText="1"/>
    </xf>
    <xf numFmtId="43" fontId="15" fillId="0" borderId="0" xfId="3" quotePrefix="1" applyFont="1" applyFill="1" applyBorder="1" applyAlignment="1">
      <alignment horizontal="center" wrapText="1"/>
    </xf>
    <xf numFmtId="0" fontId="15" fillId="0" borderId="3" xfId="0" applyFont="1" applyBorder="1"/>
    <xf numFmtId="0" fontId="15" fillId="0" borderId="3" xfId="0" applyFont="1" applyBorder="1" applyAlignment="1">
      <alignment horizontal="right"/>
    </xf>
    <xf numFmtId="164" fontId="15" fillId="0" borderId="2" xfId="2" applyFont="1" applyBorder="1" applyAlignment="1">
      <alignment vertical="center" wrapText="1"/>
    </xf>
    <xf numFmtId="0" fontId="18" fillId="0" borderId="3" xfId="0" applyFont="1" applyBorder="1"/>
    <xf numFmtId="0" fontId="15" fillId="0" borderId="11" xfId="0" applyFont="1" applyBorder="1"/>
    <xf numFmtId="0" fontId="15" fillId="0" borderId="0" xfId="0" applyFont="1" applyAlignment="1">
      <alignment horizontal="center"/>
    </xf>
    <xf numFmtId="0" fontId="15" fillId="0" borderId="0" xfId="0" applyFont="1" applyAlignment="1">
      <alignment horizontal="center" vertical="center"/>
    </xf>
    <xf numFmtId="164" fontId="0" fillId="0" borderId="2" xfId="2" applyFont="1" applyBorder="1" applyAlignment="1">
      <alignment vertical="top" wrapText="1"/>
    </xf>
    <xf numFmtId="164" fontId="0" fillId="0" borderId="10" xfId="2" applyFont="1" applyBorder="1" applyAlignment="1">
      <alignment vertical="center" wrapText="1"/>
    </xf>
    <xf numFmtId="164" fontId="0" fillId="0" borderId="11" xfId="2" applyFont="1" applyBorder="1" applyAlignment="1">
      <alignment vertical="center" wrapText="1"/>
    </xf>
    <xf numFmtId="164" fontId="0" fillId="0" borderId="2" xfId="2" applyFont="1" applyBorder="1" applyAlignment="1">
      <alignment vertical="center" wrapText="1"/>
    </xf>
    <xf numFmtId="0" fontId="19" fillId="0" borderId="15" xfId="0" quotePrefix="1" applyFont="1" applyBorder="1"/>
    <xf numFmtId="4" fontId="19" fillId="0" borderId="0" xfId="0" applyNumberFormat="1" applyFont="1" applyAlignment="1">
      <alignment vertical="top"/>
    </xf>
    <xf numFmtId="0" fontId="5" fillId="0" borderId="2" xfId="0" applyFont="1" applyBorder="1" applyAlignment="1">
      <alignment horizontal="left" wrapText="1" indent="2"/>
    </xf>
    <xf numFmtId="0" fontId="5" fillId="0" borderId="2" xfId="0" quotePrefix="1" applyFont="1" applyBorder="1" applyAlignment="1" applyProtection="1">
      <alignment horizontal="left" wrapText="1"/>
      <protection locked="0"/>
    </xf>
    <xf numFmtId="4" fontId="0" fillId="0" borderId="2" xfId="0" applyNumberFormat="1" applyBorder="1" applyAlignment="1">
      <alignment wrapText="1"/>
    </xf>
    <xf numFmtId="164" fontId="0" fillId="0" borderId="2" xfId="2" applyFont="1" applyBorder="1" applyAlignment="1">
      <alignment wrapText="1"/>
    </xf>
    <xf numFmtId="0" fontId="5" fillId="0" borderId="3" xfId="0" applyFont="1" applyBorder="1" applyAlignment="1">
      <alignment horizontal="center" vertical="center" wrapText="1"/>
    </xf>
    <xf numFmtId="0" fontId="5" fillId="0" borderId="0" xfId="0" applyFont="1" applyAlignment="1">
      <alignment vertical="center" wrapText="1"/>
    </xf>
    <xf numFmtId="4" fontId="16" fillId="0" borderId="0" xfId="0" applyNumberFormat="1" applyFont="1" applyAlignment="1">
      <alignment vertical="top" wrapText="1"/>
    </xf>
    <xf numFmtId="0" fontId="3" fillId="0" borderId="2" xfId="0" applyFont="1" applyBorder="1" applyAlignment="1">
      <alignment horizontal="left" vertical="center" wrapText="1"/>
    </xf>
    <xf numFmtId="0" fontId="5" fillId="0" borderId="2" xfId="0" applyFont="1" applyBorder="1" applyAlignment="1">
      <alignment wrapText="1"/>
    </xf>
    <xf numFmtId="0" fontId="11" fillId="0" borderId="1" xfId="0" applyFont="1" applyBorder="1" applyAlignment="1">
      <alignment vertical="center"/>
    </xf>
    <xf numFmtId="0" fontId="9" fillId="0" borderId="2" xfId="0" applyFont="1" applyBorder="1" applyAlignment="1">
      <alignment horizontal="left" vertical="center" wrapText="1"/>
    </xf>
    <xf numFmtId="38" fontId="9" fillId="0" borderId="2" xfId="0" applyNumberFormat="1" applyFont="1" applyBorder="1" applyAlignment="1">
      <alignment horizontal="center" vertical="center" wrapText="1"/>
    </xf>
    <xf numFmtId="38" fontId="5" fillId="0" borderId="2" xfId="0" applyNumberFormat="1" applyFont="1" applyBorder="1" applyAlignment="1">
      <alignment horizontal="center" vertical="center" wrapText="1"/>
    </xf>
    <xf numFmtId="0" fontId="5" fillId="0" borderId="0" xfId="0" applyFont="1" applyAlignment="1">
      <alignment wrapText="1"/>
    </xf>
    <xf numFmtId="0" fontId="5" fillId="0" borderId="3" xfId="0" applyFont="1" applyBorder="1" applyAlignment="1">
      <alignment vertical="top"/>
    </xf>
    <xf numFmtId="0" fontId="5" fillId="0" borderId="1" xfId="0" applyFont="1" applyBorder="1" applyAlignment="1">
      <alignment horizontal="left" wrapText="1"/>
    </xf>
    <xf numFmtId="0" fontId="5" fillId="0" borderId="3" xfId="0" applyFont="1" applyBorder="1" applyAlignment="1">
      <alignment horizontal="right"/>
    </xf>
    <xf numFmtId="0" fontId="5" fillId="0" borderId="2" xfId="0" applyFont="1" applyBorder="1" applyAlignment="1">
      <alignment horizontal="left" wrapText="1"/>
    </xf>
    <xf numFmtId="0" fontId="5" fillId="0" borderId="0" xfId="0" applyFont="1" applyAlignment="1">
      <alignment horizontal="left" wrapText="1"/>
    </xf>
    <xf numFmtId="0" fontId="20" fillId="0" borderId="9" xfId="0" applyFont="1" applyBorder="1" applyAlignment="1">
      <alignment horizontal="right"/>
    </xf>
    <xf numFmtId="0" fontId="5" fillId="0" borderId="1" xfId="0" applyFont="1" applyBorder="1" applyAlignment="1">
      <alignment wrapText="1"/>
    </xf>
    <xf numFmtId="0" fontId="5" fillId="0" borderId="1" xfId="0" applyFont="1" applyBorder="1" applyAlignment="1">
      <alignment horizontal="left" vertical="center" wrapText="1"/>
    </xf>
    <xf numFmtId="2" fontId="5" fillId="0" borderId="3" xfId="0" applyNumberFormat="1" applyFont="1" applyBorder="1"/>
    <xf numFmtId="2" fontId="5" fillId="0" borderId="3" xfId="0" applyNumberFormat="1" applyFont="1" applyBorder="1" applyAlignment="1">
      <alignment horizontal="right"/>
    </xf>
    <xf numFmtId="0" fontId="5" fillId="0" borderId="0" xfId="0" applyFont="1" applyAlignment="1">
      <alignment horizontal="left" vertical="center" wrapText="1"/>
    </xf>
    <xf numFmtId="0" fontId="11" fillId="0" borderId="1" xfId="0" applyFont="1" applyBorder="1" applyAlignment="1">
      <alignment horizontal="left" vertical="center"/>
    </xf>
    <xf numFmtId="0" fontId="22" fillId="0" borderId="1" xfId="0" applyFont="1" applyBorder="1" applyAlignment="1">
      <alignment vertical="center"/>
    </xf>
    <xf numFmtId="0" fontId="23" fillId="0" borderId="1" xfId="0" applyFont="1" applyBorder="1" applyAlignment="1">
      <alignment vertical="center"/>
    </xf>
    <xf numFmtId="0" fontId="23" fillId="0" borderId="1" xfId="0" applyFont="1" applyBorder="1" applyAlignment="1">
      <alignment horizontal="left" wrapText="1"/>
    </xf>
    <xf numFmtId="2" fontId="5" fillId="0" borderId="3" xfId="0" applyNumberFormat="1" applyFont="1" applyBorder="1" applyAlignment="1">
      <alignment vertical="top"/>
    </xf>
    <xf numFmtId="2" fontId="15" fillId="0" borderId="0" xfId="0" applyNumberFormat="1" applyFont="1" applyAlignment="1">
      <alignment horizontal="right"/>
    </xf>
    <xf numFmtId="0" fontId="15" fillId="0" borderId="2" xfId="0" applyFont="1" applyBorder="1" applyAlignment="1">
      <alignment horizontal="center" wrapText="1"/>
    </xf>
    <xf numFmtId="164" fontId="15" fillId="0" borderId="2" xfId="2" applyFont="1" applyBorder="1" applyAlignment="1">
      <alignment wrapText="1"/>
    </xf>
    <xf numFmtId="4" fontId="15" fillId="0" borderId="2" xfId="0" applyNumberFormat="1" applyFont="1" applyBorder="1" applyAlignment="1">
      <alignment wrapText="1"/>
    </xf>
    <xf numFmtId="164" fontId="15" fillId="0" borderId="14" xfId="2" applyFont="1" applyBorder="1" applyAlignment="1">
      <alignment wrapText="1"/>
    </xf>
    <xf numFmtId="38" fontId="15" fillId="0" borderId="3" xfId="0" applyNumberFormat="1" applyFont="1" applyBorder="1" applyAlignment="1">
      <alignment horizontal="center" vertical="center" wrapText="1"/>
    </xf>
    <xf numFmtId="38" fontId="15" fillId="0" borderId="3" xfId="0" applyNumberFormat="1" applyFont="1" applyBorder="1" applyAlignment="1">
      <alignment horizontal="center" wrapText="1"/>
    </xf>
    <xf numFmtId="38"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4" fontId="18" fillId="0" borderId="2" xfId="0" applyNumberFormat="1" applyFont="1" applyBorder="1" applyAlignment="1">
      <alignment vertical="center" wrapText="1"/>
    </xf>
    <xf numFmtId="164" fontId="15" fillId="0" borderId="14" xfId="2" applyFont="1" applyBorder="1" applyAlignment="1">
      <alignment vertical="center" wrapText="1"/>
    </xf>
    <xf numFmtId="38" fontId="15" fillId="0" borderId="2" xfId="0" applyNumberFormat="1" applyFont="1" applyBorder="1" applyAlignment="1">
      <alignment horizontal="center" vertical="center" wrapText="1"/>
    </xf>
    <xf numFmtId="0" fontId="15" fillId="0" borderId="9" xfId="0" applyFont="1" applyBorder="1" applyAlignment="1">
      <alignment horizontal="center" vertical="center" wrapText="1"/>
    </xf>
    <xf numFmtId="4" fontId="15" fillId="0" borderId="9" xfId="0" applyNumberFormat="1" applyFont="1" applyBorder="1" applyAlignment="1">
      <alignment vertical="center" wrapText="1"/>
    </xf>
    <xf numFmtId="0" fontId="15" fillId="0" borderId="0" xfId="0" applyFont="1" applyAlignment="1">
      <alignment horizontal="right" vertical="center"/>
    </xf>
    <xf numFmtId="164" fontId="15" fillId="0" borderId="12" xfId="2" applyFont="1" applyBorder="1" applyAlignment="1">
      <alignment vertical="center"/>
    </xf>
    <xf numFmtId="164" fontId="15" fillId="0" borderId="2" xfId="2" applyFont="1" applyBorder="1" applyAlignment="1">
      <alignment horizontal="center" wrapText="1"/>
    </xf>
    <xf numFmtId="2" fontId="15" fillId="0" borderId="3" xfId="0" applyNumberFormat="1" applyFont="1" applyBorder="1"/>
    <xf numFmtId="0" fontId="15" fillId="0" borderId="3" xfId="0" applyFont="1" applyBorder="1" applyAlignment="1">
      <alignment vertical="top" wrapText="1"/>
    </xf>
    <xf numFmtId="2" fontId="15" fillId="0" borderId="3" xfId="0" applyNumberFormat="1" applyFont="1" applyBorder="1" applyAlignment="1">
      <alignment horizontal="right"/>
    </xf>
    <xf numFmtId="0" fontId="15" fillId="0" borderId="3" xfId="0" applyFont="1" applyBorder="1" applyAlignment="1">
      <alignment vertical="top"/>
    </xf>
    <xf numFmtId="0" fontId="15" fillId="0" borderId="3" xfId="0" applyFont="1" applyBorder="1" applyAlignment="1">
      <alignment horizontal="right" vertical="top"/>
    </xf>
    <xf numFmtId="2" fontId="15" fillId="0" borderId="3" xfId="0" applyNumberFormat="1" applyFont="1" applyBorder="1" applyAlignment="1">
      <alignment horizontal="right" vertical="top"/>
    </xf>
    <xf numFmtId="2" fontId="15" fillId="0" borderId="3" xfId="0" applyNumberFormat="1" applyFont="1" applyBorder="1" applyAlignment="1">
      <alignment vertical="top"/>
    </xf>
    <xf numFmtId="165" fontId="8" fillId="0" borderId="2" xfId="0" applyNumberFormat="1" applyFont="1" applyBorder="1" applyAlignment="1">
      <alignment horizontal="right"/>
    </xf>
    <xf numFmtId="164" fontId="0" fillId="0" borderId="12" xfId="2" applyFont="1" applyBorder="1" applyAlignment="1"/>
    <xf numFmtId="2" fontId="0" fillId="0" borderId="3" xfId="0" applyNumberFormat="1" applyBorder="1"/>
    <xf numFmtId="0" fontId="23" fillId="0" borderId="0" xfId="0" applyFont="1"/>
    <xf numFmtId="0" fontId="23" fillId="0" borderId="5" xfId="0" applyFont="1" applyBorder="1" applyAlignment="1">
      <alignment vertical="center"/>
    </xf>
    <xf numFmtId="0" fontId="23" fillId="0" borderId="0" xfId="0" applyFont="1" applyAlignment="1">
      <alignment vertical="center"/>
    </xf>
    <xf numFmtId="0" fontId="23" fillId="0" borderId="8" xfId="0" applyFont="1" applyBorder="1" applyAlignment="1">
      <alignment horizontal="left" vertical="center" indent="1"/>
    </xf>
    <xf numFmtId="0" fontId="25" fillId="0" borderId="1" xfId="0" applyFont="1" applyBorder="1" applyAlignment="1">
      <alignment vertical="center"/>
    </xf>
    <xf numFmtId="0" fontId="23" fillId="0" borderId="2" xfId="0" applyFont="1" applyBorder="1" applyAlignment="1">
      <alignment vertical="center" wrapText="1"/>
    </xf>
    <xf numFmtId="0" fontId="23" fillId="0" borderId="1" xfId="0" applyFont="1" applyBorder="1" applyAlignment="1">
      <alignment wrapText="1"/>
    </xf>
    <xf numFmtId="0" fontId="23" fillId="0" borderId="2" xfId="0" applyFont="1" applyBorder="1" applyAlignment="1">
      <alignment wrapText="1"/>
    </xf>
    <xf numFmtId="0" fontId="23" fillId="0" borderId="2" xfId="0" applyFont="1" applyBorder="1" applyAlignment="1">
      <alignment horizontal="left" vertical="center" wrapText="1"/>
    </xf>
    <xf numFmtId="0" fontId="21" fillId="0" borderId="2" xfId="0" applyFont="1" applyBorder="1" applyAlignment="1">
      <alignment horizontal="left" vertical="center" wrapText="1"/>
    </xf>
    <xf numFmtId="0" fontId="27" fillId="0" borderId="7" xfId="0" applyFont="1" applyBorder="1" applyAlignment="1">
      <alignment vertical="center"/>
    </xf>
    <xf numFmtId="0" fontId="28" fillId="0" borderId="9" xfId="0" applyFont="1" applyBorder="1" applyAlignment="1">
      <alignment horizontal="left" vertical="center" wrapText="1"/>
    </xf>
    <xf numFmtId="0" fontId="28"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8" fillId="0" borderId="19" xfId="0" applyFont="1" applyBorder="1" applyAlignment="1">
      <alignment horizontal="center" wrapText="1"/>
    </xf>
    <xf numFmtId="0" fontId="8" fillId="0" borderId="16" xfId="0" applyFont="1" applyBorder="1" applyAlignment="1">
      <alignment horizontal="center" wrapText="1"/>
    </xf>
    <xf numFmtId="0" fontId="5" fillId="0" borderId="0" xfId="0" applyFont="1" applyAlignment="1">
      <alignment horizont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8" fillId="0" borderId="2" xfId="0" applyFont="1" applyBorder="1" applyAlignment="1">
      <alignment horizontal="right" vertical="center" wrapText="1"/>
    </xf>
    <xf numFmtId="0" fontId="8" fillId="0" borderId="0" xfId="0" applyFont="1" applyAlignment="1">
      <alignment horizontal="right"/>
    </xf>
    <xf numFmtId="4" fontId="5" fillId="0" borderId="2" xfId="0" applyNumberFormat="1" applyFont="1" applyBorder="1" applyAlignment="1">
      <alignment horizontal="center" vertical="center" wrapText="1"/>
    </xf>
    <xf numFmtId="166" fontId="5" fillId="0" borderId="3" xfId="0" quotePrefix="1" applyNumberFormat="1" applyFont="1" applyBorder="1" applyAlignment="1">
      <alignment horizontal="right" vertical="top"/>
    </xf>
    <xf numFmtId="0" fontId="5" fillId="0" borderId="0" xfId="0" applyFont="1" applyAlignment="1">
      <alignment horizontal="right"/>
    </xf>
    <xf numFmtId="0" fontId="5" fillId="0" borderId="5" xfId="0" applyFont="1" applyBorder="1" applyAlignment="1">
      <alignment horizontal="right" vertical="center"/>
    </xf>
    <xf numFmtId="0" fontId="5" fillId="0" borderId="8" xfId="0" applyFont="1" applyBorder="1" applyAlignment="1">
      <alignment horizontal="right" vertical="center" indent="1"/>
    </xf>
    <xf numFmtId="4" fontId="8" fillId="0" borderId="13" xfId="0" applyNumberFormat="1" applyFont="1" applyBorder="1" applyAlignment="1">
      <alignment horizontal="right" wrapText="1"/>
    </xf>
    <xf numFmtId="4" fontId="5" fillId="0" borderId="2" xfId="0" applyNumberFormat="1" applyFont="1" applyBorder="1" applyAlignment="1">
      <alignment horizontal="right" vertical="center" wrapText="1"/>
    </xf>
    <xf numFmtId="4" fontId="5" fillId="0" borderId="2" xfId="0" applyNumberFormat="1" applyFont="1" applyBorder="1" applyAlignment="1">
      <alignment horizontal="right" wrapText="1"/>
    </xf>
    <xf numFmtId="4" fontId="9" fillId="0" borderId="2" xfId="0" applyNumberFormat="1" applyFont="1" applyBorder="1" applyAlignment="1">
      <alignment horizontal="right" vertical="center" wrapText="1"/>
    </xf>
    <xf numFmtId="164" fontId="5" fillId="0" borderId="2" xfId="2" applyFont="1" applyBorder="1" applyAlignment="1">
      <alignment horizontal="right" vertical="center" wrapText="1"/>
    </xf>
    <xf numFmtId="4" fontId="5" fillId="0" borderId="9" xfId="0" applyNumberFormat="1" applyFont="1" applyBorder="1" applyAlignment="1">
      <alignment horizontal="right" vertical="center" wrapText="1"/>
    </xf>
    <xf numFmtId="43" fontId="5" fillId="0" borderId="2" xfId="2" applyNumberFormat="1" applyFont="1" applyBorder="1" applyAlignment="1">
      <alignment wrapText="1"/>
    </xf>
    <xf numFmtId="0" fontId="5" fillId="0" borderId="2" xfId="0" quotePrefix="1" applyFont="1" applyBorder="1" applyAlignment="1">
      <alignment vertical="center" wrapText="1"/>
    </xf>
    <xf numFmtId="0" fontId="5" fillId="0" borderId="2" xfId="0" quotePrefix="1" applyFont="1" applyBorder="1" applyAlignment="1">
      <alignment wrapText="1"/>
    </xf>
    <xf numFmtId="43" fontId="5" fillId="0" borderId="20" xfId="3" applyFont="1" applyBorder="1" applyAlignment="1">
      <alignment horizontal="center" vertical="top"/>
    </xf>
    <xf numFmtId="49" fontId="5" fillId="0" borderId="21" xfId="0" applyNumberFormat="1" applyFont="1" applyBorder="1" applyAlignment="1">
      <alignment horizontal="center" vertical="top"/>
    </xf>
    <xf numFmtId="0" fontId="5" fillId="0" borderId="21" xfId="0" applyFont="1" applyBorder="1" applyAlignment="1">
      <alignment horizontal="left" vertical="top" wrapText="1" indent="2"/>
    </xf>
    <xf numFmtId="0" fontId="5" fillId="0" borderId="21" xfId="0" applyFont="1" applyBorder="1" applyAlignment="1">
      <alignment vertical="top" wrapText="1"/>
    </xf>
    <xf numFmtId="43" fontId="5" fillId="0" borderId="20" xfId="3" applyFont="1" applyBorder="1" applyAlignment="1">
      <alignment horizontal="right" vertical="top"/>
    </xf>
    <xf numFmtId="4" fontId="5" fillId="0" borderId="2" xfId="0" applyNumberFormat="1" applyFont="1" applyBorder="1" applyAlignment="1">
      <alignment horizontal="center" wrapText="1"/>
    </xf>
    <xf numFmtId="0" fontId="26" fillId="0" borderId="5" xfId="0" applyFont="1" applyBorder="1" applyAlignment="1">
      <alignment horizontal="center" vertical="center"/>
    </xf>
    <xf numFmtId="0" fontId="1" fillId="0" borderId="8" xfId="0" applyFont="1" applyBorder="1" applyAlignment="1">
      <alignment horizontal="right" wrapText="1"/>
    </xf>
    <xf numFmtId="0" fontId="1" fillId="0" borderId="5" xfId="0" applyFont="1" applyBorder="1" applyAlignment="1">
      <alignment horizontal="right" wrapText="1"/>
    </xf>
    <xf numFmtId="0" fontId="6" fillId="0" borderId="21" xfId="0" applyFont="1" applyBorder="1" applyAlignment="1">
      <alignment horizontal="left" vertical="top" wrapText="1"/>
    </xf>
    <xf numFmtId="49" fontId="5" fillId="0" borderId="23" xfId="0" applyNumberFormat="1" applyFont="1" applyBorder="1" applyAlignment="1">
      <alignment horizontal="left" vertical="top" wrapText="1"/>
    </xf>
    <xf numFmtId="4" fontId="6" fillId="0" borderId="21" xfId="0" applyNumberFormat="1" applyFont="1" applyBorder="1" applyAlignment="1">
      <alignment vertical="top" wrapText="1"/>
    </xf>
    <xf numFmtId="4" fontId="11" fillId="0" borderId="21" xfId="0" applyNumberFormat="1" applyFont="1" applyBorder="1" applyAlignment="1">
      <alignment vertical="top" wrapText="1"/>
    </xf>
    <xf numFmtId="165" fontId="0" fillId="0" borderId="9" xfId="0" applyNumberFormat="1" applyBorder="1" applyAlignment="1">
      <alignment horizontal="center" vertical="center"/>
    </xf>
    <xf numFmtId="43" fontId="5" fillId="0" borderId="0" xfId="3" applyFont="1" applyAlignment="1">
      <alignment horizontal="left"/>
    </xf>
    <xf numFmtId="1" fontId="5" fillId="0" borderId="0" xfId="0" applyNumberFormat="1" applyFont="1" applyAlignment="1">
      <alignment horizontal="center" vertical="top"/>
    </xf>
    <xf numFmtId="4" fontId="5" fillId="0" borderId="0" xfId="0" applyNumberFormat="1" applyFont="1" applyAlignment="1">
      <alignment vertical="top"/>
    </xf>
    <xf numFmtId="43" fontId="5" fillId="0" borderId="0" xfId="3" applyFont="1"/>
    <xf numFmtId="0" fontId="8" fillId="0" borderId="0" xfId="0" applyFont="1" applyAlignment="1">
      <alignment vertical="center"/>
    </xf>
    <xf numFmtId="0" fontId="8" fillId="0" borderId="0" xfId="0" applyFont="1"/>
    <xf numFmtId="4" fontId="5" fillId="0" borderId="0" xfId="0" applyNumberFormat="1" applyFont="1" applyAlignment="1">
      <alignment horizontal="center" vertical="top"/>
    </xf>
    <xf numFmtId="43" fontId="5" fillId="0" borderId="0" xfId="3" applyFont="1" applyBorder="1" applyAlignment="1" applyProtection="1">
      <alignment vertical="top"/>
      <protection locked="0"/>
    </xf>
    <xf numFmtId="4" fontId="5" fillId="0" borderId="0" xfId="0" applyNumberFormat="1" applyFont="1" applyAlignment="1" applyProtection="1">
      <alignment vertical="top"/>
      <protection locked="0"/>
    </xf>
    <xf numFmtId="167" fontId="5" fillId="0" borderId="0" xfId="3" applyNumberFormat="1" applyFont="1" applyBorder="1" applyAlignment="1" applyProtection="1">
      <alignment vertical="top"/>
    </xf>
    <xf numFmtId="43" fontId="8" fillId="0" borderId="24" xfId="3" applyFont="1" applyBorder="1" applyAlignment="1">
      <alignment horizontal="center" vertical="top"/>
    </xf>
    <xf numFmtId="4" fontId="8" fillId="0" borderId="25" xfId="0" applyNumberFormat="1" applyFont="1" applyBorder="1" applyAlignment="1">
      <alignment horizontal="center" vertical="top"/>
    </xf>
    <xf numFmtId="4" fontId="8" fillId="0" borderId="25" xfId="0" applyNumberFormat="1" applyFont="1" applyBorder="1" applyAlignment="1" applyProtection="1">
      <alignment horizontal="center" vertical="top"/>
      <protection locked="0"/>
    </xf>
    <xf numFmtId="43" fontId="8" fillId="0" borderId="25" xfId="3" applyFont="1" applyFill="1" applyBorder="1" applyAlignment="1" applyProtection="1">
      <alignment horizontal="center" vertical="top" wrapText="1"/>
      <protection locked="0"/>
    </xf>
    <xf numFmtId="0" fontId="5" fillId="0" borderId="21" xfId="0" applyFont="1" applyBorder="1" applyAlignment="1">
      <alignment wrapText="1"/>
    </xf>
    <xf numFmtId="0" fontId="5" fillId="0" borderId="21" xfId="0" applyFont="1" applyBorder="1" applyAlignment="1">
      <alignment horizontal="center"/>
    </xf>
    <xf numFmtId="1" fontId="5" fillId="0" borderId="21" xfId="0" applyNumberFormat="1" applyFont="1" applyBorder="1"/>
    <xf numFmtId="2" fontId="5" fillId="0" borderId="21" xfId="0" applyNumberFormat="1" applyFont="1" applyBorder="1" applyAlignment="1">
      <alignment horizontal="right"/>
    </xf>
    <xf numFmtId="43" fontId="5" fillId="0" borderId="21" xfId="3" applyFont="1" applyFill="1" applyBorder="1" applyAlignment="1">
      <alignment horizontal="right" wrapText="1"/>
    </xf>
    <xf numFmtId="4" fontId="6" fillId="0" borderId="21" xfId="0" applyNumberFormat="1" applyFont="1" applyBorder="1" applyAlignment="1">
      <alignment horizontal="left" vertical="top" wrapText="1"/>
    </xf>
    <xf numFmtId="168" fontId="5" fillId="0" borderId="21" xfId="0" applyNumberFormat="1" applyFont="1" applyBorder="1" applyAlignment="1">
      <alignment horizontal="center" vertical="top"/>
    </xf>
    <xf numFmtId="4" fontId="5" fillId="0" borderId="21" xfId="0" applyNumberFormat="1" applyFont="1" applyBorder="1" applyAlignment="1">
      <alignment horizontal="center" vertical="top"/>
    </xf>
    <xf numFmtId="4" fontId="5" fillId="0" borderId="21" xfId="3" applyNumberFormat="1" applyFont="1" applyFill="1" applyBorder="1" applyAlignment="1" applyProtection="1">
      <alignment vertical="top"/>
      <protection locked="0"/>
    </xf>
    <xf numFmtId="4" fontId="5" fillId="0" borderId="21" xfId="0" applyNumberFormat="1" applyFont="1" applyBorder="1" applyAlignment="1">
      <alignment vertical="top" wrapText="1"/>
    </xf>
    <xf numFmtId="169" fontId="5" fillId="0" borderId="21" xfId="0" applyNumberFormat="1" applyFont="1" applyBorder="1"/>
    <xf numFmtId="4" fontId="5" fillId="0" borderId="21" xfId="0" applyNumberFormat="1" applyFont="1" applyBorder="1" applyAlignment="1">
      <alignment horizontal="left" vertical="top" wrapText="1"/>
    </xf>
    <xf numFmtId="170" fontId="5" fillId="0" borderId="20" xfId="3" applyNumberFormat="1" applyFont="1" applyBorder="1" applyAlignment="1">
      <alignment horizontal="right" vertical="top"/>
    </xf>
    <xf numFmtId="49" fontId="5" fillId="0" borderId="21" xfId="0" applyNumberFormat="1" applyFont="1" applyBorder="1" applyAlignment="1">
      <alignment horizontal="left" vertical="top" wrapText="1"/>
    </xf>
    <xf numFmtId="1" fontId="5" fillId="0" borderId="21" xfId="0" applyNumberFormat="1" applyFont="1" applyBorder="1" applyAlignment="1">
      <alignment horizontal="center"/>
    </xf>
    <xf numFmtId="43" fontId="5" fillId="0" borderId="20" xfId="3" quotePrefix="1" applyFont="1" applyBorder="1" applyAlignment="1">
      <alignment horizontal="right" vertical="top"/>
    </xf>
    <xf numFmtId="49" fontId="5" fillId="0" borderId="21" xfId="0" quotePrefix="1" applyNumberFormat="1" applyFont="1" applyBorder="1" applyAlignment="1">
      <alignment horizontal="center" vertical="top"/>
    </xf>
    <xf numFmtId="0" fontId="11" fillId="0" borderId="21" xfId="0" quotePrefix="1" applyFont="1" applyBorder="1" applyAlignment="1">
      <alignment horizontal="left" wrapText="1"/>
    </xf>
    <xf numFmtId="0" fontId="6" fillId="0" borderId="21" xfId="0" applyFont="1" applyBorder="1" applyAlignment="1">
      <alignment horizontal="left" wrapText="1"/>
    </xf>
    <xf numFmtId="0" fontId="5" fillId="0" borderId="21" xfId="0" applyFont="1" applyBorder="1" applyAlignment="1">
      <alignment horizontal="left" wrapText="1" indent="1"/>
    </xf>
    <xf numFmtId="49" fontId="11" fillId="0" borderId="21" xfId="0" quotePrefix="1" applyNumberFormat="1" applyFont="1" applyBorder="1" applyAlignment="1">
      <alignment horizontal="left" vertical="top"/>
    </xf>
    <xf numFmtId="2" fontId="5" fillId="0" borderId="21" xfId="0" applyNumberFormat="1" applyFont="1" applyBorder="1" applyAlignment="1">
      <alignment horizontal="right" wrapText="1"/>
    </xf>
    <xf numFmtId="43" fontId="5" fillId="0" borderId="20" xfId="3" quotePrefix="1" applyFont="1" applyBorder="1" applyAlignment="1">
      <alignment horizontal="right" vertical="top" wrapText="1"/>
    </xf>
    <xf numFmtId="0" fontId="5" fillId="0" borderId="21" xfId="0" quotePrefix="1" applyFont="1" applyBorder="1" applyAlignment="1">
      <alignment horizontal="center" wrapText="1"/>
    </xf>
    <xf numFmtId="49" fontId="5" fillId="0" borderId="21" xfId="0" quotePrefix="1" applyNumberFormat="1" applyFont="1" applyBorder="1" applyAlignment="1">
      <alignment horizontal="center" vertical="top" wrapText="1"/>
    </xf>
    <xf numFmtId="0" fontId="5" fillId="0" borderId="21" xfId="0" quotePrefix="1" applyFont="1" applyBorder="1" applyAlignment="1">
      <alignment horizontal="left" wrapText="1" indent="1"/>
    </xf>
    <xf numFmtId="0" fontId="5" fillId="0" borderId="21" xfId="0" quotePrefix="1" applyFont="1" applyBorder="1" applyAlignment="1">
      <alignment horizontal="right" wrapText="1"/>
    </xf>
    <xf numFmtId="0" fontId="5" fillId="0" borderId="21" xfId="0" quotePrefix="1" applyFont="1" applyBorder="1" applyAlignment="1">
      <alignment horizontal="left" wrapText="1"/>
    </xf>
    <xf numFmtId="4" fontId="8" fillId="0" borderId="21" xfId="0" applyNumberFormat="1" applyFont="1" applyBorder="1" applyAlignment="1" applyProtection="1">
      <alignment vertical="top"/>
      <protection locked="0"/>
    </xf>
    <xf numFmtId="4" fontId="8" fillId="0" borderId="21" xfId="0" applyNumberFormat="1" applyFont="1" applyBorder="1" applyAlignment="1">
      <alignment horizontal="center" vertical="top"/>
    </xf>
    <xf numFmtId="43" fontId="8" fillId="0" borderId="21" xfId="3" applyFont="1" applyBorder="1" applyAlignment="1" applyProtection="1">
      <alignment vertical="top"/>
      <protection locked="0"/>
    </xf>
    <xf numFmtId="0" fontId="5" fillId="0" borderId="21" xfId="0" quotePrefix="1" applyFont="1" applyBorder="1" applyAlignment="1">
      <alignment horizontal="center"/>
    </xf>
    <xf numFmtId="0" fontId="5" fillId="0" borderId="21" xfId="0" applyFont="1" applyBorder="1" applyAlignment="1">
      <alignment horizontal="left" wrapText="1"/>
    </xf>
    <xf numFmtId="49" fontId="5" fillId="0" borderId="22" xfId="0" quotePrefix="1" applyNumberFormat="1" applyFont="1" applyBorder="1" applyAlignment="1">
      <alignment horizontal="center" vertical="top" wrapText="1"/>
    </xf>
    <xf numFmtId="4" fontId="5" fillId="0" borderId="23" xfId="0" applyNumberFormat="1" applyFont="1" applyBorder="1" applyAlignment="1">
      <alignment horizontal="left" vertical="top" wrapText="1"/>
    </xf>
    <xf numFmtId="0" fontId="11" fillId="0" borderId="23" xfId="0" applyFont="1" applyBorder="1" applyAlignment="1">
      <alignment horizontal="left" wrapText="1"/>
    </xf>
    <xf numFmtId="0" fontId="5" fillId="0" borderId="23" xfId="0" quotePrefix="1" applyFont="1" applyBorder="1" applyAlignment="1">
      <alignment horizontal="left" wrapText="1"/>
    </xf>
    <xf numFmtId="4" fontId="11" fillId="0" borderId="21" xfId="0" applyNumberFormat="1" applyFont="1" applyBorder="1" applyAlignment="1">
      <alignment vertical="top"/>
    </xf>
    <xf numFmtId="4" fontId="8" fillId="0" borderId="21" xfId="0" applyNumberFormat="1" applyFont="1" applyBorder="1" applyAlignment="1">
      <alignment horizontal="right" vertical="top" wrapText="1"/>
    </xf>
    <xf numFmtId="4" fontId="5" fillId="0" borderId="21" xfId="0" applyNumberFormat="1" applyFont="1" applyBorder="1" applyAlignment="1">
      <alignment vertical="top"/>
    </xf>
    <xf numFmtId="3" fontId="5" fillId="0" borderId="21" xfId="0" applyNumberFormat="1" applyFont="1" applyBorder="1" applyAlignment="1" applyProtection="1">
      <alignment vertical="top"/>
      <protection locked="0"/>
    </xf>
    <xf numFmtId="3" fontId="5" fillId="0" borderId="21" xfId="0" applyNumberFormat="1" applyFont="1" applyBorder="1" applyAlignment="1" applyProtection="1">
      <alignment horizontal="center" vertical="top"/>
      <protection locked="0"/>
    </xf>
    <xf numFmtId="43" fontId="5" fillId="0" borderId="20" xfId="3" quotePrefix="1" applyFont="1" applyBorder="1" applyAlignment="1">
      <alignment horizontal="center" vertical="top"/>
    </xf>
    <xf numFmtId="43" fontId="5" fillId="0" borderId="26" xfId="3" quotePrefix="1" applyFont="1" applyBorder="1" applyAlignment="1">
      <alignment horizontal="center" vertical="top"/>
    </xf>
    <xf numFmtId="49" fontId="5" fillId="0" borderId="27" xfId="0" quotePrefix="1" applyNumberFormat="1" applyFont="1" applyBorder="1" applyAlignment="1">
      <alignment horizontal="center" vertical="top"/>
    </xf>
    <xf numFmtId="0" fontId="5" fillId="0" borderId="27" xfId="0" applyFont="1" applyBorder="1" applyAlignment="1">
      <alignment horizontal="left" wrapText="1" indent="4"/>
    </xf>
    <xf numFmtId="0" fontId="5" fillId="0" borderId="27" xfId="0" applyFont="1" applyBorder="1" applyAlignment="1">
      <alignment horizontal="center"/>
    </xf>
    <xf numFmtId="1" fontId="5" fillId="0" borderId="27" xfId="0" applyNumberFormat="1" applyFont="1" applyBorder="1"/>
    <xf numFmtId="2" fontId="5" fillId="0" borderId="27" xfId="0" applyNumberFormat="1" applyFont="1" applyBorder="1" applyAlignment="1">
      <alignment horizontal="right"/>
    </xf>
    <xf numFmtId="43" fontId="5" fillId="0" borderId="27" xfId="3" applyFont="1" applyFill="1" applyBorder="1" applyAlignment="1">
      <alignment horizontal="right" wrapText="1"/>
    </xf>
    <xf numFmtId="43" fontId="0" fillId="0" borderId="0" xfId="3" applyFont="1"/>
    <xf numFmtId="43" fontId="8" fillId="0" borderId="0" xfId="3" applyFont="1" applyAlignment="1">
      <alignment vertical="center"/>
    </xf>
    <xf numFmtId="43" fontId="8" fillId="0" borderId="0" xfId="3" applyFont="1" applyAlignment="1">
      <alignment horizontal="left" vertical="center"/>
    </xf>
    <xf numFmtId="4" fontId="0" fillId="0" borderId="21" xfId="0" applyNumberFormat="1" applyBorder="1" applyAlignment="1">
      <alignment horizontal="left" vertical="top" wrapText="1"/>
    </xf>
    <xf numFmtId="170" fontId="5" fillId="0" borderId="0" xfId="3" quotePrefix="1" applyNumberFormat="1" applyFont="1" applyAlignment="1">
      <alignment horizontal="center" vertical="top"/>
    </xf>
    <xf numFmtId="0" fontId="5" fillId="0" borderId="2" xfId="0" quotePrefix="1" applyFont="1" applyBorder="1" applyAlignment="1">
      <alignment horizontal="left" wrapText="1" indent="3"/>
    </xf>
    <xf numFmtId="0" fontId="5" fillId="0" borderId="0" xfId="0" applyFont="1" applyAlignment="1">
      <alignment horizontal="left" vertical="center" wrapText="1" indent="1"/>
    </xf>
    <xf numFmtId="0" fontId="5" fillId="0" borderId="0" xfId="0" applyFont="1" applyAlignment="1">
      <alignment horizontal="left" vertical="center" wrapText="1" indent="2"/>
    </xf>
    <xf numFmtId="0" fontId="5" fillId="0" borderId="0" xfId="0" applyFont="1" applyAlignment="1">
      <alignment vertical="top" wrapText="1"/>
    </xf>
    <xf numFmtId="0" fontId="5" fillId="0" borderId="0" xfId="0" applyFont="1" applyAlignment="1">
      <alignment horizontal="left" vertical="center" wrapText="1" indent="3"/>
    </xf>
    <xf numFmtId="0" fontId="30" fillId="0" borderId="1" xfId="0" applyFont="1" applyBorder="1" applyAlignment="1">
      <alignment vertical="center"/>
    </xf>
    <xf numFmtId="0" fontId="29" fillId="0" borderId="1" xfId="0" applyFont="1" applyBorder="1" applyAlignment="1">
      <alignment vertical="center"/>
    </xf>
    <xf numFmtId="0" fontId="5" fillId="0" borderId="1" xfId="0" applyFont="1" applyBorder="1"/>
    <xf numFmtId="0" fontId="6" fillId="0" borderId="1" xfId="0" applyFont="1" applyBorder="1" applyAlignment="1">
      <alignment horizontal="left" vertical="center"/>
    </xf>
    <xf numFmtId="0" fontId="5" fillId="0" borderId="2" xfId="0" applyFont="1" applyBorder="1" applyAlignment="1">
      <alignment horizontal="left" vertical="center" wrapText="1" indent="3"/>
    </xf>
    <xf numFmtId="0" fontId="5" fillId="0" borderId="21" xfId="0" applyFont="1" applyBorder="1" applyAlignment="1">
      <alignment horizontal="left" vertical="top" wrapText="1" indent="3"/>
    </xf>
    <xf numFmtId="0" fontId="5" fillId="0" borderId="1" xfId="0" applyFont="1" applyBorder="1" applyAlignment="1">
      <alignment horizontal="left" vertical="center"/>
    </xf>
    <xf numFmtId="40" fontId="5" fillId="0" borderId="2" xfId="0" applyNumberFormat="1" applyFont="1" applyBorder="1" applyAlignment="1">
      <alignment horizontal="center" wrapText="1"/>
    </xf>
    <xf numFmtId="38" fontId="5" fillId="0" borderId="2" xfId="0" applyNumberFormat="1" applyFont="1" applyBorder="1" applyAlignment="1">
      <alignment horizontal="center" wrapText="1"/>
    </xf>
    <xf numFmtId="0" fontId="11" fillId="0" borderId="1" xfId="0" applyFont="1" applyBorder="1" applyAlignment="1">
      <alignment horizontal="left" wrapText="1"/>
    </xf>
    <xf numFmtId="0" fontId="5" fillId="0" borderId="0" xfId="0" applyFont="1" applyAlignment="1">
      <alignment horizontal="left" vertical="top" wrapText="1" indent="3"/>
    </xf>
    <xf numFmtId="0" fontId="11" fillId="0" borderId="2" xfId="0" applyFont="1" applyBorder="1" applyAlignment="1">
      <alignment horizontal="left" vertical="center"/>
    </xf>
    <xf numFmtId="0" fontId="6" fillId="0" borderId="0" xfId="0" applyFont="1" applyAlignment="1">
      <alignment vertical="center"/>
    </xf>
    <xf numFmtId="0" fontId="11" fillId="0" borderId="0" xfId="0" applyFont="1" applyAlignment="1">
      <alignment vertical="center"/>
    </xf>
    <xf numFmtId="49" fontId="31" fillId="0" borderId="21" xfId="0" applyNumberFormat="1" applyFont="1" applyBorder="1" applyAlignment="1">
      <alignment horizontal="left" vertical="top"/>
    </xf>
    <xf numFmtId="2" fontId="5" fillId="0" borderId="22" xfId="0" applyNumberFormat="1" applyFont="1" applyBorder="1" applyAlignment="1">
      <alignment horizontal="right"/>
    </xf>
    <xf numFmtId="43" fontId="5" fillId="0" borderId="28" xfId="2" applyNumberFormat="1" applyFont="1" applyBorder="1" applyAlignment="1">
      <alignment wrapText="1"/>
    </xf>
    <xf numFmtId="43" fontId="0" fillId="0" borderId="2" xfId="0" applyNumberFormat="1" applyBorder="1" applyAlignment="1">
      <alignment vertical="center" wrapText="1"/>
    </xf>
    <xf numFmtId="49" fontId="5" fillId="0" borderId="22" xfId="0" applyNumberFormat="1" applyFont="1" applyBorder="1" applyAlignment="1">
      <alignment horizontal="center" vertical="top"/>
    </xf>
    <xf numFmtId="0" fontId="5" fillId="0" borderId="23" xfId="0" applyFont="1" applyBorder="1" applyAlignment="1">
      <alignment horizontal="left" vertical="top" wrapText="1" indent="2"/>
    </xf>
    <xf numFmtId="43" fontId="5" fillId="0" borderId="28" xfId="3" applyFont="1" applyFill="1" applyBorder="1" applyAlignment="1">
      <alignment horizontal="right" wrapText="1"/>
    </xf>
    <xf numFmtId="0" fontId="11" fillId="0" borderId="1" xfId="0" applyFont="1" applyBorder="1"/>
    <xf numFmtId="0" fontId="33" fillId="0" borderId="1" xfId="0" applyFont="1" applyBorder="1" applyAlignment="1">
      <alignment vertical="center"/>
    </xf>
    <xf numFmtId="0" fontId="18" fillId="0" borderId="2" xfId="0" applyFont="1" applyBorder="1" applyAlignment="1">
      <alignment horizontal="left" vertical="center" wrapText="1"/>
    </xf>
    <xf numFmtId="0" fontId="34" fillId="0" borderId="1" xfId="0" applyFont="1" applyBorder="1" applyAlignment="1">
      <alignment vertical="center"/>
    </xf>
    <xf numFmtId="43" fontId="8" fillId="0" borderId="4" xfId="0" applyNumberFormat="1" applyFont="1" applyBorder="1" applyAlignment="1">
      <alignment vertical="center"/>
    </xf>
    <xf numFmtId="43" fontId="8" fillId="0" borderId="1" xfId="0" applyNumberFormat="1" applyFont="1" applyBorder="1" applyAlignment="1">
      <alignment vertical="center"/>
    </xf>
    <xf numFmtId="43" fontId="5" fillId="0" borderId="0" xfId="3" applyFont="1" applyBorder="1" applyAlignment="1" applyProtection="1">
      <alignment horizontal="right" vertical="center"/>
      <protection locked="0"/>
    </xf>
    <xf numFmtId="0" fontId="8" fillId="0" borderId="2" xfId="0" applyFont="1" applyBorder="1" applyAlignment="1">
      <alignment horizontal="left" vertical="center"/>
    </xf>
    <xf numFmtId="0" fontId="5" fillId="0" borderId="2" xfId="0" applyFont="1" applyBorder="1" applyAlignment="1">
      <alignment horizontal="left" vertical="center"/>
    </xf>
    <xf numFmtId="164" fontId="5" fillId="0" borderId="0" xfId="2" applyFont="1" applyBorder="1" applyAlignment="1">
      <alignment vertical="center" wrapText="1"/>
    </xf>
    <xf numFmtId="4" fontId="8" fillId="0" borderId="21" xfId="0" applyNumberFormat="1" applyFont="1" applyBorder="1" applyAlignment="1">
      <alignment horizontal="right" vertical="center" wrapText="1"/>
    </xf>
    <xf numFmtId="0" fontId="11" fillId="0" borderId="2" xfId="0" applyFont="1" applyBorder="1" applyAlignment="1">
      <alignment horizontal="left" wrapText="1"/>
    </xf>
    <xf numFmtId="0" fontId="23" fillId="0" borderId="2" xfId="0" applyFont="1" applyBorder="1" applyAlignment="1">
      <alignment horizontal="left" wrapText="1"/>
    </xf>
    <xf numFmtId="0" fontId="6" fillId="0" borderId="29" xfId="0" applyFont="1" applyBorder="1" applyAlignment="1">
      <alignment horizontal="left" vertical="top" wrapText="1"/>
    </xf>
    <xf numFmtId="0" fontId="21" fillId="0" borderId="3" xfId="0" applyFont="1" applyBorder="1"/>
    <xf numFmtId="0" fontId="35" fillId="0" borderId="1" xfId="0" applyFont="1" applyBorder="1" applyAlignment="1">
      <alignment vertical="center"/>
    </xf>
    <xf numFmtId="0" fontId="24" fillId="0" borderId="1" xfId="0" applyFont="1" applyBorder="1" applyAlignment="1">
      <alignment vertical="center"/>
    </xf>
    <xf numFmtId="0" fontId="23" fillId="0" borderId="3" xfId="0" applyFont="1" applyBorder="1"/>
    <xf numFmtId="2" fontId="23" fillId="0" borderId="3" xfId="0" applyNumberFormat="1" applyFont="1" applyBorder="1"/>
    <xf numFmtId="0" fontId="5" fillId="0" borderId="2" xfId="0" applyFont="1" applyBorder="1" applyAlignment="1">
      <alignment horizontal="left" vertical="center" wrapText="1" indent="2"/>
    </xf>
    <xf numFmtId="0" fontId="5" fillId="0" borderId="2" xfId="0" applyFont="1" applyBorder="1" applyAlignment="1">
      <alignment horizontal="left" vertical="center" wrapText="1" indent="4"/>
    </xf>
    <xf numFmtId="4" fontId="30" fillId="2" borderId="29" xfId="0" applyNumberFormat="1" applyFont="1" applyFill="1" applyBorder="1" applyAlignment="1">
      <alignment vertical="top"/>
    </xf>
    <xf numFmtId="0" fontId="5" fillId="0" borderId="2" xfId="0" applyFont="1" applyBorder="1" applyAlignment="1">
      <alignment horizontal="left" wrapText="1" indent="3"/>
    </xf>
    <xf numFmtId="164" fontId="5" fillId="0" borderId="2" xfId="2" applyFont="1" applyBorder="1" applyAlignment="1">
      <alignment horizontal="left" wrapText="1" indent="3"/>
    </xf>
    <xf numFmtId="4" fontId="30" fillId="2" borderId="0" xfId="0" applyNumberFormat="1" applyFont="1" applyFill="1" applyAlignment="1">
      <alignment vertical="top"/>
    </xf>
    <xf numFmtId="4" fontId="5" fillId="0" borderId="0" xfId="0" applyNumberFormat="1" applyFont="1" applyAlignment="1">
      <alignment vertical="center" wrapText="1"/>
    </xf>
    <xf numFmtId="164" fontId="5" fillId="0" borderId="28" xfId="2" applyFont="1" applyBorder="1" applyAlignment="1">
      <alignment wrapText="1"/>
    </xf>
    <xf numFmtId="0" fontId="5" fillId="0" borderId="2" xfId="0" quotePrefix="1" applyFont="1" applyBorder="1" applyAlignment="1">
      <alignment horizontal="left" vertical="center" wrapText="1" indent="3"/>
    </xf>
    <xf numFmtId="38" fontId="5" fillId="0" borderId="0" xfId="0" applyNumberFormat="1" applyFont="1" applyAlignment="1">
      <alignment horizontal="center"/>
    </xf>
    <xf numFmtId="38" fontId="5" fillId="0" borderId="5" xfId="0" applyNumberFormat="1" applyFont="1" applyBorder="1" applyAlignment="1">
      <alignment horizontal="center" vertical="center"/>
    </xf>
    <xf numFmtId="38" fontId="5" fillId="0" borderId="0" xfId="0" applyNumberFormat="1" applyFont="1" applyAlignment="1">
      <alignment horizontal="center" vertical="center"/>
    </xf>
    <xf numFmtId="38" fontId="5" fillId="0" borderId="8" xfId="0" applyNumberFormat="1" applyFont="1" applyBorder="1" applyAlignment="1">
      <alignment horizontal="center" vertical="center"/>
    </xf>
    <xf numFmtId="38" fontId="8" fillId="0" borderId="12" xfId="0" applyNumberFormat="1" applyFont="1" applyBorder="1" applyAlignment="1">
      <alignment horizontal="center" wrapText="1"/>
    </xf>
    <xf numFmtId="38" fontId="5" fillId="0" borderId="3" xfId="0" applyNumberFormat="1" applyFont="1" applyBorder="1" applyAlignment="1">
      <alignment horizontal="center" vertical="center" wrapText="1"/>
    </xf>
    <xf numFmtId="38" fontId="5" fillId="0" borderId="9" xfId="0" applyNumberFormat="1" applyFont="1" applyBorder="1" applyAlignment="1">
      <alignment horizontal="center" vertical="center" wrapText="1"/>
    </xf>
    <xf numFmtId="0" fontId="5" fillId="0" borderId="9" xfId="0" applyFont="1" applyBorder="1" applyAlignment="1">
      <alignment horizont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11" fillId="0" borderId="0" xfId="0" applyFont="1" applyAlignment="1">
      <alignment horizontal="left" vertical="center"/>
    </xf>
    <xf numFmtId="43" fontId="5" fillId="0" borderId="1" xfId="3" applyFont="1" applyBorder="1" applyAlignment="1">
      <alignment horizontal="center" vertical="top"/>
    </xf>
    <xf numFmtId="0" fontId="5" fillId="0" borderId="2" xfId="0" quotePrefix="1" applyFont="1" applyBorder="1" applyAlignment="1">
      <alignment horizontal="left" vertical="center" wrapText="1"/>
    </xf>
    <xf numFmtId="43" fontId="5" fillId="0" borderId="3" xfId="0" applyNumberFormat="1" applyFont="1" applyBorder="1"/>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165" fontId="5" fillId="0" borderId="2" xfId="0" applyNumberFormat="1" applyFont="1" applyBorder="1" applyAlignment="1">
      <alignment horizontal="right" vertical="center" wrapText="1" indent="1"/>
    </xf>
    <xf numFmtId="4" fontId="9" fillId="0" borderId="2" xfId="0" applyNumberFormat="1" applyFont="1" applyBorder="1" applyAlignment="1">
      <alignment wrapText="1"/>
    </xf>
    <xf numFmtId="164" fontId="5" fillId="0" borderId="28" xfId="2" applyFont="1" applyBorder="1" applyAlignment="1">
      <alignment vertical="center" wrapText="1"/>
    </xf>
    <xf numFmtId="164" fontId="5" fillId="0" borderId="28" xfId="2" applyFont="1" applyBorder="1" applyAlignment="1">
      <alignment horizontal="center" vertical="center" wrapText="1"/>
    </xf>
    <xf numFmtId="164" fontId="0" fillId="0" borderId="2" xfId="2" applyFont="1" applyBorder="1" applyAlignment="1">
      <alignment horizontal="left" vertical="center" wrapText="1"/>
    </xf>
    <xf numFmtId="164" fontId="5" fillId="0" borderId="2" xfId="2" applyFont="1" applyBorder="1" applyAlignment="1">
      <alignment horizont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38" fontId="5" fillId="0" borderId="0" xfId="0" applyNumberFormat="1" applyFont="1" applyAlignment="1">
      <alignment horizontal="center" wrapText="1"/>
    </xf>
    <xf numFmtId="0" fontId="10" fillId="0" borderId="1" xfId="0" applyFont="1" applyBorder="1"/>
    <xf numFmtId="40" fontId="5" fillId="0" borderId="30" xfId="0" applyNumberFormat="1" applyFont="1" applyBorder="1" applyAlignment="1">
      <alignment horizontal="center"/>
    </xf>
    <xf numFmtId="40" fontId="5" fillId="0" borderId="0" xfId="0" applyNumberFormat="1" applyFont="1" applyAlignment="1">
      <alignment horizontal="center"/>
    </xf>
    <xf numFmtId="40" fontId="5" fillId="0" borderId="21" xfId="0" applyNumberFormat="1" applyFont="1" applyBorder="1" applyAlignment="1">
      <alignment horizontal="center"/>
    </xf>
    <xf numFmtId="0" fontId="5" fillId="0" borderId="23" xfId="0" applyFont="1" applyBorder="1" applyAlignment="1">
      <alignment vertical="top" wrapText="1"/>
    </xf>
    <xf numFmtId="49" fontId="11" fillId="0" borderId="22" xfId="0" applyNumberFormat="1" applyFont="1" applyBorder="1" applyAlignment="1">
      <alignment horizontal="left" vertical="top"/>
    </xf>
    <xf numFmtId="49" fontId="5" fillId="0" borderId="21" xfId="0" applyNumberFormat="1" applyFont="1" applyBorder="1" applyAlignment="1">
      <alignment horizontal="left" vertical="top"/>
    </xf>
    <xf numFmtId="0" fontId="36" fillId="0" borderId="0" xfId="0" applyFont="1"/>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wrapText="1"/>
    </xf>
    <xf numFmtId="0" fontId="5" fillId="0" borderId="2" xfId="0" applyFont="1" applyBorder="1" applyAlignment="1">
      <alignment wrapText="1"/>
    </xf>
    <xf numFmtId="0" fontId="5" fillId="0" borderId="1" xfId="0" applyFont="1" applyBorder="1" applyAlignment="1">
      <alignment horizontal="left" wrapText="1"/>
    </xf>
    <xf numFmtId="0" fontId="5" fillId="0" borderId="2" xfId="0" applyFont="1" applyBorder="1" applyAlignment="1">
      <alignment horizontal="left" wrapTex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2" fillId="0" borderId="22" xfId="0" applyFont="1" applyBorder="1" applyAlignment="1">
      <alignment horizontal="left" vertical="top" wrapText="1"/>
    </xf>
    <xf numFmtId="0" fontId="32" fillId="0" borderId="23" xfId="0" applyFont="1" applyBorder="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5" fillId="0" borderId="22"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 xfId="0" quotePrefix="1"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6" fillId="0" borderId="1" xfId="0" applyFont="1" applyBorder="1" applyAlignment="1">
      <alignment horizontal="left" wrapText="1"/>
    </xf>
    <xf numFmtId="0" fontId="6" fillId="0" borderId="2" xfId="0" applyFont="1" applyBorder="1" applyAlignment="1">
      <alignment horizontal="left"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6" fillId="0" borderId="1" xfId="0" quotePrefix="1" applyFont="1" applyBorder="1" applyAlignment="1">
      <alignment horizontal="left" vertical="center"/>
    </xf>
    <xf numFmtId="0" fontId="6" fillId="0" borderId="2" xfId="0" applyFont="1" applyBorder="1" applyAlignment="1">
      <alignment horizontal="left" vertical="center"/>
    </xf>
    <xf numFmtId="0" fontId="0" fillId="0" borderId="2" xfId="0" applyBorder="1" applyAlignment="1">
      <alignment wrapText="1"/>
    </xf>
    <xf numFmtId="0" fontId="11" fillId="0" borderId="1" xfId="0" quotePrefix="1" applyFont="1" applyBorder="1" applyAlignment="1">
      <alignment horizontal="left" vertical="center" wrapText="1"/>
    </xf>
    <xf numFmtId="0" fontId="23" fillId="0" borderId="1" xfId="0" applyFont="1" applyBorder="1" applyAlignment="1">
      <alignment wrapText="1"/>
    </xf>
    <xf numFmtId="0" fontId="23" fillId="0" borderId="2" xfId="0" applyFont="1" applyBorder="1" applyAlignment="1">
      <alignment wrapText="1"/>
    </xf>
    <xf numFmtId="0" fontId="23" fillId="0" borderId="1" xfId="0" applyFont="1" applyBorder="1" applyAlignment="1">
      <alignment horizontal="left" wrapText="1"/>
    </xf>
    <xf numFmtId="0" fontId="23" fillId="0" borderId="2" xfId="0" applyFont="1" applyBorder="1" applyAlignment="1">
      <alignment horizontal="left" wrapText="1"/>
    </xf>
    <xf numFmtId="0" fontId="22" fillId="0" borderId="1" xfId="0" applyFont="1" applyBorder="1" applyAlignment="1">
      <alignment horizontal="left" wrapText="1"/>
    </xf>
    <xf numFmtId="0" fontId="22" fillId="0" borderId="2" xfId="0" applyFont="1" applyBorder="1" applyAlignment="1">
      <alignment horizontal="left"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6" fillId="0" borderId="1" xfId="0" applyFont="1" applyBorder="1" applyAlignment="1">
      <alignment horizontal="left" vertical="center"/>
    </xf>
    <xf numFmtId="4" fontId="6" fillId="0" borderId="21" xfId="0" applyNumberFormat="1" applyFont="1" applyBorder="1" applyAlignment="1">
      <alignment vertical="top" wrapText="1"/>
    </xf>
    <xf numFmtId="4" fontId="11" fillId="0" borderId="21" xfId="0" applyNumberFormat="1" applyFont="1" applyBorder="1" applyAlignment="1">
      <alignment vertical="top" wrapText="1"/>
    </xf>
    <xf numFmtId="0" fontId="5" fillId="0" borderId="2" xfId="0" quotePrefix="1" applyFont="1" applyBorder="1" applyAlignment="1">
      <alignment horizontal="lef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5" fillId="0" borderId="23" xfId="0" applyFont="1" applyBorder="1" applyAlignment="1">
      <alignment horizontal="left" vertical="center" wrapText="1"/>
    </xf>
    <xf numFmtId="0" fontId="32" fillId="0" borderId="1" xfId="0" applyFont="1" applyBorder="1" applyAlignment="1">
      <alignment horizontal="left" vertical="top" wrapText="1"/>
    </xf>
    <xf numFmtId="0" fontId="6" fillId="0" borderId="22" xfId="0" applyFont="1" applyBorder="1" applyAlignment="1">
      <alignment horizontal="left" wrapText="1"/>
    </xf>
    <xf numFmtId="0" fontId="6" fillId="0" borderId="23" xfId="0" applyFont="1" applyBorder="1" applyAlignment="1">
      <alignment horizontal="left" wrapText="1"/>
    </xf>
    <xf numFmtId="0" fontId="11" fillId="0" borderId="22" xfId="0" applyFont="1" applyBorder="1" applyAlignment="1">
      <alignment horizontal="left" wrapText="1"/>
    </xf>
    <xf numFmtId="0" fontId="11" fillId="0" borderId="23" xfId="0" applyFont="1" applyBorder="1" applyAlignment="1">
      <alignment horizontal="left" wrapText="1"/>
    </xf>
    <xf numFmtId="0" fontId="5" fillId="0" borderId="22" xfId="0" quotePrefix="1" applyFont="1" applyBorder="1" applyAlignment="1">
      <alignment horizontal="left" wrapText="1"/>
    </xf>
    <xf numFmtId="0" fontId="5" fillId="0" borderId="23" xfId="0" quotePrefix="1" applyFont="1" applyBorder="1" applyAlignment="1">
      <alignment horizontal="left" wrapText="1"/>
    </xf>
    <xf numFmtId="4" fontId="5" fillId="0" borderId="21" xfId="0" applyNumberFormat="1" applyFont="1" applyBorder="1" applyAlignment="1">
      <alignment horizontal="left" vertical="top" wrapText="1"/>
    </xf>
    <xf numFmtId="0" fontId="11" fillId="0" borderId="21" xfId="0" applyFont="1" applyBorder="1" applyAlignment="1">
      <alignment horizontal="left" vertical="top" wrapText="1"/>
    </xf>
    <xf numFmtId="49" fontId="5" fillId="0" borderId="21" xfId="0" applyNumberFormat="1" applyFont="1" applyBorder="1" applyAlignment="1">
      <alignment horizontal="left" vertical="top" wrapText="1"/>
    </xf>
    <xf numFmtId="0" fontId="11" fillId="0" borderId="21" xfId="0" quotePrefix="1" applyFont="1" applyBorder="1" applyAlignment="1">
      <alignment horizontal="left" wrapText="1"/>
    </xf>
    <xf numFmtId="0" fontId="5" fillId="0" borderId="21" xfId="0" quotePrefix="1" applyFont="1" applyBorder="1" applyAlignment="1">
      <alignment horizontal="left" wrapText="1"/>
    </xf>
    <xf numFmtId="0" fontId="6" fillId="0" borderId="21" xfId="0" applyFont="1" applyBorder="1" applyAlignment="1">
      <alignment horizontal="left" vertical="top" wrapText="1"/>
    </xf>
    <xf numFmtId="4" fontId="5" fillId="0" borderId="21" xfId="0" applyNumberFormat="1" applyFont="1" applyBorder="1" applyAlignment="1">
      <alignment vertical="top" wrapText="1"/>
    </xf>
    <xf numFmtId="0" fontId="5" fillId="0" borderId="21" xfId="0" applyFont="1" applyBorder="1" applyAlignment="1">
      <alignment vertical="top" wrapText="1"/>
    </xf>
    <xf numFmtId="49" fontId="11" fillId="0" borderId="22" xfId="0" applyNumberFormat="1" applyFont="1" applyBorder="1" applyAlignment="1">
      <alignment horizontal="left" vertical="top"/>
    </xf>
    <xf numFmtId="49" fontId="5" fillId="0" borderId="23" xfId="0" applyNumberFormat="1" applyFont="1" applyBorder="1" applyAlignment="1">
      <alignment horizontal="left" vertical="top"/>
    </xf>
    <xf numFmtId="0" fontId="5" fillId="0" borderId="21" xfId="0" applyFont="1" applyBorder="1" applyAlignment="1">
      <alignment horizontal="left" vertical="top" wrapText="1"/>
    </xf>
    <xf numFmtId="0" fontId="1" fillId="0" borderId="7" xfId="0" applyFont="1" applyBorder="1" applyAlignment="1">
      <alignment horizontal="right" wrapText="1"/>
    </xf>
    <xf numFmtId="0" fontId="1" fillId="0" borderId="8" xfId="0" applyFont="1" applyBorder="1" applyAlignment="1">
      <alignment horizontal="right" wrapText="1"/>
    </xf>
    <xf numFmtId="0" fontId="1" fillId="0" borderId="4" xfId="0" applyFont="1" applyBorder="1" applyAlignment="1">
      <alignment horizontal="right" wrapText="1"/>
    </xf>
    <xf numFmtId="0" fontId="1" fillId="0" borderId="5" xfId="0" applyFont="1" applyBorder="1" applyAlignment="1">
      <alignment horizontal="right" wrapText="1"/>
    </xf>
    <xf numFmtId="4" fontId="8" fillId="0" borderId="25" xfId="0" applyNumberFormat="1" applyFont="1" applyBorder="1" applyAlignment="1">
      <alignment horizontal="center" vertical="top"/>
    </xf>
    <xf numFmtId="4" fontId="0" fillId="0" borderId="21" xfId="0" applyNumberFormat="1" applyBorder="1" applyAlignment="1">
      <alignment horizontal="left" vertical="top" wrapText="1"/>
    </xf>
    <xf numFmtId="4" fontId="11" fillId="0" borderId="21" xfId="0" applyNumberFormat="1" applyFont="1" applyBorder="1" applyAlignment="1">
      <alignment horizontal="left" vertical="top" wrapText="1"/>
    </xf>
  </cellXfs>
  <cellStyles count="8">
    <cellStyle name="Comma" xfId="2" builtinId="3"/>
    <cellStyle name="Comma 2 2" xfId="3" xr:uid="{00000000-0005-0000-0000-000001000000}"/>
    <cellStyle name="Hyperlink" xfId="1" builtinId="8"/>
    <cellStyle name="Normal" xfId="0" builtinId="0"/>
    <cellStyle name="Normal 2" xfId="4" xr:uid="{00000000-0005-0000-0000-000004000000}"/>
    <cellStyle name="Normal 2 2 2" xfId="5" xr:uid="{00000000-0005-0000-0000-000005000000}"/>
    <cellStyle name="Normal 2 3" xfId="7" xr:uid="{42719B06-9367-4A86-9B86-DEACD777E07E}"/>
    <cellStyle name="Normal 5" xfId="6" xr:uid="{CE442DD2-D228-4AC2-BF03-41B5BB8B37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xdr:row>
      <xdr:rowOff>38100</xdr:rowOff>
    </xdr:from>
    <xdr:to>
      <xdr:col>6</xdr:col>
      <xdr:colOff>719425</xdr:colOff>
      <xdr:row>1</xdr:row>
      <xdr:rowOff>352425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62650" y="238125"/>
          <a:ext cx="567025" cy="314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381000</xdr:colOff>
      <xdr:row>1</xdr:row>
      <xdr:rowOff>76200</xdr:rowOff>
    </xdr:from>
    <xdr:to>
      <xdr:col>8</xdr:col>
      <xdr:colOff>800100</xdr:colOff>
      <xdr:row>2</xdr:row>
      <xdr:rowOff>95250</xdr:rowOff>
    </xdr:to>
    <xdr:pic>
      <xdr:nvPicPr>
        <xdr:cNvPr id="2" name="Picture 1">
          <a:extLst>
            <a:ext uri="{FF2B5EF4-FFF2-40B4-BE49-F238E27FC236}">
              <a16:creationId xmlns:a16="http://schemas.microsoft.com/office/drawing/2014/main" id="{A76862B5-797C-4FC1-9230-983C611C6817}"/>
            </a:ext>
          </a:extLst>
        </xdr:cNvPr>
        <xdr:cNvPicPr>
          <a:picLocks noChangeAspect="1"/>
        </xdr:cNvPicPr>
      </xdr:nvPicPr>
      <xdr:blipFill>
        <a:blip xmlns:r="http://schemas.openxmlformats.org/officeDocument/2006/relationships" r:embed="rId1"/>
        <a:stretch>
          <a:fillRect/>
        </a:stretch>
      </xdr:blipFill>
      <xdr:spPr>
        <a:xfrm>
          <a:off x="8433955" y="275359"/>
          <a:ext cx="419100" cy="4606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419100</xdr:colOff>
      <xdr:row>1</xdr:row>
      <xdr:rowOff>76200</xdr:rowOff>
    </xdr:from>
    <xdr:to>
      <xdr:col>8</xdr:col>
      <xdr:colOff>986125</xdr:colOff>
      <xdr:row>1</xdr:row>
      <xdr:rowOff>390525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058025" y="276225"/>
          <a:ext cx="567025" cy="314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419100</xdr:colOff>
      <xdr:row>1</xdr:row>
      <xdr:rowOff>76199</xdr:rowOff>
    </xdr:from>
    <xdr:to>
      <xdr:col>8</xdr:col>
      <xdr:colOff>1001365</xdr:colOff>
      <xdr:row>1</xdr:row>
      <xdr:rowOff>406400</xdr:rowOff>
    </xdr:to>
    <xdr:pic>
      <xdr:nvPicPr>
        <xdr:cNvPr id="2" name="Picture 1">
          <a:extLst>
            <a:ext uri="{FF2B5EF4-FFF2-40B4-BE49-F238E27FC236}">
              <a16:creationId xmlns:a16="http://schemas.microsoft.com/office/drawing/2014/main" id="{3E8D479B-9873-46A4-ABE4-16EEB8971D91}"/>
            </a:ext>
          </a:extLst>
        </xdr:cNvPr>
        <xdr:cNvPicPr>
          <a:picLocks noChangeAspect="1"/>
        </xdr:cNvPicPr>
      </xdr:nvPicPr>
      <xdr:blipFill>
        <a:blip xmlns:r="http://schemas.openxmlformats.org/officeDocument/2006/relationships" r:embed="rId1"/>
        <a:stretch>
          <a:fillRect/>
        </a:stretch>
      </xdr:blipFill>
      <xdr:spPr>
        <a:xfrm>
          <a:off x="8834967" y="270932"/>
          <a:ext cx="582265" cy="3302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419100</xdr:colOff>
      <xdr:row>1</xdr:row>
      <xdr:rowOff>76199</xdr:rowOff>
    </xdr:from>
    <xdr:to>
      <xdr:col>8</xdr:col>
      <xdr:colOff>1001365</xdr:colOff>
      <xdr:row>2</xdr:row>
      <xdr:rowOff>63500</xdr:rowOff>
    </xdr:to>
    <xdr:pic>
      <xdr:nvPicPr>
        <xdr:cNvPr id="3" name="Picture 2">
          <a:extLst>
            <a:ext uri="{FF2B5EF4-FFF2-40B4-BE49-F238E27FC236}">
              <a16:creationId xmlns:a16="http://schemas.microsoft.com/office/drawing/2014/main" id="{18E9A66C-B5EF-43DE-A6C7-EA290014251B}"/>
            </a:ext>
          </a:extLst>
        </xdr:cNvPr>
        <xdr:cNvPicPr>
          <a:picLocks noChangeAspect="1"/>
        </xdr:cNvPicPr>
      </xdr:nvPicPr>
      <xdr:blipFill>
        <a:blip xmlns:r="http://schemas.openxmlformats.org/officeDocument/2006/relationships" r:embed="rId1"/>
        <a:stretch>
          <a:fillRect/>
        </a:stretch>
      </xdr:blipFill>
      <xdr:spPr>
        <a:xfrm>
          <a:off x="8451850" y="274637"/>
          <a:ext cx="582265" cy="4238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419100</xdr:colOff>
      <xdr:row>1</xdr:row>
      <xdr:rowOff>76199</xdr:rowOff>
    </xdr:from>
    <xdr:to>
      <xdr:col>8</xdr:col>
      <xdr:colOff>1001365</xdr:colOff>
      <xdr:row>3</xdr:row>
      <xdr:rowOff>25400</xdr:rowOff>
    </xdr:to>
    <xdr:pic>
      <xdr:nvPicPr>
        <xdr:cNvPr id="3" name="Picture 2">
          <a:extLst>
            <a:ext uri="{FF2B5EF4-FFF2-40B4-BE49-F238E27FC236}">
              <a16:creationId xmlns:a16="http://schemas.microsoft.com/office/drawing/2014/main" id="{C0685CD3-6620-4DE8-B119-DEFBBAAC1483}"/>
            </a:ext>
          </a:extLst>
        </xdr:cNvPr>
        <xdr:cNvPicPr>
          <a:picLocks noChangeAspect="1"/>
        </xdr:cNvPicPr>
      </xdr:nvPicPr>
      <xdr:blipFill>
        <a:blip xmlns:r="http://schemas.openxmlformats.org/officeDocument/2006/relationships" r:embed="rId1"/>
        <a:stretch>
          <a:fillRect/>
        </a:stretch>
      </xdr:blipFill>
      <xdr:spPr>
        <a:xfrm>
          <a:off x="8458200" y="276224"/>
          <a:ext cx="582265" cy="3302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395287</xdr:colOff>
      <xdr:row>1</xdr:row>
      <xdr:rowOff>68261</xdr:rowOff>
    </xdr:from>
    <xdr:to>
      <xdr:col>8</xdr:col>
      <xdr:colOff>977552</xdr:colOff>
      <xdr:row>2</xdr:row>
      <xdr:rowOff>39688</xdr:rowOff>
    </xdr:to>
    <xdr:pic>
      <xdr:nvPicPr>
        <xdr:cNvPr id="3" name="Picture 2">
          <a:extLst>
            <a:ext uri="{FF2B5EF4-FFF2-40B4-BE49-F238E27FC236}">
              <a16:creationId xmlns:a16="http://schemas.microsoft.com/office/drawing/2014/main" id="{9E1C120E-FFB4-41A1-A62D-47B6344128D5}"/>
            </a:ext>
          </a:extLst>
        </xdr:cNvPr>
        <xdr:cNvPicPr>
          <a:picLocks noChangeAspect="1"/>
        </xdr:cNvPicPr>
      </xdr:nvPicPr>
      <xdr:blipFill>
        <a:blip xmlns:r="http://schemas.openxmlformats.org/officeDocument/2006/relationships" r:embed="rId1"/>
        <a:stretch>
          <a:fillRect/>
        </a:stretch>
      </xdr:blipFill>
      <xdr:spPr>
        <a:xfrm>
          <a:off x="8428037" y="266699"/>
          <a:ext cx="582265" cy="40798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395287</xdr:colOff>
      <xdr:row>1</xdr:row>
      <xdr:rowOff>68262</xdr:rowOff>
    </xdr:from>
    <xdr:to>
      <xdr:col>8</xdr:col>
      <xdr:colOff>977552</xdr:colOff>
      <xdr:row>2</xdr:row>
      <xdr:rowOff>79376</xdr:rowOff>
    </xdr:to>
    <xdr:pic>
      <xdr:nvPicPr>
        <xdr:cNvPr id="3" name="Picture 2">
          <a:extLst>
            <a:ext uri="{FF2B5EF4-FFF2-40B4-BE49-F238E27FC236}">
              <a16:creationId xmlns:a16="http://schemas.microsoft.com/office/drawing/2014/main" id="{EC9EB4EC-3DEB-473D-875A-22AD321E6F40}"/>
            </a:ext>
          </a:extLst>
        </xdr:cNvPr>
        <xdr:cNvPicPr>
          <a:picLocks noChangeAspect="1"/>
        </xdr:cNvPicPr>
      </xdr:nvPicPr>
      <xdr:blipFill>
        <a:blip xmlns:r="http://schemas.openxmlformats.org/officeDocument/2006/relationships" r:embed="rId1"/>
        <a:stretch>
          <a:fillRect/>
        </a:stretch>
      </xdr:blipFill>
      <xdr:spPr>
        <a:xfrm>
          <a:off x="8428037" y="266700"/>
          <a:ext cx="582265" cy="4476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304800</xdr:colOff>
      <xdr:row>1</xdr:row>
      <xdr:rowOff>63500</xdr:rowOff>
    </xdr:from>
    <xdr:to>
      <xdr:col>9</xdr:col>
      <xdr:colOff>767715</xdr:colOff>
      <xdr:row>1</xdr:row>
      <xdr:rowOff>349250</xdr:rowOff>
    </xdr:to>
    <xdr:pic>
      <xdr:nvPicPr>
        <xdr:cNvPr id="3" name="Picture 2">
          <a:extLst>
            <a:ext uri="{FF2B5EF4-FFF2-40B4-BE49-F238E27FC236}">
              <a16:creationId xmlns:a16="http://schemas.microsoft.com/office/drawing/2014/main" id="{5495D4D1-2AFA-40F0-9FB2-9CB00FA9F6B5}"/>
            </a:ext>
          </a:extLst>
        </xdr:cNvPr>
        <xdr:cNvPicPr>
          <a:picLocks noChangeAspect="1"/>
        </xdr:cNvPicPr>
      </xdr:nvPicPr>
      <xdr:blipFill>
        <a:blip xmlns:r="http://schemas.openxmlformats.org/officeDocument/2006/relationships" r:embed="rId1"/>
        <a:stretch>
          <a:fillRect/>
        </a:stretch>
      </xdr:blipFill>
      <xdr:spPr>
        <a:xfrm>
          <a:off x="8261350" y="254000"/>
          <a:ext cx="462915" cy="285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395287</xdr:colOff>
      <xdr:row>1</xdr:row>
      <xdr:rowOff>68262</xdr:rowOff>
    </xdr:from>
    <xdr:to>
      <xdr:col>8</xdr:col>
      <xdr:colOff>977552</xdr:colOff>
      <xdr:row>2</xdr:row>
      <xdr:rowOff>95250</xdr:rowOff>
    </xdr:to>
    <xdr:pic>
      <xdr:nvPicPr>
        <xdr:cNvPr id="3" name="Picture 2">
          <a:extLst>
            <a:ext uri="{FF2B5EF4-FFF2-40B4-BE49-F238E27FC236}">
              <a16:creationId xmlns:a16="http://schemas.microsoft.com/office/drawing/2014/main" id="{12D21918-E4D9-4237-B85C-432DBEF29C10}"/>
            </a:ext>
          </a:extLst>
        </xdr:cNvPr>
        <xdr:cNvPicPr>
          <a:picLocks noChangeAspect="1"/>
        </xdr:cNvPicPr>
      </xdr:nvPicPr>
      <xdr:blipFill>
        <a:blip xmlns:r="http://schemas.openxmlformats.org/officeDocument/2006/relationships" r:embed="rId1"/>
        <a:stretch>
          <a:fillRect/>
        </a:stretch>
      </xdr:blipFill>
      <xdr:spPr>
        <a:xfrm>
          <a:off x="8434387" y="268287"/>
          <a:ext cx="582265" cy="46513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292100</xdr:colOff>
      <xdr:row>1</xdr:row>
      <xdr:rowOff>101600</xdr:rowOff>
    </xdr:from>
    <xdr:to>
      <xdr:col>7</xdr:col>
      <xdr:colOff>606425</xdr:colOff>
      <xdr:row>1</xdr:row>
      <xdr:rowOff>371475</xdr:rowOff>
    </xdr:to>
    <xdr:pic>
      <xdr:nvPicPr>
        <xdr:cNvPr id="2" name="Picture 1">
          <a:extLst>
            <a:ext uri="{FF2B5EF4-FFF2-40B4-BE49-F238E27FC236}">
              <a16:creationId xmlns:a16="http://schemas.microsoft.com/office/drawing/2014/main" id="{EE0CC2C0-E5FA-45E0-9DAA-89CDB4D8531F}"/>
            </a:ext>
          </a:extLst>
        </xdr:cNvPr>
        <xdr:cNvPicPr>
          <a:picLocks noChangeAspect="1"/>
        </xdr:cNvPicPr>
      </xdr:nvPicPr>
      <xdr:blipFill>
        <a:blip xmlns:r="http://schemas.openxmlformats.org/officeDocument/2006/relationships" r:embed="rId1"/>
        <a:stretch>
          <a:fillRect/>
        </a:stretch>
      </xdr:blipFill>
      <xdr:spPr>
        <a:xfrm>
          <a:off x="7607300" y="301625"/>
          <a:ext cx="314325" cy="269875"/>
        </a:xfrm>
        <a:prstGeom prst="rect">
          <a:avLst/>
        </a:prstGeom>
      </xdr:spPr>
    </xdr:pic>
    <xdr:clientData/>
  </xdr:twoCellAnchor>
  <xdr:twoCellAnchor editAs="oneCell">
    <xdr:from>
      <xdr:col>7</xdr:col>
      <xdr:colOff>257175</xdr:colOff>
      <xdr:row>0</xdr:row>
      <xdr:rowOff>200024</xdr:rowOff>
    </xdr:from>
    <xdr:to>
      <xdr:col>7</xdr:col>
      <xdr:colOff>735330</xdr:colOff>
      <xdr:row>1</xdr:row>
      <xdr:rowOff>428624</xdr:rowOff>
    </xdr:to>
    <xdr:pic>
      <xdr:nvPicPr>
        <xdr:cNvPr id="5" name="Picture 4">
          <a:extLst>
            <a:ext uri="{FF2B5EF4-FFF2-40B4-BE49-F238E27FC236}">
              <a16:creationId xmlns:a16="http://schemas.microsoft.com/office/drawing/2014/main" id="{B786F552-4830-4E3B-B73E-BC61679484E1}"/>
            </a:ext>
          </a:extLst>
        </xdr:cNvPr>
        <xdr:cNvPicPr>
          <a:picLocks noChangeAspect="1"/>
        </xdr:cNvPicPr>
      </xdr:nvPicPr>
      <xdr:blipFill>
        <a:blip xmlns:r="http://schemas.openxmlformats.org/officeDocument/2006/relationships" r:embed="rId1"/>
        <a:stretch>
          <a:fillRect/>
        </a:stretch>
      </xdr:blipFill>
      <xdr:spPr>
        <a:xfrm>
          <a:off x="7572375" y="200024"/>
          <a:ext cx="478155"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1</xdr:row>
      <xdr:rowOff>76200</xdr:rowOff>
    </xdr:from>
    <xdr:to>
      <xdr:col>6</xdr:col>
      <xdr:colOff>986125</xdr:colOff>
      <xdr:row>1</xdr:row>
      <xdr:rowOff>390525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467600" y="276225"/>
          <a:ext cx="567025" cy="3143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395287</xdr:colOff>
      <xdr:row>1</xdr:row>
      <xdr:rowOff>68262</xdr:rowOff>
    </xdr:from>
    <xdr:to>
      <xdr:col>8</xdr:col>
      <xdr:colOff>977552</xdr:colOff>
      <xdr:row>2</xdr:row>
      <xdr:rowOff>95250</xdr:rowOff>
    </xdr:to>
    <xdr:pic>
      <xdr:nvPicPr>
        <xdr:cNvPr id="3" name="Picture 2">
          <a:extLst>
            <a:ext uri="{FF2B5EF4-FFF2-40B4-BE49-F238E27FC236}">
              <a16:creationId xmlns:a16="http://schemas.microsoft.com/office/drawing/2014/main" id="{FCD0436A-853A-44A5-A793-BD4D4B5AF2A0}"/>
            </a:ext>
          </a:extLst>
        </xdr:cNvPr>
        <xdr:cNvPicPr>
          <a:picLocks noChangeAspect="1"/>
        </xdr:cNvPicPr>
      </xdr:nvPicPr>
      <xdr:blipFill>
        <a:blip xmlns:r="http://schemas.openxmlformats.org/officeDocument/2006/relationships" r:embed="rId1"/>
        <a:stretch>
          <a:fillRect/>
        </a:stretch>
      </xdr:blipFill>
      <xdr:spPr>
        <a:xfrm>
          <a:off x="8434387" y="268287"/>
          <a:ext cx="582265" cy="46513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419100</xdr:colOff>
      <xdr:row>1</xdr:row>
      <xdr:rowOff>76200</xdr:rowOff>
    </xdr:from>
    <xdr:to>
      <xdr:col>7</xdr:col>
      <xdr:colOff>986125</xdr:colOff>
      <xdr:row>1</xdr:row>
      <xdr:rowOff>390525</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7058025" y="276225"/>
          <a:ext cx="567025" cy="3143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419100</xdr:colOff>
      <xdr:row>1</xdr:row>
      <xdr:rowOff>76200</xdr:rowOff>
    </xdr:from>
    <xdr:to>
      <xdr:col>9</xdr:col>
      <xdr:colOff>986125</xdr:colOff>
      <xdr:row>1</xdr:row>
      <xdr:rowOff>390525</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058025" y="276225"/>
          <a:ext cx="567025" cy="314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140493</xdr:colOff>
      <xdr:row>1</xdr:row>
      <xdr:rowOff>154782</xdr:rowOff>
    </xdr:from>
    <xdr:to>
      <xdr:col>8</xdr:col>
      <xdr:colOff>769143</xdr:colOff>
      <xdr:row>1</xdr:row>
      <xdr:rowOff>432595</xdr:rowOff>
    </xdr:to>
    <xdr:pic>
      <xdr:nvPicPr>
        <xdr:cNvPr id="3" name="Picture 2">
          <a:extLst>
            <a:ext uri="{FF2B5EF4-FFF2-40B4-BE49-F238E27FC236}">
              <a16:creationId xmlns:a16="http://schemas.microsoft.com/office/drawing/2014/main" id="{502D2D48-6AAC-4BA8-9D82-E7C23F7193DB}"/>
            </a:ext>
          </a:extLst>
        </xdr:cNvPr>
        <xdr:cNvPicPr>
          <a:picLocks noChangeAspect="1"/>
        </xdr:cNvPicPr>
      </xdr:nvPicPr>
      <xdr:blipFill>
        <a:blip xmlns:r="http://schemas.openxmlformats.org/officeDocument/2006/relationships" r:embed="rId1"/>
        <a:stretch>
          <a:fillRect/>
        </a:stretch>
      </xdr:blipFill>
      <xdr:spPr>
        <a:xfrm>
          <a:off x="8260556" y="345282"/>
          <a:ext cx="628650" cy="277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419100</xdr:colOff>
      <xdr:row>1</xdr:row>
      <xdr:rowOff>76200</xdr:rowOff>
    </xdr:from>
    <xdr:to>
      <xdr:col>8</xdr:col>
      <xdr:colOff>967740</xdr:colOff>
      <xdr:row>2</xdr:row>
      <xdr:rowOff>12700</xdr:rowOff>
    </xdr:to>
    <xdr:pic>
      <xdr:nvPicPr>
        <xdr:cNvPr id="3" name="Picture 2">
          <a:extLst>
            <a:ext uri="{FF2B5EF4-FFF2-40B4-BE49-F238E27FC236}">
              <a16:creationId xmlns:a16="http://schemas.microsoft.com/office/drawing/2014/main" id="{CEFA86F7-C5A0-4075-8F40-12236452D7A1}"/>
            </a:ext>
          </a:extLst>
        </xdr:cNvPr>
        <xdr:cNvPicPr>
          <a:picLocks noChangeAspect="1"/>
        </xdr:cNvPicPr>
      </xdr:nvPicPr>
      <xdr:blipFill>
        <a:blip xmlns:r="http://schemas.openxmlformats.org/officeDocument/2006/relationships" r:embed="rId1"/>
        <a:stretch>
          <a:fillRect/>
        </a:stretch>
      </xdr:blipFill>
      <xdr:spPr>
        <a:xfrm>
          <a:off x="8258175" y="276225"/>
          <a:ext cx="548640" cy="374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419100</xdr:colOff>
      <xdr:row>1</xdr:row>
      <xdr:rowOff>76200</xdr:rowOff>
    </xdr:from>
    <xdr:to>
      <xdr:col>8</xdr:col>
      <xdr:colOff>967740</xdr:colOff>
      <xdr:row>2</xdr:row>
      <xdr:rowOff>57150</xdr:rowOff>
    </xdr:to>
    <xdr:pic>
      <xdr:nvPicPr>
        <xdr:cNvPr id="2" name="Picture 1">
          <a:extLst>
            <a:ext uri="{FF2B5EF4-FFF2-40B4-BE49-F238E27FC236}">
              <a16:creationId xmlns:a16="http://schemas.microsoft.com/office/drawing/2014/main" id="{9A1AB8F7-AFF6-46AC-8D6B-720F9D82BD05}"/>
            </a:ext>
          </a:extLst>
        </xdr:cNvPr>
        <xdr:cNvPicPr>
          <a:picLocks noChangeAspect="1"/>
        </xdr:cNvPicPr>
      </xdr:nvPicPr>
      <xdr:blipFill>
        <a:blip xmlns:r="http://schemas.openxmlformats.org/officeDocument/2006/relationships" r:embed="rId1"/>
        <a:stretch>
          <a:fillRect/>
        </a:stretch>
      </xdr:blipFill>
      <xdr:spPr>
        <a:xfrm>
          <a:off x="8258175" y="276225"/>
          <a:ext cx="548640" cy="419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419100</xdr:colOff>
      <xdr:row>1</xdr:row>
      <xdr:rowOff>76200</xdr:rowOff>
    </xdr:from>
    <xdr:to>
      <xdr:col>8</xdr:col>
      <xdr:colOff>952500</xdr:colOff>
      <xdr:row>2</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432800" y="279400"/>
          <a:ext cx="533400" cy="368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381000</xdr:colOff>
      <xdr:row>1</xdr:row>
      <xdr:rowOff>76200</xdr:rowOff>
    </xdr:from>
    <xdr:to>
      <xdr:col>8</xdr:col>
      <xdr:colOff>800100</xdr:colOff>
      <xdr:row>2</xdr:row>
      <xdr:rowOff>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7067550" y="276225"/>
          <a:ext cx="419100" cy="361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381000</xdr:colOff>
      <xdr:row>1</xdr:row>
      <xdr:rowOff>76200</xdr:rowOff>
    </xdr:from>
    <xdr:to>
      <xdr:col>8</xdr:col>
      <xdr:colOff>800100</xdr:colOff>
      <xdr:row>2</xdr:row>
      <xdr:rowOff>85725</xdr:rowOff>
    </xdr:to>
    <xdr:pic>
      <xdr:nvPicPr>
        <xdr:cNvPr id="3" name="Picture 2">
          <a:extLst>
            <a:ext uri="{FF2B5EF4-FFF2-40B4-BE49-F238E27FC236}">
              <a16:creationId xmlns:a16="http://schemas.microsoft.com/office/drawing/2014/main" id="{36178C99-2E0A-48FF-9D59-28CF43087E74}"/>
            </a:ext>
          </a:extLst>
        </xdr:cNvPr>
        <xdr:cNvPicPr>
          <a:picLocks noChangeAspect="1"/>
        </xdr:cNvPicPr>
      </xdr:nvPicPr>
      <xdr:blipFill>
        <a:blip xmlns:r="http://schemas.openxmlformats.org/officeDocument/2006/relationships" r:embed="rId1"/>
        <a:stretch>
          <a:fillRect/>
        </a:stretch>
      </xdr:blipFill>
      <xdr:spPr>
        <a:xfrm>
          <a:off x="8439150" y="276225"/>
          <a:ext cx="419100" cy="447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660400</xdr:colOff>
      <xdr:row>1</xdr:row>
      <xdr:rowOff>57150</xdr:rowOff>
    </xdr:from>
    <xdr:to>
      <xdr:col>8</xdr:col>
      <xdr:colOff>776575</xdr:colOff>
      <xdr:row>2</xdr:row>
      <xdr:rowOff>184150</xdr:rowOff>
    </xdr:to>
    <xdr:pic>
      <xdr:nvPicPr>
        <xdr:cNvPr id="3" name="Picture 2">
          <a:extLst>
            <a:ext uri="{FF2B5EF4-FFF2-40B4-BE49-F238E27FC236}">
              <a16:creationId xmlns:a16="http://schemas.microsoft.com/office/drawing/2014/main" id="{9A59BA7E-7C83-4E4D-899C-0D4A8FB75F77}"/>
            </a:ext>
          </a:extLst>
        </xdr:cNvPr>
        <xdr:cNvPicPr>
          <a:picLocks noChangeAspect="1"/>
        </xdr:cNvPicPr>
      </xdr:nvPicPr>
      <xdr:blipFill>
        <a:blip xmlns:r="http://schemas.openxmlformats.org/officeDocument/2006/relationships" r:embed="rId1"/>
        <a:stretch>
          <a:fillRect/>
        </a:stretch>
      </xdr:blipFill>
      <xdr:spPr>
        <a:xfrm>
          <a:off x="7423150" y="247650"/>
          <a:ext cx="821025" cy="565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WSA%20Projects\Charlecote\Full%20BQ\Charlecote%20BQ%20Buildings.xlsx" TargetMode="External"/><Relationship Id="rId1" Type="http://schemas.openxmlformats.org/officeDocument/2006/relationships/externalLinkPath" Target="file:///D:\IWSA%20Projects\Charlecote\Full%20BQ\Charlecote%20BQ%20Build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Summary"/>
      <sheetName val="Preliminaries"/>
      <sheetName val="Demos"/>
      <sheetName val="Foundations"/>
      <sheetName val="External Walls"/>
      <sheetName val="Roofs"/>
      <sheetName val="Windows + Extl Drs"/>
      <sheetName val="Intl Walls"/>
      <sheetName val="Intl Drs"/>
      <sheetName val="Wall Fins"/>
      <sheetName val="Floor Fins"/>
      <sheetName val="Clg Fins"/>
      <sheetName val="Fittings"/>
      <sheetName val="Sanitary Fittgs"/>
      <sheetName val="M &amp; E Services"/>
      <sheetName val="BWIC"/>
      <sheetName val="Drainage"/>
      <sheetName val="External Works"/>
      <sheetName val="Prov Sums"/>
      <sheetName val="Dayworks"/>
      <sheetName val="Form of Tender"/>
    </sheetNames>
    <sheetDataSet>
      <sheetData sheetId="0"/>
      <sheetData sheetId="1">
        <row r="3">
          <cell r="B3" t="str">
            <v>Tender Document</v>
          </cell>
        </row>
        <row r="27">
          <cell r="D27" t="str">
            <v>Mechanical &amp; Electrical Services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56"/>
  <sheetViews>
    <sheetView zoomScale="80" zoomScaleNormal="80" workbookViewId="0">
      <selection activeCell="F47" sqref="F47"/>
    </sheetView>
  </sheetViews>
  <sheetFormatPr defaultRowHeight="15" x14ac:dyDescent="0.25"/>
  <cols>
    <col min="1" max="1" width="3.5703125" customWidth="1"/>
    <col min="2" max="2" width="9.85546875" customWidth="1"/>
    <col min="3" max="3" width="4.5703125" customWidth="1"/>
    <col min="4" max="4" width="56.5703125" customWidth="1"/>
    <col min="5" max="6" width="14" customWidth="1"/>
    <col min="7" max="7" width="14.85546875" customWidth="1"/>
    <col min="9" max="9" width="10.140625" bestFit="1" customWidth="1"/>
    <col min="13" max="14" width="12.5703125" customWidth="1"/>
  </cols>
  <sheetData>
    <row r="1" spans="2:14" ht="15.75" thickBot="1" x14ac:dyDescent="0.3"/>
    <row r="2" spans="2:14" ht="34.5" customHeight="1" x14ac:dyDescent="0.25">
      <c r="B2" s="12" t="s">
        <v>1207</v>
      </c>
      <c r="C2" s="13"/>
      <c r="D2" s="13"/>
      <c r="E2" s="13"/>
      <c r="F2" s="13"/>
      <c r="G2" s="14"/>
    </row>
    <row r="3" spans="2:14" ht="30" customHeight="1" x14ac:dyDescent="0.25">
      <c r="B3" s="9" t="s">
        <v>7</v>
      </c>
      <c r="C3" s="15"/>
      <c r="D3" s="15"/>
      <c r="E3" t="s">
        <v>672</v>
      </c>
      <c r="F3" s="28" t="s">
        <v>671</v>
      </c>
      <c r="G3" s="17">
        <v>45614</v>
      </c>
    </row>
    <row r="4" spans="2:14" ht="13.5" customHeight="1" thickBot="1" x14ac:dyDescent="0.3">
      <c r="B4" s="18"/>
      <c r="C4" s="19"/>
      <c r="D4" s="19"/>
      <c r="E4" s="19" t="s">
        <v>667</v>
      </c>
      <c r="F4" s="27" t="s">
        <v>668</v>
      </c>
      <c r="G4" s="261" t="s">
        <v>669</v>
      </c>
    </row>
    <row r="5" spans="2:14" x14ac:dyDescent="0.25">
      <c r="B5" s="11"/>
      <c r="C5" s="9"/>
      <c r="D5" s="6"/>
      <c r="E5" s="6"/>
      <c r="F5" s="6"/>
      <c r="G5" s="3"/>
    </row>
    <row r="6" spans="2:14" x14ac:dyDescent="0.25">
      <c r="B6" s="11"/>
      <c r="C6" s="9"/>
      <c r="D6" s="6"/>
      <c r="E6" s="6"/>
      <c r="F6" s="6"/>
      <c r="G6" s="3"/>
    </row>
    <row r="7" spans="2:14" x14ac:dyDescent="0.25">
      <c r="B7" s="11"/>
      <c r="C7" s="9" t="s">
        <v>8</v>
      </c>
      <c r="D7" s="6"/>
      <c r="E7" s="6"/>
      <c r="F7" s="6"/>
      <c r="G7" s="3"/>
    </row>
    <row r="8" spans="2:14" x14ac:dyDescent="0.25">
      <c r="B8" s="11"/>
      <c r="C8" s="1"/>
      <c r="D8" s="6"/>
      <c r="E8" s="6"/>
      <c r="F8" s="6"/>
      <c r="G8" s="3"/>
      <c r="M8" s="70"/>
      <c r="N8" s="70"/>
    </row>
    <row r="9" spans="2:14" x14ac:dyDescent="0.25">
      <c r="B9" s="11"/>
      <c r="C9" s="9"/>
      <c r="D9" s="6" t="s">
        <v>6</v>
      </c>
      <c r="E9" s="147">
        <f>Preliminaries!E898</f>
        <v>0</v>
      </c>
      <c r="F9" s="147">
        <f>Preliminaries!F898</f>
        <v>0</v>
      </c>
      <c r="G9" s="144">
        <f>E9+F9</f>
        <v>0</v>
      </c>
      <c r="M9" s="70"/>
      <c r="N9" s="70"/>
    </row>
    <row r="10" spans="2:14" x14ac:dyDescent="0.25">
      <c r="B10" s="11"/>
      <c r="C10" s="1"/>
      <c r="D10" s="6"/>
      <c r="E10" s="6"/>
      <c r="F10" s="6"/>
      <c r="G10" s="144"/>
      <c r="M10" s="70"/>
      <c r="N10" s="70"/>
    </row>
    <row r="11" spans="2:14" x14ac:dyDescent="0.25">
      <c r="B11" s="11"/>
      <c r="C11" s="1"/>
      <c r="D11" s="6" t="s">
        <v>691</v>
      </c>
      <c r="E11" s="353">
        <f>'Demos &amp; Altertns'!I102</f>
        <v>0</v>
      </c>
      <c r="F11" s="353">
        <f>'Demos &amp; Altertns'!I150</f>
        <v>0</v>
      </c>
      <c r="G11" s="144">
        <f>E11+F11</f>
        <v>0</v>
      </c>
      <c r="M11" s="70"/>
      <c r="N11" s="70"/>
    </row>
    <row r="12" spans="2:14" x14ac:dyDescent="0.25">
      <c r="B12" s="11"/>
      <c r="C12" s="1"/>
      <c r="D12" s="6"/>
      <c r="E12" s="6"/>
      <c r="F12" s="6"/>
      <c r="G12" s="144"/>
      <c r="M12" s="70"/>
      <c r="N12" s="70"/>
    </row>
    <row r="13" spans="2:14" x14ac:dyDescent="0.25">
      <c r="B13" s="11"/>
      <c r="C13" s="1"/>
      <c r="D13" s="6" t="s">
        <v>822</v>
      </c>
      <c r="E13" s="6"/>
      <c r="F13" s="147">
        <f>Substructure!I190</f>
        <v>0</v>
      </c>
      <c r="G13" s="144">
        <f>E13+F13</f>
        <v>0</v>
      </c>
      <c r="M13" s="70"/>
      <c r="N13" s="70"/>
    </row>
    <row r="14" spans="2:14" x14ac:dyDescent="0.25">
      <c r="B14" s="11"/>
      <c r="C14" s="1"/>
      <c r="D14" s="6"/>
      <c r="E14" s="6"/>
      <c r="F14" s="6"/>
      <c r="G14" s="144"/>
      <c r="M14" s="70"/>
      <c r="N14" s="70"/>
    </row>
    <row r="15" spans="2:14" x14ac:dyDescent="0.25">
      <c r="B15" s="11"/>
      <c r="C15" s="1"/>
      <c r="D15" s="6" t="s">
        <v>1205</v>
      </c>
      <c r="E15" s="6"/>
      <c r="F15" s="147">
        <f>'Steel Frame'!I130</f>
        <v>0</v>
      </c>
      <c r="G15" s="144">
        <f>E15+F15</f>
        <v>0</v>
      </c>
      <c r="M15" s="70"/>
      <c r="N15" s="70"/>
    </row>
    <row r="16" spans="2:14" x14ac:dyDescent="0.25">
      <c r="B16" s="11"/>
      <c r="C16" s="1"/>
      <c r="D16" s="6"/>
      <c r="E16" s="6"/>
      <c r="F16" s="6"/>
      <c r="G16" s="144"/>
      <c r="M16" s="70"/>
      <c r="N16" s="70"/>
    </row>
    <row r="17" spans="2:14" x14ac:dyDescent="0.25">
      <c r="B17" s="11"/>
      <c r="C17" s="1"/>
      <c r="D17" s="6" t="s">
        <v>583</v>
      </c>
      <c r="E17" s="353">
        <f>'External Walls'!I135</f>
        <v>0</v>
      </c>
      <c r="F17" s="353">
        <f>'External Walls'!I269</f>
        <v>0</v>
      </c>
      <c r="G17" s="144">
        <f>E17+F17</f>
        <v>0</v>
      </c>
      <c r="M17" s="70"/>
      <c r="N17" s="70"/>
    </row>
    <row r="18" spans="2:14" x14ac:dyDescent="0.25">
      <c r="B18" s="11"/>
      <c r="C18" s="1"/>
      <c r="D18" s="6"/>
      <c r="E18" s="6"/>
      <c r="F18" s="6"/>
      <c r="G18" s="144"/>
      <c r="M18" s="70"/>
      <c r="N18" s="70"/>
    </row>
    <row r="19" spans="2:14" x14ac:dyDescent="0.25">
      <c r="B19" s="11"/>
      <c r="C19" s="1"/>
      <c r="D19" s="6" t="s">
        <v>584</v>
      </c>
      <c r="E19" s="353">
        <f>Roofs!I111</f>
        <v>0</v>
      </c>
      <c r="F19" s="147">
        <f>Roofs!I280</f>
        <v>0</v>
      </c>
      <c r="G19" s="144">
        <f>E19+F19</f>
        <v>0</v>
      </c>
      <c r="M19" s="70"/>
      <c r="N19" s="70"/>
    </row>
    <row r="20" spans="2:14" x14ac:dyDescent="0.25">
      <c r="B20" s="11"/>
      <c r="C20" s="1"/>
      <c r="D20" s="6"/>
      <c r="E20" s="6"/>
      <c r="F20" s="6"/>
      <c r="G20" s="144"/>
      <c r="M20" s="70"/>
      <c r="N20" s="70"/>
    </row>
    <row r="21" spans="2:14" x14ac:dyDescent="0.25">
      <c r="B21" s="11"/>
      <c r="C21" s="1"/>
      <c r="D21" s="6" t="s">
        <v>749</v>
      </c>
      <c r="E21" s="353">
        <f>'Upper Floors'!I88</f>
        <v>0</v>
      </c>
      <c r="F21" s="147">
        <f>'Upper Floors'!I133</f>
        <v>0</v>
      </c>
      <c r="G21" s="144">
        <f>E21+F21</f>
        <v>0</v>
      </c>
      <c r="M21" s="70"/>
      <c r="N21" s="70"/>
    </row>
    <row r="22" spans="2:14" x14ac:dyDescent="0.25">
      <c r="B22" s="11"/>
      <c r="C22" s="1"/>
      <c r="D22" s="6"/>
      <c r="E22" s="6"/>
      <c r="F22" s="6"/>
      <c r="G22" s="144"/>
      <c r="M22" s="70"/>
      <c r="N22" s="70"/>
    </row>
    <row r="23" spans="2:14" x14ac:dyDescent="0.25">
      <c r="B23" s="11"/>
      <c r="C23" s="1"/>
      <c r="D23" s="6" t="s">
        <v>661</v>
      </c>
      <c r="E23" s="353">
        <f>'Structural Reps Works'!I92</f>
        <v>0</v>
      </c>
      <c r="F23" s="147">
        <f>'Structural Reps Works'!I100</f>
        <v>0</v>
      </c>
      <c r="G23" s="144">
        <f>E23+F23</f>
        <v>0</v>
      </c>
      <c r="M23" s="70"/>
      <c r="N23" s="70"/>
    </row>
    <row r="24" spans="2:14" x14ac:dyDescent="0.25">
      <c r="B24" s="11"/>
      <c r="C24" s="1"/>
      <c r="D24" s="6"/>
      <c r="E24" s="6"/>
      <c r="F24" s="6"/>
      <c r="G24" s="144"/>
      <c r="M24" s="70"/>
      <c r="N24" s="70"/>
    </row>
    <row r="25" spans="2:14" x14ac:dyDescent="0.25">
      <c r="B25" s="11"/>
      <c r="C25" s="1"/>
      <c r="D25" s="6" t="s">
        <v>751</v>
      </c>
      <c r="E25" s="353">
        <f>'Internal Walls'!I67</f>
        <v>0</v>
      </c>
      <c r="F25" s="147">
        <f>'Internal Walls'!I130</f>
        <v>0</v>
      </c>
      <c r="G25" s="144">
        <f>E25+F25</f>
        <v>0</v>
      </c>
      <c r="M25" s="70"/>
      <c r="N25" s="70"/>
    </row>
    <row r="26" spans="2:14" x14ac:dyDescent="0.25">
      <c r="B26" s="11"/>
      <c r="C26" s="1"/>
      <c r="D26" s="6"/>
      <c r="E26" s="6"/>
      <c r="F26" s="6"/>
      <c r="G26" s="144"/>
      <c r="M26" s="70"/>
      <c r="N26" s="70"/>
    </row>
    <row r="27" spans="2:14" x14ac:dyDescent="0.25">
      <c r="B27" s="11"/>
      <c r="C27" s="1"/>
      <c r="D27" s="6" t="s">
        <v>935</v>
      </c>
      <c r="E27" s="353">
        <f>'Wdws, '!I56</f>
        <v>0</v>
      </c>
      <c r="F27" s="147">
        <f>'Wdws, '!I130</f>
        <v>0</v>
      </c>
      <c r="G27" s="144">
        <f>E27+F27</f>
        <v>0</v>
      </c>
      <c r="M27" s="70"/>
      <c r="N27" s="70"/>
    </row>
    <row r="28" spans="2:14" x14ac:dyDescent="0.25">
      <c r="B28" s="11"/>
      <c r="C28" s="1"/>
      <c r="D28" s="6"/>
      <c r="E28" s="6"/>
      <c r="F28" s="6"/>
      <c r="G28" s="144"/>
      <c r="M28" s="70"/>
      <c r="N28" s="70"/>
    </row>
    <row r="29" spans="2:14" x14ac:dyDescent="0.25">
      <c r="B29" s="11"/>
      <c r="C29" s="9"/>
      <c r="D29" s="6" t="s">
        <v>934</v>
      </c>
      <c r="E29" s="147">
        <f>Drs!I59</f>
        <v>0</v>
      </c>
      <c r="F29" s="147">
        <f>Drs!I143</f>
        <v>0</v>
      </c>
      <c r="G29" s="144">
        <f>E29+F29</f>
        <v>0</v>
      </c>
      <c r="M29" s="70"/>
      <c r="N29" s="70"/>
    </row>
    <row r="30" spans="2:14" x14ac:dyDescent="0.25">
      <c r="B30" s="11"/>
      <c r="C30" s="9"/>
      <c r="D30" s="6"/>
      <c r="E30" s="6"/>
      <c r="F30" s="6"/>
      <c r="G30" s="144"/>
      <c r="M30" s="70"/>
      <c r="N30" s="70"/>
    </row>
    <row r="31" spans="2:14" x14ac:dyDescent="0.25">
      <c r="B31" s="11"/>
      <c r="C31" s="9"/>
      <c r="D31" s="6" t="s">
        <v>770</v>
      </c>
      <c r="E31" s="147">
        <f>'Wall Finishes'!I71</f>
        <v>0</v>
      </c>
      <c r="F31" s="147">
        <f>'Wall Finishes'!I179</f>
        <v>0</v>
      </c>
      <c r="G31" s="144">
        <f>E31+F31</f>
        <v>0</v>
      </c>
      <c r="M31" s="70"/>
      <c r="N31" s="70"/>
    </row>
    <row r="32" spans="2:14" x14ac:dyDescent="0.25">
      <c r="B32" s="11"/>
      <c r="C32" s="9"/>
      <c r="D32" s="6"/>
      <c r="E32" s="6"/>
      <c r="F32" s="6"/>
      <c r="G32" s="144"/>
      <c r="M32" s="70"/>
      <c r="N32" s="70"/>
    </row>
    <row r="33" spans="2:14" x14ac:dyDescent="0.25">
      <c r="B33" s="11"/>
      <c r="C33" s="9"/>
      <c r="D33" s="6" t="s">
        <v>771</v>
      </c>
      <c r="E33" s="147">
        <f>FloorFinishes!I57</f>
        <v>0</v>
      </c>
      <c r="F33" s="147">
        <f>FloorFinishes!I127</f>
        <v>0</v>
      </c>
      <c r="G33" s="144">
        <f>E33+F33</f>
        <v>0</v>
      </c>
      <c r="M33" s="70"/>
      <c r="N33" s="70"/>
    </row>
    <row r="34" spans="2:14" x14ac:dyDescent="0.25">
      <c r="B34" s="11"/>
      <c r="C34" s="9"/>
      <c r="D34" s="6"/>
      <c r="E34" s="6"/>
      <c r="F34" s="6"/>
      <c r="G34" s="144"/>
      <c r="M34" s="70"/>
      <c r="N34" s="70"/>
    </row>
    <row r="35" spans="2:14" x14ac:dyDescent="0.25">
      <c r="B35" s="11"/>
      <c r="C35" s="9"/>
      <c r="D35" s="6" t="s">
        <v>772</v>
      </c>
      <c r="E35" s="147">
        <f>'Ceiling Finishes'!I77</f>
        <v>0</v>
      </c>
      <c r="F35" s="147">
        <f>'Ceiling Finishes'!I143</f>
        <v>0</v>
      </c>
      <c r="G35" s="144">
        <f>E35+F35</f>
        <v>0</v>
      </c>
      <c r="M35" s="70"/>
      <c r="N35" s="70"/>
    </row>
    <row r="36" spans="2:14" x14ac:dyDescent="0.25">
      <c r="B36" s="11"/>
      <c r="C36" s="9"/>
      <c r="D36" s="6"/>
      <c r="E36" s="6"/>
      <c r="F36" s="6"/>
      <c r="G36" s="144"/>
      <c r="M36" s="70"/>
      <c r="N36" s="70"/>
    </row>
    <row r="37" spans="2:14" x14ac:dyDescent="0.25">
      <c r="B37" s="11"/>
      <c r="C37" s="9"/>
      <c r="D37" s="6" t="s">
        <v>653</v>
      </c>
      <c r="E37" s="147">
        <f>Fittings!I75</f>
        <v>0</v>
      </c>
      <c r="F37" s="147">
        <f>Fittings!I215</f>
        <v>0</v>
      </c>
      <c r="G37" s="144">
        <f>E37+F37</f>
        <v>0</v>
      </c>
      <c r="M37" s="70"/>
      <c r="N37" s="70"/>
    </row>
    <row r="38" spans="2:14" x14ac:dyDescent="0.25">
      <c r="B38" s="11"/>
      <c r="C38" s="9"/>
      <c r="D38" s="6"/>
      <c r="E38" s="6"/>
      <c r="F38" s="6"/>
      <c r="G38" s="144"/>
      <c r="M38" s="70"/>
      <c r="N38" s="70"/>
    </row>
    <row r="39" spans="2:14" x14ac:dyDescent="0.25">
      <c r="B39" s="11"/>
      <c r="C39" s="9"/>
      <c r="D39" s="6" t="s">
        <v>627</v>
      </c>
      <c r="E39" s="147">
        <f>'M&amp;E Services'!H203</f>
        <v>0</v>
      </c>
      <c r="F39" s="147">
        <f>'M&amp;E Services'!J203</f>
        <v>0</v>
      </c>
      <c r="G39" s="144">
        <f>E39+F39</f>
        <v>0</v>
      </c>
      <c r="M39" s="70"/>
      <c r="N39" s="70"/>
    </row>
    <row r="40" spans="2:14" x14ac:dyDescent="0.25">
      <c r="B40" s="11"/>
      <c r="C40" s="9"/>
      <c r="D40" s="6"/>
      <c r="E40" s="6"/>
      <c r="F40" s="6"/>
      <c r="G40" s="144"/>
      <c r="M40" s="70"/>
      <c r="N40" s="70"/>
    </row>
    <row r="41" spans="2:14" x14ac:dyDescent="0.25">
      <c r="B41" s="11"/>
      <c r="C41" s="9"/>
      <c r="D41" s="6" t="s">
        <v>773</v>
      </c>
      <c r="E41" s="147">
        <f>'Sanitary Fittings'!I47</f>
        <v>0</v>
      </c>
      <c r="F41" s="147">
        <f>'Sanitary Fittings'!I95</f>
        <v>0</v>
      </c>
      <c r="G41" s="144">
        <f>E41+F41</f>
        <v>0</v>
      </c>
      <c r="M41" s="70"/>
      <c r="N41" s="70"/>
    </row>
    <row r="42" spans="2:14" x14ac:dyDescent="0.25">
      <c r="B42" s="11"/>
      <c r="C42" s="9"/>
      <c r="D42" s="6"/>
      <c r="E42" s="6"/>
      <c r="F42" s="6"/>
      <c r="G42" s="144"/>
      <c r="M42" s="70"/>
      <c r="N42" s="70"/>
    </row>
    <row r="43" spans="2:14" x14ac:dyDescent="0.25">
      <c r="B43" s="11"/>
      <c r="C43" s="9"/>
      <c r="D43" s="6" t="s">
        <v>1170</v>
      </c>
      <c r="E43" s="147">
        <f>'BWIC Extl Serv'!H16</f>
        <v>0</v>
      </c>
      <c r="F43" s="147">
        <f>'BWIC Extl Serv'!H94</f>
        <v>0</v>
      </c>
      <c r="G43" s="144">
        <f>E43+F43</f>
        <v>0</v>
      </c>
      <c r="M43" s="70"/>
      <c r="N43" s="70"/>
    </row>
    <row r="44" spans="2:14" x14ac:dyDescent="0.25">
      <c r="B44" s="11"/>
      <c r="C44" s="9"/>
      <c r="D44" s="6"/>
      <c r="E44" s="6"/>
      <c r="F44" s="6"/>
      <c r="G44" s="144"/>
      <c r="M44" s="70"/>
      <c r="N44" s="70"/>
    </row>
    <row r="45" spans="2:14" x14ac:dyDescent="0.25">
      <c r="B45" s="11"/>
      <c r="C45" s="9"/>
      <c r="D45" s="6" t="s">
        <v>808</v>
      </c>
      <c r="E45" s="147">
        <f>'Extl Works'!I75</f>
        <v>0</v>
      </c>
      <c r="F45" s="147">
        <f>'Extl Works'!I293</f>
        <v>0</v>
      </c>
      <c r="G45" s="144">
        <f>E45+F45</f>
        <v>0</v>
      </c>
      <c r="M45" s="70"/>
      <c r="N45" s="70"/>
    </row>
    <row r="46" spans="2:14" x14ac:dyDescent="0.25">
      <c r="B46" s="11"/>
      <c r="C46" s="9"/>
      <c r="D46" s="6"/>
      <c r="E46" s="6"/>
      <c r="F46" s="6"/>
      <c r="G46" s="144"/>
      <c r="M46" s="70"/>
      <c r="N46" s="70"/>
    </row>
    <row r="47" spans="2:14" x14ac:dyDescent="0.25">
      <c r="B47" s="11"/>
      <c r="C47" s="10"/>
      <c r="D47" s="5" t="s">
        <v>498</v>
      </c>
      <c r="E47" s="405">
        <f>'Prov Sums'!H55</f>
        <v>45500</v>
      </c>
      <c r="F47" s="405">
        <f>'Prov Sums'!H83</f>
        <v>104000</v>
      </c>
      <c r="G47" s="144">
        <f>E47+F47</f>
        <v>149500</v>
      </c>
      <c r="M47" s="70"/>
      <c r="N47" s="70"/>
    </row>
    <row r="48" spans="2:14" x14ac:dyDescent="0.25">
      <c r="B48" s="11"/>
      <c r="C48" s="9"/>
      <c r="D48" s="2"/>
      <c r="E48" s="2"/>
      <c r="F48" s="2"/>
      <c r="G48" s="144"/>
      <c r="M48" s="70"/>
      <c r="N48" s="70"/>
    </row>
    <row r="49" spans="2:14" x14ac:dyDescent="0.25">
      <c r="B49" s="11"/>
      <c r="C49" s="9"/>
      <c r="D49" s="5" t="s">
        <v>499</v>
      </c>
      <c r="E49" s="405">
        <f>Dayworks!H45</f>
        <v>600</v>
      </c>
      <c r="F49" s="405">
        <f>Dayworks!J45</f>
        <v>600</v>
      </c>
      <c r="G49" s="144">
        <f>E49+F49</f>
        <v>1200</v>
      </c>
      <c r="M49" s="70"/>
      <c r="N49" s="70"/>
    </row>
    <row r="50" spans="2:14" x14ac:dyDescent="0.25">
      <c r="B50" s="11"/>
      <c r="C50" s="9"/>
      <c r="D50" s="5"/>
      <c r="E50" s="5"/>
      <c r="F50" s="5"/>
      <c r="G50" s="144"/>
    </row>
    <row r="51" spans="2:14" x14ac:dyDescent="0.25">
      <c r="B51" s="11"/>
      <c r="C51" s="9"/>
      <c r="D51" s="5"/>
      <c r="E51" s="5"/>
      <c r="F51" s="5"/>
      <c r="G51" s="144"/>
    </row>
    <row r="52" spans="2:14" x14ac:dyDescent="0.25">
      <c r="B52" s="11"/>
      <c r="C52" s="9"/>
      <c r="D52" s="5"/>
      <c r="E52" s="5"/>
      <c r="F52" s="5"/>
      <c r="G52" s="144"/>
      <c r="M52" s="70"/>
      <c r="N52" s="70"/>
    </row>
    <row r="53" spans="2:14" x14ac:dyDescent="0.25">
      <c r="B53" s="11"/>
      <c r="C53" s="9"/>
      <c r="D53" s="5"/>
      <c r="E53" s="5"/>
      <c r="F53" s="5"/>
      <c r="G53" s="144"/>
    </row>
    <row r="54" spans="2:14" ht="15.75" thickBot="1" x14ac:dyDescent="0.3">
      <c r="B54" s="21"/>
      <c r="C54" s="22"/>
      <c r="D54" s="23"/>
      <c r="E54" s="6"/>
      <c r="F54" s="6"/>
      <c r="G54" s="144"/>
    </row>
    <row r="55" spans="2:14" ht="15" customHeight="1" x14ac:dyDescent="0.25">
      <c r="B55" s="492" t="s">
        <v>0</v>
      </c>
      <c r="C55" s="493"/>
      <c r="D55" s="493"/>
      <c r="E55" s="256"/>
      <c r="F55" s="256"/>
      <c r="G55" s="145"/>
    </row>
    <row r="56" spans="2:14" ht="15.75" thickBot="1" x14ac:dyDescent="0.3">
      <c r="B56" s="490"/>
      <c r="C56" s="491"/>
      <c r="D56" s="491"/>
      <c r="E56" s="255"/>
      <c r="F56" s="255"/>
      <c r="G56" s="146">
        <f>SUM(G8:G53)</f>
        <v>150700</v>
      </c>
    </row>
  </sheetData>
  <mergeCells count="1">
    <mergeCell ref="B55:D56"/>
  </mergeCells>
  <pageMargins left="0.7" right="0.7" top="0.75" bottom="0.75" header="0.3" footer="0.3"/>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0CCE-6424-4E78-9E96-44D79631C1E9}">
  <sheetPr>
    <pageSetUpPr fitToPage="1"/>
  </sheetPr>
  <dimension ref="B1:M130"/>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59.42578125" style="71" customWidth="1"/>
    <col min="5" max="5" width="11.5703125" style="90" hidden="1" customWidth="1"/>
    <col min="6" max="6" width="11.5703125" style="90" customWidth="1"/>
    <col min="7" max="7" width="9.140625" style="91"/>
    <col min="8" max="8" width="12.42578125" style="114" customWidth="1"/>
    <col min="9" max="9" width="14.42578125" style="114" customWidth="1"/>
    <col min="10" max="10" width="10.140625" style="71" customWidth="1"/>
    <col min="11" max="16384" width="9.140625" style="71"/>
  </cols>
  <sheetData>
    <row r="1" spans="2:13" ht="15.75" thickBot="1" x14ac:dyDescent="0.3"/>
    <row r="2" spans="2:13" ht="34.5" customHeight="1" x14ac:dyDescent="0.25">
      <c r="B2" s="94" t="str">
        <f>+Summary!B2</f>
        <v>Todmorden Bandstand Refurbishment &amp; Bowls Pavilion New Build</v>
      </c>
      <c r="C2" s="95"/>
      <c r="D2" s="95"/>
      <c r="E2" s="96"/>
      <c r="F2" s="96"/>
      <c r="G2" s="96"/>
      <c r="H2" s="115"/>
      <c r="I2" s="116"/>
    </row>
    <row r="3" spans="2:13" ht="30" customHeight="1" x14ac:dyDescent="0.25">
      <c r="B3" s="73" t="str">
        <f>+Summary!B3</f>
        <v>Tender Document</v>
      </c>
      <c r="C3" s="83"/>
      <c r="D3" s="83"/>
      <c r="E3" s="91"/>
      <c r="F3" s="91"/>
      <c r="G3" s="98"/>
      <c r="H3" s="117" t="str">
        <f>Summary!D21</f>
        <v>Upper Floors &amp; Staircases</v>
      </c>
      <c r="I3" s="100">
        <f>+Summary!G3</f>
        <v>45614</v>
      </c>
    </row>
    <row r="4" spans="2:13" ht="13.5" customHeight="1" thickBot="1" x14ac:dyDescent="0.3">
      <c r="B4" s="86">
        <v>9</v>
      </c>
      <c r="C4" s="101"/>
      <c r="D4" s="101"/>
      <c r="E4" s="102"/>
      <c r="F4" s="102"/>
      <c r="G4" s="102"/>
      <c r="H4" s="118"/>
      <c r="I4" s="119"/>
    </row>
    <row r="5" spans="2:13" ht="23.25" customHeight="1" thickBot="1" x14ac:dyDescent="0.3">
      <c r="B5" s="72"/>
      <c r="C5" s="73"/>
      <c r="D5" s="82"/>
      <c r="E5" s="227" t="s">
        <v>581</v>
      </c>
      <c r="F5" s="228" t="s">
        <v>1</v>
      </c>
      <c r="G5" s="107" t="s">
        <v>2</v>
      </c>
      <c r="H5" s="120" t="s">
        <v>3</v>
      </c>
      <c r="I5" s="121" t="s">
        <v>5</v>
      </c>
    </row>
    <row r="6" spans="2:13" ht="39.75" customHeight="1" x14ac:dyDescent="0.25">
      <c r="B6" s="72"/>
      <c r="C6" s="420" t="s">
        <v>560</v>
      </c>
      <c r="D6" s="421"/>
      <c r="E6" s="226"/>
      <c r="F6" s="223"/>
      <c r="G6" s="75"/>
      <c r="H6" s="122"/>
      <c r="I6" s="122" t="str">
        <f t="shared" ref="I6" si="0">IF(H6="","",H6*E6)</f>
        <v/>
      </c>
    </row>
    <row r="7" spans="2:13" ht="60" customHeight="1" x14ac:dyDescent="0.25">
      <c r="B7" s="72"/>
      <c r="C7" s="422" t="s">
        <v>586</v>
      </c>
      <c r="D7" s="423"/>
      <c r="E7" s="226"/>
      <c r="F7" s="223"/>
      <c r="G7" s="75"/>
      <c r="H7" s="122"/>
      <c r="I7" s="122"/>
    </row>
    <row r="8" spans="2:13" ht="77.25" customHeight="1" x14ac:dyDescent="0.25">
      <c r="B8" s="72"/>
      <c r="C8" s="422" t="s">
        <v>658</v>
      </c>
      <c r="D8" s="423"/>
      <c r="E8" s="220"/>
      <c r="F8" s="223"/>
      <c r="G8" s="75"/>
      <c r="H8" s="122"/>
      <c r="I8" s="122"/>
      <c r="M8" s="125"/>
    </row>
    <row r="9" spans="2:13" ht="47.25" customHeight="1" x14ac:dyDescent="0.25">
      <c r="B9" s="72"/>
      <c r="C9" s="418" t="s">
        <v>575</v>
      </c>
      <c r="D9" s="419"/>
      <c r="E9" s="220"/>
      <c r="F9" s="223"/>
      <c r="G9" s="75"/>
      <c r="H9" s="122"/>
      <c r="I9" s="122"/>
      <c r="M9" s="125"/>
    </row>
    <row r="10" spans="2:13" ht="28.5" customHeight="1" x14ac:dyDescent="0.25">
      <c r="B10" s="72"/>
      <c r="C10" s="422" t="s">
        <v>750</v>
      </c>
      <c r="D10" s="423"/>
      <c r="E10" s="220"/>
      <c r="F10" s="223"/>
      <c r="G10" s="75"/>
      <c r="H10" s="122"/>
      <c r="I10" s="122"/>
      <c r="M10" s="125"/>
    </row>
    <row r="11" spans="2:13" ht="16.5" x14ac:dyDescent="0.25">
      <c r="B11" s="72"/>
      <c r="C11" s="108"/>
      <c r="D11" s="155"/>
      <c r="E11" s="220"/>
      <c r="F11" s="223"/>
      <c r="G11" s="75"/>
      <c r="H11" s="122"/>
      <c r="I11" s="122"/>
      <c r="M11" s="156"/>
    </row>
    <row r="12" spans="2:13" ht="16.5" x14ac:dyDescent="0.25">
      <c r="B12" s="72"/>
      <c r="C12" s="350" t="s">
        <v>815</v>
      </c>
      <c r="D12" s="155"/>
      <c r="E12" s="220"/>
      <c r="F12" s="223"/>
      <c r="G12" s="75"/>
      <c r="H12" s="122"/>
      <c r="I12" s="122"/>
      <c r="M12" s="156"/>
    </row>
    <row r="13" spans="2:13" ht="16.5" x14ac:dyDescent="0.25">
      <c r="B13" s="72"/>
      <c r="C13" s="108"/>
      <c r="D13" s="155"/>
      <c r="E13" s="220"/>
      <c r="F13" s="223"/>
      <c r="G13" s="75"/>
      <c r="H13" s="122"/>
      <c r="I13" s="122"/>
      <c r="M13" s="156"/>
    </row>
    <row r="14" spans="2:13" ht="16.5" x14ac:dyDescent="0.25">
      <c r="B14" s="72"/>
      <c r="C14" s="159" t="s">
        <v>648</v>
      </c>
      <c r="D14" s="82"/>
      <c r="E14" s="220"/>
      <c r="F14" s="223"/>
      <c r="G14" s="75"/>
      <c r="H14" s="122"/>
      <c r="I14" s="122"/>
      <c r="M14" s="156"/>
    </row>
    <row r="15" spans="2:13" ht="16.5" x14ac:dyDescent="0.25">
      <c r="B15" s="72"/>
      <c r="C15" s="84"/>
      <c r="D15" s="82"/>
      <c r="E15" s="220"/>
      <c r="F15" s="223"/>
      <c r="G15" s="75"/>
      <c r="H15" s="122"/>
      <c r="I15" s="122"/>
      <c r="M15" s="156"/>
    </row>
    <row r="16" spans="2:13" ht="16.5" x14ac:dyDescent="0.25">
      <c r="B16" s="72"/>
      <c r="C16" s="74" t="s">
        <v>752</v>
      </c>
      <c r="D16" s="82"/>
      <c r="E16" s="220"/>
      <c r="F16" s="223"/>
      <c r="G16" s="75"/>
      <c r="H16" s="122"/>
      <c r="I16" s="122"/>
      <c r="M16" s="156"/>
    </row>
    <row r="17" spans="2:13" ht="16.5" x14ac:dyDescent="0.25">
      <c r="B17" s="72"/>
      <c r="C17" s="159"/>
      <c r="D17" s="82"/>
      <c r="E17" s="220"/>
      <c r="F17" s="223"/>
      <c r="G17" s="75"/>
      <c r="H17" s="122"/>
      <c r="I17" s="122"/>
      <c r="M17" s="156"/>
    </row>
    <row r="18" spans="2:13" ht="16.5" x14ac:dyDescent="0.25">
      <c r="B18" s="164">
        <f>B4+0.01</f>
        <v>9.01</v>
      </c>
      <c r="C18" s="159"/>
      <c r="D18" s="82" t="s">
        <v>527</v>
      </c>
      <c r="E18" s="220"/>
      <c r="F18" s="224">
        <v>1</v>
      </c>
      <c r="G18" s="128" t="s">
        <v>528</v>
      </c>
      <c r="H18" s="130"/>
      <c r="I18" s="130">
        <f t="shared" ref="I18:I66" si="1">F18*H18</f>
        <v>0</v>
      </c>
      <c r="M18" s="156"/>
    </row>
    <row r="19" spans="2:13" ht="16.5" x14ac:dyDescent="0.25">
      <c r="B19" s="72"/>
      <c r="C19" s="84"/>
      <c r="D19" s="82"/>
      <c r="E19" s="220"/>
      <c r="F19" s="223"/>
      <c r="G19" s="75"/>
      <c r="H19" s="122"/>
      <c r="I19" s="130">
        <f t="shared" si="1"/>
        <v>0</v>
      </c>
      <c r="M19" s="156"/>
    </row>
    <row r="20" spans="2:13" ht="32.25" customHeight="1" x14ac:dyDescent="0.25">
      <c r="B20" s="72"/>
      <c r="C20" s="418" t="s">
        <v>716</v>
      </c>
      <c r="D20" s="419"/>
      <c r="E20" s="220"/>
      <c r="F20" s="223"/>
      <c r="G20" s="75"/>
      <c r="H20" s="122"/>
      <c r="I20" s="130">
        <f t="shared" si="1"/>
        <v>0</v>
      </c>
      <c r="M20" s="156"/>
    </row>
    <row r="21" spans="2:13" ht="16.5" x14ac:dyDescent="0.25">
      <c r="B21" s="72"/>
      <c r="C21" s="84"/>
      <c r="D21" s="82"/>
      <c r="E21" s="220"/>
      <c r="F21" s="223"/>
      <c r="G21" s="75"/>
      <c r="H21" s="122"/>
      <c r="I21" s="130">
        <f t="shared" si="1"/>
        <v>0</v>
      </c>
      <c r="M21" s="156"/>
    </row>
    <row r="22" spans="2:13" ht="47.45" customHeight="1" x14ac:dyDescent="0.25">
      <c r="B22" s="164">
        <f>B18+0.01</f>
        <v>9.02</v>
      </c>
      <c r="C22" s="84"/>
      <c r="D22" s="82" t="s">
        <v>717</v>
      </c>
      <c r="E22" s="221"/>
      <c r="F22" s="224">
        <v>1</v>
      </c>
      <c r="G22" s="128" t="s">
        <v>528</v>
      </c>
      <c r="H22" s="130"/>
      <c r="I22" s="130">
        <f t="shared" si="1"/>
        <v>0</v>
      </c>
      <c r="M22" s="156"/>
    </row>
    <row r="23" spans="2:13" ht="16.5" x14ac:dyDescent="0.25">
      <c r="B23" s="72"/>
      <c r="C23" s="84"/>
      <c r="D23" s="82"/>
      <c r="E23" s="220"/>
      <c r="F23" s="223"/>
      <c r="G23" s="75"/>
      <c r="H23" s="122"/>
      <c r="I23" s="130">
        <f t="shared" si="1"/>
        <v>0</v>
      </c>
      <c r="M23" s="156"/>
    </row>
    <row r="24" spans="2:13" ht="30" x14ac:dyDescent="0.25">
      <c r="B24" s="164">
        <f>B22+0.01</f>
        <v>9.0299999999999994</v>
      </c>
      <c r="C24" s="84"/>
      <c r="D24" s="82" t="s">
        <v>742</v>
      </c>
      <c r="E24" s="221"/>
      <c r="F24" s="224">
        <v>1</v>
      </c>
      <c r="G24" s="128" t="s">
        <v>528</v>
      </c>
      <c r="H24" s="130"/>
      <c r="I24" s="130">
        <f t="shared" si="1"/>
        <v>0</v>
      </c>
      <c r="M24" s="156"/>
    </row>
    <row r="25" spans="2:13" ht="16.5" x14ac:dyDescent="0.25">
      <c r="B25" s="72"/>
      <c r="C25" s="84"/>
      <c r="D25" s="82"/>
      <c r="E25" s="220"/>
      <c r="F25" s="223"/>
      <c r="G25" s="75"/>
      <c r="H25" s="122"/>
      <c r="I25" s="130">
        <f t="shared" si="1"/>
        <v>0</v>
      </c>
      <c r="M25" s="156"/>
    </row>
    <row r="26" spans="2:13" ht="30" x14ac:dyDescent="0.25">
      <c r="B26" s="164">
        <f>B24+0.01</f>
        <v>9.0399999999999991</v>
      </c>
      <c r="C26" s="84"/>
      <c r="D26" s="82" t="s">
        <v>731</v>
      </c>
      <c r="E26" s="221"/>
      <c r="F26" s="224">
        <v>1</v>
      </c>
      <c r="G26" s="128" t="s">
        <v>528</v>
      </c>
      <c r="H26" s="130"/>
      <c r="I26" s="130">
        <f t="shared" si="1"/>
        <v>0</v>
      </c>
      <c r="M26" s="156"/>
    </row>
    <row r="27" spans="2:13" ht="16.5" x14ac:dyDescent="0.25">
      <c r="B27" s="72"/>
      <c r="C27" s="108"/>
      <c r="D27" s="155"/>
      <c r="E27" s="220"/>
      <c r="F27" s="223"/>
      <c r="G27" s="75"/>
      <c r="H27" s="122"/>
      <c r="I27" s="130">
        <f t="shared" si="1"/>
        <v>0</v>
      </c>
      <c r="M27" s="156"/>
    </row>
    <row r="28" spans="2:13" ht="60" x14ac:dyDescent="0.25">
      <c r="B28" s="164">
        <f>B26+0.01</f>
        <v>9.0499999999999989</v>
      </c>
      <c r="C28" s="108"/>
      <c r="D28" s="158" t="s">
        <v>1364</v>
      </c>
      <c r="E28" s="220"/>
      <c r="F28" s="224">
        <v>1</v>
      </c>
      <c r="G28" s="128" t="s">
        <v>528</v>
      </c>
      <c r="H28" s="130"/>
      <c r="I28" s="130">
        <f t="shared" si="1"/>
        <v>0</v>
      </c>
      <c r="M28" s="156"/>
    </row>
    <row r="29" spans="2:13" ht="16.5" x14ac:dyDescent="0.25">
      <c r="B29" s="72"/>
      <c r="C29" s="108"/>
      <c r="D29" s="155"/>
      <c r="E29" s="220"/>
      <c r="F29" s="223"/>
      <c r="G29" s="75"/>
      <c r="H29" s="122"/>
      <c r="I29" s="130">
        <f t="shared" si="1"/>
        <v>0</v>
      </c>
      <c r="M29" s="156"/>
    </row>
    <row r="30" spans="2:13" ht="47.25" customHeight="1" x14ac:dyDescent="0.25">
      <c r="B30" s="164">
        <f>B28+0.01</f>
        <v>9.0599999999999987</v>
      </c>
      <c r="C30" s="108"/>
      <c r="D30" s="158" t="s">
        <v>743</v>
      </c>
      <c r="E30" s="221"/>
      <c r="F30" s="224">
        <v>1</v>
      </c>
      <c r="G30" s="128" t="s">
        <v>528</v>
      </c>
      <c r="H30" s="130"/>
      <c r="I30" s="130">
        <f t="shared" si="1"/>
        <v>0</v>
      </c>
      <c r="M30" s="156"/>
    </row>
    <row r="31" spans="2:13" ht="16.5" x14ac:dyDescent="0.25">
      <c r="B31" s="72"/>
      <c r="C31" s="108"/>
      <c r="D31" s="82"/>
      <c r="E31" s="75"/>
      <c r="F31" s="75"/>
      <c r="G31" s="75"/>
      <c r="H31" s="122"/>
      <c r="I31" s="130">
        <f t="shared" si="1"/>
        <v>0</v>
      </c>
      <c r="M31" s="156"/>
    </row>
    <row r="32" spans="2:13" ht="16.5" x14ac:dyDescent="0.25">
      <c r="B32" s="72"/>
      <c r="C32" s="159" t="s">
        <v>744</v>
      </c>
      <c r="D32" s="82"/>
      <c r="E32" s="75"/>
      <c r="F32" s="75"/>
      <c r="G32" s="75"/>
      <c r="H32" s="122"/>
      <c r="I32" s="130">
        <f t="shared" si="1"/>
        <v>0</v>
      </c>
      <c r="M32" s="156"/>
    </row>
    <row r="33" spans="2:13" ht="16.5" x14ac:dyDescent="0.25">
      <c r="B33" s="72"/>
      <c r="C33" s="84"/>
      <c r="D33" s="82"/>
      <c r="E33" s="75"/>
      <c r="F33" s="75"/>
      <c r="G33" s="75"/>
      <c r="H33" s="122"/>
      <c r="I33" s="130">
        <f t="shared" si="1"/>
        <v>0</v>
      </c>
      <c r="M33" s="156"/>
    </row>
    <row r="34" spans="2:13" ht="47.25" customHeight="1" x14ac:dyDescent="0.25">
      <c r="B34" s="72"/>
      <c r="C34" s="418" t="s">
        <v>910</v>
      </c>
      <c r="D34" s="419"/>
      <c r="E34" s="75"/>
      <c r="F34" s="75"/>
      <c r="G34" s="75"/>
      <c r="H34" s="122"/>
      <c r="I34" s="130">
        <f t="shared" si="1"/>
        <v>0</v>
      </c>
      <c r="M34" s="156"/>
    </row>
    <row r="35" spans="2:13" ht="16.5" x14ac:dyDescent="0.25">
      <c r="B35" s="72"/>
      <c r="C35" s="84"/>
      <c r="D35" s="82"/>
      <c r="E35" s="75"/>
      <c r="F35" s="75"/>
      <c r="G35" s="75"/>
      <c r="H35" s="122"/>
      <c r="I35" s="130">
        <f t="shared" si="1"/>
        <v>0</v>
      </c>
      <c r="M35" s="156"/>
    </row>
    <row r="36" spans="2:13" ht="16.5" x14ac:dyDescent="0.25">
      <c r="B36" s="179">
        <f>B24+0.01</f>
        <v>9.0399999999999991</v>
      </c>
      <c r="C36" s="84"/>
      <c r="D36" s="251" t="s">
        <v>753</v>
      </c>
      <c r="E36" s="128">
        <v>3</v>
      </c>
      <c r="F36" s="224">
        <v>1</v>
      </c>
      <c r="G36" s="128" t="s">
        <v>528</v>
      </c>
      <c r="H36" s="130"/>
      <c r="I36" s="130">
        <f t="shared" si="1"/>
        <v>0</v>
      </c>
      <c r="M36" s="156"/>
    </row>
    <row r="37" spans="2:13" ht="16.5" x14ac:dyDescent="0.25">
      <c r="B37" s="72"/>
      <c r="C37" s="108"/>
      <c r="D37" s="82"/>
      <c r="E37" s="75"/>
      <c r="F37" s="75"/>
      <c r="G37" s="75"/>
      <c r="H37" s="122"/>
      <c r="I37" s="130">
        <f t="shared" si="1"/>
        <v>0</v>
      </c>
      <c r="M37" s="156"/>
    </row>
    <row r="38" spans="2:13" ht="45" x14ac:dyDescent="0.25">
      <c r="B38" s="179">
        <f>B36+0.01</f>
        <v>9.0499999999999989</v>
      </c>
      <c r="C38" s="108"/>
      <c r="D38" s="335" t="s">
        <v>747</v>
      </c>
      <c r="E38" s="75"/>
      <c r="F38" s="224">
        <v>1</v>
      </c>
      <c r="G38" s="128" t="s">
        <v>528</v>
      </c>
      <c r="H38" s="130"/>
      <c r="I38" s="130">
        <f t="shared" si="1"/>
        <v>0</v>
      </c>
      <c r="M38" s="156"/>
    </row>
    <row r="39" spans="2:13" ht="16.5" x14ac:dyDescent="0.25">
      <c r="B39" s="72"/>
      <c r="C39" s="108"/>
      <c r="D39" s="82"/>
      <c r="E39" s="75"/>
      <c r="F39" s="75"/>
      <c r="G39" s="75"/>
      <c r="H39" s="122"/>
      <c r="I39" s="130">
        <f t="shared" si="1"/>
        <v>0</v>
      </c>
      <c r="M39" s="156"/>
    </row>
    <row r="40" spans="2:13" ht="16.5" x14ac:dyDescent="0.25">
      <c r="B40" s="72"/>
      <c r="C40" s="81"/>
      <c r="D40" s="82"/>
      <c r="E40" s="82"/>
      <c r="F40" s="75"/>
      <c r="G40" s="75"/>
      <c r="H40" s="122"/>
      <c r="I40" s="130">
        <f t="shared" si="1"/>
        <v>0</v>
      </c>
      <c r="M40" s="156"/>
    </row>
    <row r="41" spans="2:13" ht="16.5" x14ac:dyDescent="0.25">
      <c r="B41" s="77"/>
      <c r="C41" s="73" t="s">
        <v>549</v>
      </c>
      <c r="D41" s="160"/>
      <c r="E41" s="82"/>
      <c r="F41" s="75"/>
      <c r="G41" s="75"/>
      <c r="H41" s="79"/>
      <c r="I41" s="130">
        <f t="shared" si="1"/>
        <v>0</v>
      </c>
      <c r="J41" s="83"/>
      <c r="M41" s="126"/>
    </row>
    <row r="42" spans="2:13" ht="16.5" x14ac:dyDescent="0.25">
      <c r="B42" s="77"/>
      <c r="C42" s="74"/>
      <c r="D42" s="160"/>
      <c r="E42" s="82"/>
      <c r="F42" s="75"/>
      <c r="G42" s="75"/>
      <c r="H42" s="79"/>
      <c r="I42" s="130">
        <f t="shared" si="1"/>
        <v>0</v>
      </c>
      <c r="J42" s="83"/>
      <c r="M42" s="126"/>
    </row>
    <row r="43" spans="2:13" ht="16.5" x14ac:dyDescent="0.25">
      <c r="B43" s="77"/>
      <c r="C43" s="159" t="s">
        <v>550</v>
      </c>
      <c r="D43" s="160"/>
      <c r="E43" s="82"/>
      <c r="F43" s="75"/>
      <c r="G43" s="75"/>
      <c r="H43" s="79"/>
      <c r="I43" s="130">
        <f t="shared" si="1"/>
        <v>0</v>
      </c>
      <c r="J43" s="83"/>
      <c r="M43" s="126"/>
    </row>
    <row r="44" spans="2:13" ht="16.5" x14ac:dyDescent="0.25">
      <c r="B44" s="77"/>
      <c r="C44" s="74"/>
      <c r="D44" s="160"/>
      <c r="E44" s="82"/>
      <c r="F44" s="75"/>
      <c r="G44" s="75"/>
      <c r="H44" s="79"/>
      <c r="I44" s="130">
        <f t="shared" si="1"/>
        <v>0</v>
      </c>
      <c r="J44" s="83"/>
      <c r="M44" s="126"/>
    </row>
    <row r="45" spans="2:13" ht="16.5" x14ac:dyDescent="0.25">
      <c r="B45" s="77"/>
      <c r="C45" s="74" t="s">
        <v>551</v>
      </c>
      <c r="D45" s="160"/>
      <c r="E45" s="82"/>
      <c r="F45" s="75"/>
      <c r="G45" s="75"/>
      <c r="H45" s="79"/>
      <c r="I45" s="130">
        <f t="shared" si="1"/>
        <v>0</v>
      </c>
      <c r="J45" s="83"/>
      <c r="M45" s="126"/>
    </row>
    <row r="46" spans="2:13" ht="16.5" x14ac:dyDescent="0.25">
      <c r="B46" s="77"/>
      <c r="C46" s="74"/>
      <c r="D46" s="160"/>
      <c r="E46" s="82"/>
      <c r="F46" s="75"/>
      <c r="G46" s="75"/>
      <c r="H46" s="79"/>
      <c r="I46" s="130">
        <f t="shared" si="1"/>
        <v>0</v>
      </c>
      <c r="J46" s="83"/>
      <c r="M46" s="126"/>
    </row>
    <row r="47" spans="2:13" ht="16.5" x14ac:dyDescent="0.25">
      <c r="B47" s="173">
        <f>B38+0.01</f>
        <v>9.0599999999999987</v>
      </c>
      <c r="C47" s="74"/>
      <c r="D47" s="112" t="s">
        <v>527</v>
      </c>
      <c r="E47" s="75">
        <v>1</v>
      </c>
      <c r="F47" s="224">
        <v>1</v>
      </c>
      <c r="G47" s="75" t="s">
        <v>528</v>
      </c>
      <c r="H47" s="76"/>
      <c r="I47" s="130">
        <f t="shared" si="1"/>
        <v>0</v>
      </c>
      <c r="J47" s="83"/>
      <c r="M47" s="126"/>
    </row>
    <row r="48" spans="2:13" ht="16.5" x14ac:dyDescent="0.25">
      <c r="B48" s="77"/>
      <c r="C48" s="74"/>
      <c r="D48" s="160"/>
      <c r="E48" s="75"/>
      <c r="F48" s="75"/>
      <c r="G48" s="78"/>
      <c r="H48" s="79"/>
      <c r="I48" s="130">
        <f t="shared" si="1"/>
        <v>0</v>
      </c>
      <c r="J48" s="83"/>
      <c r="M48" s="126"/>
    </row>
    <row r="49" spans="2:13" ht="16.5" x14ac:dyDescent="0.25">
      <c r="B49" s="77"/>
      <c r="C49" s="432" t="s">
        <v>634</v>
      </c>
      <c r="D49" s="433"/>
      <c r="E49" s="161"/>
      <c r="F49" s="161"/>
      <c r="G49" s="78"/>
      <c r="H49" s="79"/>
      <c r="I49" s="130">
        <f t="shared" si="1"/>
        <v>0</v>
      </c>
      <c r="J49" s="83"/>
      <c r="M49" s="126"/>
    </row>
    <row r="50" spans="2:13" ht="16.5" x14ac:dyDescent="0.25">
      <c r="B50" s="77"/>
      <c r="C50" s="74"/>
      <c r="D50" s="160"/>
      <c r="E50" s="161"/>
      <c r="F50" s="161"/>
      <c r="G50" s="78"/>
      <c r="H50" s="79"/>
      <c r="I50" s="130">
        <f t="shared" si="1"/>
        <v>0</v>
      </c>
      <c r="J50" s="83"/>
      <c r="M50" s="126"/>
    </row>
    <row r="51" spans="2:13" ht="28.5" customHeight="1" x14ac:dyDescent="0.25">
      <c r="B51" s="77"/>
      <c r="C51" s="418" t="s">
        <v>656</v>
      </c>
      <c r="D51" s="419"/>
      <c r="E51" s="161"/>
      <c r="F51" s="161"/>
      <c r="G51" s="78"/>
      <c r="H51" s="79"/>
      <c r="I51" s="130">
        <f t="shared" si="1"/>
        <v>0</v>
      </c>
      <c r="J51" s="83"/>
      <c r="M51" s="126"/>
    </row>
    <row r="52" spans="2:13" ht="16.5" x14ac:dyDescent="0.25">
      <c r="B52" s="77"/>
      <c r="C52" s="74"/>
      <c r="D52" s="160"/>
      <c r="E52" s="161"/>
      <c r="F52" s="161"/>
      <c r="G52" s="78"/>
      <c r="H52" s="79"/>
      <c r="I52" s="130">
        <f t="shared" si="1"/>
        <v>0</v>
      </c>
      <c r="J52" s="83"/>
      <c r="M52" s="126"/>
    </row>
    <row r="53" spans="2:13" ht="16.5" x14ac:dyDescent="0.25">
      <c r="B53" s="172">
        <f>B47+0.01</f>
        <v>9.0699999999999985</v>
      </c>
      <c r="C53" s="74"/>
      <c r="D53" s="112" t="s">
        <v>527</v>
      </c>
      <c r="E53" s="162">
        <v>1</v>
      </c>
      <c r="F53" s="162">
        <v>1</v>
      </c>
      <c r="G53" s="75" t="s">
        <v>528</v>
      </c>
      <c r="H53" s="76"/>
      <c r="I53" s="130">
        <f t="shared" si="1"/>
        <v>0</v>
      </c>
      <c r="J53" s="83"/>
      <c r="M53" s="126"/>
    </row>
    <row r="54" spans="2:13" ht="16.5" x14ac:dyDescent="0.25">
      <c r="B54" s="77"/>
      <c r="C54" s="74"/>
      <c r="D54" s="160"/>
      <c r="E54" s="75"/>
      <c r="F54" s="75"/>
      <c r="G54" s="78"/>
      <c r="H54" s="79"/>
      <c r="I54" s="130">
        <f t="shared" si="1"/>
        <v>0</v>
      </c>
      <c r="J54" s="83"/>
      <c r="M54" s="126"/>
    </row>
    <row r="55" spans="2:13" ht="16.5" x14ac:dyDescent="0.25">
      <c r="B55" s="77"/>
      <c r="C55" s="159" t="s">
        <v>556</v>
      </c>
      <c r="D55" s="160"/>
      <c r="E55" s="75"/>
      <c r="F55" s="75"/>
      <c r="G55" s="78"/>
      <c r="H55" s="79"/>
      <c r="I55" s="130">
        <f t="shared" si="1"/>
        <v>0</v>
      </c>
      <c r="J55" s="83"/>
      <c r="M55" s="126"/>
    </row>
    <row r="56" spans="2:13" ht="16.5" x14ac:dyDescent="0.25">
      <c r="B56" s="77"/>
      <c r="C56" s="74"/>
      <c r="D56" s="160"/>
      <c r="E56" s="75"/>
      <c r="F56" s="75"/>
      <c r="G56" s="78"/>
      <c r="H56" s="79"/>
      <c r="I56" s="130">
        <f t="shared" si="1"/>
        <v>0</v>
      </c>
      <c r="J56" s="83"/>
      <c r="M56" s="126"/>
    </row>
    <row r="57" spans="2:13" ht="33.75" customHeight="1" x14ac:dyDescent="0.25">
      <c r="B57" s="77"/>
      <c r="C57" s="420" t="s">
        <v>557</v>
      </c>
      <c r="D57" s="421"/>
      <c r="E57" s="75"/>
      <c r="F57" s="75"/>
      <c r="G57" s="78"/>
      <c r="H57" s="79"/>
      <c r="I57" s="130">
        <f t="shared" si="1"/>
        <v>0</v>
      </c>
      <c r="J57" s="83"/>
      <c r="M57" s="126"/>
    </row>
    <row r="58" spans="2:13" ht="14.45" customHeight="1" x14ac:dyDescent="0.25">
      <c r="B58" s="77"/>
      <c r="C58" s="170"/>
      <c r="D58" s="158"/>
      <c r="E58" s="75"/>
      <c r="F58" s="75"/>
      <c r="G58" s="78"/>
      <c r="H58" s="79"/>
      <c r="I58" s="130">
        <f t="shared" si="1"/>
        <v>0</v>
      </c>
      <c r="J58" s="83"/>
      <c r="M58" s="126"/>
    </row>
    <row r="59" spans="2:13" ht="16.5" x14ac:dyDescent="0.25">
      <c r="B59" s="173">
        <f>B53+0.01</f>
        <v>9.0799999999999983</v>
      </c>
      <c r="C59" s="74"/>
      <c r="D59" s="112" t="s">
        <v>527</v>
      </c>
      <c r="E59" s="162">
        <v>1</v>
      </c>
      <c r="F59" s="162">
        <v>1</v>
      </c>
      <c r="G59" s="75" t="s">
        <v>528</v>
      </c>
      <c r="H59" s="76"/>
      <c r="I59" s="130">
        <f t="shared" si="1"/>
        <v>0</v>
      </c>
      <c r="J59" s="83"/>
      <c r="M59" s="126"/>
    </row>
    <row r="60" spans="2:13" ht="16.5" x14ac:dyDescent="0.25">
      <c r="B60" s="77"/>
      <c r="C60" s="74"/>
      <c r="D60" s="160"/>
      <c r="E60" s="75"/>
      <c r="F60" s="75"/>
      <c r="G60" s="78"/>
      <c r="H60" s="79"/>
      <c r="I60" s="130">
        <f t="shared" si="1"/>
        <v>0</v>
      </c>
      <c r="J60" s="83"/>
      <c r="M60" s="126"/>
    </row>
    <row r="61" spans="2:13" ht="16.5" x14ac:dyDescent="0.25">
      <c r="B61" s="72"/>
      <c r="C61" s="159" t="s">
        <v>529</v>
      </c>
      <c r="D61" s="82"/>
      <c r="E61" s="75"/>
      <c r="F61" s="75"/>
      <c r="G61" s="75"/>
      <c r="H61" s="122"/>
      <c r="I61" s="130">
        <f t="shared" si="1"/>
        <v>0</v>
      </c>
      <c r="J61" s="83"/>
      <c r="M61" s="126"/>
    </row>
    <row r="62" spans="2:13" ht="16.5" x14ac:dyDescent="0.25">
      <c r="B62" s="72"/>
      <c r="C62" s="74"/>
      <c r="D62" s="82"/>
      <c r="E62" s="75"/>
      <c r="F62" s="75"/>
      <c r="G62" s="75"/>
      <c r="H62" s="122"/>
      <c r="I62" s="130">
        <f t="shared" si="1"/>
        <v>0</v>
      </c>
      <c r="J62" s="83"/>
      <c r="M62" s="127"/>
    </row>
    <row r="63" spans="2:13" ht="37.5" customHeight="1" x14ac:dyDescent="0.25">
      <c r="B63" s="72"/>
      <c r="C63" s="422" t="s">
        <v>629</v>
      </c>
      <c r="D63" s="423"/>
      <c r="E63" s="75"/>
      <c r="F63" s="75"/>
      <c r="G63" s="75"/>
      <c r="H63" s="122"/>
      <c r="I63" s="130">
        <f t="shared" si="1"/>
        <v>0</v>
      </c>
      <c r="J63" s="83"/>
      <c r="M63" s="127"/>
    </row>
    <row r="64" spans="2:13" ht="13.7" customHeight="1" x14ac:dyDescent="0.25">
      <c r="B64" s="72"/>
      <c r="C64" s="165"/>
      <c r="D64" s="82"/>
      <c r="E64" s="75"/>
      <c r="F64" s="75"/>
      <c r="G64" s="75"/>
      <c r="H64" s="122"/>
      <c r="I64" s="130">
        <f t="shared" si="1"/>
        <v>0</v>
      </c>
      <c r="J64" s="83"/>
      <c r="M64" s="127"/>
    </row>
    <row r="65" spans="2:10" x14ac:dyDescent="0.25">
      <c r="B65" s="173">
        <f>B59+0.01</f>
        <v>9.0899999999999981</v>
      </c>
      <c r="C65" s="74"/>
      <c r="D65" s="112" t="s">
        <v>527</v>
      </c>
      <c r="E65" s="162">
        <v>1</v>
      </c>
      <c r="F65" s="162">
        <v>1</v>
      </c>
      <c r="G65" s="75" t="s">
        <v>528</v>
      </c>
      <c r="H65" s="76"/>
      <c r="I65" s="130">
        <f t="shared" si="1"/>
        <v>0</v>
      </c>
      <c r="J65" s="83"/>
    </row>
    <row r="66" spans="2:10" ht="15" customHeight="1" thickBot="1" x14ac:dyDescent="0.3">
      <c r="B66" s="72"/>
      <c r="C66" s="135"/>
      <c r="D66" s="82"/>
      <c r="E66" s="162"/>
      <c r="F66" s="162"/>
      <c r="G66" s="75"/>
      <c r="H66" s="122"/>
      <c r="I66" s="130">
        <f t="shared" si="1"/>
        <v>0</v>
      </c>
    </row>
    <row r="67" spans="2:10" ht="15" customHeight="1" thickBot="1" x14ac:dyDescent="0.3">
      <c r="B67" s="72"/>
      <c r="C67" s="135"/>
      <c r="D67" s="314" t="s">
        <v>909</v>
      </c>
      <c r="E67" s="162"/>
      <c r="F67" s="162"/>
      <c r="G67" s="75"/>
      <c r="H67" s="366"/>
      <c r="I67" s="352">
        <f>SUM(I9:I66)</f>
        <v>0</v>
      </c>
    </row>
    <row r="68" spans="2:10" ht="15" customHeight="1" x14ac:dyDescent="0.25">
      <c r="B68" s="72"/>
      <c r="C68" s="135"/>
      <c r="D68" s="82"/>
      <c r="E68" s="162"/>
      <c r="F68" s="162"/>
      <c r="G68" s="75"/>
      <c r="H68" s="122"/>
      <c r="I68" s="130"/>
    </row>
    <row r="69" spans="2:10" ht="15" customHeight="1" x14ac:dyDescent="0.25">
      <c r="B69" s="72"/>
      <c r="C69" s="426" t="s">
        <v>816</v>
      </c>
      <c r="D69" s="427"/>
      <c r="E69" s="162"/>
      <c r="F69" s="162"/>
      <c r="G69" s="75"/>
      <c r="H69" s="122"/>
      <c r="I69" s="130"/>
    </row>
    <row r="70" spans="2:10" ht="15" customHeight="1" x14ac:dyDescent="0.25">
      <c r="B70" s="72"/>
      <c r="C70" s="135"/>
      <c r="D70" s="82"/>
      <c r="E70" s="162"/>
      <c r="F70" s="162"/>
      <c r="G70" s="75"/>
      <c r="H70" s="122"/>
      <c r="I70" s="130"/>
    </row>
    <row r="71" spans="2:10" ht="15" customHeight="1" x14ac:dyDescent="0.25">
      <c r="B71" s="72"/>
      <c r="C71" s="84" t="s">
        <v>840</v>
      </c>
      <c r="D71" s="82"/>
      <c r="E71" s="162"/>
      <c r="F71" s="162"/>
      <c r="G71" s="75"/>
      <c r="H71" s="122"/>
      <c r="I71" s="130"/>
    </row>
    <row r="72" spans="2:10" ht="15" customHeight="1" x14ac:dyDescent="0.25">
      <c r="B72" s="72"/>
      <c r="C72" s="135"/>
      <c r="D72" s="82"/>
      <c r="E72" s="162"/>
      <c r="F72" s="162"/>
      <c r="G72" s="75"/>
      <c r="H72" s="122"/>
      <c r="I72" s="130"/>
    </row>
    <row r="73" spans="2:10" ht="30.75" customHeight="1" x14ac:dyDescent="0.25">
      <c r="B73" s="72"/>
      <c r="C73" s="437" t="s">
        <v>860</v>
      </c>
      <c r="D73" s="438"/>
      <c r="E73" s="162"/>
      <c r="F73" s="162"/>
      <c r="G73" s="75"/>
      <c r="H73" s="122"/>
      <c r="I73" s="130"/>
    </row>
    <row r="74" spans="2:10" ht="15" customHeight="1" x14ac:dyDescent="0.25">
      <c r="B74" s="72"/>
      <c r="C74" s="73"/>
      <c r="D74" s="82"/>
      <c r="E74" s="162"/>
      <c r="F74" s="162"/>
      <c r="G74" s="75"/>
      <c r="H74" s="122"/>
      <c r="I74" s="130"/>
    </row>
    <row r="75" spans="2:10" ht="15" customHeight="1" x14ac:dyDescent="0.25">
      <c r="B75" s="72"/>
      <c r="C75" s="74" t="s">
        <v>911</v>
      </c>
      <c r="D75" s="82"/>
      <c r="E75" s="162"/>
      <c r="F75" s="162"/>
      <c r="G75" s="75"/>
      <c r="H75" s="122"/>
      <c r="I75" s="130"/>
    </row>
    <row r="76" spans="2:10" ht="15" customHeight="1" x14ac:dyDescent="0.25">
      <c r="B76" s="72"/>
      <c r="C76" s="74"/>
      <c r="D76" s="82"/>
      <c r="E76" s="162"/>
      <c r="F76" s="162"/>
      <c r="G76" s="75"/>
      <c r="H76" s="122"/>
      <c r="I76" s="130"/>
    </row>
    <row r="77" spans="2:10" ht="15" customHeight="1" x14ac:dyDescent="0.25">
      <c r="B77" s="172">
        <f>B65+0.01</f>
        <v>9.0999999999999979</v>
      </c>
      <c r="C77" s="73"/>
      <c r="D77" s="82" t="s">
        <v>842</v>
      </c>
      <c r="E77" s="162">
        <f>(10.2*4.5)+((5.2+1.65+2.9+1)*2.45)-(1.01*2*2)-(0.81*2)-(0.91*2)</f>
        <v>64.757499999999993</v>
      </c>
      <c r="F77" s="162">
        <v>65</v>
      </c>
      <c r="G77" s="75" t="s">
        <v>659</v>
      </c>
      <c r="H77" s="122"/>
      <c r="I77" s="130">
        <f t="shared" ref="I77:I128" si="2">F77*H77</f>
        <v>0</v>
      </c>
    </row>
    <row r="78" spans="2:10" ht="15" customHeight="1" x14ac:dyDescent="0.25">
      <c r="B78" s="72"/>
      <c r="C78" s="135"/>
      <c r="D78" s="82"/>
      <c r="E78" s="162"/>
      <c r="F78" s="162"/>
      <c r="G78" s="75"/>
      <c r="H78" s="122"/>
      <c r="I78" s="130">
        <f t="shared" si="2"/>
        <v>0</v>
      </c>
    </row>
    <row r="79" spans="2:10" ht="15" customHeight="1" x14ac:dyDescent="0.25">
      <c r="B79" s="172">
        <f>B77+0.01</f>
        <v>9.1099999999999977</v>
      </c>
      <c r="C79" s="135"/>
      <c r="D79" s="82" t="s">
        <v>912</v>
      </c>
      <c r="E79" s="162">
        <f>((2.6+2.4)*2.45)</f>
        <v>12.25</v>
      </c>
      <c r="F79" s="162">
        <v>12</v>
      </c>
      <c r="G79" s="75" t="s">
        <v>659</v>
      </c>
      <c r="H79" s="122"/>
      <c r="I79" s="130">
        <f t="shared" si="2"/>
        <v>0</v>
      </c>
    </row>
    <row r="80" spans="2:10" ht="15" customHeight="1" x14ac:dyDescent="0.25">
      <c r="B80" s="72"/>
      <c r="C80" s="135"/>
      <c r="D80" s="82"/>
      <c r="E80" s="162"/>
      <c r="F80" s="162"/>
      <c r="G80" s="75"/>
      <c r="H80" s="122"/>
      <c r="I80" s="130">
        <f t="shared" si="2"/>
        <v>0</v>
      </c>
    </row>
    <row r="81" spans="2:9" ht="32.25" customHeight="1" x14ac:dyDescent="0.25">
      <c r="B81" s="72"/>
      <c r="C81" s="437" t="s">
        <v>1439</v>
      </c>
      <c r="D81" s="438"/>
      <c r="E81" s="162"/>
      <c r="F81" s="162"/>
      <c r="G81" s="75"/>
      <c r="H81" s="122"/>
      <c r="I81" s="130">
        <f t="shared" si="2"/>
        <v>0</v>
      </c>
    </row>
    <row r="82" spans="2:9" ht="15" customHeight="1" x14ac:dyDescent="0.25">
      <c r="B82" s="72"/>
      <c r="C82" s="73"/>
      <c r="D82" s="82"/>
      <c r="E82" s="162"/>
      <c r="F82" s="162"/>
      <c r="G82" s="75"/>
      <c r="H82" s="122"/>
      <c r="I82" s="130">
        <f t="shared" si="2"/>
        <v>0</v>
      </c>
    </row>
    <row r="83" spans="2:9" ht="15" customHeight="1" x14ac:dyDescent="0.25">
      <c r="B83" s="72"/>
      <c r="C83" s="418" t="s">
        <v>1241</v>
      </c>
      <c r="D83" s="419"/>
      <c r="E83" s="162"/>
      <c r="F83" s="162"/>
      <c r="G83" s="75"/>
      <c r="H83" s="122"/>
      <c r="I83" s="130">
        <f t="shared" si="2"/>
        <v>0</v>
      </c>
    </row>
    <row r="84" spans="2:9" ht="15" customHeight="1" x14ac:dyDescent="0.25">
      <c r="B84" s="72"/>
      <c r="C84" s="74"/>
      <c r="D84" s="82"/>
      <c r="E84" s="162"/>
      <c r="F84" s="162"/>
      <c r="G84" s="75"/>
      <c r="H84" s="122"/>
      <c r="I84" s="130">
        <f t="shared" si="2"/>
        <v>0</v>
      </c>
    </row>
    <row r="85" spans="2:9" ht="15" customHeight="1" x14ac:dyDescent="0.25">
      <c r="B85" s="172">
        <f>B79+0.01</f>
        <v>9.1199999999999974</v>
      </c>
      <c r="C85" s="74"/>
      <c r="D85" s="82" t="s">
        <v>1248</v>
      </c>
      <c r="E85" s="162">
        <v>1</v>
      </c>
      <c r="F85" s="162">
        <v>1</v>
      </c>
      <c r="G85" s="75" t="s">
        <v>582</v>
      </c>
      <c r="H85" s="122"/>
      <c r="I85" s="130">
        <f t="shared" si="2"/>
        <v>0</v>
      </c>
    </row>
    <row r="86" spans="2:9" ht="15" customHeight="1" x14ac:dyDescent="0.25">
      <c r="B86" s="72"/>
      <c r="C86" s="155"/>
      <c r="D86" s="82"/>
      <c r="E86" s="162"/>
      <c r="F86" s="162"/>
      <c r="G86" s="75"/>
      <c r="H86" s="122"/>
      <c r="I86" s="130"/>
    </row>
    <row r="87" spans="2:9" ht="15" customHeight="1" x14ac:dyDescent="0.25">
      <c r="B87" s="172">
        <f>B85+0.01</f>
        <v>9.1299999999999972</v>
      </c>
      <c r="C87" s="74"/>
      <c r="D87" s="82" t="s">
        <v>1249</v>
      </c>
      <c r="E87" s="162">
        <v>1</v>
      </c>
      <c r="F87" s="162">
        <v>1</v>
      </c>
      <c r="G87" s="75" t="s">
        <v>582</v>
      </c>
      <c r="H87" s="122"/>
      <c r="I87" s="130">
        <f t="shared" ref="I87" si="3">F87*H87</f>
        <v>0</v>
      </c>
    </row>
    <row r="88" spans="2:9" ht="15" customHeight="1" x14ac:dyDescent="0.25">
      <c r="B88" s="72"/>
      <c r="C88" s="155"/>
      <c r="D88" s="82"/>
      <c r="E88" s="162"/>
      <c r="F88" s="162"/>
      <c r="G88" s="75"/>
      <c r="H88" s="122"/>
      <c r="I88" s="130"/>
    </row>
    <row r="89" spans="2:9" ht="15" customHeight="1" x14ac:dyDescent="0.25">
      <c r="B89" s="172">
        <f>B87+0.01</f>
        <v>9.139999999999997</v>
      </c>
      <c r="C89" s="74"/>
      <c r="D89" s="82" t="s">
        <v>1250</v>
      </c>
      <c r="E89" s="162">
        <v>1</v>
      </c>
      <c r="F89" s="162">
        <v>1</v>
      </c>
      <c r="G89" s="75" t="s">
        <v>582</v>
      </c>
      <c r="H89" s="122"/>
      <c r="I89" s="130">
        <f t="shared" ref="I89" si="4">F89*H89</f>
        <v>0</v>
      </c>
    </row>
    <row r="90" spans="2:9" ht="15" customHeight="1" x14ac:dyDescent="0.25">
      <c r="B90" s="72"/>
      <c r="C90" s="155"/>
      <c r="D90" s="82"/>
      <c r="E90" s="162"/>
      <c r="F90" s="162"/>
      <c r="G90" s="75"/>
      <c r="H90" s="122"/>
      <c r="I90" s="130"/>
    </row>
    <row r="91" spans="2:9" ht="15" customHeight="1" x14ac:dyDescent="0.25">
      <c r="B91" s="172">
        <f>B89+0.01</f>
        <v>9.1499999999999968</v>
      </c>
      <c r="C91" s="74"/>
      <c r="D91" s="82" t="s">
        <v>1251</v>
      </c>
      <c r="E91" s="162">
        <v>1</v>
      </c>
      <c r="F91" s="162">
        <v>1</v>
      </c>
      <c r="G91" s="75" t="s">
        <v>582</v>
      </c>
      <c r="H91" s="122"/>
      <c r="I91" s="130">
        <f t="shared" ref="I91" si="5">F91*H91</f>
        <v>0</v>
      </c>
    </row>
    <row r="92" spans="2:9" ht="15" customHeight="1" x14ac:dyDescent="0.25">
      <c r="B92" s="72"/>
      <c r="C92" s="155"/>
      <c r="D92" s="82"/>
      <c r="E92" s="162"/>
      <c r="F92" s="162"/>
      <c r="G92" s="75"/>
      <c r="H92" s="122"/>
      <c r="I92" s="130"/>
    </row>
    <row r="93" spans="2:9" ht="15" customHeight="1" x14ac:dyDescent="0.25">
      <c r="B93" s="72"/>
      <c r="C93" s="378" t="s">
        <v>913</v>
      </c>
      <c r="D93" s="82"/>
      <c r="E93" s="162"/>
      <c r="F93" s="162"/>
      <c r="G93" s="75"/>
      <c r="H93" s="122"/>
      <c r="I93" s="130">
        <f t="shared" si="2"/>
        <v>0</v>
      </c>
    </row>
    <row r="94" spans="2:9" ht="15" customHeight="1" x14ac:dyDescent="0.25">
      <c r="B94" s="72"/>
      <c r="C94" s="381"/>
      <c r="D94" s="82"/>
      <c r="E94" s="162"/>
      <c r="F94" s="162"/>
      <c r="G94" s="75"/>
      <c r="H94" s="122"/>
      <c r="I94" s="130">
        <f t="shared" si="2"/>
        <v>0</v>
      </c>
    </row>
    <row r="95" spans="2:9" ht="104.25" customHeight="1" x14ac:dyDescent="0.25">
      <c r="B95" s="72"/>
      <c r="C95" s="437" t="s">
        <v>914</v>
      </c>
      <c r="D95" s="438"/>
      <c r="E95" s="162"/>
      <c r="F95" s="162"/>
      <c r="G95" s="75"/>
      <c r="H95" s="122"/>
      <c r="I95" s="130">
        <f t="shared" si="2"/>
        <v>0</v>
      </c>
    </row>
    <row r="96" spans="2:9" ht="15" customHeight="1" x14ac:dyDescent="0.25">
      <c r="B96" s="72"/>
      <c r="C96" s="73"/>
      <c r="D96" s="82"/>
      <c r="E96" s="162"/>
      <c r="F96" s="162"/>
      <c r="G96" s="75"/>
      <c r="H96" s="122"/>
      <c r="I96" s="130">
        <f t="shared" si="2"/>
        <v>0</v>
      </c>
    </row>
    <row r="97" spans="2:9" ht="51.75" customHeight="1" x14ac:dyDescent="0.25">
      <c r="B97" s="72"/>
      <c r="C97" s="418" t="s">
        <v>915</v>
      </c>
      <c r="D97" s="419"/>
      <c r="E97" s="162"/>
      <c r="F97" s="162"/>
      <c r="G97" s="75"/>
      <c r="H97" s="122"/>
      <c r="I97" s="130">
        <f t="shared" si="2"/>
        <v>0</v>
      </c>
    </row>
    <row r="98" spans="2:9" ht="15.75" customHeight="1" x14ac:dyDescent="0.25">
      <c r="B98" s="72"/>
      <c r="C98" s="171"/>
      <c r="D98" s="112"/>
      <c r="E98" s="162"/>
      <c r="F98" s="162"/>
      <c r="G98" s="75"/>
      <c r="H98" s="122"/>
      <c r="I98" s="130">
        <f t="shared" si="2"/>
        <v>0</v>
      </c>
    </row>
    <row r="99" spans="2:9" ht="15" customHeight="1" x14ac:dyDescent="0.25">
      <c r="B99" s="172">
        <f>B91+0.01</f>
        <v>9.1599999999999966</v>
      </c>
      <c r="C99" s="135"/>
      <c r="D99" s="82" t="s">
        <v>916</v>
      </c>
      <c r="E99" s="162">
        <v>3.5</v>
      </c>
      <c r="F99" s="162">
        <v>4</v>
      </c>
      <c r="G99" s="75" t="s">
        <v>660</v>
      </c>
      <c r="H99" s="122"/>
      <c r="I99" s="130">
        <f t="shared" si="2"/>
        <v>0</v>
      </c>
    </row>
    <row r="100" spans="2:9" ht="15" customHeight="1" x14ac:dyDescent="0.25">
      <c r="B100" s="72"/>
      <c r="C100" s="135"/>
      <c r="D100" s="82"/>
      <c r="E100" s="162"/>
      <c r="F100" s="162"/>
      <c r="G100" s="75"/>
      <c r="H100" s="122"/>
      <c r="I100" s="130">
        <f t="shared" si="2"/>
        <v>0</v>
      </c>
    </row>
    <row r="101" spans="2:9" ht="16.5" customHeight="1" x14ac:dyDescent="0.25">
      <c r="B101" s="172">
        <f>B99+0.01</f>
        <v>9.1699999999999964</v>
      </c>
      <c r="C101" s="135"/>
      <c r="D101" s="379" t="s">
        <v>917</v>
      </c>
      <c r="E101" s="344">
        <v>3</v>
      </c>
      <c r="F101" s="344">
        <v>3</v>
      </c>
      <c r="G101" s="379" t="s">
        <v>582</v>
      </c>
      <c r="H101" s="380"/>
      <c r="I101" s="130">
        <f t="shared" si="2"/>
        <v>0</v>
      </c>
    </row>
    <row r="102" spans="2:9" ht="15" customHeight="1" x14ac:dyDescent="0.25">
      <c r="B102" s="72"/>
      <c r="C102" s="135"/>
      <c r="D102" s="82"/>
      <c r="E102" s="162"/>
      <c r="F102" s="162"/>
      <c r="G102" s="75"/>
      <c r="H102" s="122"/>
      <c r="I102" s="130">
        <f t="shared" si="2"/>
        <v>0</v>
      </c>
    </row>
    <row r="103" spans="2:9" ht="15" customHeight="1" x14ac:dyDescent="0.25">
      <c r="B103" s="77"/>
      <c r="C103" s="73" t="s">
        <v>549</v>
      </c>
      <c r="D103" s="160"/>
      <c r="E103" s="82"/>
      <c r="F103" s="75"/>
      <c r="G103" s="75"/>
      <c r="H103" s="79"/>
      <c r="I103" s="130">
        <f t="shared" ref="I103" si="6">F103*H103</f>
        <v>0</v>
      </c>
    </row>
    <row r="104" spans="2:9" ht="15" customHeight="1" x14ac:dyDescent="0.25">
      <c r="B104" s="77"/>
      <c r="C104" s="74"/>
      <c r="D104" s="160"/>
      <c r="E104" s="82"/>
      <c r="F104" s="75"/>
      <c r="G104" s="75"/>
      <c r="H104" s="79"/>
      <c r="I104" s="130">
        <f t="shared" si="2"/>
        <v>0</v>
      </c>
    </row>
    <row r="105" spans="2:9" ht="15" customHeight="1" x14ac:dyDescent="0.25">
      <c r="B105" s="77"/>
      <c r="C105" s="159" t="s">
        <v>550</v>
      </c>
      <c r="D105" s="160"/>
      <c r="E105" s="82"/>
      <c r="F105" s="75"/>
      <c r="G105" s="75"/>
      <c r="H105" s="79"/>
      <c r="I105" s="130">
        <f t="shared" si="2"/>
        <v>0</v>
      </c>
    </row>
    <row r="106" spans="2:9" ht="15" customHeight="1" x14ac:dyDescent="0.25">
      <c r="B106" s="77"/>
      <c r="C106" s="74"/>
      <c r="D106" s="160"/>
      <c r="E106" s="82"/>
      <c r="F106" s="75"/>
      <c r="G106" s="75"/>
      <c r="H106" s="79"/>
      <c r="I106" s="130">
        <f t="shared" si="2"/>
        <v>0</v>
      </c>
    </row>
    <row r="107" spans="2:9" ht="15" customHeight="1" x14ac:dyDescent="0.25">
      <c r="B107" s="77"/>
      <c r="C107" s="74" t="s">
        <v>551</v>
      </c>
      <c r="D107" s="160"/>
      <c r="E107" s="82"/>
      <c r="F107" s="75"/>
      <c r="G107" s="75"/>
      <c r="H107" s="79"/>
      <c r="I107" s="130">
        <f t="shared" si="2"/>
        <v>0</v>
      </c>
    </row>
    <row r="108" spans="2:9" ht="15" customHeight="1" x14ac:dyDescent="0.25">
      <c r="B108" s="77"/>
      <c r="C108" s="74"/>
      <c r="D108" s="160"/>
      <c r="E108" s="82"/>
      <c r="F108" s="75"/>
      <c r="G108" s="75"/>
      <c r="H108" s="79"/>
      <c r="I108" s="130">
        <f t="shared" si="2"/>
        <v>0</v>
      </c>
    </row>
    <row r="109" spans="2:9" ht="15" customHeight="1" x14ac:dyDescent="0.25">
      <c r="B109" s="173">
        <f>B101+0.01</f>
        <v>9.1799999999999962</v>
      </c>
      <c r="C109" s="74"/>
      <c r="D109" s="112" t="s">
        <v>527</v>
      </c>
      <c r="E109" s="75">
        <v>1</v>
      </c>
      <c r="F109" s="224">
        <v>1</v>
      </c>
      <c r="G109" s="75" t="s">
        <v>528</v>
      </c>
      <c r="H109" s="76"/>
      <c r="I109" s="130">
        <f t="shared" si="2"/>
        <v>0</v>
      </c>
    </row>
    <row r="110" spans="2:9" ht="15" customHeight="1" x14ac:dyDescent="0.25">
      <c r="B110" s="77"/>
      <c r="C110" s="74"/>
      <c r="D110" s="160"/>
      <c r="E110" s="75"/>
      <c r="F110" s="75"/>
      <c r="G110" s="78"/>
      <c r="H110" s="79"/>
      <c r="I110" s="130">
        <f t="shared" si="2"/>
        <v>0</v>
      </c>
    </row>
    <row r="111" spans="2:9" ht="15" customHeight="1" x14ac:dyDescent="0.25">
      <c r="B111" s="77"/>
      <c r="C111" s="432" t="s">
        <v>634</v>
      </c>
      <c r="D111" s="433"/>
      <c r="E111" s="161"/>
      <c r="F111" s="161"/>
      <c r="G111" s="78"/>
      <c r="H111" s="79"/>
      <c r="I111" s="130">
        <f t="shared" si="2"/>
        <v>0</v>
      </c>
    </row>
    <row r="112" spans="2:9" ht="15" customHeight="1" x14ac:dyDescent="0.25">
      <c r="B112" s="77"/>
      <c r="C112" s="74"/>
      <c r="D112" s="160"/>
      <c r="E112" s="161"/>
      <c r="F112" s="161"/>
      <c r="G112" s="78"/>
      <c r="H112" s="79"/>
      <c r="I112" s="130">
        <f t="shared" si="2"/>
        <v>0</v>
      </c>
    </row>
    <row r="113" spans="2:9" ht="15" customHeight="1" x14ac:dyDescent="0.25">
      <c r="B113" s="77"/>
      <c r="C113" s="418" t="s">
        <v>656</v>
      </c>
      <c r="D113" s="419"/>
      <c r="E113" s="161"/>
      <c r="F113" s="161"/>
      <c r="G113" s="78"/>
      <c r="H113" s="79"/>
      <c r="I113" s="130">
        <f t="shared" si="2"/>
        <v>0</v>
      </c>
    </row>
    <row r="114" spans="2:9" ht="15" customHeight="1" x14ac:dyDescent="0.25">
      <c r="B114" s="77"/>
      <c r="C114" s="74"/>
      <c r="D114" s="160"/>
      <c r="E114" s="161"/>
      <c r="F114" s="161"/>
      <c r="G114" s="78"/>
      <c r="H114" s="79"/>
      <c r="I114" s="130">
        <f t="shared" si="2"/>
        <v>0</v>
      </c>
    </row>
    <row r="115" spans="2:9" ht="15" customHeight="1" x14ac:dyDescent="0.25">
      <c r="B115" s="172">
        <f>B109+0.01</f>
        <v>9.1899999999999959</v>
      </c>
      <c r="C115" s="74"/>
      <c r="D115" s="112" t="s">
        <v>527</v>
      </c>
      <c r="E115" s="162">
        <v>1</v>
      </c>
      <c r="F115" s="162">
        <v>1</v>
      </c>
      <c r="G115" s="75" t="s">
        <v>528</v>
      </c>
      <c r="H115" s="76"/>
      <c r="I115" s="130">
        <f t="shared" si="2"/>
        <v>0</v>
      </c>
    </row>
    <row r="116" spans="2:9" ht="15" customHeight="1" x14ac:dyDescent="0.25">
      <c r="B116" s="77"/>
      <c r="C116" s="74"/>
      <c r="D116" s="160"/>
      <c r="E116" s="75"/>
      <c r="F116" s="75"/>
      <c r="G116" s="78"/>
      <c r="H116" s="79"/>
      <c r="I116" s="130">
        <f t="shared" si="2"/>
        <v>0</v>
      </c>
    </row>
    <row r="117" spans="2:9" ht="15" customHeight="1" x14ac:dyDescent="0.25">
      <c r="B117" s="77"/>
      <c r="C117" s="159" t="s">
        <v>556</v>
      </c>
      <c r="D117" s="160"/>
      <c r="E117" s="75"/>
      <c r="F117" s="75"/>
      <c r="G117" s="78"/>
      <c r="H117" s="79"/>
      <c r="I117" s="130">
        <f t="shared" si="2"/>
        <v>0</v>
      </c>
    </row>
    <row r="118" spans="2:9" ht="15" customHeight="1" x14ac:dyDescent="0.25">
      <c r="B118" s="77"/>
      <c r="C118" s="74"/>
      <c r="D118" s="160"/>
      <c r="E118" s="75"/>
      <c r="F118" s="75"/>
      <c r="G118" s="78"/>
      <c r="H118" s="79"/>
      <c r="I118" s="130">
        <f t="shared" si="2"/>
        <v>0</v>
      </c>
    </row>
    <row r="119" spans="2:9" ht="15" customHeight="1" x14ac:dyDescent="0.25">
      <c r="B119" s="77"/>
      <c r="C119" s="420" t="s">
        <v>557</v>
      </c>
      <c r="D119" s="421"/>
      <c r="E119" s="75"/>
      <c r="F119" s="75"/>
      <c r="G119" s="78"/>
      <c r="H119" s="79"/>
      <c r="I119" s="130">
        <f t="shared" si="2"/>
        <v>0</v>
      </c>
    </row>
    <row r="120" spans="2:9" ht="15" customHeight="1" x14ac:dyDescent="0.25">
      <c r="B120" s="77"/>
      <c r="C120" s="170"/>
      <c r="D120" s="158"/>
      <c r="E120" s="75"/>
      <c r="F120" s="75"/>
      <c r="G120" s="78"/>
      <c r="H120" s="79"/>
      <c r="I120" s="130">
        <f t="shared" si="2"/>
        <v>0</v>
      </c>
    </row>
    <row r="121" spans="2:9" ht="15" customHeight="1" x14ac:dyDescent="0.25">
      <c r="B121" s="173">
        <f>B115+0.01</f>
        <v>9.1999999999999957</v>
      </c>
      <c r="C121" s="74"/>
      <c r="D121" s="112" t="s">
        <v>527</v>
      </c>
      <c r="E121" s="162">
        <v>1</v>
      </c>
      <c r="F121" s="162">
        <v>1</v>
      </c>
      <c r="G121" s="75" t="s">
        <v>528</v>
      </c>
      <c r="H121" s="76"/>
      <c r="I121" s="130">
        <f t="shared" si="2"/>
        <v>0</v>
      </c>
    </row>
    <row r="122" spans="2:9" ht="15" customHeight="1" x14ac:dyDescent="0.25">
      <c r="B122" s="77"/>
      <c r="C122" s="74"/>
      <c r="D122" s="160"/>
      <c r="E122" s="75"/>
      <c r="F122" s="75"/>
      <c r="G122" s="78"/>
      <c r="H122" s="79"/>
      <c r="I122" s="130">
        <f t="shared" si="2"/>
        <v>0</v>
      </c>
    </row>
    <row r="123" spans="2:9" ht="15" customHeight="1" x14ac:dyDescent="0.25">
      <c r="B123" s="72"/>
      <c r="C123" s="159" t="s">
        <v>529</v>
      </c>
      <c r="D123" s="82"/>
      <c r="E123" s="75"/>
      <c r="F123" s="75"/>
      <c r="G123" s="75"/>
      <c r="H123" s="122"/>
      <c r="I123" s="130">
        <f t="shared" si="2"/>
        <v>0</v>
      </c>
    </row>
    <row r="124" spans="2:9" ht="15" customHeight="1" x14ac:dyDescent="0.25">
      <c r="B124" s="72"/>
      <c r="C124" s="74"/>
      <c r="D124" s="82"/>
      <c r="E124" s="75"/>
      <c r="F124" s="75"/>
      <c r="G124" s="75"/>
      <c r="H124" s="122"/>
      <c r="I124" s="130">
        <f t="shared" si="2"/>
        <v>0</v>
      </c>
    </row>
    <row r="125" spans="2:9" ht="15" customHeight="1" x14ac:dyDescent="0.25">
      <c r="B125" s="72"/>
      <c r="C125" s="422" t="s">
        <v>629</v>
      </c>
      <c r="D125" s="423"/>
      <c r="E125" s="75"/>
      <c r="F125" s="75"/>
      <c r="G125" s="75"/>
      <c r="H125" s="122"/>
      <c r="I125" s="130">
        <f t="shared" si="2"/>
        <v>0</v>
      </c>
    </row>
    <row r="126" spans="2:9" ht="15" customHeight="1" x14ac:dyDescent="0.25">
      <c r="B126" s="72"/>
      <c r="C126" s="165"/>
      <c r="D126" s="82"/>
      <c r="E126" s="75"/>
      <c r="F126" s="75"/>
      <c r="G126" s="75"/>
      <c r="H126" s="122"/>
      <c r="I126" s="130">
        <f t="shared" si="2"/>
        <v>0</v>
      </c>
    </row>
    <row r="127" spans="2:9" ht="15" customHeight="1" x14ac:dyDescent="0.25">
      <c r="B127" s="173">
        <f>B121+0.01</f>
        <v>9.2099999999999955</v>
      </c>
      <c r="C127" s="74"/>
      <c r="D127" s="112" t="s">
        <v>527</v>
      </c>
      <c r="E127" s="162">
        <v>1</v>
      </c>
      <c r="F127" s="162">
        <v>1</v>
      </c>
      <c r="G127" s="75" t="s">
        <v>528</v>
      </c>
      <c r="H127" s="76"/>
      <c r="I127" s="130">
        <f t="shared" si="2"/>
        <v>0</v>
      </c>
    </row>
    <row r="128" spans="2:9" ht="15" customHeight="1" x14ac:dyDescent="0.25">
      <c r="B128" s="72"/>
      <c r="C128" s="135"/>
      <c r="D128" s="82"/>
      <c r="E128" s="162"/>
      <c r="F128" s="162"/>
      <c r="G128" s="75"/>
      <c r="H128" s="122"/>
      <c r="I128" s="130">
        <f t="shared" si="2"/>
        <v>0</v>
      </c>
    </row>
    <row r="129" spans="2:9" ht="15.75" thickBot="1" x14ac:dyDescent="0.3">
      <c r="B129" s="85"/>
      <c r="C129" s="86"/>
      <c r="D129" s="87"/>
      <c r="E129" s="225"/>
      <c r="F129" s="88"/>
      <c r="G129" s="88"/>
      <c r="H129" s="123"/>
      <c r="I129" s="122" t="str">
        <f>IF(H129="","",H129*E129)</f>
        <v/>
      </c>
    </row>
    <row r="130" spans="2:9" ht="30.75" customHeight="1" thickBot="1" x14ac:dyDescent="0.3">
      <c r="D130" s="367" t="s">
        <v>918</v>
      </c>
      <c r="E130" s="162"/>
      <c r="F130" s="162"/>
      <c r="G130" s="75"/>
      <c r="H130" s="366"/>
      <c r="I130" s="124">
        <f>SUM(I73:I129)</f>
        <v>0</v>
      </c>
    </row>
  </sheetData>
  <mergeCells count="21">
    <mergeCell ref="C113:D113"/>
    <mergeCell ref="C119:D119"/>
    <mergeCell ref="C125:D125"/>
    <mergeCell ref="C95:D95"/>
    <mergeCell ref="C97:D97"/>
    <mergeCell ref="C111:D111"/>
    <mergeCell ref="C81:D81"/>
    <mergeCell ref="C83:D83"/>
    <mergeCell ref="C73:D73"/>
    <mergeCell ref="C6:D6"/>
    <mergeCell ref="C7:D7"/>
    <mergeCell ref="C8:D8"/>
    <mergeCell ref="C9:D9"/>
    <mergeCell ref="C10:D10"/>
    <mergeCell ref="C69:D69"/>
    <mergeCell ref="C51:D51"/>
    <mergeCell ref="C57:D57"/>
    <mergeCell ref="C63:D63"/>
    <mergeCell ref="C20:D20"/>
    <mergeCell ref="C34:D34"/>
    <mergeCell ref="C49:D49"/>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J130"/>
  <sheetViews>
    <sheetView zoomScale="80" zoomScaleNormal="80" workbookViewId="0">
      <pane ySplit="4" topLeftCell="A111" activePane="bottomLeft" state="frozen"/>
      <selection pane="bottomLeft"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236"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254"/>
      <c r="G2" s="96"/>
      <c r="H2" s="237"/>
      <c r="I2" s="97"/>
    </row>
    <row r="3" spans="2:9" ht="30" customHeight="1" x14ac:dyDescent="0.25">
      <c r="B3" s="73" t="str">
        <f>+Summary!B3</f>
        <v>Tender Document</v>
      </c>
      <c r="C3" s="83"/>
      <c r="D3" s="83"/>
      <c r="E3" s="91"/>
      <c r="F3" s="91"/>
      <c r="G3" s="98"/>
      <c r="H3" s="99" t="str">
        <f>Summary!D27</f>
        <v>Windows &amp; External Doors</v>
      </c>
      <c r="I3" s="100">
        <f>+Summary!G3</f>
        <v>45614</v>
      </c>
    </row>
    <row r="4" spans="2:9" ht="13.5" customHeight="1" thickBot="1" x14ac:dyDescent="0.3">
      <c r="B4" s="86">
        <v>10</v>
      </c>
      <c r="C4" s="101"/>
      <c r="D4" s="101"/>
      <c r="E4" s="102"/>
      <c r="F4" s="102"/>
      <c r="G4" s="102"/>
      <c r="H4" s="238"/>
      <c r="I4" s="103"/>
    </row>
    <row r="5" spans="2:9" ht="23.25" customHeight="1" thickBot="1" x14ac:dyDescent="0.3">
      <c r="B5" s="72"/>
      <c r="C5" s="73"/>
      <c r="D5" s="82"/>
      <c r="E5" s="106" t="s">
        <v>581</v>
      </c>
      <c r="F5" s="106" t="s">
        <v>1</v>
      </c>
      <c r="G5" s="107" t="s">
        <v>2</v>
      </c>
      <c r="H5" s="239" t="s">
        <v>3</v>
      </c>
      <c r="I5" s="105" t="s">
        <v>5</v>
      </c>
    </row>
    <row r="6" spans="2:9" ht="33.75" customHeight="1" x14ac:dyDescent="0.25">
      <c r="B6" s="72"/>
      <c r="C6" s="420" t="s">
        <v>560</v>
      </c>
      <c r="D6" s="421"/>
      <c r="E6" s="75"/>
      <c r="F6" s="75"/>
      <c r="G6" s="75"/>
      <c r="H6" s="240"/>
      <c r="I6" s="76" t="str">
        <f t="shared" ref="I6:I129" si="0">IF(H6="","",H6*E6)</f>
        <v/>
      </c>
    </row>
    <row r="7" spans="2:9" ht="78.75" customHeight="1" x14ac:dyDescent="0.25">
      <c r="B7" s="72"/>
      <c r="C7" s="422" t="s">
        <v>658</v>
      </c>
      <c r="D7" s="423"/>
      <c r="E7" s="75"/>
      <c r="F7" s="75"/>
      <c r="G7" s="75"/>
      <c r="H7" s="240"/>
      <c r="I7" s="76" t="str">
        <f t="shared" si="0"/>
        <v/>
      </c>
    </row>
    <row r="8" spans="2:9" ht="48" customHeight="1" x14ac:dyDescent="0.25">
      <c r="B8" s="72"/>
      <c r="C8" s="422" t="s">
        <v>575</v>
      </c>
      <c r="D8" s="423"/>
      <c r="E8" s="75"/>
      <c r="F8" s="75"/>
      <c r="G8" s="75"/>
      <c r="H8" s="240"/>
      <c r="I8" s="76"/>
    </row>
    <row r="9" spans="2:9" ht="36" customHeight="1" x14ac:dyDescent="0.25">
      <c r="B9" s="72"/>
      <c r="C9" s="422" t="s">
        <v>692</v>
      </c>
      <c r="D9" s="423"/>
      <c r="E9" s="75"/>
      <c r="F9" s="75"/>
      <c r="G9" s="75"/>
      <c r="H9" s="240"/>
      <c r="I9" s="76"/>
    </row>
    <row r="10" spans="2:9" ht="27.75" customHeight="1" x14ac:dyDescent="0.25">
      <c r="B10" s="72"/>
      <c r="C10" s="422" t="s">
        <v>919</v>
      </c>
      <c r="D10" s="423"/>
      <c r="E10" s="75"/>
      <c r="F10" s="75"/>
      <c r="G10" s="75"/>
      <c r="H10" s="240"/>
      <c r="I10" s="76"/>
    </row>
    <row r="11" spans="2:9" x14ac:dyDescent="0.25">
      <c r="B11" s="72"/>
      <c r="C11" s="84"/>
      <c r="D11" s="82"/>
      <c r="E11" s="75"/>
      <c r="F11" s="75"/>
      <c r="G11" s="75"/>
      <c r="H11" s="240"/>
      <c r="I11" s="76"/>
    </row>
    <row r="12" spans="2:9" x14ac:dyDescent="0.25">
      <c r="B12" s="72"/>
      <c r="C12" s="350" t="s">
        <v>815</v>
      </c>
      <c r="D12" s="82"/>
      <c r="E12" s="75"/>
      <c r="F12" s="75"/>
      <c r="G12" s="75"/>
      <c r="H12" s="240"/>
      <c r="I12" s="76"/>
    </row>
    <row r="13" spans="2:9" x14ac:dyDescent="0.25">
      <c r="B13" s="72"/>
      <c r="C13" s="84"/>
      <c r="D13" s="82"/>
      <c r="E13" s="75"/>
      <c r="F13" s="75"/>
      <c r="G13" s="75"/>
      <c r="H13" s="240"/>
      <c r="I13" s="76"/>
    </row>
    <row r="14" spans="2:9" x14ac:dyDescent="0.25">
      <c r="B14" s="72"/>
      <c r="C14" s="84" t="s">
        <v>630</v>
      </c>
      <c r="D14" s="82"/>
      <c r="E14" s="75"/>
      <c r="F14" s="75"/>
      <c r="G14" s="75"/>
      <c r="H14" s="240"/>
      <c r="I14" s="76"/>
    </row>
    <row r="15" spans="2:9" x14ac:dyDescent="0.25">
      <c r="B15" s="72"/>
      <c r="C15" s="84"/>
      <c r="D15" s="82"/>
      <c r="E15" s="75"/>
      <c r="F15" s="75"/>
      <c r="G15" s="75"/>
      <c r="H15" s="240"/>
      <c r="I15" s="76"/>
    </row>
    <row r="16" spans="2:9" ht="32.25" customHeight="1" x14ac:dyDescent="0.25">
      <c r="B16" s="72"/>
      <c r="C16" s="420" t="s">
        <v>755</v>
      </c>
      <c r="D16" s="447"/>
      <c r="E16" s="75"/>
      <c r="F16" s="75"/>
      <c r="G16" s="75"/>
      <c r="H16" s="76"/>
      <c r="I16" s="76"/>
    </row>
    <row r="17" spans="2:9" x14ac:dyDescent="0.25">
      <c r="B17" s="72"/>
      <c r="C17" s="84"/>
      <c r="D17" s="82"/>
      <c r="E17" s="75"/>
      <c r="F17" s="75"/>
      <c r="G17" s="75"/>
      <c r="H17" s="76"/>
      <c r="I17" s="76"/>
    </row>
    <row r="18" spans="2:9" ht="60" x14ac:dyDescent="0.25">
      <c r="B18" s="164">
        <f>B4+0.01</f>
        <v>10.01</v>
      </c>
      <c r="C18" s="84"/>
      <c r="D18" s="82" t="s">
        <v>757</v>
      </c>
      <c r="E18" s="128">
        <v>1</v>
      </c>
      <c r="F18" s="128">
        <v>1</v>
      </c>
      <c r="G18" s="128" t="s">
        <v>582</v>
      </c>
      <c r="H18" s="129"/>
      <c r="I18" s="130">
        <f t="shared" ref="I18:I40" si="1">F18*H18</f>
        <v>0</v>
      </c>
    </row>
    <row r="19" spans="2:9" x14ac:dyDescent="0.25">
      <c r="B19" s="72"/>
      <c r="C19" s="84"/>
      <c r="D19" s="82"/>
      <c r="E19" s="75"/>
      <c r="F19" s="75"/>
      <c r="G19" s="75"/>
      <c r="H19" s="76"/>
      <c r="I19" s="130">
        <f t="shared" si="1"/>
        <v>0</v>
      </c>
    </row>
    <row r="20" spans="2:9" ht="75" x14ac:dyDescent="0.25">
      <c r="B20" s="164">
        <f>B18+0.01</f>
        <v>10.02</v>
      </c>
      <c r="C20" s="84"/>
      <c r="D20" s="82" t="s">
        <v>758</v>
      </c>
      <c r="E20" s="128">
        <v>1</v>
      </c>
      <c r="F20" s="128">
        <v>1</v>
      </c>
      <c r="G20" s="128" t="s">
        <v>582</v>
      </c>
      <c r="H20" s="129"/>
      <c r="I20" s="130">
        <f t="shared" si="1"/>
        <v>0</v>
      </c>
    </row>
    <row r="21" spans="2:9" x14ac:dyDescent="0.25">
      <c r="B21" s="72"/>
      <c r="C21" s="84"/>
      <c r="D21" s="82"/>
      <c r="E21" s="75"/>
      <c r="F21" s="75"/>
      <c r="G21" s="75"/>
      <c r="H21" s="240"/>
      <c r="I21" s="130">
        <f t="shared" si="1"/>
        <v>0</v>
      </c>
    </row>
    <row r="22" spans="2:9" x14ac:dyDescent="0.25">
      <c r="B22" s="72"/>
      <c r="C22" s="420" t="s">
        <v>762</v>
      </c>
      <c r="D22" s="447"/>
      <c r="E22" s="75"/>
      <c r="F22" s="75"/>
      <c r="G22" s="75"/>
      <c r="H22" s="76"/>
      <c r="I22" s="130">
        <f t="shared" si="1"/>
        <v>0</v>
      </c>
    </row>
    <row r="23" spans="2:9" x14ac:dyDescent="0.25">
      <c r="B23" s="72"/>
      <c r="C23" s="84"/>
      <c r="D23" s="82"/>
      <c r="E23" s="75"/>
      <c r="F23" s="75"/>
      <c r="G23" s="75"/>
      <c r="H23" s="76"/>
      <c r="I23" s="130">
        <f t="shared" si="1"/>
        <v>0</v>
      </c>
    </row>
    <row r="24" spans="2:9" x14ac:dyDescent="0.25">
      <c r="B24" s="164">
        <f>B20+0.01</f>
        <v>10.029999999999999</v>
      </c>
      <c r="C24" s="84"/>
      <c r="D24" s="82" t="s">
        <v>764</v>
      </c>
      <c r="E24" s="75">
        <v>1</v>
      </c>
      <c r="F24" s="75">
        <v>1</v>
      </c>
      <c r="G24" s="75" t="s">
        <v>765</v>
      </c>
      <c r="H24" s="76"/>
      <c r="I24" s="130">
        <f t="shared" si="1"/>
        <v>0</v>
      </c>
    </row>
    <row r="25" spans="2:9" x14ac:dyDescent="0.25">
      <c r="B25" s="72"/>
      <c r="C25" s="84"/>
      <c r="D25" s="82"/>
      <c r="E25" s="75"/>
      <c r="F25" s="75"/>
      <c r="G25" s="75"/>
      <c r="H25" s="76"/>
      <c r="I25" s="130">
        <f t="shared" si="1"/>
        <v>0</v>
      </c>
    </row>
    <row r="26" spans="2:9" x14ac:dyDescent="0.25">
      <c r="B26" s="164">
        <f>B24+0.01</f>
        <v>10.039999999999999</v>
      </c>
      <c r="C26" s="84"/>
      <c r="D26" s="82" t="s">
        <v>763</v>
      </c>
      <c r="E26" s="75">
        <v>1</v>
      </c>
      <c r="F26" s="75">
        <v>1</v>
      </c>
      <c r="G26" s="75" t="s">
        <v>765</v>
      </c>
      <c r="H26" s="76"/>
      <c r="I26" s="130">
        <f t="shared" si="1"/>
        <v>0</v>
      </c>
    </row>
    <row r="27" spans="2:9" x14ac:dyDescent="0.25">
      <c r="B27" s="72"/>
      <c r="C27" s="84"/>
      <c r="D27" s="82"/>
      <c r="E27" s="75"/>
      <c r="F27" s="75"/>
      <c r="G27" s="75"/>
      <c r="H27" s="240"/>
      <c r="I27" s="130">
        <f t="shared" si="1"/>
        <v>0</v>
      </c>
    </row>
    <row r="28" spans="2:9" x14ac:dyDescent="0.25">
      <c r="B28" s="72"/>
      <c r="C28" s="84"/>
      <c r="D28" s="82"/>
      <c r="E28" s="75"/>
      <c r="F28" s="75"/>
      <c r="G28" s="75"/>
      <c r="H28" s="240"/>
      <c r="I28" s="130">
        <f t="shared" si="1"/>
        <v>0</v>
      </c>
    </row>
    <row r="29" spans="2:9" x14ac:dyDescent="0.25">
      <c r="B29" s="77"/>
      <c r="C29" s="73" t="s">
        <v>549</v>
      </c>
      <c r="D29" s="160"/>
      <c r="E29" s="161"/>
      <c r="F29" s="161"/>
      <c r="G29" s="78"/>
      <c r="H29" s="79"/>
      <c r="I29" s="130">
        <f t="shared" si="1"/>
        <v>0</v>
      </c>
    </row>
    <row r="30" spans="2:9" x14ac:dyDescent="0.25">
      <c r="B30" s="77"/>
      <c r="C30" s="74"/>
      <c r="D30" s="160"/>
      <c r="E30" s="161"/>
      <c r="F30" s="161"/>
      <c r="G30" s="78"/>
      <c r="H30" s="79"/>
      <c r="I30" s="130">
        <f t="shared" si="1"/>
        <v>0</v>
      </c>
    </row>
    <row r="31" spans="2:9" x14ac:dyDescent="0.25">
      <c r="B31" s="77"/>
      <c r="C31" s="159" t="s">
        <v>550</v>
      </c>
      <c r="D31" s="160"/>
      <c r="E31" s="161"/>
      <c r="F31" s="161"/>
      <c r="G31" s="78"/>
      <c r="H31" s="79"/>
      <c r="I31" s="130">
        <f t="shared" si="1"/>
        <v>0</v>
      </c>
    </row>
    <row r="32" spans="2:9" x14ac:dyDescent="0.25">
      <c r="B32" s="77"/>
      <c r="C32" s="74"/>
      <c r="D32" s="160"/>
      <c r="E32" s="161"/>
      <c r="F32" s="161"/>
      <c r="G32" s="78"/>
      <c r="H32" s="79"/>
      <c r="I32" s="130">
        <f t="shared" si="1"/>
        <v>0</v>
      </c>
    </row>
    <row r="33" spans="2:9" x14ac:dyDescent="0.25">
      <c r="B33" s="77"/>
      <c r="C33" s="74" t="s">
        <v>551</v>
      </c>
      <c r="D33" s="160"/>
      <c r="E33" s="161"/>
      <c r="F33" s="161"/>
      <c r="G33" s="78"/>
      <c r="H33" s="79"/>
      <c r="I33" s="130">
        <f t="shared" si="1"/>
        <v>0</v>
      </c>
    </row>
    <row r="34" spans="2:9" x14ac:dyDescent="0.25">
      <c r="B34" s="77"/>
      <c r="C34" s="74"/>
      <c r="D34" s="160"/>
      <c r="E34" s="161"/>
      <c r="F34" s="161"/>
      <c r="G34" s="78"/>
      <c r="H34" s="79"/>
      <c r="I34" s="130">
        <f t="shared" si="1"/>
        <v>0</v>
      </c>
    </row>
    <row r="35" spans="2:9" x14ac:dyDescent="0.25">
      <c r="B35" s="173">
        <f>B26+0.01</f>
        <v>10.049999999999999</v>
      </c>
      <c r="C35" s="74"/>
      <c r="D35" s="112" t="s">
        <v>527</v>
      </c>
      <c r="E35" s="162"/>
      <c r="F35" s="162">
        <v>1</v>
      </c>
      <c r="G35" s="75" t="s">
        <v>528</v>
      </c>
      <c r="H35" s="76"/>
      <c r="I35" s="130">
        <f t="shared" si="1"/>
        <v>0</v>
      </c>
    </row>
    <row r="36" spans="2:9" x14ac:dyDescent="0.25">
      <c r="B36" s="77"/>
      <c r="C36" s="74"/>
      <c r="D36" s="160"/>
      <c r="E36" s="161"/>
      <c r="F36" s="161"/>
      <c r="G36" s="78"/>
      <c r="H36" s="79"/>
      <c r="I36" s="130">
        <f t="shared" si="1"/>
        <v>0</v>
      </c>
    </row>
    <row r="37" spans="2:9" ht="15.75" x14ac:dyDescent="0.25">
      <c r="B37" s="77"/>
      <c r="C37" s="432" t="s">
        <v>634</v>
      </c>
      <c r="D37" s="433"/>
      <c r="E37" s="161"/>
      <c r="F37" s="161"/>
      <c r="G37" s="78"/>
      <c r="H37" s="79"/>
      <c r="I37" s="130">
        <f t="shared" si="1"/>
        <v>0</v>
      </c>
    </row>
    <row r="38" spans="2:9" ht="15" customHeight="1" x14ac:dyDescent="0.25">
      <c r="B38" s="77"/>
      <c r="C38" s="74"/>
      <c r="D38" s="160"/>
      <c r="E38" s="161"/>
      <c r="F38" s="161"/>
      <c r="G38" s="78"/>
      <c r="H38" s="79"/>
      <c r="I38" s="130">
        <f t="shared" si="1"/>
        <v>0</v>
      </c>
    </row>
    <row r="39" spans="2:9" x14ac:dyDescent="0.25">
      <c r="B39" s="77"/>
      <c r="C39" s="418" t="s">
        <v>650</v>
      </c>
      <c r="D39" s="419"/>
      <c r="E39" s="161"/>
      <c r="F39" s="161"/>
      <c r="G39" s="78"/>
      <c r="H39" s="79"/>
      <c r="I39" s="130">
        <f t="shared" si="1"/>
        <v>0</v>
      </c>
    </row>
    <row r="40" spans="2:9" x14ac:dyDescent="0.25">
      <c r="B40" s="77"/>
      <c r="C40" s="74"/>
      <c r="D40" s="160"/>
      <c r="E40" s="161"/>
      <c r="F40" s="161"/>
      <c r="G40" s="78"/>
      <c r="H40" s="79"/>
      <c r="I40" s="130">
        <f t="shared" si="1"/>
        <v>0</v>
      </c>
    </row>
    <row r="41" spans="2:9" x14ac:dyDescent="0.25">
      <c r="B41" s="172">
        <f>B35+0.01</f>
        <v>10.059999999999999</v>
      </c>
      <c r="C41" s="74"/>
      <c r="D41" s="112" t="s">
        <v>527</v>
      </c>
      <c r="E41" s="162"/>
      <c r="F41" s="162">
        <v>1</v>
      </c>
      <c r="G41" s="75" t="s">
        <v>528</v>
      </c>
      <c r="H41" s="76"/>
      <c r="I41" s="130">
        <f>F41*H41</f>
        <v>0</v>
      </c>
    </row>
    <row r="42" spans="2:9" x14ac:dyDescent="0.25">
      <c r="B42" s="77"/>
      <c r="C42" s="74"/>
      <c r="D42" s="160"/>
      <c r="E42" s="161"/>
      <c r="F42" s="161"/>
      <c r="G42" s="78"/>
      <c r="H42" s="79"/>
      <c r="I42" s="130">
        <f t="shared" ref="I42:I54" si="2">F42*H42</f>
        <v>0</v>
      </c>
    </row>
    <row r="43" spans="2:9" x14ac:dyDescent="0.25">
      <c r="B43" s="77"/>
      <c r="C43" s="159" t="s">
        <v>556</v>
      </c>
      <c r="D43" s="160"/>
      <c r="E43" s="161"/>
      <c r="F43" s="161"/>
      <c r="G43" s="78"/>
      <c r="H43" s="79"/>
      <c r="I43" s="130">
        <f t="shared" si="2"/>
        <v>0</v>
      </c>
    </row>
    <row r="44" spans="2:9" ht="15" customHeight="1" x14ac:dyDescent="0.25">
      <c r="B44" s="77"/>
      <c r="C44" s="74"/>
      <c r="D44" s="160"/>
      <c r="E44" s="161"/>
      <c r="F44" s="161"/>
      <c r="G44" s="78"/>
      <c r="H44" s="79"/>
      <c r="I44" s="130">
        <f t="shared" si="2"/>
        <v>0</v>
      </c>
    </row>
    <row r="45" spans="2:9" x14ac:dyDescent="0.25">
      <c r="B45" s="77"/>
      <c r="C45" s="420" t="s">
        <v>557</v>
      </c>
      <c r="D45" s="421"/>
      <c r="E45" s="161"/>
      <c r="F45" s="161"/>
      <c r="G45" s="78"/>
      <c r="H45" s="79"/>
      <c r="I45" s="130">
        <f t="shared" si="2"/>
        <v>0</v>
      </c>
    </row>
    <row r="46" spans="2:9" x14ac:dyDescent="0.25">
      <c r="B46" s="77"/>
      <c r="C46" s="170"/>
      <c r="D46" s="158"/>
      <c r="E46" s="161"/>
      <c r="F46" s="161"/>
      <c r="G46" s="78"/>
      <c r="H46" s="79"/>
      <c r="I46" s="130">
        <f t="shared" si="2"/>
        <v>0</v>
      </c>
    </row>
    <row r="47" spans="2:9" x14ac:dyDescent="0.25">
      <c r="B47" s="173">
        <f>B41+0.01</f>
        <v>10.069999999999999</v>
      </c>
      <c r="C47" s="74"/>
      <c r="D47" s="112" t="s">
        <v>527</v>
      </c>
      <c r="E47" s="162"/>
      <c r="F47" s="162">
        <v>1</v>
      </c>
      <c r="G47" s="75" t="s">
        <v>528</v>
      </c>
      <c r="H47" s="76"/>
      <c r="I47" s="130">
        <f t="shared" si="2"/>
        <v>0</v>
      </c>
    </row>
    <row r="48" spans="2:9" x14ac:dyDescent="0.25">
      <c r="B48" s="77"/>
      <c r="C48" s="74"/>
      <c r="D48" s="160"/>
      <c r="E48" s="161"/>
      <c r="F48" s="161"/>
      <c r="G48" s="78"/>
      <c r="H48" s="79"/>
      <c r="I48" s="130">
        <f t="shared" si="2"/>
        <v>0</v>
      </c>
    </row>
    <row r="49" spans="2:9" x14ac:dyDescent="0.25">
      <c r="B49" s="72"/>
      <c r="C49" s="159" t="s">
        <v>529</v>
      </c>
      <c r="D49" s="82"/>
      <c r="E49" s="75"/>
      <c r="F49" s="75"/>
      <c r="G49" s="75"/>
      <c r="H49" s="122"/>
      <c r="I49" s="130">
        <f t="shared" si="2"/>
        <v>0</v>
      </c>
    </row>
    <row r="50" spans="2:9" ht="15" customHeight="1" x14ac:dyDescent="0.25">
      <c r="B50" s="72"/>
      <c r="C50" s="74"/>
      <c r="D50" s="82"/>
      <c r="E50" s="75"/>
      <c r="F50" s="75"/>
      <c r="G50" s="75"/>
      <c r="H50" s="122"/>
      <c r="I50" s="130">
        <f t="shared" si="2"/>
        <v>0</v>
      </c>
    </row>
    <row r="51" spans="2:9" x14ac:dyDescent="0.25">
      <c r="B51" s="72"/>
      <c r="C51" s="422" t="s">
        <v>629</v>
      </c>
      <c r="D51" s="423"/>
      <c r="E51" s="75"/>
      <c r="F51" s="75"/>
      <c r="G51" s="75"/>
      <c r="H51" s="122"/>
      <c r="I51" s="130">
        <f t="shared" si="2"/>
        <v>0</v>
      </c>
    </row>
    <row r="52" spans="2:9" x14ac:dyDescent="0.25">
      <c r="B52" s="72"/>
      <c r="C52" s="165"/>
      <c r="D52" s="82"/>
      <c r="E52" s="75"/>
      <c r="F52" s="75"/>
      <c r="G52" s="75"/>
      <c r="H52" s="122"/>
      <c r="I52" s="130">
        <f t="shared" si="2"/>
        <v>0</v>
      </c>
    </row>
    <row r="53" spans="2:9" x14ac:dyDescent="0.25">
      <c r="B53" s="172">
        <f>B47+0.01</f>
        <v>10.079999999999998</v>
      </c>
      <c r="C53" s="74"/>
      <c r="D53" s="155" t="s">
        <v>527</v>
      </c>
      <c r="E53" s="154"/>
      <c r="F53" s="154">
        <v>1</v>
      </c>
      <c r="G53" s="75" t="s">
        <v>528</v>
      </c>
      <c r="H53" s="122"/>
      <c r="I53" s="130">
        <f t="shared" si="2"/>
        <v>0</v>
      </c>
    </row>
    <row r="54" spans="2:9" x14ac:dyDescent="0.25">
      <c r="B54" s="72"/>
      <c r="C54" s="84"/>
      <c r="D54" s="82"/>
      <c r="E54" s="75"/>
      <c r="F54" s="75"/>
      <c r="G54" s="75"/>
      <c r="H54" s="240"/>
      <c r="I54" s="130">
        <f t="shared" si="2"/>
        <v>0</v>
      </c>
    </row>
    <row r="55" spans="2:9" ht="15.75" thickBot="1" x14ac:dyDescent="0.3">
      <c r="B55" s="72"/>
      <c r="C55" s="84"/>
      <c r="D55" s="82"/>
      <c r="E55" s="75"/>
      <c r="F55" s="75"/>
      <c r="G55" s="75"/>
      <c r="H55" s="240"/>
      <c r="I55" s="76"/>
    </row>
    <row r="56" spans="2:9" ht="15.75" thickBot="1" x14ac:dyDescent="0.3">
      <c r="B56" s="72"/>
      <c r="C56" s="84"/>
      <c r="D56" s="314" t="s">
        <v>1372</v>
      </c>
      <c r="E56" s="162"/>
      <c r="F56" s="162"/>
      <c r="G56" s="75"/>
      <c r="H56" s="366"/>
      <c r="I56" s="352">
        <f>SUM(I15:I55)</f>
        <v>0</v>
      </c>
    </row>
    <row r="57" spans="2:9" x14ac:dyDescent="0.25">
      <c r="B57" s="72"/>
      <c r="C57" s="84"/>
      <c r="D57" s="82"/>
      <c r="E57" s="75"/>
      <c r="F57" s="75"/>
      <c r="G57" s="75"/>
      <c r="H57" s="240"/>
      <c r="I57" s="76"/>
    </row>
    <row r="58" spans="2:9" x14ac:dyDescent="0.25">
      <c r="B58" s="72"/>
      <c r="C58" s="426" t="s">
        <v>816</v>
      </c>
      <c r="D58" s="427"/>
      <c r="E58" s="75"/>
      <c r="F58" s="75"/>
      <c r="G58" s="75"/>
      <c r="H58" s="240"/>
      <c r="I58" s="76"/>
    </row>
    <row r="59" spans="2:9" x14ac:dyDescent="0.25">
      <c r="B59" s="72"/>
      <c r="C59" s="84"/>
      <c r="D59" s="82"/>
      <c r="E59" s="75"/>
      <c r="F59" s="75"/>
      <c r="G59" s="75"/>
      <c r="H59" s="240"/>
      <c r="I59" s="76"/>
    </row>
    <row r="60" spans="2:9" x14ac:dyDescent="0.25">
      <c r="B60" s="72"/>
      <c r="C60" s="159" t="s">
        <v>892</v>
      </c>
      <c r="D60" s="82"/>
      <c r="E60" s="75"/>
      <c r="F60" s="75"/>
      <c r="G60" s="75"/>
      <c r="H60" s="240"/>
      <c r="I60" s="76"/>
    </row>
    <row r="61" spans="2:9" x14ac:dyDescent="0.25">
      <c r="B61" s="72"/>
      <c r="C61" s="84"/>
      <c r="D61" s="82"/>
      <c r="E61" s="75"/>
      <c r="F61" s="75"/>
      <c r="G61" s="75"/>
      <c r="H61" s="240"/>
      <c r="I61" s="76"/>
    </row>
    <row r="62" spans="2:9" ht="91.5" customHeight="1" x14ac:dyDescent="0.25">
      <c r="B62" s="72"/>
      <c r="C62" s="448" t="s">
        <v>925</v>
      </c>
      <c r="D62" s="438"/>
      <c r="E62" s="75"/>
      <c r="F62" s="75"/>
      <c r="G62" s="75"/>
      <c r="H62" s="240"/>
      <c r="I62" s="76"/>
    </row>
    <row r="63" spans="2:9" x14ac:dyDescent="0.25">
      <c r="B63" s="72"/>
      <c r="C63" s="84"/>
      <c r="D63" s="82"/>
      <c r="E63" s="75"/>
      <c r="F63" s="75"/>
      <c r="G63" s="75"/>
      <c r="H63" s="240"/>
      <c r="I63" s="76"/>
    </row>
    <row r="64" spans="2:9" ht="15" customHeight="1" x14ac:dyDescent="0.25">
      <c r="B64" s="72"/>
      <c r="C64" s="422" t="s">
        <v>924</v>
      </c>
      <c r="D64" s="423"/>
      <c r="E64" s="75"/>
      <c r="F64" s="75"/>
      <c r="G64" s="75"/>
      <c r="H64" s="240"/>
      <c r="I64" s="76"/>
    </row>
    <row r="65" spans="2:9" x14ac:dyDescent="0.25">
      <c r="B65" s="72"/>
      <c r="C65" s="84"/>
      <c r="D65" s="82"/>
      <c r="E65" s="75"/>
      <c r="F65" s="75"/>
      <c r="G65" s="75"/>
      <c r="H65" s="240"/>
      <c r="I65" s="76"/>
    </row>
    <row r="66" spans="2:9" x14ac:dyDescent="0.25">
      <c r="B66" s="172">
        <f>B53+0.01</f>
        <v>10.089999999999998</v>
      </c>
      <c r="C66" s="84"/>
      <c r="D66" s="82" t="s">
        <v>920</v>
      </c>
      <c r="E66" s="75">
        <v>1</v>
      </c>
      <c r="F66" s="75">
        <v>1</v>
      </c>
      <c r="G66" s="75" t="s">
        <v>582</v>
      </c>
      <c r="H66" s="240"/>
      <c r="I66" s="130">
        <f t="shared" ref="I66:I128" si="3">F66*H66</f>
        <v>0</v>
      </c>
    </row>
    <row r="67" spans="2:9" x14ac:dyDescent="0.25">
      <c r="B67" s="72"/>
      <c r="C67" s="84"/>
      <c r="D67" s="82"/>
      <c r="E67" s="75"/>
      <c r="F67" s="75"/>
      <c r="G67" s="75"/>
      <c r="H67" s="240"/>
      <c r="I67" s="130">
        <f t="shared" si="3"/>
        <v>0</v>
      </c>
    </row>
    <row r="68" spans="2:9" x14ac:dyDescent="0.25">
      <c r="B68" s="72"/>
      <c r="C68" s="422" t="s">
        <v>923</v>
      </c>
      <c r="D68" s="423"/>
      <c r="E68" s="75"/>
      <c r="F68" s="75"/>
      <c r="G68" s="75"/>
      <c r="H68" s="240"/>
      <c r="I68" s="130">
        <f t="shared" si="3"/>
        <v>0</v>
      </c>
    </row>
    <row r="69" spans="2:9" x14ac:dyDescent="0.25">
      <c r="B69" s="72"/>
      <c r="C69" s="84"/>
      <c r="D69" s="82"/>
      <c r="E69" s="75"/>
      <c r="F69" s="75"/>
      <c r="G69" s="75"/>
      <c r="H69" s="240"/>
      <c r="I69" s="130">
        <f t="shared" si="3"/>
        <v>0</v>
      </c>
    </row>
    <row r="70" spans="2:9" x14ac:dyDescent="0.25">
      <c r="B70" s="172">
        <f>B66+0.01</f>
        <v>10.099999999999998</v>
      </c>
      <c r="C70" s="84"/>
      <c r="D70" s="82" t="s">
        <v>921</v>
      </c>
      <c r="E70" s="75">
        <v>1</v>
      </c>
      <c r="F70" s="75">
        <v>1</v>
      </c>
      <c r="G70" s="75" t="s">
        <v>582</v>
      </c>
      <c r="H70" s="240"/>
      <c r="I70" s="130">
        <f t="shared" si="3"/>
        <v>0</v>
      </c>
    </row>
    <row r="71" spans="2:9" x14ac:dyDescent="0.25">
      <c r="B71" s="72"/>
      <c r="C71" s="84"/>
      <c r="D71" s="82"/>
      <c r="E71" s="75"/>
      <c r="F71" s="75"/>
      <c r="G71" s="75"/>
      <c r="H71" s="240"/>
      <c r="I71" s="130">
        <f t="shared" si="3"/>
        <v>0</v>
      </c>
    </row>
    <row r="72" spans="2:9" x14ac:dyDescent="0.25">
      <c r="B72" s="72"/>
      <c r="C72" s="159" t="s">
        <v>922</v>
      </c>
      <c r="D72" s="82"/>
      <c r="E72" s="75"/>
      <c r="F72" s="75"/>
      <c r="G72" s="75"/>
      <c r="H72" s="240"/>
      <c r="I72" s="130">
        <f t="shared" si="3"/>
        <v>0</v>
      </c>
    </row>
    <row r="73" spans="2:9" x14ac:dyDescent="0.25">
      <c r="B73" s="72"/>
      <c r="C73" s="84"/>
      <c r="D73" s="82"/>
      <c r="E73" s="75"/>
      <c r="F73" s="75"/>
      <c r="G73" s="75"/>
      <c r="H73" s="240"/>
      <c r="I73" s="130">
        <f t="shared" si="3"/>
        <v>0</v>
      </c>
    </row>
    <row r="74" spans="2:9" ht="91.5" customHeight="1" x14ac:dyDescent="0.25">
      <c r="B74" s="72"/>
      <c r="C74" s="437" t="s">
        <v>1373</v>
      </c>
      <c r="D74" s="438"/>
      <c r="E74" s="75"/>
      <c r="F74" s="75"/>
      <c r="G74" s="75"/>
      <c r="H74" s="240"/>
      <c r="I74" s="130">
        <f t="shared" si="3"/>
        <v>0</v>
      </c>
    </row>
    <row r="75" spans="2:9" x14ac:dyDescent="0.25">
      <c r="B75" s="72"/>
      <c r="C75" s="84"/>
      <c r="D75" s="82"/>
      <c r="E75" s="75"/>
      <c r="F75" s="75"/>
      <c r="G75" s="75"/>
      <c r="H75" s="240"/>
      <c r="I75" s="130">
        <f t="shared" si="3"/>
        <v>0</v>
      </c>
    </row>
    <row r="76" spans="2:9" ht="32.25" customHeight="1" x14ac:dyDescent="0.25">
      <c r="B76" s="72"/>
      <c r="C76" s="422" t="s">
        <v>928</v>
      </c>
      <c r="D76" s="423"/>
      <c r="E76" s="75"/>
      <c r="F76" s="75"/>
      <c r="G76" s="75"/>
      <c r="H76" s="240"/>
      <c r="I76" s="130">
        <f t="shared" si="3"/>
        <v>0</v>
      </c>
    </row>
    <row r="77" spans="2:9" x14ac:dyDescent="0.25">
      <c r="B77" s="72"/>
      <c r="C77" s="84"/>
      <c r="D77" s="82"/>
      <c r="E77" s="75"/>
      <c r="F77" s="75"/>
      <c r="G77" s="75"/>
      <c r="H77" s="240"/>
      <c r="I77" s="130">
        <f t="shared" si="3"/>
        <v>0</v>
      </c>
    </row>
    <row r="78" spans="2:9" ht="29.25" customHeight="1" x14ac:dyDescent="0.25">
      <c r="B78" s="164">
        <f>B70+0.01</f>
        <v>10.109999999999998</v>
      </c>
      <c r="C78" s="84"/>
      <c r="D78" s="158" t="s">
        <v>926</v>
      </c>
      <c r="E78" s="128">
        <v>2</v>
      </c>
      <c r="F78" s="128">
        <v>2</v>
      </c>
      <c r="G78" s="128" t="s">
        <v>582</v>
      </c>
      <c r="H78" s="241"/>
      <c r="I78" s="130">
        <f t="shared" si="3"/>
        <v>0</v>
      </c>
    </row>
    <row r="79" spans="2:9" x14ac:dyDescent="0.25">
      <c r="B79" s="72"/>
      <c r="C79" s="84"/>
      <c r="D79" s="82"/>
      <c r="E79" s="75"/>
      <c r="F79" s="75"/>
      <c r="G79" s="75"/>
      <c r="H79" s="240"/>
      <c r="I79" s="130">
        <f t="shared" si="3"/>
        <v>0</v>
      </c>
    </row>
    <row r="80" spans="2:9" ht="45" x14ac:dyDescent="0.25">
      <c r="B80" s="164">
        <f>B78+0.01</f>
        <v>10.119999999999997</v>
      </c>
      <c r="C80" s="84"/>
      <c r="D80" s="158" t="s">
        <v>927</v>
      </c>
      <c r="E80" s="128">
        <v>1</v>
      </c>
      <c r="F80" s="128">
        <v>1</v>
      </c>
      <c r="G80" s="128" t="s">
        <v>582</v>
      </c>
      <c r="H80" s="241"/>
      <c r="I80" s="130">
        <f t="shared" si="3"/>
        <v>0</v>
      </c>
    </row>
    <row r="81" spans="2:9" x14ac:dyDescent="0.25">
      <c r="B81" s="72"/>
      <c r="C81" s="84"/>
      <c r="D81" s="82"/>
      <c r="E81" s="75"/>
      <c r="F81" s="75"/>
      <c r="G81" s="75"/>
      <c r="H81" s="240"/>
      <c r="I81" s="130">
        <f t="shared" si="3"/>
        <v>0</v>
      </c>
    </row>
    <row r="82" spans="2:9" ht="110.25" customHeight="1" x14ac:dyDescent="0.25">
      <c r="B82" s="72"/>
      <c r="C82" s="441" t="s">
        <v>933</v>
      </c>
      <c r="D82" s="442"/>
      <c r="E82" s="75"/>
      <c r="F82" s="75"/>
      <c r="G82" s="75"/>
      <c r="H82" s="240"/>
      <c r="I82" s="130">
        <f t="shared" si="3"/>
        <v>0</v>
      </c>
    </row>
    <row r="83" spans="2:9" x14ac:dyDescent="0.25">
      <c r="B83" s="72"/>
      <c r="C83" s="84"/>
      <c r="D83" s="82"/>
      <c r="E83" s="75"/>
      <c r="F83" s="75"/>
      <c r="G83" s="75"/>
      <c r="H83" s="240"/>
      <c r="I83" s="130">
        <f t="shared" si="3"/>
        <v>0</v>
      </c>
    </row>
    <row r="84" spans="2:9" ht="30.75" customHeight="1" x14ac:dyDescent="0.25">
      <c r="B84" s="72"/>
      <c r="C84" s="422" t="s">
        <v>928</v>
      </c>
      <c r="D84" s="423"/>
      <c r="E84" s="75"/>
      <c r="F84" s="75"/>
      <c r="G84" s="75"/>
      <c r="H84" s="240"/>
      <c r="I84" s="130">
        <f t="shared" si="3"/>
        <v>0</v>
      </c>
    </row>
    <row r="85" spans="2:9" x14ac:dyDescent="0.25">
      <c r="B85" s="72"/>
      <c r="C85" s="84"/>
      <c r="D85" s="82"/>
      <c r="E85" s="75"/>
      <c r="F85" s="75"/>
      <c r="G85" s="75"/>
      <c r="H85" s="240"/>
      <c r="I85" s="130">
        <f t="shared" si="3"/>
        <v>0</v>
      </c>
    </row>
    <row r="86" spans="2:9" ht="45" x14ac:dyDescent="0.25">
      <c r="B86" s="164">
        <f>B80+0.01</f>
        <v>10.129999999999997</v>
      </c>
      <c r="C86" s="84"/>
      <c r="D86" s="158" t="s">
        <v>929</v>
      </c>
      <c r="E86" s="128">
        <v>1</v>
      </c>
      <c r="F86" s="128">
        <v>1</v>
      </c>
      <c r="G86" s="128" t="s">
        <v>582</v>
      </c>
      <c r="H86" s="241"/>
      <c r="I86" s="130">
        <f t="shared" si="3"/>
        <v>0</v>
      </c>
    </row>
    <row r="87" spans="2:9" x14ac:dyDescent="0.25">
      <c r="B87" s="72"/>
      <c r="C87" s="84"/>
      <c r="D87" s="82"/>
      <c r="E87" s="75"/>
      <c r="F87" s="75"/>
      <c r="G87" s="75"/>
      <c r="H87" s="240"/>
      <c r="I87" s="130">
        <f t="shared" si="3"/>
        <v>0</v>
      </c>
    </row>
    <row r="88" spans="2:9" ht="107.25" customHeight="1" x14ac:dyDescent="0.25">
      <c r="B88" s="72"/>
      <c r="C88" s="441" t="s">
        <v>930</v>
      </c>
      <c r="D88" s="442"/>
      <c r="E88" s="75"/>
      <c r="F88" s="75"/>
      <c r="G88" s="75"/>
      <c r="H88" s="240"/>
      <c r="I88" s="130">
        <f t="shared" si="3"/>
        <v>0</v>
      </c>
    </row>
    <row r="89" spans="2:9" x14ac:dyDescent="0.25">
      <c r="B89" s="72"/>
      <c r="C89" s="84"/>
      <c r="D89" s="82"/>
      <c r="E89" s="75"/>
      <c r="F89" s="75"/>
      <c r="G89" s="75"/>
      <c r="H89" s="240"/>
      <c r="I89" s="130">
        <f t="shared" si="3"/>
        <v>0</v>
      </c>
    </row>
    <row r="90" spans="2:9" ht="32.25" customHeight="1" x14ac:dyDescent="0.25">
      <c r="B90" s="72"/>
      <c r="C90" s="422" t="s">
        <v>928</v>
      </c>
      <c r="D90" s="423"/>
      <c r="E90" s="75"/>
      <c r="F90" s="75"/>
      <c r="G90" s="75"/>
      <c r="H90" s="240"/>
      <c r="I90" s="130">
        <f t="shared" si="3"/>
        <v>0</v>
      </c>
    </row>
    <row r="91" spans="2:9" x14ac:dyDescent="0.25">
      <c r="B91" s="72"/>
      <c r="C91" s="84"/>
      <c r="D91" s="82"/>
      <c r="E91" s="75"/>
      <c r="F91" s="75"/>
      <c r="G91" s="75"/>
      <c r="H91" s="240"/>
      <c r="I91" s="130">
        <f t="shared" si="3"/>
        <v>0</v>
      </c>
    </row>
    <row r="92" spans="2:9" ht="45" x14ac:dyDescent="0.25">
      <c r="B92" s="164">
        <f>B86+0.01</f>
        <v>10.139999999999997</v>
      </c>
      <c r="C92" s="84"/>
      <c r="D92" s="158" t="s">
        <v>931</v>
      </c>
      <c r="E92" s="128">
        <v>1</v>
      </c>
      <c r="F92" s="128">
        <v>1</v>
      </c>
      <c r="G92" s="128" t="s">
        <v>582</v>
      </c>
      <c r="H92" s="241"/>
      <c r="I92" s="130">
        <f t="shared" si="3"/>
        <v>0</v>
      </c>
    </row>
    <row r="93" spans="2:9" x14ac:dyDescent="0.25">
      <c r="B93" s="72"/>
      <c r="C93" s="84"/>
      <c r="D93" s="82"/>
      <c r="E93" s="75"/>
      <c r="F93" s="75"/>
      <c r="G93" s="75"/>
      <c r="H93" s="240"/>
      <c r="I93" s="130">
        <f t="shared" si="3"/>
        <v>0</v>
      </c>
    </row>
    <row r="94" spans="2:9" ht="45" x14ac:dyDescent="0.25">
      <c r="B94" s="164">
        <f>B92+0.01</f>
        <v>10.149999999999997</v>
      </c>
      <c r="C94" s="84"/>
      <c r="D94" s="158" t="s">
        <v>932</v>
      </c>
      <c r="E94" s="128">
        <v>1</v>
      </c>
      <c r="F94" s="128">
        <v>1</v>
      </c>
      <c r="G94" s="128" t="s">
        <v>582</v>
      </c>
      <c r="H94" s="241"/>
      <c r="I94" s="130">
        <f t="shared" si="3"/>
        <v>0</v>
      </c>
    </row>
    <row r="95" spans="2:9" x14ac:dyDescent="0.25">
      <c r="B95" s="72"/>
      <c r="C95" s="84"/>
      <c r="D95" s="82"/>
      <c r="E95" s="75"/>
      <c r="F95" s="75"/>
      <c r="G95" s="75"/>
      <c r="H95" s="240"/>
      <c r="I95" s="130">
        <f t="shared" si="3"/>
        <v>0</v>
      </c>
    </row>
    <row r="96" spans="2:9" x14ac:dyDescent="0.25">
      <c r="B96" s="77"/>
      <c r="C96" s="73" t="s">
        <v>549</v>
      </c>
      <c r="D96" s="160"/>
      <c r="E96" s="161"/>
      <c r="F96" s="161"/>
      <c r="G96" s="78"/>
      <c r="H96" s="242"/>
      <c r="I96" s="130">
        <f t="shared" si="3"/>
        <v>0</v>
      </c>
    </row>
    <row r="97" spans="2:9" x14ac:dyDescent="0.25">
      <c r="B97" s="77"/>
      <c r="C97" s="74"/>
      <c r="D97" s="160"/>
      <c r="E97" s="161"/>
      <c r="F97" s="161"/>
      <c r="G97" s="78"/>
      <c r="H97" s="242"/>
      <c r="I97" s="130">
        <f t="shared" si="3"/>
        <v>0</v>
      </c>
    </row>
    <row r="98" spans="2:9" x14ac:dyDescent="0.25">
      <c r="B98" s="77"/>
      <c r="C98" s="159" t="s">
        <v>550</v>
      </c>
      <c r="D98" s="160"/>
      <c r="E98" s="161"/>
      <c r="F98" s="161"/>
      <c r="G98" s="78"/>
      <c r="H98" s="242"/>
      <c r="I98" s="130">
        <f t="shared" si="3"/>
        <v>0</v>
      </c>
    </row>
    <row r="99" spans="2:9" x14ac:dyDescent="0.25">
      <c r="B99" s="77"/>
      <c r="C99" s="74"/>
      <c r="D99" s="160"/>
      <c r="E99" s="161"/>
      <c r="F99" s="161"/>
      <c r="G99" s="78"/>
      <c r="H99" s="242"/>
      <c r="I99" s="130">
        <f t="shared" si="3"/>
        <v>0</v>
      </c>
    </row>
    <row r="100" spans="2:9" x14ac:dyDescent="0.25">
      <c r="B100" s="77"/>
      <c r="C100" s="74" t="s">
        <v>551</v>
      </c>
      <c r="D100" s="160"/>
      <c r="E100" s="161"/>
      <c r="F100" s="161"/>
      <c r="G100" s="78"/>
      <c r="H100" s="242"/>
      <c r="I100" s="130">
        <f t="shared" si="3"/>
        <v>0</v>
      </c>
    </row>
    <row r="101" spans="2:9" x14ac:dyDescent="0.25">
      <c r="B101" s="77"/>
      <c r="C101" s="74"/>
      <c r="D101" s="160"/>
      <c r="E101" s="161"/>
      <c r="F101" s="161"/>
      <c r="G101" s="78"/>
      <c r="H101" s="242"/>
      <c r="I101" s="130">
        <f t="shared" si="3"/>
        <v>0</v>
      </c>
    </row>
    <row r="102" spans="2:9" x14ac:dyDescent="0.25">
      <c r="B102" s="173">
        <f>B94+0.01</f>
        <v>10.159999999999997</v>
      </c>
      <c r="C102" s="74"/>
      <c r="D102" s="112" t="s">
        <v>527</v>
      </c>
      <c r="E102" s="162"/>
      <c r="F102" s="162">
        <v>1</v>
      </c>
      <c r="G102" s="75" t="s">
        <v>528</v>
      </c>
      <c r="H102" s="240"/>
      <c r="I102" s="130">
        <f t="shared" si="3"/>
        <v>0</v>
      </c>
    </row>
    <row r="103" spans="2:9" x14ac:dyDescent="0.25">
      <c r="B103" s="77"/>
      <c r="C103" s="74"/>
      <c r="D103" s="160"/>
      <c r="E103" s="161"/>
      <c r="F103" s="161"/>
      <c r="G103" s="78"/>
      <c r="H103" s="242"/>
      <c r="I103" s="130">
        <f t="shared" si="3"/>
        <v>0</v>
      </c>
    </row>
    <row r="104" spans="2:9" ht="15.75" x14ac:dyDescent="0.25">
      <c r="B104" s="77"/>
      <c r="C104" s="432" t="s">
        <v>634</v>
      </c>
      <c r="D104" s="433"/>
      <c r="E104" s="161"/>
      <c r="F104" s="161"/>
      <c r="G104" s="78"/>
      <c r="H104" s="242"/>
      <c r="I104" s="130">
        <f t="shared" si="3"/>
        <v>0</v>
      </c>
    </row>
    <row r="105" spans="2:9" x14ac:dyDescent="0.25">
      <c r="B105" s="77"/>
      <c r="C105" s="74"/>
      <c r="D105" s="160"/>
      <c r="E105" s="161"/>
      <c r="F105" s="161"/>
      <c r="G105" s="78"/>
      <c r="H105" s="242"/>
      <c r="I105" s="130">
        <f t="shared" si="3"/>
        <v>0</v>
      </c>
    </row>
    <row r="106" spans="2:9" ht="34.5" customHeight="1" x14ac:dyDescent="0.25">
      <c r="B106" s="77"/>
      <c r="C106" s="418" t="s">
        <v>652</v>
      </c>
      <c r="D106" s="419"/>
      <c r="E106" s="161"/>
      <c r="F106" s="161"/>
      <c r="G106" s="78"/>
      <c r="H106" s="242"/>
      <c r="I106" s="130">
        <f t="shared" si="3"/>
        <v>0</v>
      </c>
    </row>
    <row r="107" spans="2:9" ht="13.7" customHeight="1" x14ac:dyDescent="0.25">
      <c r="B107" s="77"/>
      <c r="C107" s="74"/>
      <c r="D107" s="160"/>
      <c r="E107" s="161"/>
      <c r="F107" s="161"/>
      <c r="G107" s="78"/>
      <c r="H107" s="242"/>
      <c r="I107" s="130">
        <f t="shared" si="3"/>
        <v>0</v>
      </c>
    </row>
    <row r="108" spans="2:9" x14ac:dyDescent="0.25">
      <c r="B108" s="172">
        <f>B102+0.01</f>
        <v>10.169999999999996</v>
      </c>
      <c r="C108" s="74"/>
      <c r="D108" s="112" t="s">
        <v>527</v>
      </c>
      <c r="E108" s="162"/>
      <c r="F108" s="162">
        <v>1</v>
      </c>
      <c r="G108" s="75" t="s">
        <v>528</v>
      </c>
      <c r="H108" s="240"/>
      <c r="I108" s="130">
        <f t="shared" si="3"/>
        <v>0</v>
      </c>
    </row>
    <row r="109" spans="2:9" x14ac:dyDescent="0.25">
      <c r="B109" s="77"/>
      <c r="C109" s="74"/>
      <c r="D109" s="160"/>
      <c r="E109" s="161"/>
      <c r="F109" s="161"/>
      <c r="G109" s="78"/>
      <c r="H109" s="242"/>
      <c r="I109" s="130">
        <f t="shared" si="3"/>
        <v>0</v>
      </c>
    </row>
    <row r="110" spans="2:9" x14ac:dyDescent="0.25">
      <c r="B110" s="77"/>
      <c r="C110" s="159" t="s">
        <v>556</v>
      </c>
      <c r="D110" s="160"/>
      <c r="E110" s="161"/>
      <c r="F110" s="161"/>
      <c r="G110" s="78"/>
      <c r="H110" s="242"/>
      <c r="I110" s="130">
        <f t="shared" si="3"/>
        <v>0</v>
      </c>
    </row>
    <row r="111" spans="2:9" x14ac:dyDescent="0.25">
      <c r="B111" s="77"/>
      <c r="C111" s="74"/>
      <c r="D111" s="160"/>
      <c r="E111" s="161"/>
      <c r="F111" s="161"/>
      <c r="G111" s="78"/>
      <c r="H111" s="242"/>
      <c r="I111" s="130">
        <f t="shared" si="3"/>
        <v>0</v>
      </c>
    </row>
    <row r="112" spans="2:9" ht="33.75" customHeight="1" x14ac:dyDescent="0.25">
      <c r="B112" s="77"/>
      <c r="C112" s="420" t="s">
        <v>557</v>
      </c>
      <c r="D112" s="421"/>
      <c r="E112" s="161"/>
      <c r="F112" s="161"/>
      <c r="G112" s="78"/>
      <c r="H112" s="242"/>
      <c r="I112" s="130">
        <f t="shared" si="3"/>
        <v>0</v>
      </c>
    </row>
    <row r="113" spans="2:10" ht="13.7" customHeight="1" x14ac:dyDescent="0.25">
      <c r="B113" s="77"/>
      <c r="C113" s="170"/>
      <c r="D113" s="158"/>
      <c r="E113" s="161"/>
      <c r="F113" s="161"/>
      <c r="G113" s="78"/>
      <c r="H113" s="242"/>
      <c r="I113" s="130">
        <f t="shared" si="3"/>
        <v>0</v>
      </c>
    </row>
    <row r="114" spans="2:10" x14ac:dyDescent="0.25">
      <c r="B114" s="173">
        <f>B108+0.01</f>
        <v>10.179999999999996</v>
      </c>
      <c r="C114" s="74"/>
      <c r="D114" s="112" t="s">
        <v>527</v>
      </c>
      <c r="E114" s="162"/>
      <c r="F114" s="162">
        <v>1</v>
      </c>
      <c r="G114" s="75" t="s">
        <v>528</v>
      </c>
      <c r="H114" s="240"/>
      <c r="I114" s="130">
        <f t="shared" si="3"/>
        <v>0</v>
      </c>
    </row>
    <row r="115" spans="2:10" x14ac:dyDescent="0.25">
      <c r="B115" s="77"/>
      <c r="C115" s="74"/>
      <c r="D115" s="160"/>
      <c r="E115" s="161"/>
      <c r="F115" s="161"/>
      <c r="G115" s="78"/>
      <c r="H115" s="242"/>
      <c r="I115" s="130">
        <f t="shared" si="3"/>
        <v>0</v>
      </c>
    </row>
    <row r="116" spans="2:10" x14ac:dyDescent="0.25">
      <c r="B116" s="77"/>
      <c r="C116" s="159" t="s">
        <v>554</v>
      </c>
      <c r="D116" s="160"/>
      <c r="E116" s="161"/>
      <c r="F116" s="161"/>
      <c r="G116" s="78"/>
      <c r="H116" s="242"/>
      <c r="I116" s="130">
        <f t="shared" si="3"/>
        <v>0</v>
      </c>
    </row>
    <row r="117" spans="2:10" x14ac:dyDescent="0.25">
      <c r="B117" s="77"/>
      <c r="C117" s="74"/>
      <c r="D117" s="160"/>
      <c r="E117" s="161"/>
      <c r="F117" s="161"/>
      <c r="G117" s="78"/>
      <c r="H117" s="242"/>
      <c r="I117" s="130">
        <f t="shared" si="3"/>
        <v>0</v>
      </c>
    </row>
    <row r="118" spans="2:10" ht="34.5" customHeight="1" x14ac:dyDescent="0.25">
      <c r="B118" s="166"/>
      <c r="C118" s="420" t="s">
        <v>558</v>
      </c>
      <c r="D118" s="421"/>
      <c r="E118" s="161"/>
      <c r="F118" s="161"/>
      <c r="G118" s="78"/>
      <c r="H118" s="242"/>
      <c r="I118" s="130">
        <f t="shared" si="3"/>
        <v>0</v>
      </c>
    </row>
    <row r="119" spans="2:10" ht="16.350000000000001" customHeight="1" x14ac:dyDescent="0.25">
      <c r="B119" s="166"/>
      <c r="C119" s="170"/>
      <c r="D119" s="158"/>
      <c r="E119" s="161"/>
      <c r="F119" s="161"/>
      <c r="G119" s="78"/>
      <c r="H119" s="242"/>
      <c r="I119" s="130">
        <f t="shared" si="3"/>
        <v>0</v>
      </c>
    </row>
    <row r="120" spans="2:10" x14ac:dyDescent="0.25">
      <c r="B120" s="173">
        <f>B114+0.01</f>
        <v>10.189999999999996</v>
      </c>
      <c r="C120" s="74"/>
      <c r="D120" s="112" t="s">
        <v>527</v>
      </c>
      <c r="E120" s="162"/>
      <c r="F120" s="162">
        <v>1</v>
      </c>
      <c r="G120" s="75" t="s">
        <v>528</v>
      </c>
      <c r="H120" s="240"/>
      <c r="I120" s="130">
        <f t="shared" si="3"/>
        <v>0</v>
      </c>
    </row>
    <row r="121" spans="2:10" x14ac:dyDescent="0.25">
      <c r="B121" s="72"/>
      <c r="C121" s="84"/>
      <c r="D121" s="82"/>
      <c r="E121" s="75"/>
      <c r="F121" s="75"/>
      <c r="G121" s="75"/>
      <c r="H121" s="240"/>
      <c r="I121" s="130">
        <f t="shared" si="3"/>
        <v>0</v>
      </c>
    </row>
    <row r="122" spans="2:10" x14ac:dyDescent="0.25">
      <c r="B122" s="72"/>
      <c r="C122" s="159" t="s">
        <v>529</v>
      </c>
      <c r="D122" s="82"/>
      <c r="E122" s="75"/>
      <c r="F122" s="75"/>
      <c r="G122" s="75"/>
      <c r="H122" s="243"/>
      <c r="I122" s="130">
        <f t="shared" si="3"/>
        <v>0</v>
      </c>
    </row>
    <row r="123" spans="2:10" x14ac:dyDescent="0.25">
      <c r="B123" s="72"/>
      <c r="C123" s="74"/>
      <c r="D123" s="82"/>
      <c r="E123" s="75"/>
      <c r="F123" s="75"/>
      <c r="G123" s="75"/>
      <c r="H123" s="243"/>
      <c r="I123" s="130">
        <f t="shared" si="3"/>
        <v>0</v>
      </c>
    </row>
    <row r="124" spans="2:10" ht="31.5" customHeight="1" x14ac:dyDescent="0.25">
      <c r="B124" s="72"/>
      <c r="C124" s="422" t="s">
        <v>629</v>
      </c>
      <c r="D124" s="423"/>
      <c r="E124" s="75"/>
      <c r="F124" s="75"/>
      <c r="G124" s="75"/>
      <c r="H124" s="243"/>
      <c r="I124" s="130">
        <f t="shared" si="3"/>
        <v>0</v>
      </c>
    </row>
    <row r="125" spans="2:10" ht="15.6" customHeight="1" x14ac:dyDescent="0.25">
      <c r="B125" s="72"/>
      <c r="C125" s="165"/>
      <c r="D125" s="168"/>
      <c r="E125" s="75"/>
      <c r="F125" s="75"/>
      <c r="G125" s="75"/>
      <c r="H125" s="243"/>
      <c r="I125" s="130">
        <f t="shared" si="3"/>
        <v>0</v>
      </c>
    </row>
    <row r="126" spans="2:10" x14ac:dyDescent="0.25">
      <c r="B126" s="172">
        <f>B120+0.01</f>
        <v>10.199999999999996</v>
      </c>
      <c r="C126" s="74"/>
      <c r="D126" s="155" t="s">
        <v>527</v>
      </c>
      <c r="E126" s="154"/>
      <c r="F126" s="154">
        <v>1</v>
      </c>
      <c r="G126" s="75" t="s">
        <v>528</v>
      </c>
      <c r="H126" s="243"/>
      <c r="I126" s="130">
        <f t="shared" si="3"/>
        <v>0</v>
      </c>
    </row>
    <row r="127" spans="2:10" x14ac:dyDescent="0.25">
      <c r="B127" s="72"/>
      <c r="C127" s="74"/>
      <c r="D127" s="111"/>
      <c r="E127" s="109"/>
      <c r="F127" s="109"/>
      <c r="G127" s="75"/>
      <c r="H127" s="240"/>
      <c r="I127" s="130">
        <f t="shared" si="3"/>
        <v>0</v>
      </c>
      <c r="J127" s="110"/>
    </row>
    <row r="128" spans="2:10" x14ac:dyDescent="0.25">
      <c r="B128" s="72"/>
      <c r="C128" s="73"/>
      <c r="D128" s="112"/>
      <c r="E128" s="75"/>
      <c r="F128" s="75"/>
      <c r="G128" s="75"/>
      <c r="H128" s="240"/>
      <c r="I128" s="130">
        <f t="shared" si="3"/>
        <v>0</v>
      </c>
    </row>
    <row r="129" spans="2:9" ht="15.75" thickBot="1" x14ac:dyDescent="0.3">
      <c r="B129" s="85"/>
      <c r="C129" s="86"/>
      <c r="D129" s="87"/>
      <c r="E129" s="88"/>
      <c r="F129" s="88"/>
      <c r="G129" s="88"/>
      <c r="H129" s="244"/>
      <c r="I129" s="76" t="str">
        <f t="shared" si="0"/>
        <v/>
      </c>
    </row>
    <row r="130" spans="2:9" ht="30.75" customHeight="1" thickBot="1" x14ac:dyDescent="0.3">
      <c r="H130" s="92" t="s">
        <v>4</v>
      </c>
      <c r="I130" s="124">
        <f>SUM(I62:I129)</f>
        <v>0</v>
      </c>
    </row>
  </sheetData>
  <mergeCells count="26">
    <mergeCell ref="C62:D62"/>
    <mergeCell ref="C64:D64"/>
    <mergeCell ref="C68:D68"/>
    <mergeCell ref="C74:D74"/>
    <mergeCell ref="C76:D76"/>
    <mergeCell ref="C22:D22"/>
    <mergeCell ref="C37:D37"/>
    <mergeCell ref="C39:D39"/>
    <mergeCell ref="C45:D45"/>
    <mergeCell ref="C51:D51"/>
    <mergeCell ref="C6:D6"/>
    <mergeCell ref="C124:D124"/>
    <mergeCell ref="C106:D106"/>
    <mergeCell ref="C112:D112"/>
    <mergeCell ref="C118:D118"/>
    <mergeCell ref="C7:D7"/>
    <mergeCell ref="C8:D8"/>
    <mergeCell ref="C9:D9"/>
    <mergeCell ref="C104:D104"/>
    <mergeCell ref="C10:D10"/>
    <mergeCell ref="C58:D58"/>
    <mergeCell ref="C82:D82"/>
    <mergeCell ref="C84:D84"/>
    <mergeCell ref="C88:D88"/>
    <mergeCell ref="C90:D90"/>
    <mergeCell ref="C16:D16"/>
  </mergeCells>
  <pageMargins left="0.7" right="0.7" top="0.75" bottom="0.75" header="0.3" footer="0.3"/>
  <pageSetup paperSize="9" scale="73"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98B7-53A2-45D9-8F8B-CF30D82DE2D9}">
  <sheetPr>
    <pageSetUpPr fitToPage="1"/>
  </sheetPr>
  <dimension ref="B1:J143"/>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+Summary!D29</f>
        <v>Internal Doors</v>
      </c>
      <c r="I3" s="100">
        <f>+Summary!G3</f>
        <v>45614</v>
      </c>
    </row>
    <row r="4" spans="2:9" ht="13.5" customHeight="1" thickBot="1" x14ac:dyDescent="0.3">
      <c r="B4" s="86">
        <v>11</v>
      </c>
      <c r="C4" s="101"/>
      <c r="D4" s="101"/>
      <c r="E4" s="102"/>
      <c r="F4" s="102"/>
      <c r="G4" s="102"/>
      <c r="H4" s="101"/>
      <c r="I4" s="103"/>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IF(H6="","",H6*E6)</f>
        <v/>
      </c>
    </row>
    <row r="7" spans="2:9" ht="60.95" customHeight="1" x14ac:dyDescent="0.25">
      <c r="B7" s="72"/>
      <c r="C7" s="422" t="s">
        <v>658</v>
      </c>
      <c r="D7" s="423"/>
      <c r="E7" s="75"/>
      <c r="F7" s="75"/>
      <c r="G7" s="75"/>
      <c r="H7" s="76"/>
      <c r="I7" s="76" t="str">
        <f>IF(H7="","",H7*E7)</f>
        <v/>
      </c>
    </row>
    <row r="8" spans="2:9" ht="45" customHeight="1" x14ac:dyDescent="0.25">
      <c r="B8" s="72"/>
      <c r="C8" s="422" t="s">
        <v>575</v>
      </c>
      <c r="D8" s="423"/>
      <c r="E8" s="75"/>
      <c r="F8" s="75"/>
      <c r="G8" s="75"/>
      <c r="H8" s="76"/>
      <c r="I8" s="76"/>
    </row>
    <row r="9" spans="2:9" x14ac:dyDescent="0.25">
      <c r="B9" s="72"/>
      <c r="C9" s="422" t="s">
        <v>754</v>
      </c>
      <c r="D9" s="423"/>
      <c r="E9" s="75"/>
      <c r="F9" s="75"/>
      <c r="G9" s="75"/>
      <c r="H9" s="76"/>
      <c r="I9" s="76"/>
    </row>
    <row r="10" spans="2:9" x14ac:dyDescent="0.25">
      <c r="B10" s="72"/>
      <c r="C10" s="422" t="s">
        <v>936</v>
      </c>
      <c r="D10" s="423"/>
      <c r="E10" s="75"/>
      <c r="F10" s="75"/>
      <c r="G10" s="75"/>
      <c r="H10" s="76"/>
      <c r="I10" s="76"/>
    </row>
    <row r="11" spans="2:9" ht="15.6" customHeight="1" x14ac:dyDescent="0.25">
      <c r="B11" s="72"/>
      <c r="C11" s="165"/>
      <c r="D11" s="167"/>
      <c r="E11" s="75"/>
      <c r="F11" s="75"/>
      <c r="G11" s="75"/>
      <c r="H11" s="76"/>
      <c r="I11" s="76"/>
    </row>
    <row r="12" spans="2:9" ht="15.6" customHeight="1" x14ac:dyDescent="0.25">
      <c r="B12" s="72"/>
      <c r="C12" s="350" t="s">
        <v>815</v>
      </c>
      <c r="D12" s="167"/>
      <c r="E12" s="75"/>
      <c r="F12" s="75"/>
      <c r="G12" s="75"/>
      <c r="H12" s="76"/>
      <c r="I12" s="76"/>
    </row>
    <row r="13" spans="2:9" ht="15.6" customHeight="1" x14ac:dyDescent="0.25">
      <c r="B13" s="72"/>
      <c r="C13" s="165"/>
      <c r="D13" s="167"/>
      <c r="E13" s="75"/>
      <c r="F13" s="75"/>
      <c r="G13" s="75"/>
      <c r="H13" s="76"/>
      <c r="I13" s="76"/>
    </row>
    <row r="14" spans="2:9" x14ac:dyDescent="0.25">
      <c r="B14" s="72"/>
      <c r="C14" s="84" t="s">
        <v>630</v>
      </c>
      <c r="D14" s="82"/>
      <c r="E14" s="75"/>
      <c r="F14" s="75"/>
      <c r="G14" s="75"/>
      <c r="H14" s="76"/>
      <c r="I14" s="76"/>
    </row>
    <row r="15" spans="2:9" x14ac:dyDescent="0.25">
      <c r="B15" s="72"/>
      <c r="C15" s="84"/>
      <c r="D15" s="82"/>
      <c r="E15" s="75"/>
      <c r="F15" s="75"/>
      <c r="G15" s="75"/>
      <c r="H15" s="76"/>
      <c r="I15" s="76"/>
    </row>
    <row r="16" spans="2:9" ht="45.95" customHeight="1" x14ac:dyDescent="0.25">
      <c r="B16" s="72"/>
      <c r="C16" s="420" t="s">
        <v>664</v>
      </c>
      <c r="D16" s="447"/>
      <c r="E16" s="75"/>
      <c r="F16" s="75"/>
      <c r="G16" s="75"/>
      <c r="H16" s="76"/>
      <c r="I16" s="76"/>
    </row>
    <row r="17" spans="2:9" x14ac:dyDescent="0.25">
      <c r="B17" s="72"/>
      <c r="C17" s="84"/>
      <c r="D17" s="82"/>
      <c r="E17" s="75"/>
      <c r="F17" s="75"/>
      <c r="G17" s="75"/>
      <c r="H17" s="76"/>
      <c r="I17" s="130">
        <f t="shared" ref="I17:I57" si="0">F17*H17</f>
        <v>0</v>
      </c>
    </row>
    <row r="18" spans="2:9" ht="60" x14ac:dyDescent="0.25">
      <c r="B18" s="164">
        <f>B4+0.01</f>
        <v>11.01</v>
      </c>
      <c r="C18" s="84"/>
      <c r="D18" s="82" t="s">
        <v>759</v>
      </c>
      <c r="E18" s="128">
        <v>1</v>
      </c>
      <c r="F18" s="128">
        <v>1</v>
      </c>
      <c r="G18" s="128" t="s">
        <v>582</v>
      </c>
      <c r="H18" s="129"/>
      <c r="I18" s="130">
        <f t="shared" si="0"/>
        <v>0</v>
      </c>
    </row>
    <row r="19" spans="2:9" x14ac:dyDescent="0.25">
      <c r="B19" s="72"/>
      <c r="C19" s="84"/>
      <c r="D19" s="82"/>
      <c r="E19" s="75"/>
      <c r="F19" s="75"/>
      <c r="G19" s="75"/>
      <c r="H19" s="76"/>
      <c r="I19" s="130">
        <f t="shared" si="0"/>
        <v>0</v>
      </c>
    </row>
    <row r="20" spans="2:9" ht="60" x14ac:dyDescent="0.25">
      <c r="B20" s="164">
        <f>B18+0.01</f>
        <v>11.02</v>
      </c>
      <c r="C20" s="84"/>
      <c r="D20" s="82" t="s">
        <v>760</v>
      </c>
      <c r="E20" s="128">
        <v>1</v>
      </c>
      <c r="F20" s="128">
        <v>1</v>
      </c>
      <c r="G20" s="128" t="s">
        <v>582</v>
      </c>
      <c r="H20" s="129"/>
      <c r="I20" s="130">
        <f t="shared" si="0"/>
        <v>0</v>
      </c>
    </row>
    <row r="21" spans="2:9" x14ac:dyDescent="0.25">
      <c r="B21" s="72"/>
      <c r="C21" s="84"/>
      <c r="D21" s="82"/>
      <c r="E21" s="75"/>
      <c r="F21" s="75"/>
      <c r="G21" s="75"/>
      <c r="H21" s="76"/>
      <c r="I21" s="130">
        <f t="shared" si="0"/>
        <v>0</v>
      </c>
    </row>
    <row r="22" spans="2:9" ht="60" x14ac:dyDescent="0.25">
      <c r="B22" s="164">
        <f>B20+0.01</f>
        <v>11.03</v>
      </c>
      <c r="C22" s="84"/>
      <c r="D22" s="82" t="s">
        <v>761</v>
      </c>
      <c r="E22" s="128">
        <v>1</v>
      </c>
      <c r="F22" s="128">
        <v>1</v>
      </c>
      <c r="G22" s="128" t="s">
        <v>582</v>
      </c>
      <c r="H22" s="129"/>
      <c r="I22" s="130">
        <f t="shared" si="0"/>
        <v>0</v>
      </c>
    </row>
    <row r="23" spans="2:9" x14ac:dyDescent="0.25">
      <c r="B23" s="72"/>
      <c r="C23" s="84"/>
      <c r="D23" s="82"/>
      <c r="E23" s="75"/>
      <c r="F23" s="75"/>
      <c r="G23" s="75"/>
      <c r="H23" s="76"/>
      <c r="I23" s="130">
        <f t="shared" si="0"/>
        <v>0</v>
      </c>
    </row>
    <row r="24" spans="2:9" ht="31.5" customHeight="1" x14ac:dyDescent="0.25">
      <c r="B24" s="72"/>
      <c r="C24" s="420" t="s">
        <v>766</v>
      </c>
      <c r="D24" s="447"/>
      <c r="E24" s="75"/>
      <c r="F24" s="75"/>
      <c r="G24" s="75"/>
      <c r="H24" s="76"/>
      <c r="I24" s="130">
        <f t="shared" si="0"/>
        <v>0</v>
      </c>
    </row>
    <row r="25" spans="2:9" x14ac:dyDescent="0.25">
      <c r="B25" s="72"/>
      <c r="C25" s="84"/>
      <c r="D25" s="82"/>
      <c r="E25" s="75"/>
      <c r="F25" s="75"/>
      <c r="G25" s="75"/>
      <c r="H25" s="76"/>
      <c r="I25" s="130">
        <f t="shared" si="0"/>
        <v>0</v>
      </c>
    </row>
    <row r="26" spans="2:9" x14ac:dyDescent="0.25">
      <c r="B26" s="164">
        <f>B22+0.01</f>
        <v>11.04</v>
      </c>
      <c r="C26" s="84"/>
      <c r="D26" s="82" t="s">
        <v>767</v>
      </c>
      <c r="E26" s="75">
        <v>1</v>
      </c>
      <c r="F26" s="75">
        <v>1</v>
      </c>
      <c r="G26" s="75" t="s">
        <v>765</v>
      </c>
      <c r="H26" s="76"/>
      <c r="I26" s="130">
        <f t="shared" si="0"/>
        <v>0</v>
      </c>
    </row>
    <row r="27" spans="2:9" x14ac:dyDescent="0.25">
      <c r="B27" s="72"/>
      <c r="C27" s="84"/>
      <c r="D27" s="82"/>
      <c r="E27" s="75"/>
      <c r="F27" s="75"/>
      <c r="G27" s="75"/>
      <c r="H27" s="76"/>
      <c r="I27" s="130">
        <f t="shared" si="0"/>
        <v>0</v>
      </c>
    </row>
    <row r="28" spans="2:9" x14ac:dyDescent="0.25">
      <c r="B28" s="164">
        <f>B26+0.01</f>
        <v>11.049999999999999</v>
      </c>
      <c r="C28" s="84"/>
      <c r="D28" s="82" t="s">
        <v>768</v>
      </c>
      <c r="E28" s="75">
        <v>1</v>
      </c>
      <c r="F28" s="75">
        <v>1</v>
      </c>
      <c r="G28" s="75" t="s">
        <v>765</v>
      </c>
      <c r="H28" s="76"/>
      <c r="I28" s="130">
        <f t="shared" si="0"/>
        <v>0</v>
      </c>
    </row>
    <row r="29" spans="2:9" x14ac:dyDescent="0.25">
      <c r="B29" s="72"/>
      <c r="C29" s="84"/>
      <c r="D29" s="82"/>
      <c r="E29" s="75"/>
      <c r="F29" s="75"/>
      <c r="G29" s="75"/>
      <c r="H29" s="76"/>
      <c r="I29" s="130">
        <f t="shared" si="0"/>
        <v>0</v>
      </c>
    </row>
    <row r="30" spans="2:9" x14ac:dyDescent="0.25">
      <c r="B30" s="179">
        <f>B28+0.01</f>
        <v>11.059999999999999</v>
      </c>
      <c r="C30" s="84"/>
      <c r="D30" s="82" t="s">
        <v>769</v>
      </c>
      <c r="E30" s="75">
        <v>1</v>
      </c>
      <c r="F30" s="75">
        <v>1</v>
      </c>
      <c r="G30" s="75" t="s">
        <v>765</v>
      </c>
      <c r="H30" s="76"/>
      <c r="I30" s="130">
        <f t="shared" si="0"/>
        <v>0</v>
      </c>
    </row>
    <row r="31" spans="2:9" x14ac:dyDescent="0.25">
      <c r="B31" s="72"/>
      <c r="C31" s="84"/>
      <c r="D31" s="82"/>
      <c r="E31" s="75"/>
      <c r="F31" s="75"/>
      <c r="G31" s="75"/>
      <c r="H31" s="76"/>
      <c r="I31" s="130">
        <f t="shared" si="0"/>
        <v>0</v>
      </c>
    </row>
    <row r="32" spans="2:9" x14ac:dyDescent="0.25">
      <c r="B32" s="72"/>
      <c r="C32" s="84"/>
      <c r="D32" s="82"/>
      <c r="E32" s="75"/>
      <c r="F32" s="75"/>
      <c r="G32" s="75"/>
      <c r="H32" s="76"/>
      <c r="I32" s="130">
        <f t="shared" si="0"/>
        <v>0</v>
      </c>
    </row>
    <row r="33" spans="2:9" x14ac:dyDescent="0.25">
      <c r="B33" s="77"/>
      <c r="C33" s="73" t="s">
        <v>549</v>
      </c>
      <c r="D33" s="160"/>
      <c r="E33" s="161"/>
      <c r="F33" s="161"/>
      <c r="G33" s="78"/>
      <c r="H33" s="79"/>
      <c r="I33" s="130">
        <f t="shared" si="0"/>
        <v>0</v>
      </c>
    </row>
    <row r="34" spans="2:9" x14ac:dyDescent="0.25">
      <c r="B34" s="77"/>
      <c r="C34" s="74"/>
      <c r="D34" s="160"/>
      <c r="E34" s="161"/>
      <c r="F34" s="161"/>
      <c r="G34" s="78"/>
      <c r="H34" s="79"/>
      <c r="I34" s="130">
        <f t="shared" si="0"/>
        <v>0</v>
      </c>
    </row>
    <row r="35" spans="2:9" x14ac:dyDescent="0.25">
      <c r="B35" s="77"/>
      <c r="C35" s="159" t="s">
        <v>550</v>
      </c>
      <c r="D35" s="160"/>
      <c r="E35" s="161"/>
      <c r="F35" s="161"/>
      <c r="G35" s="78"/>
      <c r="H35" s="79"/>
      <c r="I35" s="130">
        <f t="shared" si="0"/>
        <v>0</v>
      </c>
    </row>
    <row r="36" spans="2:9" x14ac:dyDescent="0.25">
      <c r="B36" s="77"/>
      <c r="C36" s="74"/>
      <c r="D36" s="160"/>
      <c r="E36" s="161"/>
      <c r="F36" s="161"/>
      <c r="G36" s="78"/>
      <c r="H36" s="79"/>
      <c r="I36" s="130">
        <f t="shared" si="0"/>
        <v>0</v>
      </c>
    </row>
    <row r="37" spans="2:9" x14ac:dyDescent="0.25">
      <c r="B37" s="77"/>
      <c r="C37" s="74" t="s">
        <v>551</v>
      </c>
      <c r="D37" s="160"/>
      <c r="E37" s="161"/>
      <c r="F37" s="161"/>
      <c r="G37" s="78"/>
      <c r="H37" s="79"/>
      <c r="I37" s="130">
        <f t="shared" si="0"/>
        <v>0</v>
      </c>
    </row>
    <row r="38" spans="2:9" x14ac:dyDescent="0.25">
      <c r="B38" s="77"/>
      <c r="C38" s="74"/>
      <c r="D38" s="160"/>
      <c r="E38" s="161"/>
      <c r="F38" s="161"/>
      <c r="G38" s="78"/>
      <c r="H38" s="79"/>
      <c r="I38" s="130">
        <f t="shared" si="0"/>
        <v>0</v>
      </c>
    </row>
    <row r="39" spans="2:9" x14ac:dyDescent="0.25">
      <c r="B39" s="173">
        <f>B30+0.01</f>
        <v>11.069999999999999</v>
      </c>
      <c r="C39" s="74"/>
      <c r="D39" s="112" t="s">
        <v>527</v>
      </c>
      <c r="E39" s="162"/>
      <c r="F39" s="162">
        <v>1</v>
      </c>
      <c r="G39" s="75" t="s">
        <v>528</v>
      </c>
      <c r="H39" s="76"/>
      <c r="I39" s="130">
        <f t="shared" si="0"/>
        <v>0</v>
      </c>
    </row>
    <row r="40" spans="2:9" x14ac:dyDescent="0.25">
      <c r="B40" s="77"/>
      <c r="C40" s="74"/>
      <c r="D40" s="160"/>
      <c r="E40" s="161"/>
      <c r="F40" s="161"/>
      <c r="G40" s="78"/>
      <c r="H40" s="79"/>
      <c r="I40" s="130">
        <f t="shared" si="0"/>
        <v>0</v>
      </c>
    </row>
    <row r="41" spans="2:9" ht="15.75" x14ac:dyDescent="0.25">
      <c r="B41" s="77"/>
      <c r="C41" s="432" t="s">
        <v>634</v>
      </c>
      <c r="D41" s="433"/>
      <c r="E41" s="161"/>
      <c r="F41" s="161"/>
      <c r="G41" s="78"/>
      <c r="H41" s="79"/>
      <c r="I41" s="130">
        <f t="shared" si="0"/>
        <v>0</v>
      </c>
    </row>
    <row r="42" spans="2:9" x14ac:dyDescent="0.25">
      <c r="B42" s="77"/>
      <c r="C42" s="74"/>
      <c r="D42" s="160"/>
      <c r="E42" s="161"/>
      <c r="F42" s="161"/>
      <c r="G42" s="78"/>
      <c r="H42" s="79"/>
      <c r="I42" s="130">
        <f t="shared" si="0"/>
        <v>0</v>
      </c>
    </row>
    <row r="43" spans="2:9" ht="34.5" customHeight="1" x14ac:dyDescent="0.25">
      <c r="B43" s="77"/>
      <c r="C43" s="418" t="s">
        <v>650</v>
      </c>
      <c r="D43" s="419"/>
      <c r="E43" s="161"/>
      <c r="F43" s="161"/>
      <c r="G43" s="78"/>
      <c r="H43" s="79"/>
      <c r="I43" s="130">
        <f t="shared" si="0"/>
        <v>0</v>
      </c>
    </row>
    <row r="44" spans="2:9" ht="13.35" customHeight="1" x14ac:dyDescent="0.25">
      <c r="B44" s="77"/>
      <c r="C44" s="74"/>
      <c r="D44" s="160"/>
      <c r="E44" s="161"/>
      <c r="F44" s="161"/>
      <c r="G44" s="78"/>
      <c r="H44" s="79"/>
      <c r="I44" s="130">
        <f t="shared" si="0"/>
        <v>0</v>
      </c>
    </row>
    <row r="45" spans="2:9" x14ac:dyDescent="0.25">
      <c r="B45" s="172">
        <f>B39+0.01</f>
        <v>11.079999999999998</v>
      </c>
      <c r="C45" s="74"/>
      <c r="D45" s="112" t="s">
        <v>527</v>
      </c>
      <c r="E45" s="162"/>
      <c r="F45" s="162">
        <v>1</v>
      </c>
      <c r="G45" s="75" t="s">
        <v>528</v>
      </c>
      <c r="H45" s="76"/>
      <c r="I45" s="130">
        <f t="shared" si="0"/>
        <v>0</v>
      </c>
    </row>
    <row r="46" spans="2:9" x14ac:dyDescent="0.25">
      <c r="B46" s="77"/>
      <c r="C46" s="74"/>
      <c r="D46" s="160"/>
      <c r="E46" s="161"/>
      <c r="F46" s="161"/>
      <c r="G46" s="78"/>
      <c r="H46" s="79"/>
      <c r="I46" s="130">
        <f t="shared" si="0"/>
        <v>0</v>
      </c>
    </row>
    <row r="47" spans="2:9" x14ac:dyDescent="0.25">
      <c r="B47" s="77"/>
      <c r="C47" s="159" t="s">
        <v>556</v>
      </c>
      <c r="D47" s="160"/>
      <c r="E47" s="161"/>
      <c r="F47" s="161"/>
      <c r="G47" s="78"/>
      <c r="H47" s="79"/>
      <c r="I47" s="130">
        <f t="shared" si="0"/>
        <v>0</v>
      </c>
    </row>
    <row r="48" spans="2:9" x14ac:dyDescent="0.25">
      <c r="B48" s="77"/>
      <c r="C48" s="74"/>
      <c r="D48" s="160"/>
      <c r="E48" s="161"/>
      <c r="F48" s="161"/>
      <c r="G48" s="78"/>
      <c r="H48" s="79"/>
      <c r="I48" s="130">
        <f t="shared" si="0"/>
        <v>0</v>
      </c>
    </row>
    <row r="49" spans="2:10" ht="33.75" customHeight="1" x14ac:dyDescent="0.25">
      <c r="B49" s="77"/>
      <c r="C49" s="420" t="s">
        <v>557</v>
      </c>
      <c r="D49" s="421"/>
      <c r="E49" s="161"/>
      <c r="F49" s="161"/>
      <c r="G49" s="78"/>
      <c r="H49" s="79"/>
      <c r="I49" s="130">
        <f t="shared" si="0"/>
        <v>0</v>
      </c>
    </row>
    <row r="50" spans="2:10" ht="14.45" customHeight="1" x14ac:dyDescent="0.25">
      <c r="B50" s="77"/>
      <c r="C50" s="170"/>
      <c r="D50" s="158"/>
      <c r="E50" s="161"/>
      <c r="F50" s="161"/>
      <c r="G50" s="78"/>
      <c r="H50" s="79"/>
      <c r="I50" s="130">
        <f t="shared" si="0"/>
        <v>0</v>
      </c>
    </row>
    <row r="51" spans="2:10" x14ac:dyDescent="0.25">
      <c r="B51" s="173">
        <f>B45+0.01</f>
        <v>11.089999999999998</v>
      </c>
      <c r="C51" s="74"/>
      <c r="D51" s="112" t="s">
        <v>527</v>
      </c>
      <c r="E51" s="162"/>
      <c r="F51" s="162">
        <v>1</v>
      </c>
      <c r="G51" s="75" t="s">
        <v>528</v>
      </c>
      <c r="H51" s="76"/>
      <c r="I51" s="130">
        <f t="shared" si="0"/>
        <v>0</v>
      </c>
    </row>
    <row r="52" spans="2:10" x14ac:dyDescent="0.25">
      <c r="B52" s="77"/>
      <c r="C52" s="74"/>
      <c r="D52" s="160"/>
      <c r="E52" s="161"/>
      <c r="F52" s="161"/>
      <c r="G52" s="78"/>
      <c r="H52" s="79"/>
      <c r="I52" s="130">
        <f t="shared" si="0"/>
        <v>0</v>
      </c>
    </row>
    <row r="53" spans="2:10" x14ac:dyDescent="0.25">
      <c r="B53" s="72"/>
      <c r="C53" s="159" t="s">
        <v>529</v>
      </c>
      <c r="D53" s="82"/>
      <c r="E53" s="75"/>
      <c r="F53" s="75"/>
      <c r="G53" s="75"/>
      <c r="H53" s="122"/>
      <c r="I53" s="130">
        <f t="shared" si="0"/>
        <v>0</v>
      </c>
    </row>
    <row r="54" spans="2:10" x14ac:dyDescent="0.25">
      <c r="B54" s="72"/>
      <c r="C54" s="74"/>
      <c r="D54" s="82"/>
      <c r="E54" s="75"/>
      <c r="F54" s="75"/>
      <c r="G54" s="75"/>
      <c r="H54" s="122"/>
      <c r="I54" s="130">
        <f t="shared" si="0"/>
        <v>0</v>
      </c>
    </row>
    <row r="55" spans="2:10" ht="31.5" customHeight="1" x14ac:dyDescent="0.25">
      <c r="B55" s="72"/>
      <c r="C55" s="422" t="s">
        <v>629</v>
      </c>
      <c r="D55" s="423"/>
      <c r="E55" s="75"/>
      <c r="F55" s="75"/>
      <c r="G55" s="75"/>
      <c r="H55" s="122"/>
      <c r="I55" s="130">
        <f t="shared" si="0"/>
        <v>0</v>
      </c>
    </row>
    <row r="56" spans="2:10" ht="13.7" customHeight="1" x14ac:dyDescent="0.25">
      <c r="B56" s="72"/>
      <c r="C56" s="165"/>
      <c r="D56" s="82"/>
      <c r="E56" s="75"/>
      <c r="F56" s="75"/>
      <c r="G56" s="75"/>
      <c r="H56" s="122"/>
      <c r="I56" s="130">
        <f t="shared" si="0"/>
        <v>0</v>
      </c>
    </row>
    <row r="57" spans="2:10" x14ac:dyDescent="0.25">
      <c r="B57" s="172">
        <f>B51+0.01</f>
        <v>11.099999999999998</v>
      </c>
      <c r="C57" s="74"/>
      <c r="D57" s="155" t="s">
        <v>527</v>
      </c>
      <c r="E57" s="154"/>
      <c r="F57" s="154">
        <v>1</v>
      </c>
      <c r="G57" s="75" t="s">
        <v>528</v>
      </c>
      <c r="H57" s="122"/>
      <c r="I57" s="130">
        <f t="shared" si="0"/>
        <v>0</v>
      </c>
    </row>
    <row r="58" spans="2:10" ht="15.75" thickBot="1" x14ac:dyDescent="0.3">
      <c r="B58" s="72"/>
      <c r="C58" s="74"/>
      <c r="D58" s="111"/>
      <c r="E58" s="109"/>
      <c r="F58" s="109"/>
      <c r="G58" s="75"/>
      <c r="H58" s="76"/>
      <c r="I58" s="130"/>
      <c r="J58" s="110"/>
    </row>
    <row r="59" spans="2:10" ht="15.75" thickBot="1" x14ac:dyDescent="0.3">
      <c r="B59" s="72"/>
      <c r="C59" s="74"/>
      <c r="D59" s="314" t="s">
        <v>951</v>
      </c>
      <c r="E59" s="109"/>
      <c r="F59" s="109"/>
      <c r="G59" s="75"/>
      <c r="H59" s="382"/>
      <c r="I59" s="383">
        <f>SUM(I18:I58)</f>
        <v>0</v>
      </c>
      <c r="J59" s="110"/>
    </row>
    <row r="60" spans="2:10" x14ac:dyDescent="0.25">
      <c r="B60" s="72"/>
      <c r="C60" s="74"/>
      <c r="D60" s="111"/>
      <c r="E60" s="109"/>
      <c r="F60" s="109"/>
      <c r="G60" s="75"/>
      <c r="H60" s="76"/>
      <c r="I60" s="130"/>
      <c r="J60" s="110"/>
    </row>
    <row r="61" spans="2:10" x14ac:dyDescent="0.25">
      <c r="B61" s="72"/>
      <c r="C61" s="426" t="s">
        <v>816</v>
      </c>
      <c r="D61" s="427"/>
      <c r="E61" s="109"/>
      <c r="F61" s="109"/>
      <c r="G61" s="75"/>
      <c r="H61" s="76"/>
      <c r="I61" s="130"/>
      <c r="J61" s="110"/>
    </row>
    <row r="62" spans="2:10" x14ac:dyDescent="0.25">
      <c r="B62" s="72"/>
      <c r="C62" s="74"/>
      <c r="D62" s="111"/>
      <c r="E62" s="109"/>
      <c r="F62" s="109"/>
      <c r="G62" s="75"/>
      <c r="H62" s="76"/>
      <c r="I62" s="130"/>
      <c r="J62" s="110"/>
    </row>
    <row r="63" spans="2:10" x14ac:dyDescent="0.25">
      <c r="B63" s="72"/>
      <c r="C63" s="84" t="s">
        <v>630</v>
      </c>
      <c r="D63" s="111"/>
      <c r="E63" s="109"/>
      <c r="F63" s="109"/>
      <c r="G63" s="75"/>
      <c r="H63" s="76"/>
      <c r="I63" s="130"/>
      <c r="J63" s="110"/>
    </row>
    <row r="64" spans="2:10" x14ac:dyDescent="0.25">
      <c r="B64" s="72"/>
      <c r="C64" s="74"/>
      <c r="D64" s="111"/>
      <c r="E64" s="109"/>
      <c r="F64" s="109"/>
      <c r="G64" s="75"/>
      <c r="H64" s="76"/>
      <c r="I64" s="130"/>
      <c r="J64" s="110"/>
    </row>
    <row r="65" spans="2:10" ht="42" customHeight="1" x14ac:dyDescent="0.25">
      <c r="B65" s="72"/>
      <c r="C65" s="437" t="s">
        <v>1140</v>
      </c>
      <c r="D65" s="438"/>
      <c r="E65" s="128"/>
      <c r="F65" s="128"/>
      <c r="G65" s="75"/>
      <c r="H65" s="76"/>
      <c r="I65" s="76"/>
      <c r="J65" s="110"/>
    </row>
    <row r="66" spans="2:10" x14ac:dyDescent="0.25">
      <c r="B66" s="72"/>
      <c r="C66" s="84"/>
      <c r="D66" s="82"/>
      <c r="E66" s="128"/>
      <c r="F66" s="128"/>
      <c r="G66" s="75"/>
      <c r="H66" s="76"/>
      <c r="I66" s="76"/>
      <c r="J66" s="110"/>
    </row>
    <row r="67" spans="2:10" ht="60.75" customHeight="1" x14ac:dyDescent="0.25">
      <c r="B67" s="72"/>
      <c r="C67" s="420" t="s">
        <v>938</v>
      </c>
      <c r="D67" s="447"/>
      <c r="E67" s="128"/>
      <c r="F67" s="128"/>
      <c r="G67" s="75"/>
      <c r="H67" s="76"/>
      <c r="I67" s="76"/>
      <c r="J67" s="110"/>
    </row>
    <row r="68" spans="2:10" x14ac:dyDescent="0.25">
      <c r="B68" s="72"/>
      <c r="C68" s="84"/>
      <c r="D68" s="82"/>
      <c r="E68" s="128"/>
      <c r="F68" s="128"/>
      <c r="G68" s="75"/>
      <c r="H68" s="76"/>
      <c r="I68" s="76"/>
      <c r="J68" s="110"/>
    </row>
    <row r="69" spans="2:10" x14ac:dyDescent="0.25">
      <c r="B69" s="179">
        <f>B57+0.01</f>
        <v>11.109999999999998</v>
      </c>
      <c r="C69" s="84"/>
      <c r="D69" s="158" t="s">
        <v>937</v>
      </c>
      <c r="E69" s="128">
        <v>1</v>
      </c>
      <c r="F69" s="128">
        <v>1</v>
      </c>
      <c r="G69" s="128" t="s">
        <v>939</v>
      </c>
      <c r="H69" s="129"/>
      <c r="I69" s="130">
        <f t="shared" ref="I69:I141" si="1">F69*H69</f>
        <v>0</v>
      </c>
      <c r="J69" s="110"/>
    </row>
    <row r="70" spans="2:10" x14ac:dyDescent="0.25">
      <c r="B70" s="72"/>
      <c r="C70" s="74"/>
      <c r="D70" s="111"/>
      <c r="E70" s="109"/>
      <c r="F70" s="109"/>
      <c r="G70" s="75"/>
      <c r="H70" s="76"/>
      <c r="I70" s="130">
        <f t="shared" si="1"/>
        <v>0</v>
      </c>
      <c r="J70" s="110"/>
    </row>
    <row r="71" spans="2:10" ht="60.75" customHeight="1" x14ac:dyDescent="0.25">
      <c r="B71" s="72"/>
      <c r="C71" s="420" t="s">
        <v>938</v>
      </c>
      <c r="D71" s="447"/>
      <c r="E71" s="128"/>
      <c r="F71" s="128"/>
      <c r="G71" s="75"/>
      <c r="H71" s="76"/>
      <c r="I71" s="130">
        <f t="shared" si="1"/>
        <v>0</v>
      </c>
      <c r="J71" s="110"/>
    </row>
    <row r="72" spans="2:10" x14ac:dyDescent="0.25">
      <c r="B72" s="72"/>
      <c r="C72" s="84"/>
      <c r="D72" s="82"/>
      <c r="E72" s="128"/>
      <c r="F72" s="128"/>
      <c r="G72" s="75"/>
      <c r="H72" s="76"/>
      <c r="I72" s="130">
        <f t="shared" si="1"/>
        <v>0</v>
      </c>
      <c r="J72" s="110"/>
    </row>
    <row r="73" spans="2:10" ht="35.25" customHeight="1" x14ac:dyDescent="0.25">
      <c r="B73" s="179">
        <f>B69+0.01</f>
        <v>11.119999999999997</v>
      </c>
      <c r="C73" s="84"/>
      <c r="D73" s="158" t="s">
        <v>940</v>
      </c>
      <c r="E73" s="128">
        <v>1</v>
      </c>
      <c r="F73" s="128">
        <v>1</v>
      </c>
      <c r="G73" s="128" t="s">
        <v>939</v>
      </c>
      <c r="H73" s="129"/>
      <c r="I73" s="130">
        <f t="shared" si="1"/>
        <v>0</v>
      </c>
      <c r="J73" s="110"/>
    </row>
    <row r="74" spans="2:10" x14ac:dyDescent="0.25">
      <c r="B74" s="72"/>
      <c r="C74" s="74"/>
      <c r="D74" s="111"/>
      <c r="E74" s="109"/>
      <c r="F74" s="109"/>
      <c r="G74" s="75"/>
      <c r="H74" s="76"/>
      <c r="I74" s="130">
        <f t="shared" si="1"/>
        <v>0</v>
      </c>
      <c r="J74" s="110"/>
    </row>
    <row r="75" spans="2:10" ht="63" customHeight="1" x14ac:dyDescent="0.25">
      <c r="B75" s="72"/>
      <c r="C75" s="420" t="s">
        <v>1374</v>
      </c>
      <c r="D75" s="447"/>
      <c r="E75" s="128"/>
      <c r="F75" s="128"/>
      <c r="G75" s="75"/>
      <c r="H75" s="76"/>
      <c r="I75" s="130">
        <f t="shared" si="1"/>
        <v>0</v>
      </c>
      <c r="J75" s="110"/>
    </row>
    <row r="76" spans="2:10" x14ac:dyDescent="0.25">
      <c r="B76" s="72"/>
      <c r="C76" s="84"/>
      <c r="D76" s="82"/>
      <c r="E76" s="128"/>
      <c r="F76" s="128"/>
      <c r="G76" s="75"/>
      <c r="H76" s="76"/>
      <c r="I76" s="130">
        <f t="shared" si="1"/>
        <v>0</v>
      </c>
      <c r="J76" s="110"/>
    </row>
    <row r="77" spans="2:10" ht="61.5" customHeight="1" x14ac:dyDescent="0.25">
      <c r="B77" s="179">
        <f>B73+0.01</f>
        <v>11.129999999999997</v>
      </c>
      <c r="C77" s="84"/>
      <c r="D77" s="158" t="s">
        <v>945</v>
      </c>
      <c r="E77" s="128">
        <v>1</v>
      </c>
      <c r="F77" s="128">
        <v>1</v>
      </c>
      <c r="G77" s="128" t="s">
        <v>939</v>
      </c>
      <c r="H77" s="129"/>
      <c r="I77" s="130">
        <f t="shared" si="1"/>
        <v>0</v>
      </c>
      <c r="J77" s="110"/>
    </row>
    <row r="78" spans="2:10" x14ac:dyDescent="0.25">
      <c r="B78" s="72"/>
      <c r="C78" s="74"/>
      <c r="D78" s="111"/>
      <c r="E78" s="109"/>
      <c r="F78" s="109"/>
      <c r="G78" s="75"/>
      <c r="H78" s="76"/>
      <c r="I78" s="130">
        <f t="shared" si="1"/>
        <v>0</v>
      </c>
      <c r="J78" s="110"/>
    </row>
    <row r="79" spans="2:10" ht="63" customHeight="1" x14ac:dyDescent="0.25">
      <c r="B79" s="72"/>
      <c r="C79" s="437" t="s">
        <v>1141</v>
      </c>
      <c r="D79" s="438"/>
      <c r="E79" s="128"/>
      <c r="F79" s="128"/>
      <c r="G79" s="75"/>
      <c r="H79" s="76"/>
      <c r="I79" s="130">
        <f t="shared" si="1"/>
        <v>0</v>
      </c>
      <c r="J79" s="110"/>
    </row>
    <row r="80" spans="2:10" x14ac:dyDescent="0.25">
      <c r="B80" s="72"/>
      <c r="C80" s="84"/>
      <c r="D80" s="82"/>
      <c r="E80" s="128"/>
      <c r="F80" s="128"/>
      <c r="G80" s="75"/>
      <c r="H80" s="76"/>
      <c r="I80" s="130">
        <f t="shared" si="1"/>
        <v>0</v>
      </c>
      <c r="J80" s="110"/>
    </row>
    <row r="81" spans="2:10" ht="65.25" customHeight="1" x14ac:dyDescent="0.25">
      <c r="B81" s="72"/>
      <c r="C81" s="420" t="s">
        <v>942</v>
      </c>
      <c r="D81" s="447"/>
      <c r="E81" s="128"/>
      <c r="F81" s="128"/>
      <c r="G81" s="75"/>
      <c r="H81" s="76"/>
      <c r="I81" s="130">
        <f t="shared" si="1"/>
        <v>0</v>
      </c>
      <c r="J81" s="110"/>
    </row>
    <row r="82" spans="2:10" x14ac:dyDescent="0.25">
      <c r="B82" s="72"/>
      <c r="C82" s="84"/>
      <c r="D82" s="82"/>
      <c r="E82" s="128"/>
      <c r="F82" s="128"/>
      <c r="G82" s="75"/>
      <c r="H82" s="76"/>
      <c r="I82" s="130">
        <f t="shared" si="1"/>
        <v>0</v>
      </c>
      <c r="J82" s="110"/>
    </row>
    <row r="83" spans="2:10" x14ac:dyDescent="0.25">
      <c r="B83" s="179">
        <f>B77+0.01</f>
        <v>11.139999999999997</v>
      </c>
      <c r="C83" s="84"/>
      <c r="D83" s="158" t="s">
        <v>941</v>
      </c>
      <c r="E83" s="128">
        <v>1</v>
      </c>
      <c r="F83" s="128">
        <v>1</v>
      </c>
      <c r="G83" s="128" t="s">
        <v>939</v>
      </c>
      <c r="H83" s="129"/>
      <c r="I83" s="130">
        <f t="shared" si="1"/>
        <v>0</v>
      </c>
      <c r="J83" s="110"/>
    </row>
    <row r="84" spans="2:10" x14ac:dyDescent="0.25">
      <c r="B84" s="72"/>
      <c r="C84" s="74"/>
      <c r="D84" s="111"/>
      <c r="E84" s="109"/>
      <c r="F84" s="109"/>
      <c r="G84" s="75"/>
      <c r="H84" s="76"/>
      <c r="I84" s="130">
        <f t="shared" si="1"/>
        <v>0</v>
      </c>
      <c r="J84" s="110"/>
    </row>
    <row r="85" spans="2:10" ht="60.75" customHeight="1" x14ac:dyDescent="0.25">
      <c r="B85" s="72"/>
      <c r="C85" s="437" t="s">
        <v>1139</v>
      </c>
      <c r="D85" s="438"/>
      <c r="E85" s="128"/>
      <c r="F85" s="128"/>
      <c r="G85" s="75"/>
      <c r="H85" s="76"/>
      <c r="I85" s="130">
        <f t="shared" si="1"/>
        <v>0</v>
      </c>
      <c r="J85" s="110"/>
    </row>
    <row r="86" spans="2:10" x14ac:dyDescent="0.25">
      <c r="B86" s="72"/>
      <c r="C86" s="84"/>
      <c r="D86" s="82"/>
      <c r="E86" s="128"/>
      <c r="F86" s="128"/>
      <c r="G86" s="75"/>
      <c r="H86" s="76"/>
      <c r="I86" s="130">
        <f t="shared" si="1"/>
        <v>0</v>
      </c>
      <c r="J86" s="110"/>
    </row>
    <row r="87" spans="2:10" ht="62.25" customHeight="1" x14ac:dyDescent="0.25">
      <c r="B87" s="72"/>
      <c r="C87" s="420" t="s">
        <v>943</v>
      </c>
      <c r="D87" s="447"/>
      <c r="E87" s="128"/>
      <c r="F87" s="128"/>
      <c r="G87" s="75"/>
      <c r="H87" s="76"/>
      <c r="I87" s="130">
        <f t="shared" si="1"/>
        <v>0</v>
      </c>
      <c r="J87" s="110"/>
    </row>
    <row r="88" spans="2:10" x14ac:dyDescent="0.25">
      <c r="B88" s="72"/>
      <c r="C88" s="84"/>
      <c r="D88" s="82"/>
      <c r="E88" s="128"/>
      <c r="F88" s="128"/>
      <c r="G88" s="75"/>
      <c r="H88" s="76"/>
      <c r="I88" s="130">
        <f t="shared" si="1"/>
        <v>0</v>
      </c>
      <c r="J88" s="110"/>
    </row>
    <row r="89" spans="2:10" x14ac:dyDescent="0.25">
      <c r="B89" s="179">
        <f>B83+0.01</f>
        <v>11.149999999999997</v>
      </c>
      <c r="C89" s="84"/>
      <c r="D89" s="158" t="s">
        <v>944</v>
      </c>
      <c r="E89" s="128">
        <v>1</v>
      </c>
      <c r="F89" s="128">
        <v>1</v>
      </c>
      <c r="G89" s="128" t="s">
        <v>939</v>
      </c>
      <c r="H89" s="129"/>
      <c r="I89" s="130">
        <f t="shared" si="1"/>
        <v>0</v>
      </c>
      <c r="J89" s="110"/>
    </row>
    <row r="90" spans="2:10" x14ac:dyDescent="0.25">
      <c r="B90" s="72"/>
      <c r="C90" s="74"/>
      <c r="D90" s="111"/>
      <c r="E90" s="109"/>
      <c r="F90" s="109"/>
      <c r="G90" s="75"/>
      <c r="H90" s="76"/>
      <c r="I90" s="130">
        <f t="shared" si="1"/>
        <v>0</v>
      </c>
      <c r="J90" s="110"/>
    </row>
    <row r="91" spans="2:10" ht="32.25" customHeight="1" x14ac:dyDescent="0.25">
      <c r="B91" s="72"/>
      <c r="C91" s="420" t="s">
        <v>766</v>
      </c>
      <c r="D91" s="447"/>
      <c r="E91" s="75"/>
      <c r="F91" s="75"/>
      <c r="G91" s="75"/>
      <c r="H91" s="76"/>
      <c r="I91" s="130">
        <f t="shared" si="1"/>
        <v>0</v>
      </c>
      <c r="J91" s="110"/>
    </row>
    <row r="92" spans="2:10" x14ac:dyDescent="0.25">
      <c r="B92" s="72"/>
      <c r="C92" s="84"/>
      <c r="D92" s="82"/>
      <c r="E92" s="75"/>
      <c r="F92" s="75"/>
      <c r="G92" s="75"/>
      <c r="H92" s="76"/>
      <c r="I92" s="130">
        <f t="shared" si="1"/>
        <v>0</v>
      </c>
      <c r="J92" s="110"/>
    </row>
    <row r="93" spans="2:10" x14ac:dyDescent="0.25">
      <c r="B93" s="164">
        <f>B89+0.01</f>
        <v>11.159999999999997</v>
      </c>
      <c r="C93" s="84"/>
      <c r="D93" s="82" t="s">
        <v>946</v>
      </c>
      <c r="E93" s="75">
        <v>1</v>
      </c>
      <c r="F93" s="75">
        <v>1</v>
      </c>
      <c r="G93" s="75" t="s">
        <v>765</v>
      </c>
      <c r="H93" s="76"/>
      <c r="I93" s="130">
        <f t="shared" si="1"/>
        <v>0</v>
      </c>
      <c r="J93" s="110"/>
    </row>
    <row r="94" spans="2:10" x14ac:dyDescent="0.25">
      <c r="B94" s="72"/>
      <c r="C94" s="84"/>
      <c r="D94" s="82"/>
      <c r="E94" s="75"/>
      <c r="F94" s="75"/>
      <c r="G94" s="75"/>
      <c r="H94" s="76"/>
      <c r="I94" s="130">
        <f t="shared" si="1"/>
        <v>0</v>
      </c>
      <c r="J94" s="110"/>
    </row>
    <row r="95" spans="2:10" x14ac:dyDescent="0.25">
      <c r="B95" s="164">
        <f>B93+0.01</f>
        <v>11.169999999999996</v>
      </c>
      <c r="C95" s="84"/>
      <c r="D95" s="82" t="s">
        <v>947</v>
      </c>
      <c r="E95" s="75">
        <v>1</v>
      </c>
      <c r="F95" s="75">
        <v>1</v>
      </c>
      <c r="G95" s="75" t="s">
        <v>765</v>
      </c>
      <c r="H95" s="76"/>
      <c r="I95" s="130">
        <f t="shared" si="1"/>
        <v>0</v>
      </c>
      <c r="J95" s="110"/>
    </row>
    <row r="96" spans="2:10" x14ac:dyDescent="0.25">
      <c r="B96" s="72"/>
      <c r="C96" s="84"/>
      <c r="D96" s="82"/>
      <c r="E96" s="75"/>
      <c r="F96" s="75"/>
      <c r="G96" s="75"/>
      <c r="H96" s="76"/>
      <c r="I96" s="130">
        <f t="shared" si="1"/>
        <v>0</v>
      </c>
      <c r="J96" s="110"/>
    </row>
    <row r="97" spans="2:10" x14ac:dyDescent="0.25">
      <c r="B97" s="164">
        <f>B95+0.01</f>
        <v>11.179999999999996</v>
      </c>
      <c r="C97" s="84"/>
      <c r="D97" s="82" t="s">
        <v>948</v>
      </c>
      <c r="E97" s="75">
        <v>1</v>
      </c>
      <c r="F97" s="75">
        <v>1</v>
      </c>
      <c r="G97" s="75" t="s">
        <v>765</v>
      </c>
      <c r="H97" s="76"/>
      <c r="I97" s="130">
        <f t="shared" si="1"/>
        <v>0</v>
      </c>
      <c r="J97" s="110"/>
    </row>
    <row r="98" spans="2:10" x14ac:dyDescent="0.25">
      <c r="B98" s="72"/>
      <c r="C98" s="84"/>
      <c r="D98" s="82"/>
      <c r="E98" s="75"/>
      <c r="F98" s="75"/>
      <c r="G98" s="75"/>
      <c r="H98" s="76"/>
      <c r="I98" s="130">
        <f t="shared" si="1"/>
        <v>0</v>
      </c>
      <c r="J98" s="110"/>
    </row>
    <row r="99" spans="2:10" x14ac:dyDescent="0.25">
      <c r="B99" s="164">
        <f>B97+0.01</f>
        <v>11.189999999999996</v>
      </c>
      <c r="C99" s="84"/>
      <c r="D99" s="82" t="s">
        <v>949</v>
      </c>
      <c r="E99" s="75">
        <v>1</v>
      </c>
      <c r="F99" s="75">
        <v>1</v>
      </c>
      <c r="G99" s="75" t="s">
        <v>765</v>
      </c>
      <c r="H99" s="76"/>
      <c r="I99" s="130">
        <f t="shared" si="1"/>
        <v>0</v>
      </c>
      <c r="J99" s="110"/>
    </row>
    <row r="100" spans="2:10" x14ac:dyDescent="0.25">
      <c r="B100" s="72"/>
      <c r="C100" s="84"/>
      <c r="D100" s="82"/>
      <c r="E100" s="75"/>
      <c r="F100" s="75"/>
      <c r="G100" s="75"/>
      <c r="H100" s="76"/>
      <c r="I100" s="130">
        <f t="shared" si="1"/>
        <v>0</v>
      </c>
      <c r="J100" s="110"/>
    </row>
    <row r="101" spans="2:10" ht="45" x14ac:dyDescent="0.25">
      <c r="B101" s="179">
        <f>B99+0.01</f>
        <v>11.199999999999996</v>
      </c>
      <c r="C101" s="84"/>
      <c r="D101" s="82" t="s">
        <v>1138</v>
      </c>
      <c r="E101" s="128">
        <v>3</v>
      </c>
      <c r="F101" s="128">
        <v>3</v>
      </c>
      <c r="G101" s="128" t="s">
        <v>765</v>
      </c>
      <c r="H101" s="129"/>
      <c r="I101" s="130">
        <f t="shared" si="1"/>
        <v>0</v>
      </c>
      <c r="J101" s="110"/>
    </row>
    <row r="102" spans="2:10" x14ac:dyDescent="0.25">
      <c r="B102" s="72"/>
      <c r="C102" s="74"/>
      <c r="D102" s="111"/>
      <c r="E102" s="109"/>
      <c r="F102" s="109"/>
      <c r="G102" s="75"/>
      <c r="H102" s="76"/>
      <c r="I102" s="130">
        <f t="shared" si="1"/>
        <v>0</v>
      </c>
      <c r="J102" s="110"/>
    </row>
    <row r="103" spans="2:10" ht="76.5" customHeight="1" x14ac:dyDescent="0.25">
      <c r="B103" s="72"/>
      <c r="C103" s="441" t="s">
        <v>1440</v>
      </c>
      <c r="D103" s="442"/>
      <c r="E103" s="109"/>
      <c r="F103" s="109"/>
      <c r="G103" s="75"/>
      <c r="H103" s="76"/>
      <c r="I103" s="130"/>
      <c r="J103" s="110"/>
    </row>
    <row r="104" spans="2:10" x14ac:dyDescent="0.25">
      <c r="B104" s="72"/>
      <c r="C104" s="74"/>
      <c r="D104" s="111"/>
      <c r="E104" s="109"/>
      <c r="F104" s="109"/>
      <c r="G104" s="75"/>
      <c r="H104" s="76"/>
      <c r="I104" s="130"/>
      <c r="J104" s="110"/>
    </row>
    <row r="105" spans="2:10" x14ac:dyDescent="0.25">
      <c r="B105" s="72"/>
      <c r="C105" s="420" t="s">
        <v>1067</v>
      </c>
      <c r="D105" s="447"/>
      <c r="E105" s="109"/>
      <c r="F105" s="109"/>
      <c r="G105" s="75"/>
      <c r="H105" s="76"/>
      <c r="I105" s="130"/>
      <c r="J105" s="110"/>
    </row>
    <row r="106" spans="2:10" x14ac:dyDescent="0.25">
      <c r="B106" s="72"/>
      <c r="C106" s="74"/>
      <c r="D106" s="111"/>
      <c r="E106" s="109"/>
      <c r="F106" s="109"/>
      <c r="G106" s="75"/>
      <c r="H106" s="76"/>
      <c r="I106" s="130"/>
      <c r="J106" s="110"/>
    </row>
    <row r="107" spans="2:10" x14ac:dyDescent="0.25">
      <c r="B107" s="172">
        <f>B101+0.01</f>
        <v>11.209999999999996</v>
      </c>
      <c r="C107" s="74"/>
      <c r="D107" s="158" t="s">
        <v>1068</v>
      </c>
      <c r="E107" s="75">
        <v>1</v>
      </c>
      <c r="F107" s="75">
        <v>1</v>
      </c>
      <c r="G107" s="75" t="s">
        <v>765</v>
      </c>
      <c r="H107" s="76"/>
      <c r="I107" s="130"/>
      <c r="J107" s="110"/>
    </row>
    <row r="108" spans="2:10" x14ac:dyDescent="0.25">
      <c r="B108" s="72"/>
      <c r="C108" s="74"/>
      <c r="D108" s="111"/>
      <c r="E108" s="109"/>
      <c r="F108" s="109"/>
      <c r="G108" s="75"/>
      <c r="H108" s="76"/>
      <c r="I108" s="130"/>
      <c r="J108" s="110"/>
    </row>
    <row r="109" spans="2:10" ht="62.25" customHeight="1" x14ac:dyDescent="0.25">
      <c r="B109" s="72"/>
      <c r="C109" s="437" t="s">
        <v>1142</v>
      </c>
      <c r="D109" s="438"/>
      <c r="E109" s="128"/>
      <c r="F109" s="128"/>
      <c r="G109" s="75"/>
      <c r="H109" s="76"/>
      <c r="I109" s="130">
        <f t="shared" ref="I109:I113" si="2">F109*H109</f>
        <v>0</v>
      </c>
      <c r="J109" s="110"/>
    </row>
    <row r="110" spans="2:10" x14ac:dyDescent="0.25">
      <c r="B110" s="72"/>
      <c r="C110" s="84"/>
      <c r="D110" s="82"/>
      <c r="E110" s="128"/>
      <c r="F110" s="128"/>
      <c r="G110" s="75"/>
      <c r="H110" s="76"/>
      <c r="I110" s="130">
        <f t="shared" si="2"/>
        <v>0</v>
      </c>
      <c r="J110" s="110"/>
    </row>
    <row r="111" spans="2:10" x14ac:dyDescent="0.25">
      <c r="B111" s="72"/>
      <c r="C111" s="420" t="s">
        <v>1066</v>
      </c>
      <c r="D111" s="447"/>
      <c r="E111" s="128"/>
      <c r="F111" s="128"/>
      <c r="G111" s="75"/>
      <c r="H111" s="76"/>
      <c r="I111" s="130">
        <f t="shared" si="2"/>
        <v>0</v>
      </c>
      <c r="J111" s="110"/>
    </row>
    <row r="112" spans="2:10" x14ac:dyDescent="0.25">
      <c r="B112" s="72"/>
      <c r="C112" s="84"/>
      <c r="D112" s="82"/>
      <c r="E112" s="128"/>
      <c r="F112" s="128"/>
      <c r="G112" s="75"/>
      <c r="H112" s="76"/>
      <c r="I112" s="130">
        <f t="shared" si="2"/>
        <v>0</v>
      </c>
      <c r="J112" s="110"/>
    </row>
    <row r="113" spans="2:10" x14ac:dyDescent="0.25">
      <c r="B113" s="179">
        <f>B101+0.01</f>
        <v>11.209999999999996</v>
      </c>
      <c r="C113" s="84"/>
      <c r="D113" s="158" t="s">
        <v>1069</v>
      </c>
      <c r="E113" s="128">
        <v>1</v>
      </c>
      <c r="F113" s="128">
        <v>1</v>
      </c>
      <c r="G113" s="128" t="s">
        <v>939</v>
      </c>
      <c r="H113" s="129"/>
      <c r="I113" s="130">
        <f t="shared" si="2"/>
        <v>0</v>
      </c>
      <c r="J113" s="110"/>
    </row>
    <row r="114" spans="2:10" x14ac:dyDescent="0.25">
      <c r="B114" s="72"/>
      <c r="C114" s="74"/>
      <c r="D114" s="111"/>
      <c r="E114" s="109"/>
      <c r="F114" s="109"/>
      <c r="G114" s="75"/>
      <c r="H114" s="76"/>
      <c r="I114" s="130"/>
      <c r="J114" s="110"/>
    </row>
    <row r="115" spans="2:10" x14ac:dyDescent="0.25">
      <c r="B115" s="72"/>
      <c r="C115" s="74"/>
      <c r="D115" s="111"/>
      <c r="E115" s="109"/>
      <c r="F115" s="109"/>
      <c r="G115" s="75"/>
      <c r="H115" s="76"/>
      <c r="I115" s="130"/>
      <c r="J115" s="110"/>
    </row>
    <row r="116" spans="2:10" x14ac:dyDescent="0.25">
      <c r="B116" s="77"/>
      <c r="C116" s="73" t="s">
        <v>549</v>
      </c>
      <c r="D116" s="160"/>
      <c r="E116" s="161"/>
      <c r="F116" s="161"/>
      <c r="G116" s="78"/>
      <c r="H116" s="79"/>
      <c r="I116" s="130">
        <f t="shared" si="1"/>
        <v>0</v>
      </c>
      <c r="J116" s="110"/>
    </row>
    <row r="117" spans="2:10" x14ac:dyDescent="0.25">
      <c r="B117" s="77"/>
      <c r="C117" s="74"/>
      <c r="D117" s="160"/>
      <c r="E117" s="161"/>
      <c r="F117" s="161"/>
      <c r="G117" s="78"/>
      <c r="H117" s="79"/>
      <c r="I117" s="130">
        <f t="shared" si="1"/>
        <v>0</v>
      </c>
      <c r="J117" s="110"/>
    </row>
    <row r="118" spans="2:10" x14ac:dyDescent="0.25">
      <c r="B118" s="77"/>
      <c r="C118" s="159" t="s">
        <v>550</v>
      </c>
      <c r="D118" s="160"/>
      <c r="E118" s="161"/>
      <c r="F118" s="161"/>
      <c r="G118" s="78"/>
      <c r="H118" s="79"/>
      <c r="I118" s="130">
        <f t="shared" si="1"/>
        <v>0</v>
      </c>
      <c r="J118" s="110"/>
    </row>
    <row r="119" spans="2:10" x14ac:dyDescent="0.25">
      <c r="B119" s="77"/>
      <c r="C119" s="74"/>
      <c r="D119" s="160"/>
      <c r="E119" s="161"/>
      <c r="F119" s="161"/>
      <c r="G119" s="78"/>
      <c r="H119" s="79"/>
      <c r="I119" s="130">
        <f t="shared" si="1"/>
        <v>0</v>
      </c>
      <c r="J119" s="110"/>
    </row>
    <row r="120" spans="2:10" x14ac:dyDescent="0.25">
      <c r="B120" s="77"/>
      <c r="C120" s="74" t="s">
        <v>551</v>
      </c>
      <c r="D120" s="160"/>
      <c r="E120" s="161"/>
      <c r="F120" s="161"/>
      <c r="G120" s="78"/>
      <c r="H120" s="79"/>
      <c r="I120" s="130">
        <f t="shared" si="1"/>
        <v>0</v>
      </c>
      <c r="J120" s="110"/>
    </row>
    <row r="121" spans="2:10" x14ac:dyDescent="0.25">
      <c r="B121" s="77"/>
      <c r="C121" s="74"/>
      <c r="D121" s="160"/>
      <c r="E121" s="161"/>
      <c r="F121" s="161"/>
      <c r="G121" s="78"/>
      <c r="H121" s="79"/>
      <c r="I121" s="130">
        <f t="shared" si="1"/>
        <v>0</v>
      </c>
      <c r="J121" s="110"/>
    </row>
    <row r="122" spans="2:10" x14ac:dyDescent="0.25">
      <c r="B122" s="173">
        <f>B113+0.01</f>
        <v>11.219999999999995</v>
      </c>
      <c r="C122" s="74"/>
      <c r="D122" s="112" t="s">
        <v>527</v>
      </c>
      <c r="E122" s="162"/>
      <c r="F122" s="162">
        <v>1</v>
      </c>
      <c r="G122" s="75" t="s">
        <v>528</v>
      </c>
      <c r="H122" s="76"/>
      <c r="I122" s="130">
        <f t="shared" si="1"/>
        <v>0</v>
      </c>
      <c r="J122" s="110"/>
    </row>
    <row r="123" spans="2:10" x14ac:dyDescent="0.25">
      <c r="B123" s="77"/>
      <c r="C123" s="74"/>
      <c r="D123" s="160"/>
      <c r="E123" s="161"/>
      <c r="F123" s="161"/>
      <c r="G123" s="78"/>
      <c r="H123" s="79"/>
      <c r="I123" s="130">
        <f t="shared" si="1"/>
        <v>0</v>
      </c>
      <c r="J123" s="110"/>
    </row>
    <row r="124" spans="2:10" ht="15.75" x14ac:dyDescent="0.25">
      <c r="B124" s="77"/>
      <c r="C124" s="432" t="s">
        <v>634</v>
      </c>
      <c r="D124" s="433"/>
      <c r="E124" s="161"/>
      <c r="F124" s="161"/>
      <c r="G124" s="78"/>
      <c r="H124" s="79"/>
      <c r="I124" s="130">
        <f t="shared" si="1"/>
        <v>0</v>
      </c>
      <c r="J124" s="110"/>
    </row>
    <row r="125" spans="2:10" x14ac:dyDescent="0.25">
      <c r="B125" s="77"/>
      <c r="C125" s="74"/>
      <c r="D125" s="160"/>
      <c r="E125" s="161"/>
      <c r="F125" s="161"/>
      <c r="G125" s="78"/>
      <c r="H125" s="79"/>
      <c r="I125" s="130">
        <f t="shared" si="1"/>
        <v>0</v>
      </c>
      <c r="J125" s="110"/>
    </row>
    <row r="126" spans="2:10" ht="30.75" customHeight="1" x14ac:dyDescent="0.25">
      <c r="B126" s="77"/>
      <c r="C126" s="418" t="s">
        <v>650</v>
      </c>
      <c r="D126" s="419"/>
      <c r="E126" s="161"/>
      <c r="F126" s="161"/>
      <c r="G126" s="78"/>
      <c r="H126" s="79"/>
      <c r="I126" s="130">
        <f t="shared" si="1"/>
        <v>0</v>
      </c>
      <c r="J126" s="110"/>
    </row>
    <row r="127" spans="2:10" x14ac:dyDescent="0.25">
      <c r="B127" s="77"/>
      <c r="C127" s="74"/>
      <c r="D127" s="160"/>
      <c r="E127" s="161"/>
      <c r="F127" s="161"/>
      <c r="G127" s="78"/>
      <c r="H127" s="79"/>
      <c r="I127" s="130">
        <f t="shared" si="1"/>
        <v>0</v>
      </c>
      <c r="J127" s="110"/>
    </row>
    <row r="128" spans="2:10" x14ac:dyDescent="0.25">
      <c r="B128" s="172">
        <f>B122+0.01</f>
        <v>11.229999999999995</v>
      </c>
      <c r="C128" s="74"/>
      <c r="D128" s="112" t="s">
        <v>527</v>
      </c>
      <c r="E128" s="162"/>
      <c r="F128" s="162">
        <v>1</v>
      </c>
      <c r="G128" s="75" t="s">
        <v>528</v>
      </c>
      <c r="H128" s="76"/>
      <c r="I128" s="130">
        <f t="shared" si="1"/>
        <v>0</v>
      </c>
      <c r="J128" s="110"/>
    </row>
    <row r="129" spans="2:10" x14ac:dyDescent="0.25">
      <c r="B129" s="77"/>
      <c r="C129" s="74"/>
      <c r="D129" s="160"/>
      <c r="E129" s="161"/>
      <c r="F129" s="161"/>
      <c r="G129" s="78"/>
      <c r="H129" s="79"/>
      <c r="I129" s="130">
        <f t="shared" si="1"/>
        <v>0</v>
      </c>
      <c r="J129" s="110"/>
    </row>
    <row r="130" spans="2:10" x14ac:dyDescent="0.25">
      <c r="B130" s="77"/>
      <c r="C130" s="159" t="s">
        <v>556</v>
      </c>
      <c r="D130" s="160"/>
      <c r="E130" s="161"/>
      <c r="F130" s="161"/>
      <c r="G130" s="78"/>
      <c r="H130" s="79"/>
      <c r="I130" s="130">
        <f t="shared" si="1"/>
        <v>0</v>
      </c>
      <c r="J130" s="110"/>
    </row>
    <row r="131" spans="2:10" x14ac:dyDescent="0.25">
      <c r="B131" s="77"/>
      <c r="C131" s="74"/>
      <c r="D131" s="160"/>
      <c r="E131" s="161"/>
      <c r="F131" s="161"/>
      <c r="G131" s="78"/>
      <c r="H131" s="79"/>
      <c r="I131" s="130">
        <f t="shared" si="1"/>
        <v>0</v>
      </c>
      <c r="J131" s="110"/>
    </row>
    <row r="132" spans="2:10" ht="30" customHeight="1" x14ac:dyDescent="0.25">
      <c r="B132" s="77"/>
      <c r="C132" s="420" t="s">
        <v>557</v>
      </c>
      <c r="D132" s="421"/>
      <c r="E132" s="161"/>
      <c r="F132" s="161"/>
      <c r="G132" s="78"/>
      <c r="H132" s="79"/>
      <c r="I132" s="130">
        <f t="shared" si="1"/>
        <v>0</v>
      </c>
      <c r="J132" s="110"/>
    </row>
    <row r="133" spans="2:10" x14ac:dyDescent="0.25">
      <c r="B133" s="77"/>
      <c r="C133" s="170"/>
      <c r="D133" s="158"/>
      <c r="E133" s="161"/>
      <c r="F133" s="161"/>
      <c r="G133" s="78"/>
      <c r="H133" s="79"/>
      <c r="I133" s="130">
        <f t="shared" si="1"/>
        <v>0</v>
      </c>
      <c r="J133" s="110"/>
    </row>
    <row r="134" spans="2:10" x14ac:dyDescent="0.25">
      <c r="B134" s="173">
        <f>B128+0.01</f>
        <v>11.239999999999995</v>
      </c>
      <c r="C134" s="74"/>
      <c r="D134" s="112" t="s">
        <v>527</v>
      </c>
      <c r="E134" s="162"/>
      <c r="F134" s="162">
        <v>1</v>
      </c>
      <c r="G134" s="75" t="s">
        <v>528</v>
      </c>
      <c r="H134" s="76"/>
      <c r="I134" s="130">
        <f t="shared" si="1"/>
        <v>0</v>
      </c>
      <c r="J134" s="110"/>
    </row>
    <row r="135" spans="2:10" x14ac:dyDescent="0.25">
      <c r="B135" s="77"/>
      <c r="C135" s="74"/>
      <c r="D135" s="160"/>
      <c r="E135" s="161"/>
      <c r="F135" s="161"/>
      <c r="G135" s="78"/>
      <c r="H135" s="79"/>
      <c r="I135" s="130">
        <f t="shared" si="1"/>
        <v>0</v>
      </c>
      <c r="J135" s="110"/>
    </row>
    <row r="136" spans="2:10" x14ac:dyDescent="0.25">
      <c r="B136" s="72"/>
      <c r="C136" s="159" t="s">
        <v>529</v>
      </c>
      <c r="D136" s="82"/>
      <c r="E136" s="75"/>
      <c r="F136" s="75"/>
      <c r="G136" s="75"/>
      <c r="H136" s="122"/>
      <c r="I136" s="130">
        <f t="shared" si="1"/>
        <v>0</v>
      </c>
      <c r="J136" s="110"/>
    </row>
    <row r="137" spans="2:10" x14ac:dyDescent="0.25">
      <c r="B137" s="72"/>
      <c r="C137" s="74"/>
      <c r="D137" s="82"/>
      <c r="E137" s="75"/>
      <c r="F137" s="75"/>
      <c r="G137" s="75"/>
      <c r="H137" s="122"/>
      <c r="I137" s="130">
        <f t="shared" si="1"/>
        <v>0</v>
      </c>
      <c r="J137" s="110"/>
    </row>
    <row r="138" spans="2:10" ht="30" customHeight="1" x14ac:dyDescent="0.25">
      <c r="B138" s="72"/>
      <c r="C138" s="422" t="s">
        <v>629</v>
      </c>
      <c r="D138" s="423"/>
      <c r="E138" s="75"/>
      <c r="F138" s="75"/>
      <c r="G138" s="75"/>
      <c r="H138" s="122"/>
      <c r="I138" s="130">
        <f t="shared" si="1"/>
        <v>0</v>
      </c>
      <c r="J138" s="110"/>
    </row>
    <row r="139" spans="2:10" x14ac:dyDescent="0.25">
      <c r="B139" s="72"/>
      <c r="C139" s="165"/>
      <c r="D139" s="82"/>
      <c r="E139" s="75"/>
      <c r="F139" s="75"/>
      <c r="G139" s="75"/>
      <c r="H139" s="122"/>
      <c r="I139" s="130">
        <f t="shared" si="1"/>
        <v>0</v>
      </c>
      <c r="J139" s="110"/>
    </row>
    <row r="140" spans="2:10" x14ac:dyDescent="0.25">
      <c r="B140" s="172">
        <f>B134+0.01</f>
        <v>11.249999999999995</v>
      </c>
      <c r="C140" s="74"/>
      <c r="D140" s="155" t="s">
        <v>527</v>
      </c>
      <c r="E140" s="154"/>
      <c r="F140" s="154">
        <v>1</v>
      </c>
      <c r="G140" s="75" t="s">
        <v>528</v>
      </c>
      <c r="H140" s="122"/>
      <c r="I140" s="130">
        <f t="shared" si="1"/>
        <v>0</v>
      </c>
      <c r="J140" s="110"/>
    </row>
    <row r="141" spans="2:10" x14ac:dyDescent="0.25">
      <c r="B141" s="72"/>
      <c r="C141" s="74"/>
      <c r="D141" s="111"/>
      <c r="E141" s="109"/>
      <c r="F141" s="109"/>
      <c r="G141" s="75"/>
      <c r="H141" s="76"/>
      <c r="I141" s="130">
        <f t="shared" si="1"/>
        <v>0</v>
      </c>
      <c r="J141" s="110"/>
    </row>
    <row r="142" spans="2:10" ht="15.75" thickBot="1" x14ac:dyDescent="0.3">
      <c r="B142" s="85"/>
      <c r="C142" s="86"/>
      <c r="D142" s="87"/>
      <c r="E142" s="88"/>
      <c r="F142" s="88"/>
      <c r="G142" s="88"/>
      <c r="H142" s="89"/>
      <c r="I142" s="76" t="str">
        <f>IF(H142="","",H142*E142)</f>
        <v/>
      </c>
    </row>
    <row r="143" spans="2:10" ht="30.75" customHeight="1" thickBot="1" x14ac:dyDescent="0.3">
      <c r="D143" s="367" t="s">
        <v>952</v>
      </c>
      <c r="E143" s="109"/>
      <c r="F143" s="109"/>
      <c r="G143" s="75"/>
      <c r="H143" s="382"/>
      <c r="I143" s="124">
        <f>SUM(I62:I142)</f>
        <v>0</v>
      </c>
    </row>
  </sheetData>
  <mergeCells count="29">
    <mergeCell ref="C132:D132"/>
    <mergeCell ref="C138:D138"/>
    <mergeCell ref="C91:D91"/>
    <mergeCell ref="C81:D81"/>
    <mergeCell ref="C85:D85"/>
    <mergeCell ref="C87:D87"/>
    <mergeCell ref="C124:D124"/>
    <mergeCell ref="C126:D126"/>
    <mergeCell ref="C109:D109"/>
    <mergeCell ref="C111:D111"/>
    <mergeCell ref="C103:D103"/>
    <mergeCell ref="C105:D105"/>
    <mergeCell ref="C65:D65"/>
    <mergeCell ref="C67:D67"/>
    <mergeCell ref="C71:D71"/>
    <mergeCell ref="C75:D75"/>
    <mergeCell ref="C79:D79"/>
    <mergeCell ref="C61:D61"/>
    <mergeCell ref="C43:D43"/>
    <mergeCell ref="C49:D49"/>
    <mergeCell ref="C55:D55"/>
    <mergeCell ref="C41:D41"/>
    <mergeCell ref="C24:D24"/>
    <mergeCell ref="C6:D6"/>
    <mergeCell ref="C7:D7"/>
    <mergeCell ref="C8:D8"/>
    <mergeCell ref="C9:D9"/>
    <mergeCell ref="C16:D16"/>
    <mergeCell ref="C10:D10"/>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22E7-0046-4FB9-86DC-07ECE763AB8B}">
  <sheetPr>
    <pageSetUpPr fitToPage="1"/>
  </sheetPr>
  <dimension ref="B1:J179"/>
  <sheetViews>
    <sheetView zoomScale="120" zoomScaleNormal="12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Summary!D31</f>
        <v>Wall Finishes</v>
      </c>
      <c r="I3" s="100">
        <f>+Summary!G3</f>
        <v>45614</v>
      </c>
    </row>
    <row r="4" spans="2:9" ht="13.5" customHeight="1" thickBot="1" x14ac:dyDescent="0.3">
      <c r="B4" s="86">
        <v>12</v>
      </c>
      <c r="C4" s="101"/>
      <c r="D4" s="101"/>
      <c r="E4" s="102"/>
      <c r="F4" s="102"/>
      <c r="G4" s="102"/>
      <c r="H4" s="101"/>
      <c r="I4" s="103"/>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 t="shared" ref="I6:I178" si="0">IF(H6="","",H6*E6)</f>
        <v/>
      </c>
    </row>
    <row r="7" spans="2:9" ht="77.25" customHeight="1" x14ac:dyDescent="0.25">
      <c r="B7" s="72"/>
      <c r="C7" s="422" t="s">
        <v>658</v>
      </c>
      <c r="D7" s="423"/>
      <c r="E7" s="75"/>
      <c r="F7" s="75"/>
      <c r="G7" s="75"/>
      <c r="H7" s="76"/>
      <c r="I7" s="76" t="str">
        <f t="shared" si="0"/>
        <v/>
      </c>
    </row>
    <row r="8" spans="2:9" ht="45" customHeight="1" x14ac:dyDescent="0.25">
      <c r="B8" s="72"/>
      <c r="C8" s="422" t="s">
        <v>575</v>
      </c>
      <c r="D8" s="423"/>
      <c r="E8" s="75"/>
      <c r="F8" s="75"/>
      <c r="G8" s="75"/>
      <c r="H8" s="76"/>
      <c r="I8" s="76"/>
    </row>
    <row r="9" spans="2:9" ht="15" customHeight="1" x14ac:dyDescent="0.25">
      <c r="B9" s="72"/>
      <c r="C9" s="422" t="s">
        <v>780</v>
      </c>
      <c r="D9" s="423"/>
      <c r="E9" s="75"/>
      <c r="F9" s="75"/>
      <c r="G9" s="75"/>
      <c r="H9" s="76"/>
      <c r="I9" s="76"/>
    </row>
    <row r="10" spans="2:9" ht="15.6" customHeight="1" x14ac:dyDescent="0.25">
      <c r="B10" s="72"/>
      <c r="C10" s="422" t="s">
        <v>950</v>
      </c>
      <c r="D10" s="423"/>
      <c r="E10" s="75"/>
      <c r="F10" s="75"/>
      <c r="G10" s="75"/>
      <c r="H10" s="76"/>
      <c r="I10" s="76"/>
    </row>
    <row r="11" spans="2:9" ht="15.6" customHeight="1" x14ac:dyDescent="0.25">
      <c r="B11" s="72"/>
      <c r="C11" s="168"/>
      <c r="D11" s="167"/>
      <c r="E11" s="75"/>
      <c r="F11" s="75"/>
      <c r="G11" s="75"/>
      <c r="H11" s="76"/>
      <c r="I11" s="76"/>
    </row>
    <row r="12" spans="2:9" x14ac:dyDescent="0.25">
      <c r="B12" s="72"/>
      <c r="C12" s="350" t="s">
        <v>815</v>
      </c>
      <c r="D12" s="82"/>
      <c r="E12" s="75"/>
      <c r="F12" s="75"/>
      <c r="G12" s="75"/>
      <c r="H12" s="76"/>
      <c r="I12" s="76"/>
    </row>
    <row r="13" spans="2:9" x14ac:dyDescent="0.25">
      <c r="B13" s="72"/>
      <c r="C13" s="84"/>
      <c r="D13" s="82"/>
      <c r="E13" s="75"/>
      <c r="F13" s="75"/>
      <c r="G13" s="75"/>
      <c r="H13" s="76"/>
      <c r="I13" s="76"/>
    </row>
    <row r="14" spans="2:9" x14ac:dyDescent="0.25">
      <c r="B14" s="72"/>
      <c r="C14" s="159" t="s">
        <v>648</v>
      </c>
      <c r="D14" s="82"/>
      <c r="E14" s="75"/>
      <c r="F14" s="75"/>
      <c r="G14" s="75"/>
      <c r="H14" s="76"/>
      <c r="I14" s="76"/>
    </row>
    <row r="15" spans="2:9" x14ac:dyDescent="0.25">
      <c r="B15" s="72"/>
      <c r="C15" s="159"/>
      <c r="D15" s="82"/>
      <c r="E15" s="75"/>
      <c r="F15" s="75"/>
      <c r="G15" s="75"/>
      <c r="H15" s="76"/>
      <c r="I15" s="76"/>
    </row>
    <row r="16" spans="2:9" x14ac:dyDescent="0.25">
      <c r="B16" s="72"/>
      <c r="C16" s="74" t="s">
        <v>719</v>
      </c>
      <c r="D16" s="82"/>
      <c r="E16" s="75"/>
      <c r="F16" s="75"/>
      <c r="G16" s="75"/>
      <c r="H16" s="76"/>
      <c r="I16" s="76"/>
    </row>
    <row r="17" spans="2:9" x14ac:dyDescent="0.25">
      <c r="B17" s="72"/>
      <c r="C17" s="159"/>
      <c r="D17" s="82"/>
      <c r="E17" s="75"/>
      <c r="F17" s="75"/>
      <c r="G17" s="75"/>
      <c r="H17" s="76"/>
      <c r="I17" s="76"/>
    </row>
    <row r="18" spans="2:9" x14ac:dyDescent="0.25">
      <c r="B18" s="164">
        <f>B4+0.01</f>
        <v>12.01</v>
      </c>
      <c r="C18" s="159"/>
      <c r="D18" s="82" t="s">
        <v>527</v>
      </c>
      <c r="E18" s="128">
        <v>1</v>
      </c>
      <c r="F18" s="128">
        <v>1</v>
      </c>
      <c r="G18" s="128" t="s">
        <v>528</v>
      </c>
      <c r="H18" s="76"/>
      <c r="I18" s="130">
        <f t="shared" ref="I18:I69" si="1">F18*H18</f>
        <v>0</v>
      </c>
    </row>
    <row r="19" spans="2:9" x14ac:dyDescent="0.25">
      <c r="B19" s="72"/>
      <c r="C19" s="84"/>
      <c r="D19" s="82"/>
      <c r="E19" s="75"/>
      <c r="F19" s="75"/>
      <c r="G19" s="75"/>
      <c r="H19" s="76"/>
      <c r="I19" s="130">
        <f t="shared" si="1"/>
        <v>0</v>
      </c>
    </row>
    <row r="20" spans="2:9" x14ac:dyDescent="0.25">
      <c r="B20" s="72"/>
      <c r="C20" s="418" t="s">
        <v>716</v>
      </c>
      <c r="D20" s="419"/>
      <c r="E20" s="75"/>
      <c r="F20" s="75"/>
      <c r="G20" s="75"/>
      <c r="H20" s="76"/>
      <c r="I20" s="130">
        <f t="shared" si="1"/>
        <v>0</v>
      </c>
    </row>
    <row r="21" spans="2:9" x14ac:dyDescent="0.25">
      <c r="B21" s="72"/>
      <c r="C21" s="84"/>
      <c r="D21" s="82"/>
      <c r="E21" s="75"/>
      <c r="F21" s="75"/>
      <c r="G21" s="75"/>
      <c r="H21" s="76"/>
      <c r="I21" s="130">
        <f t="shared" si="1"/>
        <v>0</v>
      </c>
    </row>
    <row r="22" spans="2:9" ht="60" x14ac:dyDescent="0.25">
      <c r="B22" s="164">
        <f>B18+0.01</f>
        <v>12.02</v>
      </c>
      <c r="C22" s="84"/>
      <c r="D22" s="82" t="s">
        <v>1362</v>
      </c>
      <c r="E22" s="128">
        <v>1</v>
      </c>
      <c r="F22" s="128">
        <v>1</v>
      </c>
      <c r="G22" s="128" t="s">
        <v>528</v>
      </c>
      <c r="H22" s="76"/>
      <c r="I22" s="130">
        <f t="shared" si="1"/>
        <v>0</v>
      </c>
    </row>
    <row r="23" spans="2:9" x14ac:dyDescent="0.25">
      <c r="B23" s="72"/>
      <c r="C23" s="84"/>
      <c r="D23" s="82"/>
      <c r="E23" s="75"/>
      <c r="F23" s="75"/>
      <c r="G23" s="75"/>
      <c r="H23" s="76"/>
      <c r="I23" s="130">
        <f t="shared" si="1"/>
        <v>0</v>
      </c>
    </row>
    <row r="24" spans="2:9" ht="30" x14ac:dyDescent="0.25">
      <c r="B24" s="164">
        <f>B22+0.01</f>
        <v>12.03</v>
      </c>
      <c r="C24" s="84"/>
      <c r="D24" s="82" t="s">
        <v>1363</v>
      </c>
      <c r="E24" s="128">
        <v>1</v>
      </c>
      <c r="F24" s="128">
        <v>1</v>
      </c>
      <c r="G24" s="128" t="s">
        <v>528</v>
      </c>
      <c r="H24" s="76"/>
      <c r="I24" s="130">
        <f t="shared" si="1"/>
        <v>0</v>
      </c>
    </row>
    <row r="25" spans="2:9" x14ac:dyDescent="0.25">
      <c r="B25" s="72"/>
      <c r="C25" s="84"/>
      <c r="D25" s="82"/>
      <c r="E25" s="75"/>
      <c r="F25" s="75"/>
      <c r="G25" s="75"/>
      <c r="H25" s="76"/>
      <c r="I25" s="130">
        <f t="shared" si="1"/>
        <v>0</v>
      </c>
    </row>
    <row r="26" spans="2:9" ht="30" x14ac:dyDescent="0.25">
      <c r="B26" s="164">
        <f>B24+0.01</f>
        <v>12.04</v>
      </c>
      <c r="C26" s="84"/>
      <c r="D26" s="82" t="s">
        <v>720</v>
      </c>
      <c r="E26" s="128">
        <v>1</v>
      </c>
      <c r="F26" s="128">
        <v>1</v>
      </c>
      <c r="G26" s="128" t="s">
        <v>528</v>
      </c>
      <c r="H26" s="76"/>
      <c r="I26" s="130">
        <f t="shared" si="1"/>
        <v>0</v>
      </c>
    </row>
    <row r="27" spans="2:9" x14ac:dyDescent="0.25">
      <c r="B27" s="72"/>
      <c r="C27" s="84"/>
      <c r="D27" s="82"/>
      <c r="E27" s="75"/>
      <c r="F27" s="75"/>
      <c r="G27" s="75"/>
      <c r="H27" s="76"/>
      <c r="I27" s="130">
        <f t="shared" si="1"/>
        <v>0</v>
      </c>
    </row>
    <row r="28" spans="2:9" ht="60" x14ac:dyDescent="0.25">
      <c r="B28" s="164">
        <f>B26+0.01</f>
        <v>12.049999999999999</v>
      </c>
      <c r="C28" s="84"/>
      <c r="D28" s="158" t="s">
        <v>1364</v>
      </c>
      <c r="E28" s="128">
        <v>1</v>
      </c>
      <c r="F28" s="128">
        <v>1</v>
      </c>
      <c r="G28" s="128" t="s">
        <v>528</v>
      </c>
      <c r="H28" s="76"/>
      <c r="I28" s="130">
        <f t="shared" si="1"/>
        <v>0</v>
      </c>
    </row>
    <row r="29" spans="2:9" x14ac:dyDescent="0.25">
      <c r="B29" s="72"/>
      <c r="C29" s="84"/>
      <c r="D29" s="82"/>
      <c r="E29" s="75"/>
      <c r="F29" s="75"/>
      <c r="G29" s="75"/>
      <c r="H29" s="76"/>
      <c r="I29" s="130">
        <f t="shared" si="1"/>
        <v>0</v>
      </c>
    </row>
    <row r="30" spans="2:9" ht="45" x14ac:dyDescent="0.25">
      <c r="B30" s="164">
        <f>B28+0.01</f>
        <v>12.059999999999999</v>
      </c>
      <c r="C30" s="84"/>
      <c r="D30" s="158" t="s">
        <v>722</v>
      </c>
      <c r="E30" s="128">
        <v>1</v>
      </c>
      <c r="F30" s="128">
        <v>1</v>
      </c>
      <c r="G30" s="128" t="s">
        <v>528</v>
      </c>
      <c r="H30" s="76"/>
      <c r="I30" s="130">
        <f t="shared" si="1"/>
        <v>0</v>
      </c>
    </row>
    <row r="31" spans="2:9" x14ac:dyDescent="0.25">
      <c r="B31" s="164"/>
      <c r="C31" s="84"/>
      <c r="D31" s="158"/>
      <c r="E31" s="75"/>
      <c r="F31" s="75"/>
      <c r="G31" s="128"/>
      <c r="H31" s="76"/>
      <c r="I31" s="130">
        <f t="shared" si="1"/>
        <v>0</v>
      </c>
    </row>
    <row r="32" spans="2:9" ht="30" x14ac:dyDescent="0.25">
      <c r="B32" s="164">
        <f>B30+0.01</f>
        <v>12.069999999999999</v>
      </c>
      <c r="C32" s="84"/>
      <c r="D32" s="158" t="s">
        <v>721</v>
      </c>
      <c r="E32" s="128">
        <v>1</v>
      </c>
      <c r="F32" s="128">
        <v>1</v>
      </c>
      <c r="G32" s="128" t="s">
        <v>528</v>
      </c>
      <c r="H32" s="76"/>
      <c r="I32" s="130">
        <f t="shared" si="1"/>
        <v>0</v>
      </c>
    </row>
    <row r="33" spans="2:9" x14ac:dyDescent="0.25">
      <c r="B33" s="164"/>
      <c r="C33" s="84"/>
      <c r="D33" s="158"/>
      <c r="E33" s="75"/>
      <c r="F33" s="75"/>
      <c r="G33" s="128"/>
      <c r="H33" s="76"/>
      <c r="I33" s="130">
        <f t="shared" si="1"/>
        <v>0</v>
      </c>
    </row>
    <row r="34" spans="2:9" ht="46.5" customHeight="1" x14ac:dyDescent="0.25">
      <c r="B34" s="164"/>
      <c r="C34" s="418" t="s">
        <v>1375</v>
      </c>
      <c r="D34" s="419"/>
      <c r="E34" s="75"/>
      <c r="F34" s="75"/>
      <c r="G34" s="128"/>
      <c r="H34" s="76"/>
      <c r="I34" s="130">
        <f t="shared" si="1"/>
        <v>0</v>
      </c>
    </row>
    <row r="35" spans="2:9" x14ac:dyDescent="0.25">
      <c r="B35" s="164"/>
      <c r="C35" s="84"/>
      <c r="D35" s="158"/>
      <c r="E35" s="75"/>
      <c r="F35" s="75"/>
      <c r="G35" s="128"/>
      <c r="H35" s="76"/>
      <c r="I35" s="130">
        <f t="shared" si="1"/>
        <v>0</v>
      </c>
    </row>
    <row r="36" spans="2:9" ht="17.25" customHeight="1" x14ac:dyDescent="0.25">
      <c r="B36" s="164">
        <f>B32+0.01</f>
        <v>12.079999999999998</v>
      </c>
      <c r="C36" s="84"/>
      <c r="D36" s="82" t="s">
        <v>782</v>
      </c>
      <c r="E36" s="128">
        <f>((6+3.2+2.9+1.2+1.2+3.5+1+1)*2.5)-(0.9*1.9*2)-(0.6*2.1*2)-(1.15*2)</f>
        <v>41.76</v>
      </c>
      <c r="F36" s="128">
        <v>42</v>
      </c>
      <c r="G36" s="128" t="s">
        <v>659</v>
      </c>
      <c r="H36" s="129"/>
      <c r="I36" s="130">
        <f t="shared" si="1"/>
        <v>0</v>
      </c>
    </row>
    <row r="37" spans="2:9" ht="17.25" customHeight="1" x14ac:dyDescent="0.25">
      <c r="B37" s="164"/>
      <c r="C37" s="84"/>
      <c r="D37" s="158"/>
      <c r="E37" s="75"/>
      <c r="F37" s="75"/>
      <c r="G37" s="128"/>
      <c r="H37" s="129"/>
      <c r="I37" s="130">
        <f t="shared" si="1"/>
        <v>0</v>
      </c>
    </row>
    <row r="38" spans="2:9" ht="30" x14ac:dyDescent="0.25">
      <c r="B38" s="164">
        <f>B36+0.01</f>
        <v>12.089999999999998</v>
      </c>
      <c r="C38" s="84"/>
      <c r="D38" s="341" t="s">
        <v>1376</v>
      </c>
      <c r="E38" s="128">
        <v>1</v>
      </c>
      <c r="F38" s="128">
        <v>1</v>
      </c>
      <c r="G38" s="128" t="s">
        <v>528</v>
      </c>
      <c r="H38" s="76"/>
      <c r="I38" s="130">
        <f t="shared" ref="I38" si="2">F38*H38</f>
        <v>0</v>
      </c>
    </row>
    <row r="39" spans="2:9" x14ac:dyDescent="0.25">
      <c r="B39" s="72"/>
      <c r="C39" s="84"/>
      <c r="D39" s="158"/>
      <c r="E39" s="75"/>
      <c r="F39" s="75"/>
      <c r="G39" s="75"/>
      <c r="H39" s="76"/>
      <c r="I39" s="130">
        <f t="shared" si="1"/>
        <v>0</v>
      </c>
    </row>
    <row r="40" spans="2:9" ht="47.25" customHeight="1" x14ac:dyDescent="0.25">
      <c r="B40" s="164"/>
      <c r="C40" s="418" t="s">
        <v>783</v>
      </c>
      <c r="D40" s="419"/>
      <c r="E40" s="75"/>
      <c r="F40" s="75"/>
      <c r="G40" s="128"/>
      <c r="H40" s="76"/>
      <c r="I40" s="130">
        <f t="shared" si="1"/>
        <v>0</v>
      </c>
    </row>
    <row r="41" spans="2:9" x14ac:dyDescent="0.25">
      <c r="B41" s="164"/>
      <c r="C41" s="84"/>
      <c r="D41" s="158"/>
      <c r="E41" s="75"/>
      <c r="F41" s="75"/>
      <c r="G41" s="128"/>
      <c r="H41" s="76"/>
      <c r="I41" s="130">
        <f t="shared" si="1"/>
        <v>0</v>
      </c>
    </row>
    <row r="42" spans="2:9" ht="30" x14ac:dyDescent="0.25">
      <c r="B42" s="179">
        <f>B38+0.01</f>
        <v>12.099999999999998</v>
      </c>
      <c r="C42" s="84"/>
      <c r="D42" s="82" t="s">
        <v>803</v>
      </c>
      <c r="E42" s="128">
        <f>(3*4.5)+(3.5*4.5)-(1*2)</f>
        <v>27.25</v>
      </c>
      <c r="F42" s="128">
        <v>1</v>
      </c>
      <c r="G42" s="128" t="s">
        <v>528</v>
      </c>
      <c r="H42" s="76"/>
      <c r="I42" s="130">
        <f t="shared" si="1"/>
        <v>0</v>
      </c>
    </row>
    <row r="43" spans="2:9" x14ac:dyDescent="0.25">
      <c r="B43" s="72"/>
      <c r="C43" s="84"/>
      <c r="D43" s="82"/>
      <c r="E43" s="75"/>
      <c r="F43" s="75"/>
      <c r="G43" s="75"/>
      <c r="H43" s="76"/>
      <c r="I43" s="130">
        <f t="shared" si="1"/>
        <v>0</v>
      </c>
    </row>
    <row r="44" spans="2:9" x14ac:dyDescent="0.25">
      <c r="B44" s="72"/>
      <c r="C44" s="84"/>
      <c r="D44" s="82"/>
      <c r="E44" s="75"/>
      <c r="F44" s="75"/>
      <c r="G44" s="75"/>
      <c r="H44" s="76"/>
      <c r="I44" s="130">
        <f t="shared" ref="I44:I70" si="3">F44*H44</f>
        <v>0</v>
      </c>
    </row>
    <row r="45" spans="2:9" x14ac:dyDescent="0.25">
      <c r="B45" s="77"/>
      <c r="C45" s="73" t="s">
        <v>549</v>
      </c>
      <c r="D45" s="160"/>
      <c r="E45" s="161"/>
      <c r="F45" s="161"/>
      <c r="G45" s="78"/>
      <c r="H45" s="79"/>
      <c r="I45" s="130">
        <f t="shared" si="1"/>
        <v>0</v>
      </c>
    </row>
    <row r="46" spans="2:9" x14ac:dyDescent="0.25">
      <c r="B46" s="77"/>
      <c r="C46" s="74"/>
      <c r="D46" s="160"/>
      <c r="E46" s="161"/>
      <c r="F46" s="161"/>
      <c r="G46" s="78"/>
      <c r="H46" s="79"/>
      <c r="I46" s="130">
        <f t="shared" si="1"/>
        <v>0</v>
      </c>
    </row>
    <row r="47" spans="2:9" x14ac:dyDescent="0.25">
      <c r="B47" s="77"/>
      <c r="C47" s="159" t="s">
        <v>550</v>
      </c>
      <c r="D47" s="160"/>
      <c r="E47" s="161"/>
      <c r="F47" s="161"/>
      <c r="G47" s="78"/>
      <c r="H47" s="79"/>
      <c r="I47" s="130">
        <f t="shared" si="1"/>
        <v>0</v>
      </c>
    </row>
    <row r="48" spans="2:9" x14ac:dyDescent="0.25">
      <c r="B48" s="77"/>
      <c r="C48" s="74"/>
      <c r="D48" s="160"/>
      <c r="E48" s="161"/>
      <c r="F48" s="161"/>
      <c r="G48" s="78"/>
      <c r="H48" s="79"/>
      <c r="I48" s="130">
        <f t="shared" si="1"/>
        <v>0</v>
      </c>
    </row>
    <row r="49" spans="2:9" x14ac:dyDescent="0.25">
      <c r="B49" s="77"/>
      <c r="C49" s="74" t="s">
        <v>551</v>
      </c>
      <c r="D49" s="160"/>
      <c r="E49" s="161"/>
      <c r="F49" s="161"/>
      <c r="G49" s="78"/>
      <c r="H49" s="79"/>
      <c r="I49" s="130">
        <f t="shared" si="1"/>
        <v>0</v>
      </c>
    </row>
    <row r="50" spans="2:9" x14ac:dyDescent="0.25">
      <c r="B50" s="77"/>
      <c r="C50" s="74"/>
      <c r="D50" s="160"/>
      <c r="E50" s="161"/>
      <c r="F50" s="161"/>
      <c r="G50" s="78"/>
      <c r="H50" s="79"/>
      <c r="I50" s="130">
        <f t="shared" si="1"/>
        <v>0</v>
      </c>
    </row>
    <row r="51" spans="2:9" x14ac:dyDescent="0.25">
      <c r="B51" s="173">
        <f>B42+0.01</f>
        <v>12.109999999999998</v>
      </c>
      <c r="C51" s="74"/>
      <c r="D51" s="112" t="s">
        <v>527</v>
      </c>
      <c r="E51" s="162"/>
      <c r="F51" s="162">
        <v>1</v>
      </c>
      <c r="G51" s="75" t="s">
        <v>528</v>
      </c>
      <c r="H51" s="76"/>
      <c r="I51" s="130">
        <f t="shared" si="1"/>
        <v>0</v>
      </c>
    </row>
    <row r="52" spans="2:9" x14ac:dyDescent="0.25">
      <c r="B52" s="77"/>
      <c r="C52" s="74"/>
      <c r="D52" s="160"/>
      <c r="E52" s="161"/>
      <c r="F52" s="161"/>
      <c r="G52" s="78"/>
      <c r="H52" s="79"/>
      <c r="I52" s="130">
        <f t="shared" si="1"/>
        <v>0</v>
      </c>
    </row>
    <row r="53" spans="2:9" ht="15.75" x14ac:dyDescent="0.25">
      <c r="B53" s="77"/>
      <c r="C53" s="432" t="s">
        <v>634</v>
      </c>
      <c r="D53" s="433"/>
      <c r="E53" s="161"/>
      <c r="F53" s="161"/>
      <c r="G53" s="78"/>
      <c r="H53" s="79"/>
      <c r="I53" s="130">
        <f t="shared" si="1"/>
        <v>0</v>
      </c>
    </row>
    <row r="54" spans="2:9" x14ac:dyDescent="0.25">
      <c r="B54" s="77"/>
      <c r="C54" s="74"/>
      <c r="D54" s="160"/>
      <c r="E54" s="161"/>
      <c r="F54" s="161"/>
      <c r="G54" s="78"/>
      <c r="H54" s="79"/>
      <c r="I54" s="130">
        <f t="shared" si="1"/>
        <v>0</v>
      </c>
    </row>
    <row r="55" spans="2:9" ht="34.5" customHeight="1" x14ac:dyDescent="0.25">
      <c r="B55" s="77"/>
      <c r="C55" s="418" t="s">
        <v>650</v>
      </c>
      <c r="D55" s="419"/>
      <c r="E55" s="161"/>
      <c r="F55" s="161"/>
      <c r="G55" s="78"/>
      <c r="H55" s="79"/>
      <c r="I55" s="130">
        <f t="shared" si="1"/>
        <v>0</v>
      </c>
    </row>
    <row r="56" spans="2:9" ht="13.35" customHeight="1" x14ac:dyDescent="0.25">
      <c r="B56" s="77"/>
      <c r="C56" s="74"/>
      <c r="D56" s="160"/>
      <c r="E56" s="161"/>
      <c r="F56" s="161"/>
      <c r="G56" s="78"/>
      <c r="H56" s="79"/>
      <c r="I56" s="130">
        <f t="shared" si="1"/>
        <v>0</v>
      </c>
    </row>
    <row r="57" spans="2:9" x14ac:dyDescent="0.25">
      <c r="B57" s="172">
        <f>B51+0.01</f>
        <v>12.119999999999997</v>
      </c>
      <c r="C57" s="74"/>
      <c r="D57" s="112" t="s">
        <v>527</v>
      </c>
      <c r="E57" s="162"/>
      <c r="F57" s="162">
        <v>1</v>
      </c>
      <c r="G57" s="75" t="s">
        <v>528</v>
      </c>
      <c r="H57" s="76"/>
      <c r="I57" s="130">
        <f t="shared" si="1"/>
        <v>0</v>
      </c>
    </row>
    <row r="58" spans="2:9" x14ac:dyDescent="0.25">
      <c r="B58" s="77"/>
      <c r="C58" s="74"/>
      <c r="D58" s="160"/>
      <c r="E58" s="161"/>
      <c r="F58" s="161"/>
      <c r="G58" s="78"/>
      <c r="H58" s="79"/>
      <c r="I58" s="130">
        <f t="shared" si="1"/>
        <v>0</v>
      </c>
    </row>
    <row r="59" spans="2:9" x14ac:dyDescent="0.25">
      <c r="B59" s="77"/>
      <c r="C59" s="159" t="s">
        <v>556</v>
      </c>
      <c r="D59" s="160"/>
      <c r="E59" s="161"/>
      <c r="F59" s="161"/>
      <c r="G59" s="78"/>
      <c r="H59" s="79"/>
      <c r="I59" s="130">
        <f t="shared" si="1"/>
        <v>0</v>
      </c>
    </row>
    <row r="60" spans="2:9" x14ac:dyDescent="0.25">
      <c r="B60" s="77"/>
      <c r="C60" s="74"/>
      <c r="D60" s="160"/>
      <c r="E60" s="161"/>
      <c r="F60" s="161"/>
      <c r="G60" s="78"/>
      <c r="H60" s="79"/>
      <c r="I60" s="130">
        <f t="shared" si="1"/>
        <v>0</v>
      </c>
    </row>
    <row r="61" spans="2:9" ht="33.75" customHeight="1" x14ac:dyDescent="0.25">
      <c r="B61" s="77"/>
      <c r="C61" s="420" t="s">
        <v>557</v>
      </c>
      <c r="D61" s="421"/>
      <c r="E61" s="161"/>
      <c r="F61" s="161"/>
      <c r="G61" s="78"/>
      <c r="H61" s="79"/>
      <c r="I61" s="130">
        <f t="shared" si="1"/>
        <v>0</v>
      </c>
    </row>
    <row r="62" spans="2:9" ht="14.45" customHeight="1" x14ac:dyDescent="0.25">
      <c r="B62" s="77"/>
      <c r="C62" s="170"/>
      <c r="D62" s="158"/>
      <c r="E62" s="161"/>
      <c r="F62" s="161"/>
      <c r="G62" s="78"/>
      <c r="H62" s="79"/>
      <c r="I62" s="130">
        <f t="shared" si="1"/>
        <v>0</v>
      </c>
    </row>
    <row r="63" spans="2:9" x14ac:dyDescent="0.25">
      <c r="B63" s="173">
        <f>B57+0.01</f>
        <v>12.129999999999997</v>
      </c>
      <c r="C63" s="74"/>
      <c r="D63" s="112" t="s">
        <v>527</v>
      </c>
      <c r="E63" s="162"/>
      <c r="F63" s="162">
        <v>1</v>
      </c>
      <c r="G63" s="75" t="s">
        <v>528</v>
      </c>
      <c r="H63" s="76"/>
      <c r="I63" s="130">
        <f t="shared" si="1"/>
        <v>0</v>
      </c>
    </row>
    <row r="64" spans="2:9" x14ac:dyDescent="0.25">
      <c r="B64" s="77"/>
      <c r="C64" s="74"/>
      <c r="D64" s="160"/>
      <c r="E64" s="161"/>
      <c r="F64" s="161"/>
      <c r="G64" s="78"/>
      <c r="H64" s="79"/>
      <c r="I64" s="130">
        <f t="shared" si="1"/>
        <v>0</v>
      </c>
    </row>
    <row r="65" spans="2:10" x14ac:dyDescent="0.25">
      <c r="B65" s="72"/>
      <c r="C65" s="159" t="s">
        <v>529</v>
      </c>
      <c r="D65" s="82"/>
      <c r="E65" s="75"/>
      <c r="F65" s="75"/>
      <c r="G65" s="75"/>
      <c r="H65" s="122"/>
      <c r="I65" s="130">
        <f t="shared" si="1"/>
        <v>0</v>
      </c>
    </row>
    <row r="66" spans="2:10" x14ac:dyDescent="0.25">
      <c r="B66" s="72"/>
      <c r="C66" s="74"/>
      <c r="D66" s="82"/>
      <c r="E66" s="75"/>
      <c r="F66" s="75"/>
      <c r="G66" s="75"/>
      <c r="H66" s="122"/>
      <c r="I66" s="130">
        <f t="shared" si="1"/>
        <v>0</v>
      </c>
    </row>
    <row r="67" spans="2:10" ht="31.5" customHeight="1" x14ac:dyDescent="0.25">
      <c r="B67" s="72"/>
      <c r="C67" s="422" t="s">
        <v>629</v>
      </c>
      <c r="D67" s="423"/>
      <c r="E67" s="75"/>
      <c r="F67" s="75"/>
      <c r="G67" s="75"/>
      <c r="H67" s="122"/>
      <c r="I67" s="130">
        <f t="shared" si="1"/>
        <v>0</v>
      </c>
    </row>
    <row r="68" spans="2:10" ht="13.7" customHeight="1" x14ac:dyDescent="0.25">
      <c r="B68" s="72"/>
      <c r="C68" s="165"/>
      <c r="D68" s="82"/>
      <c r="E68" s="75"/>
      <c r="F68" s="75"/>
      <c r="G68" s="75"/>
      <c r="H68" s="122"/>
      <c r="I68" s="130">
        <f t="shared" si="1"/>
        <v>0</v>
      </c>
    </row>
    <row r="69" spans="2:10" x14ac:dyDescent="0.25">
      <c r="B69" s="172">
        <f>B63+0.01</f>
        <v>12.139999999999997</v>
      </c>
      <c r="C69" s="74"/>
      <c r="D69" s="155" t="s">
        <v>527</v>
      </c>
      <c r="E69" s="154"/>
      <c r="F69" s="154">
        <v>1</v>
      </c>
      <c r="G69" s="75" t="s">
        <v>528</v>
      </c>
      <c r="H69" s="122"/>
      <c r="I69" s="130">
        <f t="shared" si="1"/>
        <v>0</v>
      </c>
    </row>
    <row r="70" spans="2:10" ht="15.75" thickBot="1" x14ac:dyDescent="0.3">
      <c r="B70" s="72"/>
      <c r="C70" s="74"/>
      <c r="D70" s="111"/>
      <c r="E70" s="109"/>
      <c r="F70" s="109"/>
      <c r="G70" s="75"/>
      <c r="H70" s="76"/>
      <c r="I70" s="130">
        <f t="shared" si="3"/>
        <v>0</v>
      </c>
      <c r="J70" s="110"/>
    </row>
    <row r="71" spans="2:10" ht="15.75" thickBot="1" x14ac:dyDescent="0.3">
      <c r="B71" s="72"/>
      <c r="C71" s="74"/>
      <c r="D71" s="314" t="s">
        <v>955</v>
      </c>
      <c r="E71" s="109"/>
      <c r="F71" s="109"/>
      <c r="G71" s="75"/>
      <c r="H71" s="382"/>
      <c r="I71" s="383">
        <f>SUM(I18:I70)</f>
        <v>0</v>
      </c>
      <c r="J71" s="110"/>
    </row>
    <row r="72" spans="2:10" x14ac:dyDescent="0.25">
      <c r="B72" s="72"/>
      <c r="C72" s="74"/>
      <c r="D72" s="111"/>
      <c r="E72" s="109"/>
      <c r="F72" s="109"/>
      <c r="G72" s="75"/>
      <c r="H72" s="76"/>
      <c r="I72" s="130"/>
      <c r="J72" s="110"/>
    </row>
    <row r="73" spans="2:10" x14ac:dyDescent="0.25">
      <c r="B73" s="72"/>
      <c r="C73" s="426" t="s">
        <v>816</v>
      </c>
      <c r="D73" s="427"/>
      <c r="E73" s="109"/>
      <c r="F73" s="109"/>
      <c r="G73" s="75"/>
      <c r="H73" s="76"/>
      <c r="I73" s="130"/>
      <c r="J73" s="110"/>
    </row>
    <row r="74" spans="2:10" x14ac:dyDescent="0.25">
      <c r="B74" s="72"/>
      <c r="C74" s="74"/>
      <c r="D74" s="111"/>
      <c r="E74" s="109"/>
      <c r="F74" s="109"/>
      <c r="G74" s="75"/>
      <c r="H74" s="76"/>
      <c r="I74" s="130"/>
      <c r="J74" s="110"/>
    </row>
    <row r="75" spans="2:10" x14ac:dyDescent="0.25">
      <c r="B75" s="72"/>
      <c r="C75" s="443" t="s">
        <v>974</v>
      </c>
      <c r="D75" s="444"/>
      <c r="E75" s="109"/>
      <c r="F75" s="109"/>
      <c r="G75" s="75"/>
      <c r="H75" s="76"/>
      <c r="I75" s="130"/>
      <c r="J75" s="110"/>
    </row>
    <row r="76" spans="2:10" x14ac:dyDescent="0.25">
      <c r="B76" s="72"/>
      <c r="C76" s="74"/>
      <c r="D76" s="111"/>
      <c r="E76" s="109"/>
      <c r="F76" s="109"/>
      <c r="G76" s="75"/>
      <c r="H76" s="76"/>
      <c r="I76" s="130">
        <f t="shared" ref="I76:I157" si="4">F76*H76</f>
        <v>0</v>
      </c>
      <c r="J76" s="110"/>
    </row>
    <row r="77" spans="2:10" ht="72.75" customHeight="1" x14ac:dyDescent="0.25">
      <c r="B77" s="72"/>
      <c r="C77" s="437" t="s">
        <v>992</v>
      </c>
      <c r="D77" s="438"/>
      <c r="E77" s="109"/>
      <c r="F77" s="109"/>
      <c r="G77" s="75"/>
      <c r="H77" s="76"/>
      <c r="I77" s="130">
        <f t="shared" si="4"/>
        <v>0</v>
      </c>
      <c r="J77" s="110"/>
    </row>
    <row r="78" spans="2:10" x14ac:dyDescent="0.25">
      <c r="B78" s="72"/>
      <c r="C78" s="74"/>
      <c r="D78" s="111"/>
      <c r="E78" s="109"/>
      <c r="F78" s="109"/>
      <c r="G78" s="75"/>
      <c r="H78" s="76"/>
      <c r="I78" s="130">
        <f t="shared" si="4"/>
        <v>0</v>
      </c>
      <c r="J78" s="110"/>
    </row>
    <row r="79" spans="2:10" ht="35.25" customHeight="1" x14ac:dyDescent="0.25">
      <c r="B79" s="72"/>
      <c r="C79" s="418" t="s">
        <v>991</v>
      </c>
      <c r="D79" s="419"/>
      <c r="E79" s="109"/>
      <c r="F79" s="109"/>
      <c r="G79" s="75"/>
      <c r="H79" s="76"/>
      <c r="I79" s="130">
        <f t="shared" si="4"/>
        <v>0</v>
      </c>
      <c r="J79" s="110"/>
    </row>
    <row r="80" spans="2:10" x14ac:dyDescent="0.25">
      <c r="B80" s="72"/>
      <c r="C80" s="74"/>
      <c r="D80" s="111"/>
      <c r="E80" s="109"/>
      <c r="F80" s="109"/>
      <c r="G80" s="75"/>
      <c r="H80" s="76"/>
      <c r="I80" s="130">
        <f t="shared" si="4"/>
        <v>0</v>
      </c>
      <c r="J80" s="110"/>
    </row>
    <row r="81" spans="2:10" x14ac:dyDescent="0.25">
      <c r="B81" s="172">
        <f>B69+0.01</f>
        <v>12.149999999999997</v>
      </c>
      <c r="C81" s="74"/>
      <c r="D81" s="82" t="s">
        <v>877</v>
      </c>
      <c r="E81" s="109">
        <f>((7*4.2)+(3.6*3.55)+(7*2.9)-(2.4*1.2)-((2.1+2.8)*2.1)-(1*2)-(1.1*2))+((1.5+3.6+5.4+1.3+2.6+1.6)*2*2.38)+((2.3+2.3+1.6+1.8+1.8+1)*2.38)-(1*2*4)-(0.9*2*1)-(0.8*2*2)</f>
        <v>133.97399999999999</v>
      </c>
      <c r="F81" s="162">
        <v>135</v>
      </c>
      <c r="G81" s="75" t="s">
        <v>659</v>
      </c>
      <c r="H81" s="76"/>
      <c r="I81" s="130">
        <f t="shared" si="4"/>
        <v>0</v>
      </c>
      <c r="J81" s="110"/>
    </row>
    <row r="82" spans="2:10" x14ac:dyDescent="0.25">
      <c r="B82" s="72"/>
      <c r="C82" s="74"/>
      <c r="D82" s="111"/>
      <c r="E82" s="109"/>
      <c r="F82" s="109"/>
      <c r="G82" s="75"/>
      <c r="H82" s="76"/>
      <c r="I82" s="130">
        <f t="shared" si="4"/>
        <v>0</v>
      </c>
      <c r="J82" s="110"/>
    </row>
    <row r="83" spans="2:10" x14ac:dyDescent="0.25">
      <c r="B83" s="164">
        <f>B81+0.01</f>
        <v>12.159999999999997</v>
      </c>
      <c r="C83" s="74"/>
      <c r="D83" s="82" t="s">
        <v>993</v>
      </c>
      <c r="E83" s="109">
        <f>(2.8+2.1+2.1+2.1)+(1.1+2.1+2.1)+(1*2.1*2)+(1.1+2.1+2.1)</f>
        <v>23.900000000000002</v>
      </c>
      <c r="F83" s="162">
        <v>24</v>
      </c>
      <c r="G83" s="75" t="s">
        <v>660</v>
      </c>
      <c r="H83" s="76"/>
      <c r="I83" s="130">
        <f t="shared" si="4"/>
        <v>0</v>
      </c>
      <c r="J83" s="110"/>
    </row>
    <row r="84" spans="2:10" x14ac:dyDescent="0.25">
      <c r="B84" s="72"/>
      <c r="C84" s="74"/>
      <c r="D84" s="111"/>
      <c r="E84" s="109"/>
      <c r="F84" s="109"/>
      <c r="G84" s="75"/>
      <c r="H84" s="76"/>
      <c r="I84" s="130">
        <f t="shared" si="4"/>
        <v>0</v>
      </c>
      <c r="J84" s="110"/>
    </row>
    <row r="85" spans="2:10" ht="75" x14ac:dyDescent="0.25">
      <c r="B85" s="164">
        <f>B83+0.01</f>
        <v>12.169999999999996</v>
      </c>
      <c r="C85" s="74"/>
      <c r="D85" s="340" t="s">
        <v>1377</v>
      </c>
      <c r="E85" s="343">
        <v>1</v>
      </c>
      <c r="F85" s="344">
        <v>1</v>
      </c>
      <c r="G85" s="128" t="s">
        <v>528</v>
      </c>
      <c r="H85" s="129"/>
      <c r="I85" s="130">
        <f t="shared" si="4"/>
        <v>0</v>
      </c>
      <c r="J85" s="110"/>
    </row>
    <row r="86" spans="2:10" x14ac:dyDescent="0.25">
      <c r="B86" s="72"/>
      <c r="C86" s="74"/>
      <c r="D86" s="111"/>
      <c r="E86" s="109"/>
      <c r="F86" s="109"/>
      <c r="G86" s="75"/>
      <c r="H86" s="76"/>
      <c r="I86" s="130">
        <f t="shared" si="4"/>
        <v>0</v>
      </c>
      <c r="J86" s="110"/>
    </row>
    <row r="87" spans="2:10" ht="90" customHeight="1" x14ac:dyDescent="0.25">
      <c r="B87" s="72"/>
      <c r="C87" s="418" t="s">
        <v>1070</v>
      </c>
      <c r="D87" s="419"/>
      <c r="E87" s="109"/>
      <c r="F87" s="109"/>
      <c r="G87" s="75"/>
      <c r="H87" s="76"/>
      <c r="I87" s="130">
        <f t="shared" si="4"/>
        <v>0</v>
      </c>
      <c r="J87" s="110"/>
    </row>
    <row r="88" spans="2:10" x14ac:dyDescent="0.25">
      <c r="B88" s="72"/>
      <c r="C88" s="74"/>
      <c r="D88" s="111"/>
      <c r="E88" s="109"/>
      <c r="F88" s="109"/>
      <c r="G88" s="75"/>
      <c r="H88" s="76"/>
      <c r="I88" s="130">
        <f t="shared" si="4"/>
        <v>0</v>
      </c>
      <c r="J88" s="110"/>
    </row>
    <row r="89" spans="2:10" x14ac:dyDescent="0.25">
      <c r="B89" s="172">
        <f>B85+0.01</f>
        <v>12.179999999999996</v>
      </c>
      <c r="C89" s="74"/>
      <c r="D89" s="82" t="s">
        <v>877</v>
      </c>
      <c r="E89" s="109">
        <f>6.9*2</f>
        <v>13.8</v>
      </c>
      <c r="F89" s="162">
        <v>14</v>
      </c>
      <c r="G89" s="75" t="s">
        <v>659</v>
      </c>
      <c r="H89" s="76"/>
      <c r="I89" s="130">
        <f t="shared" si="4"/>
        <v>0</v>
      </c>
      <c r="J89" s="110"/>
    </row>
    <row r="90" spans="2:10" x14ac:dyDescent="0.25">
      <c r="B90" s="72"/>
      <c r="C90" s="74"/>
      <c r="D90" s="111"/>
      <c r="E90" s="109"/>
      <c r="F90" s="162"/>
      <c r="G90" s="75"/>
      <c r="H90" s="76"/>
      <c r="I90" s="130">
        <f t="shared" si="4"/>
        <v>0</v>
      </c>
      <c r="J90" s="110"/>
    </row>
    <row r="91" spans="2:10" x14ac:dyDescent="0.25">
      <c r="B91" s="164">
        <f>B89+0.01</f>
        <v>12.189999999999996</v>
      </c>
      <c r="C91" s="74"/>
      <c r="D91" s="82" t="s">
        <v>1071</v>
      </c>
      <c r="E91" s="109">
        <v>6.9</v>
      </c>
      <c r="F91" s="162">
        <v>7</v>
      </c>
      <c r="G91" s="75" t="s">
        <v>660</v>
      </c>
      <c r="H91" s="76"/>
      <c r="I91" s="130">
        <f t="shared" si="4"/>
        <v>0</v>
      </c>
      <c r="J91" s="110"/>
    </row>
    <row r="92" spans="2:10" x14ac:dyDescent="0.25">
      <c r="B92" s="72"/>
      <c r="C92" s="74"/>
      <c r="D92" s="111"/>
      <c r="E92" s="109"/>
      <c r="F92" s="109"/>
      <c r="G92" s="75"/>
      <c r="H92" s="76"/>
      <c r="I92" s="130">
        <f t="shared" si="4"/>
        <v>0</v>
      </c>
      <c r="J92" s="110"/>
    </row>
    <row r="93" spans="2:10" ht="47.25" customHeight="1" x14ac:dyDescent="0.25">
      <c r="B93" s="72"/>
      <c r="C93" s="418" t="s">
        <v>998</v>
      </c>
      <c r="D93" s="419"/>
      <c r="E93" s="109"/>
      <c r="F93" s="109"/>
      <c r="G93" s="75"/>
      <c r="H93" s="76"/>
      <c r="I93" s="130">
        <f t="shared" si="4"/>
        <v>0</v>
      </c>
      <c r="J93" s="110"/>
    </row>
    <row r="94" spans="2:10" x14ac:dyDescent="0.25">
      <c r="B94" s="72"/>
      <c r="C94" s="74"/>
      <c r="D94" s="111"/>
      <c r="E94" s="109"/>
      <c r="F94" s="109"/>
      <c r="G94" s="75"/>
      <c r="H94" s="76"/>
      <c r="I94" s="130">
        <f t="shared" si="4"/>
        <v>0</v>
      </c>
      <c r="J94" s="110"/>
    </row>
    <row r="95" spans="2:10" x14ac:dyDescent="0.25">
      <c r="B95" s="179">
        <f>B91+0.01</f>
        <v>12.199999999999996</v>
      </c>
      <c r="C95" s="74"/>
      <c r="D95" s="82" t="s">
        <v>1003</v>
      </c>
      <c r="E95" s="109">
        <f>2.4*2</f>
        <v>4.8</v>
      </c>
      <c r="F95" s="162">
        <v>5</v>
      </c>
      <c r="G95" s="75" t="s">
        <v>660</v>
      </c>
      <c r="H95" s="76"/>
      <c r="I95" s="130">
        <f t="shared" si="4"/>
        <v>0</v>
      </c>
      <c r="J95" s="110"/>
    </row>
    <row r="96" spans="2:10" x14ac:dyDescent="0.25">
      <c r="B96" s="72"/>
      <c r="C96" s="74"/>
      <c r="D96" s="111"/>
      <c r="E96" s="109"/>
      <c r="F96" s="109"/>
      <c r="G96" s="75"/>
      <c r="H96" s="76"/>
      <c r="I96" s="130">
        <f t="shared" si="4"/>
        <v>0</v>
      </c>
      <c r="J96" s="110"/>
    </row>
    <row r="97" spans="2:10" ht="45" x14ac:dyDescent="0.25">
      <c r="B97" s="164">
        <f>B95+0.01</f>
        <v>12.209999999999996</v>
      </c>
      <c r="C97" s="74"/>
      <c r="D97" s="82" t="s">
        <v>1041</v>
      </c>
      <c r="E97" s="343">
        <f>2.4*2</f>
        <v>4.8</v>
      </c>
      <c r="F97" s="344">
        <v>5</v>
      </c>
      <c r="G97" s="128" t="s">
        <v>660</v>
      </c>
      <c r="H97" s="129"/>
      <c r="I97" s="130">
        <f t="shared" si="4"/>
        <v>0</v>
      </c>
      <c r="J97" s="110"/>
    </row>
    <row r="98" spans="2:10" x14ac:dyDescent="0.25">
      <c r="B98" s="72"/>
      <c r="C98" s="74"/>
      <c r="D98" s="111"/>
      <c r="E98" s="109"/>
      <c r="F98" s="109"/>
      <c r="G98" s="75"/>
      <c r="H98" s="76"/>
      <c r="I98" s="130">
        <f t="shared" si="4"/>
        <v>0</v>
      </c>
      <c r="J98" s="110"/>
    </row>
    <row r="99" spans="2:10" ht="45.75" customHeight="1" x14ac:dyDescent="0.25">
      <c r="B99" s="72"/>
      <c r="C99" s="418" t="s">
        <v>1002</v>
      </c>
      <c r="D99" s="419"/>
      <c r="E99" s="109"/>
      <c r="F99" s="109"/>
      <c r="G99" s="75"/>
      <c r="H99" s="76"/>
      <c r="I99" s="130">
        <f t="shared" si="4"/>
        <v>0</v>
      </c>
      <c r="J99" s="110"/>
    </row>
    <row r="100" spans="2:10" x14ac:dyDescent="0.25">
      <c r="B100" s="72"/>
      <c r="C100" s="74"/>
      <c r="D100" s="111"/>
      <c r="E100" s="109"/>
      <c r="F100" s="109"/>
      <c r="G100" s="75"/>
      <c r="H100" s="76"/>
      <c r="I100" s="130">
        <f t="shared" si="4"/>
        <v>0</v>
      </c>
      <c r="J100" s="110"/>
    </row>
    <row r="101" spans="2:10" x14ac:dyDescent="0.25">
      <c r="B101" s="179">
        <f>B97+0.01</f>
        <v>12.219999999999995</v>
      </c>
      <c r="C101" s="74"/>
      <c r="D101" s="82" t="s">
        <v>1378</v>
      </c>
      <c r="E101" s="109">
        <f>2.4*2</f>
        <v>4.8</v>
      </c>
      <c r="F101" s="162">
        <v>5</v>
      </c>
      <c r="G101" s="75" t="s">
        <v>660</v>
      </c>
      <c r="H101" s="76"/>
      <c r="I101" s="130">
        <f t="shared" si="4"/>
        <v>0</v>
      </c>
      <c r="J101" s="110"/>
    </row>
    <row r="102" spans="2:10" x14ac:dyDescent="0.25">
      <c r="B102" s="72"/>
      <c r="C102" s="74"/>
      <c r="D102" s="111"/>
      <c r="E102" s="109"/>
      <c r="F102" s="109"/>
      <c r="G102" s="75"/>
      <c r="H102" s="76"/>
      <c r="I102" s="130">
        <f t="shared" si="4"/>
        <v>0</v>
      </c>
      <c r="J102" s="110"/>
    </row>
    <row r="103" spans="2:10" ht="61.5" customHeight="1" x14ac:dyDescent="0.25">
      <c r="B103" s="72"/>
      <c r="C103" s="437" t="s">
        <v>1072</v>
      </c>
      <c r="D103" s="438"/>
      <c r="E103" s="109"/>
      <c r="F103" s="109"/>
      <c r="G103" s="75"/>
      <c r="H103" s="76"/>
      <c r="I103" s="130">
        <f t="shared" si="4"/>
        <v>0</v>
      </c>
      <c r="J103" s="110"/>
    </row>
    <row r="104" spans="2:10" x14ac:dyDescent="0.25">
      <c r="B104" s="72"/>
      <c r="C104" s="74"/>
      <c r="D104" s="111"/>
      <c r="E104" s="109"/>
      <c r="F104" s="109"/>
      <c r="G104" s="75"/>
      <c r="H104" s="76"/>
      <c r="I104" s="130">
        <f t="shared" si="4"/>
        <v>0</v>
      </c>
      <c r="J104" s="110"/>
    </row>
    <row r="105" spans="2:10" x14ac:dyDescent="0.25">
      <c r="B105" s="72"/>
      <c r="C105" s="434" t="s">
        <v>994</v>
      </c>
      <c r="D105" s="435"/>
      <c r="E105" s="109"/>
      <c r="F105" s="109"/>
      <c r="G105" s="75"/>
      <c r="H105" s="76"/>
      <c r="I105" s="130">
        <f t="shared" si="4"/>
        <v>0</v>
      </c>
      <c r="J105" s="110"/>
    </row>
    <row r="106" spans="2:10" x14ac:dyDescent="0.25">
      <c r="B106" s="72"/>
      <c r="C106" s="74"/>
      <c r="D106" s="111"/>
      <c r="E106" s="109"/>
      <c r="F106" s="109"/>
      <c r="G106" s="75"/>
      <c r="H106" s="76"/>
      <c r="I106" s="130">
        <f t="shared" si="4"/>
        <v>0</v>
      </c>
      <c r="J106" s="110"/>
    </row>
    <row r="107" spans="2:10" x14ac:dyDescent="0.25">
      <c r="B107" s="179">
        <f>B101+0.01</f>
        <v>12.229999999999995</v>
      </c>
      <c r="C107" s="74"/>
      <c r="D107" s="82" t="s">
        <v>877</v>
      </c>
      <c r="E107" s="109">
        <f>((5.5+3)*2*2.95)-(0.9*2.1)</f>
        <v>48.260000000000005</v>
      </c>
      <c r="F107" s="162">
        <v>48</v>
      </c>
      <c r="G107" s="75" t="s">
        <v>659</v>
      </c>
      <c r="H107" s="76"/>
      <c r="I107" s="130">
        <f t="shared" si="4"/>
        <v>0</v>
      </c>
      <c r="J107" s="110"/>
    </row>
    <row r="108" spans="2:10" x14ac:dyDescent="0.25">
      <c r="B108" s="72"/>
      <c r="C108" s="74"/>
      <c r="D108" s="111"/>
      <c r="E108" s="109"/>
      <c r="F108" s="109"/>
      <c r="G108" s="75"/>
      <c r="H108" s="76"/>
      <c r="I108" s="130">
        <f t="shared" si="4"/>
        <v>0</v>
      </c>
      <c r="J108" s="110"/>
    </row>
    <row r="109" spans="2:10" x14ac:dyDescent="0.25">
      <c r="B109" s="164">
        <f>B107+0.01</f>
        <v>12.239999999999995</v>
      </c>
      <c r="C109" s="74"/>
      <c r="D109" s="82" t="s">
        <v>993</v>
      </c>
      <c r="E109" s="109">
        <f>(0.91+0.88)*2</f>
        <v>3.58</v>
      </c>
      <c r="F109" s="162">
        <v>4</v>
      </c>
      <c r="G109" s="75" t="s">
        <v>660</v>
      </c>
      <c r="H109" s="76"/>
      <c r="I109" s="130">
        <f t="shared" si="4"/>
        <v>0</v>
      </c>
      <c r="J109" s="110"/>
    </row>
    <row r="110" spans="2:10" x14ac:dyDescent="0.25">
      <c r="B110" s="72"/>
      <c r="C110" s="74"/>
      <c r="D110" s="111"/>
      <c r="E110" s="109"/>
      <c r="F110" s="109"/>
      <c r="G110" s="75"/>
      <c r="H110" s="76"/>
      <c r="I110" s="130">
        <f t="shared" si="4"/>
        <v>0</v>
      </c>
      <c r="J110" s="110"/>
    </row>
    <row r="111" spans="2:10" ht="61.5" customHeight="1" x14ac:dyDescent="0.25">
      <c r="B111" s="72"/>
      <c r="C111" s="437" t="s">
        <v>1000</v>
      </c>
      <c r="D111" s="438"/>
      <c r="E111" s="109"/>
      <c r="F111" s="109"/>
      <c r="G111" s="75"/>
      <c r="H111" s="76"/>
      <c r="I111" s="130">
        <f t="shared" si="4"/>
        <v>0</v>
      </c>
      <c r="J111" s="110"/>
    </row>
    <row r="112" spans="2:10" x14ac:dyDescent="0.25">
      <c r="B112" s="72"/>
      <c r="C112" s="74"/>
      <c r="D112" s="111"/>
      <c r="E112" s="109"/>
      <c r="F112" s="109"/>
      <c r="G112" s="75"/>
      <c r="H112" s="76"/>
      <c r="I112" s="130">
        <f t="shared" si="4"/>
        <v>0</v>
      </c>
      <c r="J112" s="110"/>
    </row>
    <row r="113" spans="2:10" ht="15.75" customHeight="1" x14ac:dyDescent="0.25">
      <c r="B113" s="72"/>
      <c r="C113" s="434" t="s">
        <v>999</v>
      </c>
      <c r="D113" s="435"/>
      <c r="E113" s="109"/>
      <c r="F113" s="109"/>
      <c r="G113" s="75"/>
      <c r="H113" s="76"/>
      <c r="I113" s="130">
        <f t="shared" si="4"/>
        <v>0</v>
      </c>
      <c r="J113" s="110"/>
    </row>
    <row r="114" spans="2:10" x14ac:dyDescent="0.25">
      <c r="B114" s="72"/>
      <c r="C114" s="74"/>
      <c r="D114" s="111"/>
      <c r="E114" s="109"/>
      <c r="F114" s="109"/>
      <c r="G114" s="75"/>
      <c r="H114" s="76"/>
      <c r="I114" s="130">
        <f t="shared" si="4"/>
        <v>0</v>
      </c>
      <c r="J114" s="110"/>
    </row>
    <row r="115" spans="2:10" x14ac:dyDescent="0.25">
      <c r="B115" s="179">
        <f>B109+0.01</f>
        <v>12.249999999999995</v>
      </c>
      <c r="C115" s="74"/>
      <c r="D115" s="82" t="s">
        <v>877</v>
      </c>
      <c r="E115" s="109">
        <f>(2.6*2.4)+((1.6+1.6+2.6-1.1)*1.5)</f>
        <v>13.290000000000003</v>
      </c>
      <c r="F115" s="162">
        <v>13</v>
      </c>
      <c r="G115" s="75" t="s">
        <v>659</v>
      </c>
      <c r="H115" s="76"/>
      <c r="I115" s="130">
        <f t="shared" si="4"/>
        <v>0</v>
      </c>
      <c r="J115" s="110"/>
    </row>
    <row r="116" spans="2:10" x14ac:dyDescent="0.25">
      <c r="B116" s="72"/>
      <c r="C116" s="74"/>
      <c r="D116" s="111"/>
      <c r="E116" s="109"/>
      <c r="F116" s="109"/>
      <c r="G116" s="75"/>
      <c r="H116" s="76"/>
      <c r="I116" s="130">
        <f t="shared" si="4"/>
        <v>0</v>
      </c>
      <c r="J116" s="110"/>
    </row>
    <row r="117" spans="2:10" x14ac:dyDescent="0.25">
      <c r="B117" s="164">
        <f>B115+0.01</f>
        <v>12.259999999999994</v>
      </c>
      <c r="C117" s="74"/>
      <c r="D117" s="82" t="s">
        <v>993</v>
      </c>
      <c r="E117" s="109">
        <f>1.5*2</f>
        <v>3</v>
      </c>
      <c r="F117" s="162">
        <v>3</v>
      </c>
      <c r="G117" s="75" t="s">
        <v>660</v>
      </c>
      <c r="H117" s="76"/>
      <c r="I117" s="130">
        <f t="shared" si="4"/>
        <v>0</v>
      </c>
      <c r="J117" s="110"/>
    </row>
    <row r="118" spans="2:10" x14ac:dyDescent="0.25">
      <c r="B118" s="72"/>
      <c r="C118" s="74"/>
      <c r="D118" s="111"/>
      <c r="E118" s="109"/>
      <c r="F118" s="109"/>
      <c r="G118" s="75"/>
      <c r="H118" s="76"/>
      <c r="I118" s="130">
        <f t="shared" si="4"/>
        <v>0</v>
      </c>
      <c r="J118" s="110"/>
    </row>
    <row r="119" spans="2:10" x14ac:dyDescent="0.25">
      <c r="B119" s="164">
        <f>B117+0.01</f>
        <v>12.269999999999994</v>
      </c>
      <c r="C119" s="74"/>
      <c r="D119" s="340" t="s">
        <v>1001</v>
      </c>
      <c r="E119" s="109">
        <v>1</v>
      </c>
      <c r="F119" s="162">
        <v>1</v>
      </c>
      <c r="G119" s="75" t="s">
        <v>528</v>
      </c>
      <c r="H119" s="76"/>
      <c r="I119" s="130">
        <f t="shared" si="4"/>
        <v>0</v>
      </c>
      <c r="J119" s="110"/>
    </row>
    <row r="120" spans="2:10" x14ac:dyDescent="0.25">
      <c r="B120" s="72"/>
      <c r="C120" s="74"/>
      <c r="D120" s="111"/>
      <c r="E120" s="109"/>
      <c r="F120" s="109"/>
      <c r="G120" s="75"/>
      <c r="H120" s="76"/>
      <c r="I120" s="130">
        <f t="shared" si="4"/>
        <v>0</v>
      </c>
      <c r="J120" s="110"/>
    </row>
    <row r="121" spans="2:10" x14ac:dyDescent="0.25">
      <c r="B121" s="164">
        <f>B119+0.01</f>
        <v>12.279999999999994</v>
      </c>
      <c r="C121" s="74"/>
      <c r="D121" s="82" t="s">
        <v>1054</v>
      </c>
      <c r="E121" s="109">
        <v>2</v>
      </c>
      <c r="F121" s="162">
        <v>2</v>
      </c>
      <c r="G121" s="75" t="s">
        <v>582</v>
      </c>
      <c r="H121" s="76"/>
      <c r="I121" s="130">
        <f t="shared" si="4"/>
        <v>0</v>
      </c>
      <c r="J121" s="110"/>
    </row>
    <row r="122" spans="2:10" x14ac:dyDescent="0.25">
      <c r="B122" s="72"/>
      <c r="C122" s="74"/>
      <c r="D122" s="111"/>
      <c r="E122" s="109"/>
      <c r="F122" s="109"/>
      <c r="G122" s="75"/>
      <c r="H122" s="76"/>
      <c r="I122" s="130">
        <f t="shared" si="4"/>
        <v>0</v>
      </c>
      <c r="J122" s="110"/>
    </row>
    <row r="123" spans="2:10" x14ac:dyDescent="0.25">
      <c r="B123" s="164">
        <f>B121+0.01</f>
        <v>12.289999999999994</v>
      </c>
      <c r="C123" s="74"/>
      <c r="D123" s="82" t="s">
        <v>1055</v>
      </c>
      <c r="E123" s="109">
        <v>1</v>
      </c>
      <c r="F123" s="162">
        <v>1</v>
      </c>
      <c r="G123" s="75" t="s">
        <v>582</v>
      </c>
      <c r="H123" s="76"/>
      <c r="I123" s="130">
        <f t="shared" si="4"/>
        <v>0</v>
      </c>
      <c r="J123" s="110"/>
    </row>
    <row r="124" spans="2:10" x14ac:dyDescent="0.25">
      <c r="B124" s="72"/>
      <c r="C124" s="74"/>
      <c r="D124" s="111"/>
      <c r="E124" s="109"/>
      <c r="F124" s="109"/>
      <c r="G124" s="75"/>
      <c r="H124" s="76"/>
      <c r="I124" s="130"/>
      <c r="J124" s="110"/>
    </row>
    <row r="125" spans="2:10" x14ac:dyDescent="0.25">
      <c r="B125" s="179">
        <f>B123+0.01</f>
        <v>12.299999999999994</v>
      </c>
      <c r="C125" s="74"/>
      <c r="D125" s="82" t="s">
        <v>1056</v>
      </c>
      <c r="E125" s="109">
        <v>1</v>
      </c>
      <c r="F125" s="162">
        <v>1</v>
      </c>
      <c r="G125" s="75" t="s">
        <v>582</v>
      </c>
      <c r="H125" s="76"/>
      <c r="I125" s="130">
        <f t="shared" ref="I125" si="5">F125*H125</f>
        <v>0</v>
      </c>
      <c r="J125" s="110"/>
    </row>
    <row r="126" spans="2:10" x14ac:dyDescent="0.25">
      <c r="B126" s="72"/>
      <c r="C126" s="74"/>
      <c r="D126" s="111"/>
      <c r="E126" s="109"/>
      <c r="F126" s="109"/>
      <c r="G126" s="75"/>
      <c r="H126" s="76"/>
      <c r="I126" s="130"/>
      <c r="J126" s="110"/>
    </row>
    <row r="127" spans="2:10" ht="58.5" customHeight="1" x14ac:dyDescent="0.25">
      <c r="B127" s="72"/>
      <c r="C127" s="437" t="s">
        <v>995</v>
      </c>
      <c r="D127" s="438"/>
      <c r="E127" s="109"/>
      <c r="F127" s="109"/>
      <c r="G127" s="75"/>
      <c r="H127" s="76"/>
      <c r="I127" s="130">
        <f t="shared" si="4"/>
        <v>0</v>
      </c>
      <c r="J127" s="110"/>
    </row>
    <row r="128" spans="2:10" x14ac:dyDescent="0.25">
      <c r="B128" s="72"/>
      <c r="C128" s="74"/>
      <c r="D128" s="111"/>
      <c r="E128" s="109"/>
      <c r="F128" s="109"/>
      <c r="G128" s="75"/>
      <c r="H128" s="76"/>
      <c r="I128" s="130">
        <f t="shared" si="4"/>
        <v>0</v>
      </c>
      <c r="J128" s="110"/>
    </row>
    <row r="129" spans="2:10" ht="28.5" customHeight="1" x14ac:dyDescent="0.25">
      <c r="B129" s="72"/>
      <c r="C129" s="418" t="s">
        <v>991</v>
      </c>
      <c r="D129" s="419"/>
      <c r="E129" s="109"/>
      <c r="F129" s="109"/>
      <c r="G129" s="75"/>
      <c r="H129" s="76"/>
      <c r="I129" s="130">
        <f t="shared" si="4"/>
        <v>0</v>
      </c>
      <c r="J129" s="110"/>
    </row>
    <row r="130" spans="2:10" x14ac:dyDescent="0.25">
      <c r="B130" s="72"/>
      <c r="C130" s="74"/>
      <c r="D130" s="111"/>
      <c r="E130" s="109"/>
      <c r="F130" s="109"/>
      <c r="G130" s="75"/>
      <c r="H130" s="76"/>
      <c r="I130" s="130">
        <f t="shared" si="4"/>
        <v>0</v>
      </c>
      <c r="J130" s="110"/>
    </row>
    <row r="131" spans="2:10" x14ac:dyDescent="0.25">
      <c r="B131" s="164">
        <f>B125+0.01</f>
        <v>12.309999999999993</v>
      </c>
      <c r="C131" s="74"/>
      <c r="D131" s="82" t="s">
        <v>996</v>
      </c>
      <c r="E131" s="109">
        <v>1</v>
      </c>
      <c r="F131" s="162">
        <v>1</v>
      </c>
      <c r="G131" s="75" t="s">
        <v>582</v>
      </c>
      <c r="H131" s="76"/>
      <c r="I131" s="130">
        <f t="shared" si="4"/>
        <v>0</v>
      </c>
      <c r="J131" s="110"/>
    </row>
    <row r="132" spans="2:10" x14ac:dyDescent="0.25">
      <c r="B132" s="72"/>
      <c r="C132" s="74"/>
      <c r="D132" s="111"/>
      <c r="E132" s="109"/>
      <c r="F132" s="109"/>
      <c r="G132" s="75"/>
      <c r="H132" s="76"/>
      <c r="I132" s="130">
        <f t="shared" si="4"/>
        <v>0</v>
      </c>
      <c r="J132" s="110"/>
    </row>
    <row r="133" spans="2:10" x14ac:dyDescent="0.25">
      <c r="B133" s="179">
        <f>B131+0.01</f>
        <v>12.319999999999993</v>
      </c>
      <c r="C133" s="74"/>
      <c r="D133" s="82" t="s">
        <v>997</v>
      </c>
      <c r="E133" s="109">
        <v>1</v>
      </c>
      <c r="F133" s="162">
        <v>1</v>
      </c>
      <c r="G133" s="75" t="s">
        <v>582</v>
      </c>
      <c r="H133" s="76"/>
      <c r="I133" s="130">
        <f t="shared" si="4"/>
        <v>0</v>
      </c>
      <c r="J133" s="110"/>
    </row>
    <row r="134" spans="2:10" x14ac:dyDescent="0.25">
      <c r="B134" s="72"/>
      <c r="C134" s="74"/>
      <c r="D134" s="111"/>
      <c r="E134" s="109"/>
      <c r="F134" s="109"/>
      <c r="G134" s="75"/>
      <c r="H134" s="76"/>
      <c r="I134" s="130">
        <f t="shared" si="4"/>
        <v>0</v>
      </c>
      <c r="J134" s="110"/>
    </row>
    <row r="135" spans="2:10" x14ac:dyDescent="0.25">
      <c r="B135" s="72"/>
      <c r="C135" s="443" t="s">
        <v>985</v>
      </c>
      <c r="D135" s="444"/>
      <c r="E135" s="109"/>
      <c r="F135" s="109"/>
      <c r="G135" s="75"/>
      <c r="H135" s="76"/>
      <c r="I135" s="130">
        <f t="shared" si="4"/>
        <v>0</v>
      </c>
      <c r="J135" s="110"/>
    </row>
    <row r="136" spans="2:10" x14ac:dyDescent="0.25">
      <c r="B136" s="72"/>
      <c r="C136" s="74"/>
      <c r="D136" s="111"/>
      <c r="E136" s="109"/>
      <c r="F136" s="109"/>
      <c r="G136" s="75"/>
      <c r="H136" s="76"/>
      <c r="I136" s="130">
        <f t="shared" si="4"/>
        <v>0</v>
      </c>
      <c r="J136" s="110"/>
    </row>
    <row r="137" spans="2:10" ht="58.5" customHeight="1" x14ac:dyDescent="0.25">
      <c r="B137" s="72"/>
      <c r="C137" s="437" t="s">
        <v>1379</v>
      </c>
      <c r="D137" s="438"/>
      <c r="E137" s="109"/>
      <c r="F137" s="109"/>
      <c r="G137" s="75"/>
      <c r="H137" s="76"/>
      <c r="I137" s="130">
        <f t="shared" si="4"/>
        <v>0</v>
      </c>
      <c r="J137" s="110"/>
    </row>
    <row r="138" spans="2:10" x14ac:dyDescent="0.25">
      <c r="B138" s="72"/>
      <c r="C138" s="74"/>
      <c r="D138" s="111"/>
      <c r="E138" s="109"/>
      <c r="F138" s="109"/>
      <c r="G138" s="75"/>
      <c r="H138" s="76"/>
      <c r="I138" s="130">
        <f t="shared" si="4"/>
        <v>0</v>
      </c>
      <c r="J138" s="110"/>
    </row>
    <row r="139" spans="2:10" x14ac:dyDescent="0.25">
      <c r="B139" s="72"/>
      <c r="C139" s="434" t="s">
        <v>986</v>
      </c>
      <c r="D139" s="435"/>
      <c r="E139" s="109"/>
      <c r="F139" s="109"/>
      <c r="G139" s="75"/>
      <c r="H139" s="76"/>
      <c r="I139" s="130">
        <f t="shared" si="4"/>
        <v>0</v>
      </c>
      <c r="J139" s="110"/>
    </row>
    <row r="140" spans="2:10" x14ac:dyDescent="0.25">
      <c r="B140" s="72"/>
      <c r="C140" s="74"/>
      <c r="D140" s="111"/>
      <c r="E140" s="109"/>
      <c r="F140" s="109"/>
      <c r="G140" s="75"/>
      <c r="H140" s="76"/>
      <c r="I140" s="130">
        <f t="shared" si="4"/>
        <v>0</v>
      </c>
      <c r="J140" s="110"/>
    </row>
    <row r="141" spans="2:10" x14ac:dyDescent="0.25">
      <c r="B141" s="172">
        <f>B133+0.01</f>
        <v>12.329999999999993</v>
      </c>
      <c r="C141" s="74"/>
      <c r="D141" s="82" t="s">
        <v>1006</v>
      </c>
      <c r="E141" s="109">
        <f>((7*4.2)+(3.6*3.55)+(7*2.9)-(2.4*1.2)-((2.1+2.8)*2.1)-(1*2)-(1.1*2))+((1.5+3.6+5.4+1.3+2.6+1.6)*2*2.38)+((2.3+2.3+1.6+1.8+1.8+1)*2.38)-(1*2*4)-(0.9*2*1)-(0.8*2*2)-E115+(3.6*1.5)</f>
        <v>126.08399999999999</v>
      </c>
      <c r="F141" s="162">
        <v>130</v>
      </c>
      <c r="G141" s="75" t="s">
        <v>659</v>
      </c>
      <c r="H141" s="76"/>
      <c r="I141" s="130">
        <f t="shared" si="4"/>
        <v>0</v>
      </c>
      <c r="J141" s="110"/>
    </row>
    <row r="142" spans="2:10" x14ac:dyDescent="0.25">
      <c r="B142" s="72"/>
      <c r="C142" s="74"/>
      <c r="D142" s="111"/>
      <c r="E142" s="109"/>
      <c r="F142" s="109"/>
      <c r="G142" s="75"/>
      <c r="H142" s="76"/>
      <c r="I142" s="130">
        <f t="shared" si="4"/>
        <v>0</v>
      </c>
      <c r="J142" s="110"/>
    </row>
    <row r="143" spans="2:10" ht="41.25" customHeight="1" x14ac:dyDescent="0.25">
      <c r="B143" s="164">
        <f>B141+0.01</f>
        <v>12.339999999999993</v>
      </c>
      <c r="C143" s="74"/>
      <c r="D143" s="377" t="s">
        <v>1293</v>
      </c>
      <c r="E143" s="343">
        <f>(7*2)-(1*2)-(1.04*1.21)</f>
        <v>10.7416</v>
      </c>
      <c r="F143" s="344">
        <v>11</v>
      </c>
      <c r="G143" s="128" t="s">
        <v>659</v>
      </c>
      <c r="H143" s="129"/>
      <c r="I143" s="130">
        <f t="shared" si="4"/>
        <v>0</v>
      </c>
      <c r="J143" s="110"/>
    </row>
    <row r="144" spans="2:10" x14ac:dyDescent="0.25">
      <c r="B144" s="72"/>
      <c r="C144" s="74"/>
      <c r="D144" s="111"/>
      <c r="E144" s="109"/>
      <c r="F144" s="109"/>
      <c r="G144" s="75"/>
      <c r="H144" s="76"/>
      <c r="I144" s="130">
        <f t="shared" si="4"/>
        <v>0</v>
      </c>
      <c r="J144" s="110"/>
    </row>
    <row r="145" spans="2:10" x14ac:dyDescent="0.25">
      <c r="B145" s="179">
        <f>B143+0.01</f>
        <v>12.349999999999993</v>
      </c>
      <c r="C145" s="74"/>
      <c r="D145" s="82" t="s">
        <v>1380</v>
      </c>
      <c r="E145" s="109">
        <f>E83</f>
        <v>23.900000000000002</v>
      </c>
      <c r="F145" s="162">
        <v>24</v>
      </c>
      <c r="G145" s="75" t="s">
        <v>660</v>
      </c>
      <c r="H145" s="76"/>
      <c r="I145" s="130">
        <f>F145*H145</f>
        <v>0</v>
      </c>
      <c r="J145" s="110"/>
    </row>
    <row r="146" spans="2:10" x14ac:dyDescent="0.25">
      <c r="B146" s="72"/>
      <c r="C146" s="74"/>
      <c r="D146" s="111"/>
      <c r="E146" s="109"/>
      <c r="F146" s="109"/>
      <c r="G146" s="75"/>
      <c r="H146" s="76"/>
      <c r="I146" s="130">
        <f t="shared" si="4"/>
        <v>0</v>
      </c>
      <c r="J146" s="110"/>
    </row>
    <row r="147" spans="2:10" x14ac:dyDescent="0.25">
      <c r="B147" s="179">
        <f>B145+0.01</f>
        <v>12.359999999999992</v>
      </c>
      <c r="C147" s="74"/>
      <c r="D147" s="82" t="s">
        <v>1007</v>
      </c>
      <c r="E147" s="109">
        <f>((2.5+2.5)*2*2.4)-(1*2)</f>
        <v>22</v>
      </c>
      <c r="F147" s="162">
        <v>22</v>
      </c>
      <c r="G147" s="75" t="s">
        <v>659</v>
      </c>
      <c r="H147" s="76"/>
      <c r="I147" s="130">
        <f t="shared" si="4"/>
        <v>0</v>
      </c>
      <c r="J147" s="110"/>
    </row>
    <row r="148" spans="2:10" x14ac:dyDescent="0.25">
      <c r="B148" s="72"/>
      <c r="C148" s="74"/>
      <c r="D148" s="111"/>
      <c r="E148" s="109"/>
      <c r="F148" s="109"/>
      <c r="G148" s="75"/>
      <c r="H148" s="76"/>
      <c r="I148" s="130">
        <f t="shared" si="4"/>
        <v>0</v>
      </c>
      <c r="J148" s="110"/>
    </row>
    <row r="149" spans="2:10" x14ac:dyDescent="0.25">
      <c r="B149" s="179">
        <f>B147+0.01</f>
        <v>12.369999999999992</v>
      </c>
      <c r="C149" s="74"/>
      <c r="D149" s="82" t="s">
        <v>1381</v>
      </c>
      <c r="E149" s="109">
        <f>'External Walls'!E159</f>
        <v>7.7700000000000005</v>
      </c>
      <c r="F149" s="162">
        <v>8</v>
      </c>
      <c r="G149" s="75" t="s">
        <v>660</v>
      </c>
      <c r="H149" s="76"/>
      <c r="I149" s="130">
        <f t="shared" si="4"/>
        <v>0</v>
      </c>
      <c r="J149" s="110"/>
    </row>
    <row r="150" spans="2:10" x14ac:dyDescent="0.25">
      <c r="B150" s="72"/>
      <c r="C150" s="74"/>
      <c r="D150" s="111"/>
      <c r="E150" s="109"/>
      <c r="F150" s="109"/>
      <c r="G150" s="75"/>
      <c r="H150" s="76"/>
      <c r="I150" s="130">
        <f t="shared" si="4"/>
        <v>0</v>
      </c>
      <c r="J150" s="110"/>
    </row>
    <row r="151" spans="2:10" x14ac:dyDescent="0.25">
      <c r="B151" s="72"/>
      <c r="C151" s="74"/>
      <c r="D151" s="111"/>
      <c r="E151" s="109"/>
      <c r="F151" s="109"/>
      <c r="G151" s="75"/>
      <c r="H151" s="76"/>
      <c r="I151" s="130">
        <f t="shared" si="4"/>
        <v>0</v>
      </c>
      <c r="J151" s="110"/>
    </row>
    <row r="152" spans="2:10" x14ac:dyDescent="0.25">
      <c r="B152" s="77"/>
      <c r="C152" s="73" t="s">
        <v>549</v>
      </c>
      <c r="D152" s="160"/>
      <c r="E152" s="161"/>
      <c r="F152" s="161"/>
      <c r="G152" s="78"/>
      <c r="H152" s="79"/>
      <c r="I152" s="130">
        <f t="shared" si="4"/>
        <v>0</v>
      </c>
      <c r="J152" s="110"/>
    </row>
    <row r="153" spans="2:10" x14ac:dyDescent="0.25">
      <c r="B153" s="77"/>
      <c r="C153" s="74"/>
      <c r="D153" s="160"/>
      <c r="E153" s="161"/>
      <c r="F153" s="161"/>
      <c r="G153" s="78"/>
      <c r="H153" s="79"/>
      <c r="I153" s="130">
        <f t="shared" si="4"/>
        <v>0</v>
      </c>
      <c r="J153" s="110"/>
    </row>
    <row r="154" spans="2:10" x14ac:dyDescent="0.25">
      <c r="B154" s="77"/>
      <c r="C154" s="159" t="s">
        <v>550</v>
      </c>
      <c r="D154" s="160"/>
      <c r="E154" s="161"/>
      <c r="F154" s="161"/>
      <c r="G154" s="78"/>
      <c r="H154" s="79"/>
      <c r="I154" s="130">
        <f t="shared" si="4"/>
        <v>0</v>
      </c>
      <c r="J154" s="110"/>
    </row>
    <row r="155" spans="2:10" x14ac:dyDescent="0.25">
      <c r="B155" s="77"/>
      <c r="C155" s="74"/>
      <c r="D155" s="160"/>
      <c r="E155" s="161"/>
      <c r="F155" s="161"/>
      <c r="G155" s="78"/>
      <c r="H155" s="79"/>
      <c r="I155" s="130">
        <f t="shared" si="4"/>
        <v>0</v>
      </c>
      <c r="J155" s="110"/>
    </row>
    <row r="156" spans="2:10" x14ac:dyDescent="0.25">
      <c r="B156" s="77"/>
      <c r="C156" s="74" t="s">
        <v>551</v>
      </c>
      <c r="D156" s="160"/>
      <c r="E156" s="161"/>
      <c r="F156" s="161"/>
      <c r="G156" s="78"/>
      <c r="H156" s="79"/>
      <c r="I156" s="130">
        <f t="shared" si="4"/>
        <v>0</v>
      </c>
      <c r="J156" s="110"/>
    </row>
    <row r="157" spans="2:10" x14ac:dyDescent="0.25">
      <c r="B157" s="77"/>
      <c r="C157" s="74"/>
      <c r="D157" s="160"/>
      <c r="E157" s="161"/>
      <c r="F157" s="161"/>
      <c r="G157" s="78"/>
      <c r="H157" s="79"/>
      <c r="I157" s="130">
        <f t="shared" si="4"/>
        <v>0</v>
      </c>
      <c r="J157" s="110"/>
    </row>
    <row r="158" spans="2:10" x14ac:dyDescent="0.25">
      <c r="B158" s="173">
        <f>B149+0.01</f>
        <v>12.379999999999992</v>
      </c>
      <c r="C158" s="74"/>
      <c r="D158" s="112" t="s">
        <v>527</v>
      </c>
      <c r="E158" s="162"/>
      <c r="F158" s="162">
        <v>1</v>
      </c>
      <c r="G158" s="75" t="s">
        <v>528</v>
      </c>
      <c r="H158" s="76"/>
      <c r="I158" s="130">
        <f t="shared" ref="I158:I177" si="6">F158*H158</f>
        <v>0</v>
      </c>
      <c r="J158" s="110"/>
    </row>
    <row r="159" spans="2:10" x14ac:dyDescent="0.25">
      <c r="B159" s="77"/>
      <c r="C159" s="74"/>
      <c r="D159" s="160"/>
      <c r="E159" s="161"/>
      <c r="F159" s="161"/>
      <c r="G159" s="78"/>
      <c r="H159" s="79"/>
      <c r="I159" s="130">
        <f t="shared" si="6"/>
        <v>0</v>
      </c>
      <c r="J159" s="110"/>
    </row>
    <row r="160" spans="2:10" ht="15.75" x14ac:dyDescent="0.25">
      <c r="B160" s="77"/>
      <c r="C160" s="432" t="s">
        <v>634</v>
      </c>
      <c r="D160" s="433"/>
      <c r="E160" s="161"/>
      <c r="F160" s="161"/>
      <c r="G160" s="78"/>
      <c r="H160" s="79"/>
      <c r="I160" s="130">
        <f t="shared" si="6"/>
        <v>0</v>
      </c>
      <c r="J160" s="110"/>
    </row>
    <row r="161" spans="2:10" x14ac:dyDescent="0.25">
      <c r="B161" s="77"/>
      <c r="C161" s="74"/>
      <c r="D161" s="160"/>
      <c r="E161" s="161"/>
      <c r="F161" s="161"/>
      <c r="G161" s="78"/>
      <c r="H161" s="79"/>
      <c r="I161" s="130">
        <f t="shared" si="6"/>
        <v>0</v>
      </c>
      <c r="J161" s="110"/>
    </row>
    <row r="162" spans="2:10" x14ac:dyDescent="0.25">
      <c r="B162" s="77"/>
      <c r="C162" s="418" t="s">
        <v>650</v>
      </c>
      <c r="D162" s="419"/>
      <c r="E162" s="161"/>
      <c r="F162" s="161"/>
      <c r="G162" s="78"/>
      <c r="H162" s="79"/>
      <c r="I162" s="130">
        <f t="shared" si="6"/>
        <v>0</v>
      </c>
      <c r="J162" s="110"/>
    </row>
    <row r="163" spans="2:10" x14ac:dyDescent="0.25">
      <c r="B163" s="77"/>
      <c r="C163" s="74"/>
      <c r="D163" s="160"/>
      <c r="E163" s="161"/>
      <c r="F163" s="161"/>
      <c r="G163" s="78"/>
      <c r="H163" s="79"/>
      <c r="I163" s="130">
        <f t="shared" si="6"/>
        <v>0</v>
      </c>
      <c r="J163" s="110"/>
    </row>
    <row r="164" spans="2:10" x14ac:dyDescent="0.25">
      <c r="B164" s="172">
        <f>B158+0.01</f>
        <v>12.389999999999992</v>
      </c>
      <c r="C164" s="74"/>
      <c r="D164" s="112" t="s">
        <v>527</v>
      </c>
      <c r="E164" s="162"/>
      <c r="F164" s="162">
        <v>1</v>
      </c>
      <c r="G164" s="75" t="s">
        <v>528</v>
      </c>
      <c r="H164" s="76"/>
      <c r="I164" s="130">
        <f t="shared" si="6"/>
        <v>0</v>
      </c>
      <c r="J164" s="110"/>
    </row>
    <row r="165" spans="2:10" x14ac:dyDescent="0.25">
      <c r="B165" s="77"/>
      <c r="C165" s="74"/>
      <c r="D165" s="160"/>
      <c r="E165" s="161"/>
      <c r="F165" s="161"/>
      <c r="G165" s="78"/>
      <c r="H165" s="79"/>
      <c r="I165" s="130">
        <f t="shared" si="6"/>
        <v>0</v>
      </c>
      <c r="J165" s="110"/>
    </row>
    <row r="166" spans="2:10" x14ac:dyDescent="0.25">
      <c r="B166" s="77"/>
      <c r="C166" s="159" t="s">
        <v>556</v>
      </c>
      <c r="D166" s="160"/>
      <c r="E166" s="161"/>
      <c r="F166" s="161"/>
      <c r="G166" s="78"/>
      <c r="H166" s="79"/>
      <c r="I166" s="130">
        <f t="shared" si="6"/>
        <v>0</v>
      </c>
      <c r="J166" s="110"/>
    </row>
    <row r="167" spans="2:10" ht="15" customHeight="1" x14ac:dyDescent="0.25">
      <c r="B167" s="77"/>
      <c r="C167" s="74"/>
      <c r="D167" s="160"/>
      <c r="E167" s="161"/>
      <c r="F167" s="161"/>
      <c r="G167" s="78"/>
      <c r="H167" s="79"/>
      <c r="I167" s="130">
        <f t="shared" si="6"/>
        <v>0</v>
      </c>
      <c r="J167" s="110"/>
    </row>
    <row r="168" spans="2:10" x14ac:dyDescent="0.25">
      <c r="B168" s="77"/>
      <c r="C168" s="420" t="s">
        <v>557</v>
      </c>
      <c r="D168" s="421"/>
      <c r="E168" s="161"/>
      <c r="F168" s="161"/>
      <c r="G168" s="78"/>
      <c r="H168" s="79"/>
      <c r="I168" s="130">
        <f t="shared" si="6"/>
        <v>0</v>
      </c>
      <c r="J168" s="110"/>
    </row>
    <row r="169" spans="2:10" x14ac:dyDescent="0.25">
      <c r="B169" s="77"/>
      <c r="C169" s="170"/>
      <c r="D169" s="158"/>
      <c r="E169" s="161"/>
      <c r="F169" s="161"/>
      <c r="G169" s="78"/>
      <c r="H169" s="79"/>
      <c r="I169" s="130">
        <f t="shared" si="6"/>
        <v>0</v>
      </c>
      <c r="J169" s="110"/>
    </row>
    <row r="170" spans="2:10" x14ac:dyDescent="0.25">
      <c r="B170" s="173">
        <f>B164+0.01</f>
        <v>12.399999999999991</v>
      </c>
      <c r="C170" s="74"/>
      <c r="D170" s="112" t="s">
        <v>527</v>
      </c>
      <c r="E170" s="162"/>
      <c r="F170" s="162">
        <v>1</v>
      </c>
      <c r="G170" s="75" t="s">
        <v>528</v>
      </c>
      <c r="H170" s="76"/>
      <c r="I170" s="130">
        <f t="shared" si="6"/>
        <v>0</v>
      </c>
      <c r="J170" s="110"/>
    </row>
    <row r="171" spans="2:10" x14ac:dyDescent="0.25">
      <c r="B171" s="77"/>
      <c r="C171" s="74"/>
      <c r="D171" s="160"/>
      <c r="E171" s="161"/>
      <c r="F171" s="161"/>
      <c r="G171" s="78"/>
      <c r="H171" s="79"/>
      <c r="I171" s="130">
        <f t="shared" si="6"/>
        <v>0</v>
      </c>
      <c r="J171" s="110"/>
    </row>
    <row r="172" spans="2:10" x14ac:dyDescent="0.25">
      <c r="B172" s="72"/>
      <c r="C172" s="159" t="s">
        <v>529</v>
      </c>
      <c r="D172" s="82"/>
      <c r="E172" s="75"/>
      <c r="F172" s="75"/>
      <c r="G172" s="75"/>
      <c r="H172" s="122"/>
      <c r="I172" s="130">
        <f t="shared" si="6"/>
        <v>0</v>
      </c>
      <c r="J172" s="110"/>
    </row>
    <row r="173" spans="2:10" ht="15" customHeight="1" x14ac:dyDescent="0.25">
      <c r="B173" s="72"/>
      <c r="C173" s="74"/>
      <c r="D173" s="82"/>
      <c r="E173" s="75"/>
      <c r="F173" s="75"/>
      <c r="G173" s="75"/>
      <c r="H173" s="122"/>
      <c r="I173" s="130">
        <f t="shared" si="6"/>
        <v>0</v>
      </c>
      <c r="J173" s="110"/>
    </row>
    <row r="174" spans="2:10" x14ac:dyDescent="0.25">
      <c r="B174" s="72"/>
      <c r="C174" s="422" t="s">
        <v>629</v>
      </c>
      <c r="D174" s="423"/>
      <c r="E174" s="75"/>
      <c r="F174" s="75"/>
      <c r="G174" s="75"/>
      <c r="H174" s="122"/>
      <c r="I174" s="130">
        <f t="shared" si="6"/>
        <v>0</v>
      </c>
      <c r="J174" s="110"/>
    </row>
    <row r="175" spans="2:10" x14ac:dyDescent="0.25">
      <c r="B175" s="72"/>
      <c r="C175" s="165"/>
      <c r="D175" s="82"/>
      <c r="E175" s="75"/>
      <c r="F175" s="75"/>
      <c r="G175" s="75"/>
      <c r="H175" s="122"/>
      <c r="I175" s="130">
        <f t="shared" si="6"/>
        <v>0</v>
      </c>
      <c r="J175" s="110"/>
    </row>
    <row r="176" spans="2:10" x14ac:dyDescent="0.25">
      <c r="B176" s="172">
        <f>B170+0.01</f>
        <v>12.409999999999991</v>
      </c>
      <c r="C176" s="74"/>
      <c r="D176" s="155" t="s">
        <v>527</v>
      </c>
      <c r="E176" s="154"/>
      <c r="F176" s="154">
        <v>1</v>
      </c>
      <c r="G176" s="75" t="s">
        <v>528</v>
      </c>
      <c r="H176" s="122"/>
      <c r="I176" s="130">
        <f t="shared" si="6"/>
        <v>0</v>
      </c>
      <c r="J176" s="110"/>
    </row>
    <row r="177" spans="2:9" ht="15" customHeight="1" x14ac:dyDescent="0.25">
      <c r="B177" s="72"/>
      <c r="C177" s="73"/>
      <c r="D177" s="112"/>
      <c r="E177" s="75"/>
      <c r="F177" s="75"/>
      <c r="G177" s="75"/>
      <c r="H177" s="76"/>
      <c r="I177" s="130">
        <f t="shared" si="6"/>
        <v>0</v>
      </c>
    </row>
    <row r="178" spans="2:9" ht="15.75" thickBot="1" x14ac:dyDescent="0.3">
      <c r="B178" s="85"/>
      <c r="C178" s="86"/>
      <c r="D178" s="87"/>
      <c r="E178" s="88"/>
      <c r="F178" s="88"/>
      <c r="G178" s="88"/>
      <c r="H178" s="89"/>
      <c r="I178" s="76" t="str">
        <f t="shared" si="0"/>
        <v/>
      </c>
    </row>
    <row r="179" spans="2:9" ht="30.75" customHeight="1" thickBot="1" x14ac:dyDescent="0.3">
      <c r="D179" s="367" t="s">
        <v>953</v>
      </c>
      <c r="E179" s="109"/>
      <c r="F179" s="109"/>
      <c r="G179" s="75"/>
      <c r="H179" s="382"/>
      <c r="I179" s="124">
        <f>SUM(I75:I178)</f>
        <v>0</v>
      </c>
    </row>
  </sheetData>
  <mergeCells count="32">
    <mergeCell ref="C174:D174"/>
    <mergeCell ref="C160:D160"/>
    <mergeCell ref="C162:D162"/>
    <mergeCell ref="C168:D168"/>
    <mergeCell ref="C135:D135"/>
    <mergeCell ref="C137:D137"/>
    <mergeCell ref="C139:D139"/>
    <mergeCell ref="C129:D129"/>
    <mergeCell ref="C93:D93"/>
    <mergeCell ref="C99:D99"/>
    <mergeCell ref="C77:D77"/>
    <mergeCell ref="C75:D75"/>
    <mergeCell ref="C79:D79"/>
    <mergeCell ref="C87:D87"/>
    <mergeCell ref="C111:D111"/>
    <mergeCell ref="C113:D113"/>
    <mergeCell ref="C103:D103"/>
    <mergeCell ref="C105:D105"/>
    <mergeCell ref="C127:D127"/>
    <mergeCell ref="C73:D73"/>
    <mergeCell ref="C40:D40"/>
    <mergeCell ref="C53:D53"/>
    <mergeCell ref="C55:D55"/>
    <mergeCell ref="C61:D61"/>
    <mergeCell ref="C67:D67"/>
    <mergeCell ref="C34:D34"/>
    <mergeCell ref="C6:D6"/>
    <mergeCell ref="C7:D7"/>
    <mergeCell ref="C8:D8"/>
    <mergeCell ref="C9:D9"/>
    <mergeCell ref="C20:D20"/>
    <mergeCell ref="C10:D10"/>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E1C2-4017-49FD-B10A-0E04586CD671}">
  <sheetPr>
    <pageSetUpPr fitToPage="1"/>
  </sheetPr>
  <dimension ref="B1:J127"/>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Summary!D33</f>
        <v>Floor Finishes</v>
      </c>
      <c r="I3" s="100">
        <f>+Summary!G3</f>
        <v>45614</v>
      </c>
    </row>
    <row r="4" spans="2:9" ht="13.5" customHeight="1" thickBot="1" x14ac:dyDescent="0.3">
      <c r="B4" s="86">
        <v>13</v>
      </c>
      <c r="C4" s="101"/>
      <c r="D4" s="101"/>
      <c r="E4" s="102"/>
      <c r="F4" s="102"/>
      <c r="G4" s="102"/>
      <c r="H4" s="101"/>
      <c r="I4" s="103"/>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 t="shared" ref="I6:I126" si="0">IF(H6="","",H6*E6)</f>
        <v/>
      </c>
    </row>
    <row r="7" spans="2:9" ht="77.25" customHeight="1" x14ac:dyDescent="0.25">
      <c r="B7" s="72"/>
      <c r="C7" s="422" t="s">
        <v>658</v>
      </c>
      <c r="D7" s="423"/>
      <c r="E7" s="75"/>
      <c r="F7" s="75"/>
      <c r="G7" s="75"/>
      <c r="H7" s="76"/>
      <c r="I7" s="76" t="str">
        <f t="shared" si="0"/>
        <v/>
      </c>
    </row>
    <row r="8" spans="2:9" ht="45" customHeight="1" x14ac:dyDescent="0.25">
      <c r="B8" s="72"/>
      <c r="C8" s="422" t="s">
        <v>575</v>
      </c>
      <c r="D8" s="423"/>
      <c r="E8" s="75"/>
      <c r="F8" s="75"/>
      <c r="G8" s="75"/>
      <c r="H8" s="76"/>
      <c r="I8" s="76"/>
    </row>
    <row r="9" spans="2:9" x14ac:dyDescent="0.25">
      <c r="B9" s="72"/>
      <c r="C9" s="422" t="s">
        <v>780</v>
      </c>
      <c r="D9" s="423"/>
      <c r="E9" s="75"/>
      <c r="F9" s="75"/>
      <c r="G9" s="75"/>
      <c r="H9" s="76"/>
      <c r="I9" s="76"/>
    </row>
    <row r="10" spans="2:9" ht="15.6" customHeight="1" x14ac:dyDescent="0.25">
      <c r="B10" s="72"/>
      <c r="C10" s="422" t="s">
        <v>950</v>
      </c>
      <c r="D10" s="423"/>
      <c r="E10" s="75"/>
      <c r="F10" s="75"/>
      <c r="G10" s="75"/>
      <c r="H10" s="76"/>
      <c r="I10" s="76"/>
    </row>
    <row r="11" spans="2:9" ht="15.6" customHeight="1" x14ac:dyDescent="0.25">
      <c r="B11" s="72"/>
      <c r="C11" s="165"/>
      <c r="D11" s="167"/>
      <c r="E11" s="75"/>
      <c r="F11" s="75"/>
      <c r="G11" s="75"/>
      <c r="H11" s="76"/>
      <c r="I11" s="76"/>
    </row>
    <row r="12" spans="2:9" ht="15.6" customHeight="1" x14ac:dyDescent="0.25">
      <c r="B12" s="72"/>
      <c r="C12" s="350" t="s">
        <v>815</v>
      </c>
      <c r="D12" s="167"/>
      <c r="E12" s="75"/>
      <c r="F12" s="75"/>
      <c r="G12" s="75"/>
      <c r="H12" s="76"/>
      <c r="I12" s="76"/>
    </row>
    <row r="13" spans="2:9" ht="15.6" customHeight="1" x14ac:dyDescent="0.25">
      <c r="B13" s="72"/>
      <c r="C13" s="165"/>
      <c r="D13" s="167"/>
      <c r="E13" s="75"/>
      <c r="F13" s="75"/>
      <c r="G13" s="75"/>
      <c r="H13" s="76"/>
      <c r="I13" s="76"/>
    </row>
    <row r="14" spans="2:9" ht="15.75" x14ac:dyDescent="0.25">
      <c r="B14" s="72"/>
      <c r="C14" s="336" t="s">
        <v>774</v>
      </c>
      <c r="D14" s="167"/>
      <c r="E14" s="75"/>
      <c r="F14" s="75"/>
      <c r="G14" s="75"/>
      <c r="H14" s="76"/>
      <c r="I14" s="130">
        <f t="shared" ref="I14:I21" si="1">F14*H14</f>
        <v>0</v>
      </c>
    </row>
    <row r="15" spans="2:9" ht="15.75" x14ac:dyDescent="0.25">
      <c r="B15" s="72"/>
      <c r="C15" s="337"/>
      <c r="D15" s="167"/>
      <c r="E15" s="75"/>
      <c r="F15" s="75"/>
      <c r="G15" s="75"/>
      <c r="H15" s="76"/>
      <c r="I15" s="130">
        <f t="shared" si="1"/>
        <v>0</v>
      </c>
    </row>
    <row r="16" spans="2:9" ht="27.75" customHeight="1" x14ac:dyDescent="0.25">
      <c r="B16" s="72"/>
      <c r="C16" s="441" t="s">
        <v>781</v>
      </c>
      <c r="D16" s="442"/>
      <c r="E16" s="75"/>
      <c r="F16" s="75"/>
      <c r="G16" s="75"/>
      <c r="H16" s="76"/>
      <c r="I16" s="130">
        <f t="shared" si="1"/>
        <v>0</v>
      </c>
    </row>
    <row r="17" spans="2:9" x14ac:dyDescent="0.25">
      <c r="B17" s="72"/>
      <c r="C17" s="338"/>
      <c r="D17" s="167"/>
      <c r="E17" s="75"/>
      <c r="F17" s="75"/>
      <c r="G17" s="75"/>
      <c r="H17" s="76"/>
      <c r="I17" s="130">
        <f t="shared" si="1"/>
        <v>0</v>
      </c>
    </row>
    <row r="18" spans="2:9" ht="17.25" customHeight="1" x14ac:dyDescent="0.25">
      <c r="B18" s="72"/>
      <c r="C18" s="338" t="s">
        <v>775</v>
      </c>
      <c r="D18" s="167"/>
      <c r="E18" s="75"/>
      <c r="F18" s="75"/>
      <c r="G18" s="75"/>
      <c r="H18" s="76"/>
      <c r="I18" s="130">
        <f t="shared" si="1"/>
        <v>0</v>
      </c>
    </row>
    <row r="19" spans="2:9" x14ac:dyDescent="0.25">
      <c r="B19" s="72"/>
      <c r="C19" s="338"/>
      <c r="D19" s="167"/>
      <c r="E19" s="75"/>
      <c r="F19" s="75"/>
      <c r="G19" s="75"/>
      <c r="H19" s="76"/>
      <c r="I19" s="130">
        <f t="shared" si="1"/>
        <v>0</v>
      </c>
    </row>
    <row r="20" spans="2:9" x14ac:dyDescent="0.25">
      <c r="B20" s="179">
        <f>B4+0.01</f>
        <v>13.01</v>
      </c>
      <c r="C20" s="338"/>
      <c r="D20" s="167" t="s">
        <v>776</v>
      </c>
      <c r="E20" s="75">
        <f>(6*1)+(2.4*2.5*0.5)</f>
        <v>9</v>
      </c>
      <c r="F20" s="75">
        <v>10</v>
      </c>
      <c r="G20" s="75" t="s">
        <v>659</v>
      </c>
      <c r="H20" s="76"/>
      <c r="I20" s="130">
        <f t="shared" si="1"/>
        <v>0</v>
      </c>
    </row>
    <row r="21" spans="2:9" x14ac:dyDescent="0.25">
      <c r="B21" s="72"/>
      <c r="C21" s="84"/>
      <c r="D21" s="82"/>
      <c r="E21" s="75"/>
      <c r="F21" s="75"/>
      <c r="G21" s="75"/>
      <c r="H21" s="76"/>
      <c r="I21" s="130">
        <f t="shared" si="1"/>
        <v>0</v>
      </c>
    </row>
    <row r="22" spans="2:9" ht="60" customHeight="1" x14ac:dyDescent="0.25">
      <c r="B22" s="179"/>
      <c r="C22" s="441" t="s">
        <v>1382</v>
      </c>
      <c r="D22" s="442"/>
      <c r="E22" s="75"/>
      <c r="F22" s="75"/>
      <c r="G22" s="75"/>
      <c r="H22" s="76"/>
      <c r="I22" s="130">
        <f t="shared" ref="I22:I26" si="2">F22*H22</f>
        <v>0</v>
      </c>
    </row>
    <row r="23" spans="2:9" x14ac:dyDescent="0.25">
      <c r="B23" s="179"/>
      <c r="C23" s="339"/>
      <c r="D23" s="82"/>
      <c r="E23" s="109"/>
      <c r="F23" s="109"/>
      <c r="G23" s="75"/>
      <c r="H23" s="76"/>
      <c r="I23" s="130">
        <f t="shared" si="2"/>
        <v>0</v>
      </c>
    </row>
    <row r="24" spans="2:9" ht="33" customHeight="1" x14ac:dyDescent="0.25">
      <c r="B24" s="179"/>
      <c r="C24" s="418" t="s">
        <v>777</v>
      </c>
      <c r="D24" s="419"/>
      <c r="E24" s="109"/>
      <c r="F24" s="109"/>
      <c r="G24" s="75"/>
      <c r="H24" s="76"/>
      <c r="I24" s="130">
        <f t="shared" si="2"/>
        <v>0</v>
      </c>
    </row>
    <row r="25" spans="2:9" x14ac:dyDescent="0.25">
      <c r="B25" s="179"/>
      <c r="C25" s="171"/>
      <c r="D25" s="112"/>
      <c r="E25" s="109"/>
      <c r="F25" s="109"/>
      <c r="G25" s="75"/>
      <c r="H25" s="76"/>
      <c r="I25" s="130">
        <f t="shared" si="2"/>
        <v>0</v>
      </c>
    </row>
    <row r="26" spans="2:9" x14ac:dyDescent="0.25">
      <c r="B26" s="179">
        <f>B20+0.01</f>
        <v>13.02</v>
      </c>
      <c r="C26" s="73"/>
      <c r="D26" s="82" t="s">
        <v>778</v>
      </c>
      <c r="E26" s="75">
        <f>(6*1)+(2.4*2.5*0.5)</f>
        <v>9</v>
      </c>
      <c r="F26" s="75">
        <v>10</v>
      </c>
      <c r="G26" s="75" t="s">
        <v>659</v>
      </c>
      <c r="H26" s="76"/>
      <c r="I26" s="130">
        <f t="shared" si="2"/>
        <v>0</v>
      </c>
    </row>
    <row r="27" spans="2:9" x14ac:dyDescent="0.25">
      <c r="B27" s="72"/>
      <c r="C27" s="84"/>
      <c r="D27" s="82"/>
      <c r="E27" s="75"/>
      <c r="F27" s="75"/>
      <c r="G27" s="75"/>
      <c r="H27" s="76"/>
      <c r="I27" s="130">
        <f t="shared" ref="I27:I56" si="3">F27*H27</f>
        <v>0</v>
      </c>
    </row>
    <row r="28" spans="2:9" x14ac:dyDescent="0.25">
      <c r="B28" s="164">
        <f>B26+0.01</f>
        <v>13.03</v>
      </c>
      <c r="C28" s="84"/>
      <c r="D28" s="340" t="s">
        <v>779</v>
      </c>
      <c r="E28" s="75">
        <f>(6+3.2+2.9+1.2+1.2+3.5+1+1)-(0.9*2)-(0.6*2)-1.15</f>
        <v>15.85</v>
      </c>
      <c r="F28" s="128">
        <v>16</v>
      </c>
      <c r="G28" s="128" t="s">
        <v>660</v>
      </c>
      <c r="H28" s="129"/>
      <c r="I28" s="130">
        <f t="shared" si="3"/>
        <v>0</v>
      </c>
    </row>
    <row r="29" spans="2:9" x14ac:dyDescent="0.25">
      <c r="B29" s="72"/>
      <c r="C29" s="84"/>
      <c r="D29" s="82"/>
      <c r="E29" s="75"/>
      <c r="F29" s="75"/>
      <c r="G29" s="75"/>
      <c r="H29" s="76"/>
      <c r="I29" s="130">
        <f t="shared" si="3"/>
        <v>0</v>
      </c>
    </row>
    <row r="30" spans="2:9" x14ac:dyDescent="0.25">
      <c r="B30" s="72"/>
      <c r="C30" s="84"/>
      <c r="D30" s="82"/>
      <c r="E30" s="75"/>
      <c r="F30" s="75"/>
      <c r="G30" s="75"/>
      <c r="H30" s="76"/>
      <c r="I30" s="130">
        <f t="shared" si="3"/>
        <v>0</v>
      </c>
    </row>
    <row r="31" spans="2:9" x14ac:dyDescent="0.25">
      <c r="B31" s="77"/>
      <c r="C31" s="73" t="s">
        <v>549</v>
      </c>
      <c r="D31" s="160"/>
      <c r="E31" s="161"/>
      <c r="F31" s="161"/>
      <c r="G31" s="78"/>
      <c r="H31" s="79"/>
      <c r="I31" s="130">
        <f t="shared" si="3"/>
        <v>0</v>
      </c>
    </row>
    <row r="32" spans="2:9" x14ac:dyDescent="0.25">
      <c r="B32" s="77"/>
      <c r="C32" s="74"/>
      <c r="D32" s="160"/>
      <c r="E32" s="161"/>
      <c r="F32" s="161"/>
      <c r="G32" s="78"/>
      <c r="H32" s="79"/>
      <c r="I32" s="130">
        <f t="shared" si="3"/>
        <v>0</v>
      </c>
    </row>
    <row r="33" spans="2:9" x14ac:dyDescent="0.25">
      <c r="B33" s="77"/>
      <c r="C33" s="159" t="s">
        <v>550</v>
      </c>
      <c r="D33" s="160"/>
      <c r="E33" s="161"/>
      <c r="F33" s="161"/>
      <c r="G33" s="78"/>
      <c r="H33" s="79"/>
      <c r="I33" s="130">
        <f t="shared" si="3"/>
        <v>0</v>
      </c>
    </row>
    <row r="34" spans="2:9" x14ac:dyDescent="0.25">
      <c r="B34" s="77"/>
      <c r="C34" s="74"/>
      <c r="D34" s="160"/>
      <c r="E34" s="161"/>
      <c r="F34" s="161"/>
      <c r="G34" s="78"/>
      <c r="H34" s="79"/>
      <c r="I34" s="130">
        <f t="shared" si="3"/>
        <v>0</v>
      </c>
    </row>
    <row r="35" spans="2:9" x14ac:dyDescent="0.25">
      <c r="B35" s="77"/>
      <c r="C35" s="74" t="s">
        <v>551</v>
      </c>
      <c r="D35" s="160"/>
      <c r="E35" s="161"/>
      <c r="F35" s="161"/>
      <c r="G35" s="78"/>
      <c r="H35" s="79"/>
      <c r="I35" s="130">
        <f t="shared" si="3"/>
        <v>0</v>
      </c>
    </row>
    <row r="36" spans="2:9" x14ac:dyDescent="0.25">
      <c r="B36" s="77"/>
      <c r="C36" s="74"/>
      <c r="D36" s="160"/>
      <c r="E36" s="161"/>
      <c r="F36" s="161"/>
      <c r="G36" s="78"/>
      <c r="H36" s="79"/>
      <c r="I36" s="130">
        <f t="shared" si="3"/>
        <v>0</v>
      </c>
    </row>
    <row r="37" spans="2:9" x14ac:dyDescent="0.25">
      <c r="B37" s="173">
        <f>B28+0.01</f>
        <v>13.04</v>
      </c>
      <c r="C37" s="74"/>
      <c r="D37" s="112" t="s">
        <v>527</v>
      </c>
      <c r="E37" s="162"/>
      <c r="F37" s="162">
        <v>1</v>
      </c>
      <c r="G37" s="75" t="s">
        <v>528</v>
      </c>
      <c r="H37" s="76"/>
      <c r="I37" s="130">
        <f t="shared" si="3"/>
        <v>0</v>
      </c>
    </row>
    <row r="38" spans="2:9" x14ac:dyDescent="0.25">
      <c r="B38" s="77"/>
      <c r="C38" s="74"/>
      <c r="D38" s="160"/>
      <c r="E38" s="161"/>
      <c r="F38" s="161"/>
      <c r="G38" s="78"/>
      <c r="H38" s="79"/>
      <c r="I38" s="130">
        <f t="shared" si="3"/>
        <v>0</v>
      </c>
    </row>
    <row r="39" spans="2:9" ht="15.75" x14ac:dyDescent="0.25">
      <c r="B39" s="77"/>
      <c r="C39" s="432" t="s">
        <v>634</v>
      </c>
      <c r="D39" s="433"/>
      <c r="E39" s="161"/>
      <c r="F39" s="161"/>
      <c r="G39" s="78"/>
      <c r="H39" s="79"/>
      <c r="I39" s="130">
        <f t="shared" si="3"/>
        <v>0</v>
      </c>
    </row>
    <row r="40" spans="2:9" x14ac:dyDescent="0.25">
      <c r="B40" s="77"/>
      <c r="C40" s="74"/>
      <c r="D40" s="160"/>
      <c r="E40" s="161"/>
      <c r="F40" s="161"/>
      <c r="G40" s="78"/>
      <c r="H40" s="79"/>
      <c r="I40" s="130">
        <f t="shared" si="3"/>
        <v>0</v>
      </c>
    </row>
    <row r="41" spans="2:9" ht="34.5" customHeight="1" x14ac:dyDescent="0.25">
      <c r="B41" s="77"/>
      <c r="C41" s="418" t="s">
        <v>650</v>
      </c>
      <c r="D41" s="419"/>
      <c r="E41" s="161"/>
      <c r="F41" s="161"/>
      <c r="G41" s="78"/>
      <c r="H41" s="79"/>
      <c r="I41" s="130">
        <f t="shared" si="3"/>
        <v>0</v>
      </c>
    </row>
    <row r="42" spans="2:9" ht="13.35" customHeight="1" x14ac:dyDescent="0.25">
      <c r="B42" s="77"/>
      <c r="C42" s="74"/>
      <c r="D42" s="160"/>
      <c r="E42" s="161"/>
      <c r="F42" s="161"/>
      <c r="G42" s="78"/>
      <c r="H42" s="79"/>
      <c r="I42" s="130">
        <f t="shared" si="3"/>
        <v>0</v>
      </c>
    </row>
    <row r="43" spans="2:9" x14ac:dyDescent="0.25">
      <c r="B43" s="172">
        <f>B37+0.01</f>
        <v>13.049999999999999</v>
      </c>
      <c r="C43" s="74"/>
      <c r="D43" s="112" t="s">
        <v>527</v>
      </c>
      <c r="E43" s="162"/>
      <c r="F43" s="162">
        <v>1</v>
      </c>
      <c r="G43" s="75" t="s">
        <v>528</v>
      </c>
      <c r="H43" s="76"/>
      <c r="I43" s="130">
        <f t="shared" si="3"/>
        <v>0</v>
      </c>
    </row>
    <row r="44" spans="2:9" x14ac:dyDescent="0.25">
      <c r="B44" s="77"/>
      <c r="C44" s="74"/>
      <c r="D44" s="160"/>
      <c r="E44" s="161"/>
      <c r="F44" s="161"/>
      <c r="G44" s="78"/>
      <c r="H44" s="79"/>
      <c r="I44" s="130">
        <f t="shared" si="3"/>
        <v>0</v>
      </c>
    </row>
    <row r="45" spans="2:9" x14ac:dyDescent="0.25">
      <c r="B45" s="77"/>
      <c r="C45" s="159" t="s">
        <v>556</v>
      </c>
      <c r="D45" s="160"/>
      <c r="E45" s="161"/>
      <c r="F45" s="161"/>
      <c r="G45" s="78"/>
      <c r="H45" s="79"/>
      <c r="I45" s="130">
        <f t="shared" si="3"/>
        <v>0</v>
      </c>
    </row>
    <row r="46" spans="2:9" x14ac:dyDescent="0.25">
      <c r="B46" s="77"/>
      <c r="C46" s="74"/>
      <c r="D46" s="160"/>
      <c r="E46" s="161"/>
      <c r="F46" s="161"/>
      <c r="G46" s="78"/>
      <c r="H46" s="79"/>
      <c r="I46" s="130">
        <f t="shared" si="3"/>
        <v>0</v>
      </c>
    </row>
    <row r="47" spans="2:9" ht="33.75" customHeight="1" x14ac:dyDescent="0.25">
      <c r="B47" s="77"/>
      <c r="C47" s="420" t="s">
        <v>557</v>
      </c>
      <c r="D47" s="421"/>
      <c r="E47" s="161"/>
      <c r="F47" s="161"/>
      <c r="G47" s="78"/>
      <c r="H47" s="79"/>
      <c r="I47" s="130">
        <f t="shared" si="3"/>
        <v>0</v>
      </c>
    </row>
    <row r="48" spans="2:9" ht="14.45" customHeight="1" x14ac:dyDescent="0.25">
      <c r="B48" s="77"/>
      <c r="C48" s="170"/>
      <c r="D48" s="158"/>
      <c r="E48" s="161"/>
      <c r="F48" s="161"/>
      <c r="G48" s="78"/>
      <c r="H48" s="79"/>
      <c r="I48" s="130">
        <f t="shared" si="3"/>
        <v>0</v>
      </c>
    </row>
    <row r="49" spans="2:10" x14ac:dyDescent="0.25">
      <c r="B49" s="173">
        <f>B43+0.01</f>
        <v>13.059999999999999</v>
      </c>
      <c r="C49" s="74"/>
      <c r="D49" s="112" t="s">
        <v>527</v>
      </c>
      <c r="E49" s="162"/>
      <c r="F49" s="162">
        <v>1</v>
      </c>
      <c r="G49" s="75" t="s">
        <v>528</v>
      </c>
      <c r="H49" s="76"/>
      <c r="I49" s="130">
        <f t="shared" si="3"/>
        <v>0</v>
      </c>
    </row>
    <row r="50" spans="2:10" x14ac:dyDescent="0.25">
      <c r="B50" s="77"/>
      <c r="C50" s="74"/>
      <c r="D50" s="160"/>
      <c r="E50" s="161"/>
      <c r="F50" s="161"/>
      <c r="G50" s="78"/>
      <c r="H50" s="79"/>
      <c r="I50" s="130">
        <f t="shared" si="3"/>
        <v>0</v>
      </c>
    </row>
    <row r="51" spans="2:10" x14ac:dyDescent="0.25">
      <c r="B51" s="72"/>
      <c r="C51" s="159" t="s">
        <v>529</v>
      </c>
      <c r="D51" s="82"/>
      <c r="E51" s="75"/>
      <c r="F51" s="75"/>
      <c r="G51" s="75"/>
      <c r="H51" s="122"/>
      <c r="I51" s="130">
        <f t="shared" si="3"/>
        <v>0</v>
      </c>
    </row>
    <row r="52" spans="2:10" x14ac:dyDescent="0.25">
      <c r="B52" s="72"/>
      <c r="C52" s="74"/>
      <c r="D52" s="82"/>
      <c r="E52" s="75"/>
      <c r="F52" s="75"/>
      <c r="G52" s="75"/>
      <c r="H52" s="122"/>
      <c r="I52" s="130">
        <f t="shared" si="3"/>
        <v>0</v>
      </c>
    </row>
    <row r="53" spans="2:10" ht="31.5" customHeight="1" x14ac:dyDescent="0.25">
      <c r="B53" s="72"/>
      <c r="C53" s="422" t="s">
        <v>629</v>
      </c>
      <c r="D53" s="423"/>
      <c r="E53" s="75"/>
      <c r="F53" s="75"/>
      <c r="G53" s="75"/>
      <c r="H53" s="122"/>
      <c r="I53" s="130">
        <f t="shared" si="3"/>
        <v>0</v>
      </c>
    </row>
    <row r="54" spans="2:10" ht="13.7" customHeight="1" x14ac:dyDescent="0.25">
      <c r="B54" s="72"/>
      <c r="C54" s="165"/>
      <c r="D54" s="82"/>
      <c r="E54" s="75"/>
      <c r="F54" s="75"/>
      <c r="G54" s="75"/>
      <c r="H54" s="122"/>
      <c r="I54" s="130">
        <f t="shared" si="3"/>
        <v>0</v>
      </c>
    </row>
    <row r="55" spans="2:10" x14ac:dyDescent="0.25">
      <c r="B55" s="172">
        <f>B49+0.01</f>
        <v>13.069999999999999</v>
      </c>
      <c r="C55" s="74"/>
      <c r="D55" s="155" t="s">
        <v>527</v>
      </c>
      <c r="E55" s="154"/>
      <c r="F55" s="154">
        <v>1</v>
      </c>
      <c r="G55" s="75" t="s">
        <v>528</v>
      </c>
      <c r="H55" s="122"/>
      <c r="I55" s="130">
        <f t="shared" si="3"/>
        <v>0</v>
      </c>
    </row>
    <row r="56" spans="2:10" ht="15.75" thickBot="1" x14ac:dyDescent="0.3">
      <c r="B56" s="72"/>
      <c r="C56" s="74"/>
      <c r="D56" s="111"/>
      <c r="E56" s="109"/>
      <c r="F56" s="109"/>
      <c r="G56" s="75"/>
      <c r="H56" s="76"/>
      <c r="I56" s="130">
        <f t="shared" si="3"/>
        <v>0</v>
      </c>
      <c r="J56" s="110"/>
    </row>
    <row r="57" spans="2:10" ht="15.75" thickBot="1" x14ac:dyDescent="0.3">
      <c r="B57" s="72"/>
      <c r="C57" s="74"/>
      <c r="D57" s="314" t="s">
        <v>956</v>
      </c>
      <c r="E57" s="109"/>
      <c r="F57" s="109"/>
      <c r="G57" s="75"/>
      <c r="H57" s="382"/>
      <c r="I57" s="383">
        <f>SUM(I14:I56)</f>
        <v>0</v>
      </c>
      <c r="J57" s="110"/>
    </row>
    <row r="58" spans="2:10" x14ac:dyDescent="0.25">
      <c r="B58" s="72"/>
      <c r="C58" s="74"/>
      <c r="D58" s="111"/>
      <c r="E58" s="109"/>
      <c r="F58" s="109"/>
      <c r="G58" s="75"/>
      <c r="H58" s="76"/>
      <c r="I58" s="130"/>
      <c r="J58" s="110"/>
    </row>
    <row r="59" spans="2:10" x14ac:dyDescent="0.25">
      <c r="B59" s="72"/>
      <c r="C59" s="426" t="s">
        <v>816</v>
      </c>
      <c r="D59" s="427"/>
      <c r="E59" s="109"/>
      <c r="F59" s="109"/>
      <c r="G59" s="75"/>
      <c r="H59" s="76"/>
      <c r="I59" s="130"/>
      <c r="J59" s="110"/>
    </row>
    <row r="60" spans="2:10" x14ac:dyDescent="0.25">
      <c r="B60" s="72"/>
      <c r="C60" s="74"/>
      <c r="D60" s="111"/>
      <c r="E60" s="109"/>
      <c r="F60" s="109"/>
      <c r="G60" s="75"/>
      <c r="H60" s="76"/>
      <c r="I60" s="130"/>
      <c r="J60" s="110"/>
    </row>
    <row r="61" spans="2:10" x14ac:dyDescent="0.25">
      <c r="B61" s="72"/>
      <c r="C61" s="445" t="s">
        <v>967</v>
      </c>
      <c r="D61" s="446"/>
      <c r="E61" s="109"/>
      <c r="F61" s="109"/>
      <c r="G61" s="75"/>
      <c r="H61" s="76"/>
      <c r="I61" s="130"/>
      <c r="J61" s="110"/>
    </row>
    <row r="62" spans="2:10" x14ac:dyDescent="0.25">
      <c r="B62" s="72"/>
      <c r="C62" s="74"/>
      <c r="D62" s="111"/>
      <c r="E62" s="109"/>
      <c r="F62" s="109"/>
      <c r="G62" s="75"/>
      <c r="H62" s="76"/>
      <c r="I62" s="130">
        <f t="shared" ref="I62:I125" si="4">F62*H62</f>
        <v>0</v>
      </c>
      <c r="J62" s="110"/>
    </row>
    <row r="63" spans="2:10" ht="57.75" customHeight="1" x14ac:dyDescent="0.25">
      <c r="B63" s="72"/>
      <c r="C63" s="437" t="s">
        <v>971</v>
      </c>
      <c r="D63" s="438"/>
      <c r="E63" s="109"/>
      <c r="F63" s="109"/>
      <c r="G63" s="75"/>
      <c r="H63" s="76"/>
      <c r="I63" s="130">
        <f t="shared" si="4"/>
        <v>0</v>
      </c>
      <c r="J63" s="110"/>
    </row>
    <row r="64" spans="2:10" x14ac:dyDescent="0.25">
      <c r="B64" s="72"/>
      <c r="C64" s="74"/>
      <c r="D64" s="111"/>
      <c r="E64" s="109"/>
      <c r="F64" s="109"/>
      <c r="G64" s="75"/>
      <c r="H64" s="76"/>
      <c r="I64" s="130">
        <f t="shared" si="4"/>
        <v>0</v>
      </c>
      <c r="J64" s="110"/>
    </row>
    <row r="65" spans="2:10" x14ac:dyDescent="0.25">
      <c r="B65" s="72"/>
      <c r="C65" s="434" t="s">
        <v>969</v>
      </c>
      <c r="D65" s="435"/>
      <c r="E65" s="109"/>
      <c r="F65" s="109"/>
      <c r="G65" s="75"/>
      <c r="H65" s="76"/>
      <c r="I65" s="130">
        <f t="shared" si="4"/>
        <v>0</v>
      </c>
      <c r="J65" s="110"/>
    </row>
    <row r="66" spans="2:10" x14ac:dyDescent="0.25">
      <c r="B66" s="72"/>
      <c r="C66" s="74"/>
      <c r="D66" s="111"/>
      <c r="E66" s="109"/>
      <c r="F66" s="109"/>
      <c r="G66" s="75"/>
      <c r="H66" s="76"/>
      <c r="I66" s="130">
        <f t="shared" si="4"/>
        <v>0</v>
      </c>
      <c r="J66" s="110"/>
    </row>
    <row r="67" spans="2:10" x14ac:dyDescent="0.25">
      <c r="B67" s="172">
        <f>B55+0.01</f>
        <v>13.079999999999998</v>
      </c>
      <c r="C67" s="74"/>
      <c r="D67" s="82" t="s">
        <v>968</v>
      </c>
      <c r="E67" s="109">
        <f>((5.4+1.3+7.8+0.75+3.6+0.3+0.3)*2)-(0.8+0.9+(1*4)+1.1+2.1+2.8)</f>
        <v>27.200000000000006</v>
      </c>
      <c r="F67" s="162">
        <v>27</v>
      </c>
      <c r="G67" s="75" t="s">
        <v>660</v>
      </c>
      <c r="H67" s="76"/>
      <c r="I67" s="130">
        <f t="shared" si="4"/>
        <v>0</v>
      </c>
      <c r="J67" s="110"/>
    </row>
    <row r="68" spans="2:10" x14ac:dyDescent="0.25">
      <c r="B68" s="72"/>
      <c r="C68" s="74"/>
      <c r="D68" s="111"/>
      <c r="E68" s="109"/>
      <c r="F68" s="109"/>
      <c r="G68" s="75"/>
      <c r="H68" s="76"/>
      <c r="I68" s="130">
        <f t="shared" si="4"/>
        <v>0</v>
      </c>
      <c r="J68" s="110"/>
    </row>
    <row r="69" spans="2:10" ht="15.75" x14ac:dyDescent="0.25">
      <c r="B69" s="72"/>
      <c r="C69" s="336" t="s">
        <v>774</v>
      </c>
      <c r="D69" s="167"/>
      <c r="E69" s="75"/>
      <c r="F69" s="75"/>
      <c r="G69" s="75"/>
      <c r="H69" s="76"/>
      <c r="I69" s="130">
        <f t="shared" si="4"/>
        <v>0</v>
      </c>
      <c r="J69" s="110"/>
    </row>
    <row r="70" spans="2:10" ht="15.75" x14ac:dyDescent="0.25">
      <c r="B70" s="72"/>
      <c r="C70" s="337"/>
      <c r="D70" s="167"/>
      <c r="E70" s="75"/>
      <c r="F70" s="75"/>
      <c r="G70" s="75"/>
      <c r="H70" s="76"/>
      <c r="I70" s="130">
        <f t="shared" si="4"/>
        <v>0</v>
      </c>
      <c r="J70" s="110"/>
    </row>
    <row r="71" spans="2:10" ht="48" customHeight="1" x14ac:dyDescent="0.25">
      <c r="B71" s="72"/>
      <c r="C71" s="441" t="s">
        <v>961</v>
      </c>
      <c r="D71" s="442"/>
      <c r="E71" s="75"/>
      <c r="F71" s="75"/>
      <c r="G71" s="75"/>
      <c r="H71" s="76"/>
      <c r="I71" s="130">
        <f t="shared" si="4"/>
        <v>0</v>
      </c>
      <c r="J71" s="110"/>
    </row>
    <row r="72" spans="2:10" x14ac:dyDescent="0.25">
      <c r="B72" s="72"/>
      <c r="C72" s="338"/>
      <c r="D72" s="167"/>
      <c r="E72" s="75"/>
      <c r="F72" s="75"/>
      <c r="G72" s="75"/>
      <c r="H72" s="76"/>
      <c r="I72" s="130">
        <f t="shared" si="4"/>
        <v>0</v>
      </c>
      <c r="J72" s="110"/>
    </row>
    <row r="73" spans="2:10" ht="29.25" customHeight="1" x14ac:dyDescent="0.25">
      <c r="B73" s="72"/>
      <c r="C73" s="422" t="s">
        <v>957</v>
      </c>
      <c r="D73" s="423"/>
      <c r="E73" s="75"/>
      <c r="F73" s="75"/>
      <c r="G73" s="75"/>
      <c r="H73" s="76"/>
      <c r="I73" s="130">
        <f t="shared" si="4"/>
        <v>0</v>
      </c>
      <c r="J73" s="110"/>
    </row>
    <row r="74" spans="2:10" x14ac:dyDescent="0.25">
      <c r="B74" s="72"/>
      <c r="C74" s="338"/>
      <c r="D74" s="167"/>
      <c r="E74" s="75"/>
      <c r="F74" s="75"/>
      <c r="G74" s="75"/>
      <c r="H74" s="76"/>
      <c r="I74" s="130">
        <f t="shared" si="4"/>
        <v>0</v>
      </c>
      <c r="J74" s="110"/>
    </row>
    <row r="75" spans="2:10" x14ac:dyDescent="0.25">
      <c r="B75" s="172">
        <f>B67+0.01</f>
        <v>13.089999999999998</v>
      </c>
      <c r="C75" s="338"/>
      <c r="D75" s="167" t="s">
        <v>970</v>
      </c>
      <c r="E75" s="109">
        <f>E95</f>
        <v>37.65</v>
      </c>
      <c r="F75" s="75">
        <v>38</v>
      </c>
      <c r="G75" s="75" t="s">
        <v>659</v>
      </c>
      <c r="H75" s="76"/>
      <c r="I75" s="130">
        <f t="shared" ref="I75" si="5">F75*H75</f>
        <v>0</v>
      </c>
      <c r="J75" s="110"/>
    </row>
    <row r="76" spans="2:10" x14ac:dyDescent="0.25">
      <c r="B76" s="72"/>
      <c r="C76" s="338"/>
      <c r="D76" s="167"/>
      <c r="E76" s="75"/>
      <c r="F76" s="75"/>
      <c r="G76" s="75"/>
      <c r="H76" s="76"/>
      <c r="I76" s="130">
        <f t="shared" si="4"/>
        <v>0</v>
      </c>
      <c r="J76" s="110"/>
    </row>
    <row r="77" spans="2:10" x14ac:dyDescent="0.25">
      <c r="B77" s="172">
        <f>B75+0.01</f>
        <v>13.099999999999998</v>
      </c>
      <c r="C77" s="338"/>
      <c r="D77" s="167" t="s">
        <v>776</v>
      </c>
      <c r="E77" s="109">
        <f>E83</f>
        <v>32.500000000000007</v>
      </c>
      <c r="F77" s="75">
        <v>33</v>
      </c>
      <c r="G77" s="75" t="s">
        <v>659</v>
      </c>
      <c r="H77" s="76"/>
      <c r="I77" s="130">
        <f t="shared" si="4"/>
        <v>0</v>
      </c>
      <c r="J77" s="110"/>
    </row>
    <row r="78" spans="2:10" x14ac:dyDescent="0.25">
      <c r="B78" s="72"/>
      <c r="C78" s="74"/>
      <c r="D78" s="111"/>
      <c r="E78" s="109"/>
      <c r="F78" s="109"/>
      <c r="G78" s="75"/>
      <c r="H78" s="76"/>
      <c r="I78" s="130">
        <f t="shared" si="4"/>
        <v>0</v>
      </c>
      <c r="J78" s="110"/>
    </row>
    <row r="79" spans="2:10" ht="49.5" customHeight="1" x14ac:dyDescent="0.25">
      <c r="B79" s="72"/>
      <c r="C79" s="441" t="s">
        <v>962</v>
      </c>
      <c r="D79" s="442"/>
      <c r="E79" s="109"/>
      <c r="F79" s="109"/>
      <c r="G79" s="75"/>
      <c r="H79" s="76"/>
      <c r="I79" s="130">
        <f t="shared" si="4"/>
        <v>0</v>
      </c>
      <c r="J79" s="110"/>
    </row>
    <row r="80" spans="2:10" x14ac:dyDescent="0.25">
      <c r="B80" s="72"/>
      <c r="C80" s="74"/>
      <c r="D80" s="111"/>
      <c r="E80" s="109"/>
      <c r="F80" s="109"/>
      <c r="G80" s="75"/>
      <c r="H80" s="76"/>
      <c r="I80" s="130">
        <f t="shared" si="4"/>
        <v>0</v>
      </c>
      <c r="J80" s="110"/>
    </row>
    <row r="81" spans="2:10" ht="16.5" customHeight="1" x14ac:dyDescent="0.25">
      <c r="B81" s="72"/>
      <c r="C81" s="422" t="s">
        <v>965</v>
      </c>
      <c r="D81" s="423"/>
      <c r="E81" s="109"/>
      <c r="F81" s="109"/>
      <c r="G81" s="75"/>
      <c r="H81" s="76"/>
      <c r="I81" s="130">
        <f t="shared" si="4"/>
        <v>0</v>
      </c>
      <c r="J81" s="110"/>
    </row>
    <row r="82" spans="2:10" x14ac:dyDescent="0.25">
      <c r="B82" s="72"/>
      <c r="C82" s="74"/>
      <c r="D82" s="111"/>
      <c r="E82" s="109"/>
      <c r="F82" s="109"/>
      <c r="G82" s="75"/>
      <c r="H82" s="76"/>
      <c r="I82" s="130">
        <f t="shared" si="4"/>
        <v>0</v>
      </c>
      <c r="J82" s="110"/>
    </row>
    <row r="83" spans="2:10" x14ac:dyDescent="0.25">
      <c r="B83" s="172">
        <f>B77+0.01</f>
        <v>13.109999999999998</v>
      </c>
      <c r="C83" s="74"/>
      <c r="D83" s="82" t="s">
        <v>959</v>
      </c>
      <c r="E83" s="109">
        <f>(2.6*1.6)+(2.3*1.6)+(5.2*3)+(0.5*1.6)+(1.8*1)+(2.5*2.5)+(0.2*1.05)</f>
        <v>32.500000000000007</v>
      </c>
      <c r="F83" s="162">
        <v>33</v>
      </c>
      <c r="G83" s="75" t="s">
        <v>659</v>
      </c>
      <c r="H83" s="76"/>
      <c r="I83" s="130">
        <f t="shared" si="4"/>
        <v>0</v>
      </c>
      <c r="J83" s="110"/>
    </row>
    <row r="84" spans="2:10" x14ac:dyDescent="0.25">
      <c r="B84" s="72"/>
      <c r="C84" s="74"/>
      <c r="D84" s="111"/>
      <c r="E84" s="109"/>
      <c r="F84" s="162"/>
      <c r="G84" s="75"/>
      <c r="H84" s="76"/>
      <c r="I84" s="130">
        <f t="shared" si="4"/>
        <v>0</v>
      </c>
      <c r="J84" s="110"/>
    </row>
    <row r="85" spans="2:10" ht="30" x14ac:dyDescent="0.25">
      <c r="B85" s="179">
        <f>B83+0.01</f>
        <v>13.119999999999997</v>
      </c>
      <c r="C85" s="74"/>
      <c r="D85" s="340" t="s">
        <v>960</v>
      </c>
      <c r="E85" s="343">
        <f>((2.6+1.6+2.3+1.6+5.2+0.5+3+1.8+1+2.5+2.5+0.2)*2)-(0.9+0.8+1+1+1.1)</f>
        <v>44.8</v>
      </c>
      <c r="F85" s="344">
        <v>45</v>
      </c>
      <c r="G85" s="128" t="s">
        <v>660</v>
      </c>
      <c r="H85" s="129"/>
      <c r="I85" s="130">
        <f t="shared" si="4"/>
        <v>0</v>
      </c>
      <c r="J85" s="110"/>
    </row>
    <row r="86" spans="2:10" x14ac:dyDescent="0.25">
      <c r="B86" s="72"/>
      <c r="C86" s="74"/>
      <c r="D86" s="111"/>
      <c r="E86" s="109"/>
      <c r="F86" s="109"/>
      <c r="G86" s="75"/>
      <c r="H86" s="76"/>
      <c r="I86" s="130">
        <f t="shared" si="4"/>
        <v>0</v>
      </c>
      <c r="J86" s="110"/>
    </row>
    <row r="87" spans="2:10" ht="30" x14ac:dyDescent="0.25">
      <c r="B87" s="179">
        <f>B85+0.01</f>
        <v>13.129999999999997</v>
      </c>
      <c r="C87" s="74"/>
      <c r="D87" s="340" t="s">
        <v>1029</v>
      </c>
      <c r="E87" s="343">
        <v>1</v>
      </c>
      <c r="F87" s="344">
        <v>1</v>
      </c>
      <c r="G87" s="128" t="s">
        <v>528</v>
      </c>
      <c r="H87" s="129"/>
      <c r="I87" s="130">
        <f t="shared" ref="I87" si="6">F87*H87</f>
        <v>0</v>
      </c>
      <c r="J87" s="110"/>
    </row>
    <row r="88" spans="2:10" x14ac:dyDescent="0.25">
      <c r="B88" s="72"/>
      <c r="C88" s="74"/>
      <c r="D88" s="111"/>
      <c r="E88" s="109"/>
      <c r="F88" s="109"/>
      <c r="G88" s="75"/>
      <c r="H88" s="76"/>
      <c r="I88" s="130"/>
      <c r="J88" s="110"/>
    </row>
    <row r="89" spans="2:10" ht="63.75" customHeight="1" x14ac:dyDescent="0.25">
      <c r="B89" s="179">
        <f>B87+0.01</f>
        <v>13.139999999999997</v>
      </c>
      <c r="C89" s="74"/>
      <c r="D89" s="379" t="s">
        <v>1057</v>
      </c>
      <c r="E89" s="343">
        <f>(1.7+0.5)+(1.4+0.5)+(1.3+1.5)</f>
        <v>6.8999999999999995</v>
      </c>
      <c r="F89" s="344">
        <v>7</v>
      </c>
      <c r="G89" s="128" t="s">
        <v>660</v>
      </c>
      <c r="H89" s="129"/>
      <c r="I89" s="130">
        <f t="shared" ref="I89" si="7">F89*H89</f>
        <v>0</v>
      </c>
      <c r="J89" s="110"/>
    </row>
    <row r="90" spans="2:10" x14ac:dyDescent="0.25">
      <c r="B90" s="72"/>
      <c r="C90" s="74"/>
      <c r="D90" s="111"/>
      <c r="E90" s="109"/>
      <c r="F90" s="109"/>
      <c r="G90" s="75"/>
      <c r="H90" s="76"/>
      <c r="I90" s="130"/>
      <c r="J90" s="110"/>
    </row>
    <row r="91" spans="2:10" ht="62.25" customHeight="1" x14ac:dyDescent="0.25">
      <c r="B91" s="72"/>
      <c r="C91" s="441" t="s">
        <v>963</v>
      </c>
      <c r="D91" s="442"/>
      <c r="E91" s="109"/>
      <c r="F91" s="109"/>
      <c r="G91" s="75"/>
      <c r="H91" s="76"/>
      <c r="I91" s="130">
        <f t="shared" si="4"/>
        <v>0</v>
      </c>
      <c r="J91" s="110"/>
    </row>
    <row r="92" spans="2:10" x14ac:dyDescent="0.25">
      <c r="B92" s="72"/>
      <c r="C92" s="74"/>
      <c r="D92" s="111"/>
      <c r="E92" s="109"/>
      <c r="F92" s="109"/>
      <c r="G92" s="75"/>
      <c r="H92" s="76"/>
      <c r="I92" s="130">
        <f t="shared" si="4"/>
        <v>0</v>
      </c>
      <c r="J92" s="110"/>
    </row>
    <row r="93" spans="2:10" x14ac:dyDescent="0.25">
      <c r="B93" s="72"/>
      <c r="C93" s="418" t="s">
        <v>964</v>
      </c>
      <c r="D93" s="419"/>
      <c r="E93" s="109"/>
      <c r="F93" s="109"/>
      <c r="G93" s="75"/>
      <c r="H93" s="76"/>
      <c r="I93" s="130">
        <f t="shared" si="4"/>
        <v>0</v>
      </c>
      <c r="J93" s="110"/>
    </row>
    <row r="94" spans="2:10" x14ac:dyDescent="0.25">
      <c r="B94" s="72"/>
      <c r="C94" s="74"/>
      <c r="D94" s="111"/>
      <c r="E94" s="109"/>
      <c r="F94" s="109"/>
      <c r="G94" s="75"/>
      <c r="H94" s="76"/>
      <c r="I94" s="130">
        <f t="shared" si="4"/>
        <v>0</v>
      </c>
      <c r="J94" s="110"/>
    </row>
    <row r="95" spans="2:10" x14ac:dyDescent="0.25">
      <c r="B95" s="172">
        <f>B89+0.01</f>
        <v>13.149999999999997</v>
      </c>
      <c r="C95" s="74"/>
      <c r="D95" s="82" t="s">
        <v>966</v>
      </c>
      <c r="E95" s="109">
        <f>(5.4*1.3)+(7.8*3.6)+(0.75*1)+((2.1+2.8)*0.3)+(1.1*0.3)</f>
        <v>37.65</v>
      </c>
      <c r="F95" s="162">
        <v>38</v>
      </c>
      <c r="G95" s="75" t="s">
        <v>659</v>
      </c>
      <c r="H95" s="76"/>
      <c r="I95" s="130">
        <f t="shared" si="4"/>
        <v>0</v>
      </c>
      <c r="J95" s="110"/>
    </row>
    <row r="96" spans="2:10" x14ac:dyDescent="0.25">
      <c r="B96" s="72"/>
      <c r="C96" s="74"/>
      <c r="D96" s="111"/>
      <c r="E96" s="109"/>
      <c r="F96" s="162"/>
      <c r="G96" s="75"/>
      <c r="H96" s="76"/>
      <c r="I96" s="130">
        <f t="shared" si="4"/>
        <v>0</v>
      </c>
      <c r="J96" s="110"/>
    </row>
    <row r="97" spans="2:10" ht="30" x14ac:dyDescent="0.25">
      <c r="B97" s="179">
        <f>B95+0.01</f>
        <v>13.159999999999997</v>
      </c>
      <c r="C97" s="74"/>
      <c r="D97" s="340" t="s">
        <v>989</v>
      </c>
      <c r="E97" s="343">
        <f>1+0.9+0.8</f>
        <v>2.7</v>
      </c>
      <c r="F97" s="344">
        <v>3</v>
      </c>
      <c r="G97" s="128" t="s">
        <v>660</v>
      </c>
      <c r="H97" s="76"/>
      <c r="I97" s="130">
        <f t="shared" si="4"/>
        <v>0</v>
      </c>
      <c r="J97" s="110"/>
    </row>
    <row r="98" spans="2:10" x14ac:dyDescent="0.25">
      <c r="B98" s="72"/>
      <c r="C98" s="74"/>
      <c r="D98" s="111"/>
      <c r="E98" s="109"/>
      <c r="F98" s="109"/>
      <c r="G98" s="75"/>
      <c r="H98" s="76"/>
      <c r="I98" s="130">
        <f t="shared" si="4"/>
        <v>0</v>
      </c>
      <c r="J98" s="110"/>
    </row>
    <row r="99" spans="2:10" x14ac:dyDescent="0.25">
      <c r="B99" s="72"/>
      <c r="C99" s="74"/>
      <c r="D99" s="111"/>
      <c r="E99" s="109"/>
      <c r="F99" s="109"/>
      <c r="G99" s="75"/>
      <c r="H99" s="76"/>
      <c r="I99" s="130">
        <f t="shared" si="4"/>
        <v>0</v>
      </c>
      <c r="J99" s="110"/>
    </row>
    <row r="100" spans="2:10" x14ac:dyDescent="0.25">
      <c r="B100" s="77"/>
      <c r="C100" s="73" t="s">
        <v>549</v>
      </c>
      <c r="D100" s="160"/>
      <c r="E100" s="161"/>
      <c r="F100" s="161"/>
      <c r="G100" s="78"/>
      <c r="H100" s="79"/>
      <c r="I100" s="130">
        <f t="shared" ref="I100" si="8">F100*H100</f>
        <v>0</v>
      </c>
      <c r="J100" s="110"/>
    </row>
    <row r="101" spans="2:10" x14ac:dyDescent="0.25">
      <c r="B101" s="77"/>
      <c r="C101" s="74"/>
      <c r="D101" s="160"/>
      <c r="E101" s="161"/>
      <c r="F101" s="161"/>
      <c r="G101" s="78"/>
      <c r="H101" s="79"/>
      <c r="I101" s="130">
        <f t="shared" si="4"/>
        <v>0</v>
      </c>
      <c r="J101" s="110"/>
    </row>
    <row r="102" spans="2:10" x14ac:dyDescent="0.25">
      <c r="B102" s="77"/>
      <c r="C102" s="159" t="s">
        <v>550</v>
      </c>
      <c r="D102" s="160"/>
      <c r="E102" s="161"/>
      <c r="F102" s="161"/>
      <c r="G102" s="78"/>
      <c r="H102" s="79"/>
      <c r="I102" s="130">
        <f t="shared" si="4"/>
        <v>0</v>
      </c>
      <c r="J102" s="110"/>
    </row>
    <row r="103" spans="2:10" x14ac:dyDescent="0.25">
      <c r="B103" s="77"/>
      <c r="C103" s="74"/>
      <c r="D103" s="160"/>
      <c r="E103" s="161"/>
      <c r="F103" s="161"/>
      <c r="G103" s="78"/>
      <c r="H103" s="79"/>
      <c r="I103" s="130">
        <f t="shared" si="4"/>
        <v>0</v>
      </c>
      <c r="J103" s="110"/>
    </row>
    <row r="104" spans="2:10" x14ac:dyDescent="0.25">
      <c r="B104" s="77"/>
      <c r="C104" s="74" t="s">
        <v>551</v>
      </c>
      <c r="D104" s="160"/>
      <c r="E104" s="161"/>
      <c r="F104" s="161"/>
      <c r="G104" s="78"/>
      <c r="H104" s="79"/>
      <c r="I104" s="130">
        <f t="shared" si="4"/>
        <v>0</v>
      </c>
      <c r="J104" s="110"/>
    </row>
    <row r="105" spans="2:10" x14ac:dyDescent="0.25">
      <c r="B105" s="77"/>
      <c r="C105" s="74"/>
      <c r="D105" s="160"/>
      <c r="E105" s="161"/>
      <c r="F105" s="161"/>
      <c r="G105" s="78"/>
      <c r="H105" s="79"/>
      <c r="I105" s="130">
        <f t="shared" si="4"/>
        <v>0</v>
      </c>
      <c r="J105" s="110"/>
    </row>
    <row r="106" spans="2:10" x14ac:dyDescent="0.25">
      <c r="B106" s="173">
        <f>B97+0.01</f>
        <v>13.169999999999996</v>
      </c>
      <c r="C106" s="74"/>
      <c r="D106" s="112" t="s">
        <v>527</v>
      </c>
      <c r="E106" s="162"/>
      <c r="F106" s="162">
        <v>1</v>
      </c>
      <c r="G106" s="75" t="s">
        <v>528</v>
      </c>
      <c r="H106" s="76"/>
      <c r="I106" s="130">
        <f t="shared" si="4"/>
        <v>0</v>
      </c>
      <c r="J106" s="110"/>
    </row>
    <row r="107" spans="2:10" x14ac:dyDescent="0.25">
      <c r="B107" s="77"/>
      <c r="C107" s="74"/>
      <c r="D107" s="160"/>
      <c r="E107" s="161"/>
      <c r="F107" s="161"/>
      <c r="G107" s="78"/>
      <c r="H107" s="79"/>
      <c r="I107" s="130">
        <f t="shared" si="4"/>
        <v>0</v>
      </c>
      <c r="J107" s="110"/>
    </row>
    <row r="108" spans="2:10" ht="15.75" x14ac:dyDescent="0.25">
      <c r="B108" s="77"/>
      <c r="C108" s="432" t="s">
        <v>634</v>
      </c>
      <c r="D108" s="433"/>
      <c r="E108" s="161"/>
      <c r="F108" s="161"/>
      <c r="G108" s="78"/>
      <c r="H108" s="79"/>
      <c r="I108" s="130">
        <f t="shared" si="4"/>
        <v>0</v>
      </c>
      <c r="J108" s="110"/>
    </row>
    <row r="109" spans="2:10" x14ac:dyDescent="0.25">
      <c r="B109" s="77"/>
      <c r="C109" s="74"/>
      <c r="D109" s="160"/>
      <c r="E109" s="161"/>
      <c r="F109" s="161"/>
      <c r="G109" s="78"/>
      <c r="H109" s="79"/>
      <c r="I109" s="130">
        <f t="shared" si="4"/>
        <v>0</v>
      </c>
      <c r="J109" s="110"/>
    </row>
    <row r="110" spans="2:10" ht="30" customHeight="1" x14ac:dyDescent="0.25">
      <c r="B110" s="77"/>
      <c r="C110" s="418" t="s">
        <v>650</v>
      </c>
      <c r="D110" s="419"/>
      <c r="E110" s="161"/>
      <c r="F110" s="161"/>
      <c r="G110" s="78"/>
      <c r="H110" s="79"/>
      <c r="I110" s="130">
        <f t="shared" si="4"/>
        <v>0</v>
      </c>
      <c r="J110" s="110"/>
    </row>
    <row r="111" spans="2:10" x14ac:dyDescent="0.25">
      <c r="B111" s="77"/>
      <c r="C111" s="74"/>
      <c r="D111" s="160"/>
      <c r="E111" s="161"/>
      <c r="F111" s="161"/>
      <c r="G111" s="78"/>
      <c r="H111" s="79"/>
      <c r="I111" s="130">
        <f t="shared" si="4"/>
        <v>0</v>
      </c>
      <c r="J111" s="110"/>
    </row>
    <row r="112" spans="2:10" x14ac:dyDescent="0.25">
      <c r="B112" s="172">
        <f>B106+0.01</f>
        <v>13.179999999999996</v>
      </c>
      <c r="C112" s="74"/>
      <c r="D112" s="112" t="s">
        <v>527</v>
      </c>
      <c r="E112" s="162"/>
      <c r="F112" s="162">
        <v>1</v>
      </c>
      <c r="G112" s="75" t="s">
        <v>528</v>
      </c>
      <c r="H112" s="76"/>
      <c r="I112" s="130">
        <f t="shared" si="4"/>
        <v>0</v>
      </c>
      <c r="J112" s="110"/>
    </row>
    <row r="113" spans="2:10" x14ac:dyDescent="0.25">
      <c r="B113" s="77"/>
      <c r="C113" s="74"/>
      <c r="D113" s="160"/>
      <c r="E113" s="161"/>
      <c r="F113" s="161"/>
      <c r="G113" s="78"/>
      <c r="H113" s="79"/>
      <c r="I113" s="130">
        <f t="shared" si="4"/>
        <v>0</v>
      </c>
      <c r="J113" s="110"/>
    </row>
    <row r="114" spans="2:10" x14ac:dyDescent="0.25">
      <c r="B114" s="77"/>
      <c r="C114" s="159" t="s">
        <v>556</v>
      </c>
      <c r="D114" s="160"/>
      <c r="E114" s="161"/>
      <c r="F114" s="161"/>
      <c r="G114" s="78"/>
      <c r="H114" s="79"/>
      <c r="I114" s="130">
        <f t="shared" si="4"/>
        <v>0</v>
      </c>
      <c r="J114" s="110"/>
    </row>
    <row r="115" spans="2:10" x14ac:dyDescent="0.25">
      <c r="B115" s="77"/>
      <c r="C115" s="74"/>
      <c r="D115" s="160"/>
      <c r="E115" s="161"/>
      <c r="F115" s="161"/>
      <c r="G115" s="78"/>
      <c r="H115" s="79"/>
      <c r="I115" s="130">
        <f t="shared" si="4"/>
        <v>0</v>
      </c>
      <c r="J115" s="110"/>
    </row>
    <row r="116" spans="2:10" ht="29.25" customHeight="1" x14ac:dyDescent="0.25">
      <c r="B116" s="77"/>
      <c r="C116" s="420" t="s">
        <v>557</v>
      </c>
      <c r="D116" s="421"/>
      <c r="E116" s="161"/>
      <c r="F116" s="161"/>
      <c r="G116" s="78"/>
      <c r="H116" s="79"/>
      <c r="I116" s="130">
        <f t="shared" si="4"/>
        <v>0</v>
      </c>
      <c r="J116" s="110"/>
    </row>
    <row r="117" spans="2:10" x14ac:dyDescent="0.25">
      <c r="B117" s="77"/>
      <c r="C117" s="170"/>
      <c r="D117" s="158"/>
      <c r="E117" s="161"/>
      <c r="F117" s="161"/>
      <c r="G117" s="78"/>
      <c r="H117" s="79"/>
      <c r="I117" s="130">
        <f t="shared" si="4"/>
        <v>0</v>
      </c>
      <c r="J117" s="110"/>
    </row>
    <row r="118" spans="2:10" x14ac:dyDescent="0.25">
      <c r="B118" s="173">
        <f>B112+0.01</f>
        <v>13.189999999999996</v>
      </c>
      <c r="C118" s="74"/>
      <c r="D118" s="112" t="s">
        <v>527</v>
      </c>
      <c r="E118" s="162"/>
      <c r="F118" s="162">
        <v>1</v>
      </c>
      <c r="G118" s="75" t="s">
        <v>528</v>
      </c>
      <c r="H118" s="76"/>
      <c r="I118" s="130">
        <f t="shared" si="4"/>
        <v>0</v>
      </c>
      <c r="J118" s="110"/>
    </row>
    <row r="119" spans="2:10" x14ac:dyDescent="0.25">
      <c r="B119" s="77"/>
      <c r="C119" s="74"/>
      <c r="D119" s="160"/>
      <c r="E119" s="161"/>
      <c r="F119" s="161"/>
      <c r="G119" s="78"/>
      <c r="H119" s="79"/>
      <c r="I119" s="130">
        <f t="shared" si="4"/>
        <v>0</v>
      </c>
      <c r="J119" s="110"/>
    </row>
    <row r="120" spans="2:10" x14ac:dyDescent="0.25">
      <c r="B120" s="72"/>
      <c r="C120" s="159" t="s">
        <v>529</v>
      </c>
      <c r="D120" s="82"/>
      <c r="E120" s="75"/>
      <c r="F120" s="75"/>
      <c r="G120" s="75"/>
      <c r="H120" s="122"/>
      <c r="I120" s="130">
        <f t="shared" si="4"/>
        <v>0</v>
      </c>
      <c r="J120" s="110"/>
    </row>
    <row r="121" spans="2:10" x14ac:dyDescent="0.25">
      <c r="B121" s="72"/>
      <c r="C121" s="74"/>
      <c r="D121" s="82"/>
      <c r="E121" s="75"/>
      <c r="F121" s="75"/>
      <c r="G121" s="75"/>
      <c r="H121" s="122"/>
      <c r="I121" s="130">
        <f t="shared" si="4"/>
        <v>0</v>
      </c>
      <c r="J121" s="110"/>
    </row>
    <row r="122" spans="2:10" ht="29.25" customHeight="1" x14ac:dyDescent="0.25">
      <c r="B122" s="72"/>
      <c r="C122" s="422" t="s">
        <v>629</v>
      </c>
      <c r="D122" s="423"/>
      <c r="E122" s="75"/>
      <c r="F122" s="75"/>
      <c r="G122" s="75"/>
      <c r="H122" s="122"/>
      <c r="I122" s="130">
        <f t="shared" si="4"/>
        <v>0</v>
      </c>
      <c r="J122" s="110"/>
    </row>
    <row r="123" spans="2:10" x14ac:dyDescent="0.25">
      <c r="B123" s="72"/>
      <c r="C123" s="165"/>
      <c r="D123" s="82"/>
      <c r="E123" s="75"/>
      <c r="F123" s="75"/>
      <c r="G123" s="75"/>
      <c r="H123" s="122"/>
      <c r="I123" s="130">
        <f t="shared" si="4"/>
        <v>0</v>
      </c>
      <c r="J123" s="110"/>
    </row>
    <row r="124" spans="2:10" x14ac:dyDescent="0.25">
      <c r="B124" s="172">
        <f>B118+0.01</f>
        <v>13.199999999999996</v>
      </c>
      <c r="C124" s="74"/>
      <c r="D124" s="155" t="s">
        <v>527</v>
      </c>
      <c r="E124" s="154"/>
      <c r="F124" s="154">
        <v>1</v>
      </c>
      <c r="G124" s="75" t="s">
        <v>528</v>
      </c>
      <c r="H124" s="122"/>
      <c r="I124" s="130">
        <f t="shared" si="4"/>
        <v>0</v>
      </c>
      <c r="J124" s="110"/>
    </row>
    <row r="125" spans="2:10" x14ac:dyDescent="0.25">
      <c r="B125" s="72"/>
      <c r="C125" s="74"/>
      <c r="D125" s="111"/>
      <c r="E125" s="109"/>
      <c r="F125" s="109"/>
      <c r="G125" s="75"/>
      <c r="H125" s="76"/>
      <c r="I125" s="130">
        <f t="shared" si="4"/>
        <v>0</v>
      </c>
      <c r="J125" s="110"/>
    </row>
    <row r="126" spans="2:10" ht="15.75" thickBot="1" x14ac:dyDescent="0.3">
      <c r="B126" s="85"/>
      <c r="C126" s="86"/>
      <c r="D126" s="87"/>
      <c r="E126" s="88"/>
      <c r="F126" s="88"/>
      <c r="G126" s="88"/>
      <c r="H126" s="89"/>
      <c r="I126" s="76" t="str">
        <f t="shared" si="0"/>
        <v/>
      </c>
    </row>
    <row r="127" spans="2:10" ht="30.75" customHeight="1" thickBot="1" x14ac:dyDescent="0.3">
      <c r="D127" s="367" t="s">
        <v>954</v>
      </c>
      <c r="E127" s="109"/>
      <c r="F127" s="109"/>
      <c r="G127" s="75"/>
      <c r="H127" s="382"/>
      <c r="I127" s="124">
        <f>SUM(I63:I126)</f>
        <v>0</v>
      </c>
    </row>
  </sheetData>
  <mergeCells count="26">
    <mergeCell ref="C24:D24"/>
    <mergeCell ref="C22:D22"/>
    <mergeCell ref="C10:D10"/>
    <mergeCell ref="C6:D6"/>
    <mergeCell ref="C7:D7"/>
    <mergeCell ref="C8:D8"/>
    <mergeCell ref="C9:D9"/>
    <mergeCell ref="C16:D16"/>
    <mergeCell ref="C73:D73"/>
    <mergeCell ref="C79:D79"/>
    <mergeCell ref="C81:D81"/>
    <mergeCell ref="C39:D39"/>
    <mergeCell ref="C41:D41"/>
    <mergeCell ref="C47:D47"/>
    <mergeCell ref="C53:D53"/>
    <mergeCell ref="C61:D61"/>
    <mergeCell ref="C65:D65"/>
    <mergeCell ref="C63:D63"/>
    <mergeCell ref="C59:D59"/>
    <mergeCell ref="C71:D71"/>
    <mergeCell ref="C108:D108"/>
    <mergeCell ref="C110:D110"/>
    <mergeCell ref="C116:D116"/>
    <mergeCell ref="C122:D122"/>
    <mergeCell ref="C91:D91"/>
    <mergeCell ref="C93:D93"/>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B422-EB5F-4EED-AB06-87F49F087C85}">
  <sheetPr>
    <pageSetUpPr fitToPage="1"/>
  </sheetPr>
  <dimension ref="B1:J143"/>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Summary!D35</f>
        <v>Ceiling Finishes</v>
      </c>
      <c r="I3" s="100">
        <f>+Summary!G3</f>
        <v>45614</v>
      </c>
    </row>
    <row r="4" spans="2:9" ht="13.5" customHeight="1" thickBot="1" x14ac:dyDescent="0.3">
      <c r="B4" s="86">
        <v>14</v>
      </c>
      <c r="C4" s="101"/>
      <c r="D4" s="101"/>
      <c r="E4" s="102"/>
      <c r="F4" s="102"/>
      <c r="G4" s="102"/>
      <c r="H4" s="101"/>
      <c r="I4" s="103"/>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 t="shared" ref="I6:I142" si="0">IF(H6="","",H6*E6)</f>
        <v/>
      </c>
    </row>
    <row r="7" spans="2:9" ht="77.25" customHeight="1" x14ac:dyDescent="0.25">
      <c r="B7" s="72"/>
      <c r="C7" s="422" t="s">
        <v>658</v>
      </c>
      <c r="D7" s="423"/>
      <c r="E7" s="75"/>
      <c r="F7" s="75"/>
      <c r="G7" s="75"/>
      <c r="H7" s="76"/>
      <c r="I7" s="76" t="str">
        <f t="shared" si="0"/>
        <v/>
      </c>
    </row>
    <row r="8" spans="2:9" ht="45" customHeight="1" x14ac:dyDescent="0.25">
      <c r="B8" s="72"/>
      <c r="C8" s="422" t="s">
        <v>575</v>
      </c>
      <c r="D8" s="423"/>
      <c r="E8" s="75"/>
      <c r="F8" s="75"/>
      <c r="G8" s="75"/>
      <c r="H8" s="76"/>
      <c r="I8" s="76"/>
    </row>
    <row r="9" spans="2:9" ht="15" customHeight="1" x14ac:dyDescent="0.25">
      <c r="B9" s="72"/>
      <c r="C9" s="422" t="s">
        <v>800</v>
      </c>
      <c r="D9" s="423"/>
      <c r="E9" s="75"/>
      <c r="F9" s="75"/>
      <c r="G9" s="75"/>
      <c r="H9" s="76"/>
      <c r="I9" s="76"/>
    </row>
    <row r="10" spans="2:9" ht="15" customHeight="1" x14ac:dyDescent="0.25">
      <c r="B10" s="72"/>
      <c r="C10" s="422" t="s">
        <v>950</v>
      </c>
      <c r="D10" s="423"/>
      <c r="E10" s="75"/>
      <c r="F10" s="75"/>
      <c r="G10" s="75"/>
      <c r="H10" s="76"/>
      <c r="I10" s="76"/>
    </row>
    <row r="11" spans="2:9" ht="15.6" customHeight="1" x14ac:dyDescent="0.25">
      <c r="B11" s="72"/>
      <c r="C11" s="165"/>
      <c r="D11" s="167"/>
      <c r="E11" s="75"/>
      <c r="F11" s="75"/>
      <c r="G11" s="75"/>
      <c r="H11" s="76"/>
      <c r="I11" s="76"/>
    </row>
    <row r="12" spans="2:9" x14ac:dyDescent="0.25">
      <c r="B12" s="72"/>
      <c r="C12" s="350" t="s">
        <v>815</v>
      </c>
      <c r="D12" s="82"/>
      <c r="E12" s="75"/>
      <c r="F12" s="75"/>
      <c r="G12" s="75"/>
      <c r="H12" s="76"/>
      <c r="I12" s="76"/>
    </row>
    <row r="13" spans="2:9" x14ac:dyDescent="0.25">
      <c r="B13" s="72"/>
      <c r="C13" s="84"/>
      <c r="D13" s="82"/>
      <c r="E13" s="75"/>
      <c r="F13" s="75"/>
      <c r="G13" s="75"/>
      <c r="H13" s="76"/>
      <c r="I13" s="76"/>
    </row>
    <row r="14" spans="2:9" x14ac:dyDescent="0.25">
      <c r="B14" s="72"/>
      <c r="C14" s="159" t="s">
        <v>648</v>
      </c>
      <c r="D14" s="82"/>
      <c r="E14" s="75"/>
      <c r="F14" s="75"/>
      <c r="G14" s="75"/>
      <c r="H14" s="76"/>
      <c r="I14" s="76"/>
    </row>
    <row r="15" spans="2:9" x14ac:dyDescent="0.25">
      <c r="B15" s="72"/>
      <c r="C15" s="159"/>
      <c r="D15" s="82"/>
      <c r="E15" s="75"/>
      <c r="F15" s="75"/>
      <c r="G15" s="75"/>
      <c r="H15" s="76"/>
      <c r="I15" s="76"/>
    </row>
    <row r="16" spans="2:9" x14ac:dyDescent="0.25">
      <c r="B16" s="72"/>
      <c r="C16" s="74" t="s">
        <v>799</v>
      </c>
      <c r="D16" s="82"/>
      <c r="E16" s="75"/>
      <c r="F16" s="75"/>
      <c r="G16" s="75"/>
      <c r="H16" s="76"/>
      <c r="I16" s="76"/>
    </row>
    <row r="17" spans="2:9" x14ac:dyDescent="0.25">
      <c r="B17" s="72"/>
      <c r="C17" s="159"/>
      <c r="D17" s="82"/>
      <c r="E17" s="75"/>
      <c r="F17" s="75"/>
      <c r="G17" s="75"/>
      <c r="H17" s="76"/>
      <c r="I17" s="76"/>
    </row>
    <row r="18" spans="2:9" x14ac:dyDescent="0.25">
      <c r="B18" s="164">
        <f>B4+0.01</f>
        <v>14.01</v>
      </c>
      <c r="C18" s="159"/>
      <c r="D18" s="82" t="s">
        <v>527</v>
      </c>
      <c r="E18" s="128">
        <v>1</v>
      </c>
      <c r="F18" s="128">
        <v>1</v>
      </c>
      <c r="G18" s="128" t="s">
        <v>528</v>
      </c>
      <c r="H18" s="76"/>
      <c r="I18" s="130">
        <f>F18*H18</f>
        <v>0</v>
      </c>
    </row>
    <row r="19" spans="2:9" x14ac:dyDescent="0.25">
      <c r="B19" s="72"/>
      <c r="C19" s="84"/>
      <c r="D19" s="82"/>
      <c r="E19" s="75"/>
      <c r="F19" s="75"/>
      <c r="G19" s="75"/>
      <c r="H19" s="76"/>
      <c r="I19" s="130">
        <f t="shared" ref="I19:I76" si="1">F19*H19</f>
        <v>0</v>
      </c>
    </row>
    <row r="20" spans="2:9" x14ac:dyDescent="0.25">
      <c r="B20" s="72"/>
      <c r="C20" s="418" t="s">
        <v>716</v>
      </c>
      <c r="D20" s="419"/>
      <c r="E20" s="75"/>
      <c r="F20" s="75"/>
      <c r="G20" s="75"/>
      <c r="H20" s="76"/>
      <c r="I20" s="130">
        <f t="shared" si="1"/>
        <v>0</v>
      </c>
    </row>
    <row r="21" spans="2:9" x14ac:dyDescent="0.25">
      <c r="B21" s="72"/>
      <c r="C21" s="84"/>
      <c r="D21" s="82"/>
      <c r="E21" s="75"/>
      <c r="F21" s="75"/>
      <c r="G21" s="75"/>
      <c r="H21" s="76"/>
      <c r="I21" s="130">
        <f t="shared" si="1"/>
        <v>0</v>
      </c>
    </row>
    <row r="22" spans="2:9" ht="45" x14ac:dyDescent="0.25">
      <c r="B22" s="164">
        <f>B18+0.01</f>
        <v>14.02</v>
      </c>
      <c r="C22" s="84"/>
      <c r="D22" s="82" t="s">
        <v>717</v>
      </c>
      <c r="E22" s="128">
        <v>1</v>
      </c>
      <c r="F22" s="128">
        <v>1</v>
      </c>
      <c r="G22" s="128" t="s">
        <v>528</v>
      </c>
      <c r="H22" s="76"/>
      <c r="I22" s="130">
        <f t="shared" si="1"/>
        <v>0</v>
      </c>
    </row>
    <row r="23" spans="2:9" x14ac:dyDescent="0.25">
      <c r="B23" s="72"/>
      <c r="C23" s="84"/>
      <c r="D23" s="82"/>
      <c r="E23" s="75"/>
      <c r="F23" s="75"/>
      <c r="G23" s="75"/>
      <c r="H23" s="76"/>
      <c r="I23" s="130">
        <f t="shared" si="1"/>
        <v>0</v>
      </c>
    </row>
    <row r="24" spans="2:9" ht="45" x14ac:dyDescent="0.25">
      <c r="B24" s="164">
        <f>B22+0.01</f>
        <v>14.03</v>
      </c>
      <c r="C24" s="84"/>
      <c r="D24" s="82" t="s">
        <v>718</v>
      </c>
      <c r="E24" s="128">
        <v>1</v>
      </c>
      <c r="F24" s="128">
        <v>1</v>
      </c>
      <c r="G24" s="128" t="s">
        <v>528</v>
      </c>
      <c r="H24" s="76"/>
      <c r="I24" s="130">
        <f t="shared" si="1"/>
        <v>0</v>
      </c>
    </row>
    <row r="25" spans="2:9" x14ac:dyDescent="0.25">
      <c r="B25" s="72"/>
      <c r="C25" s="84"/>
      <c r="D25" s="82"/>
      <c r="E25" s="75"/>
      <c r="F25" s="75"/>
      <c r="G25" s="75"/>
      <c r="H25" s="76"/>
      <c r="I25" s="130">
        <f t="shared" si="1"/>
        <v>0</v>
      </c>
    </row>
    <row r="26" spans="2:9" ht="30" x14ac:dyDescent="0.25">
      <c r="B26" s="164">
        <f>B24+0.01</f>
        <v>14.04</v>
      </c>
      <c r="C26" s="84"/>
      <c r="D26" s="82" t="s">
        <v>731</v>
      </c>
      <c r="E26" s="128">
        <v>1</v>
      </c>
      <c r="F26" s="128">
        <v>1</v>
      </c>
      <c r="G26" s="128" t="s">
        <v>528</v>
      </c>
      <c r="H26" s="76"/>
      <c r="I26" s="130">
        <f t="shared" si="1"/>
        <v>0</v>
      </c>
    </row>
    <row r="27" spans="2:9" x14ac:dyDescent="0.25">
      <c r="B27" s="72"/>
      <c r="C27" s="108"/>
      <c r="D27" s="82"/>
      <c r="E27" s="75"/>
      <c r="F27" s="75"/>
      <c r="G27" s="75"/>
      <c r="H27" s="76"/>
      <c r="I27" s="130">
        <f t="shared" si="1"/>
        <v>0</v>
      </c>
    </row>
    <row r="28" spans="2:9" ht="30" x14ac:dyDescent="0.25">
      <c r="B28" s="164">
        <f>B26+0.01</f>
        <v>14.049999999999999</v>
      </c>
      <c r="C28" s="108"/>
      <c r="D28" s="82" t="s">
        <v>732</v>
      </c>
      <c r="E28" s="128">
        <v>1</v>
      </c>
      <c r="F28" s="128">
        <v>1</v>
      </c>
      <c r="G28" s="128" t="s">
        <v>528</v>
      </c>
      <c r="H28" s="76"/>
      <c r="I28" s="130">
        <f t="shared" si="1"/>
        <v>0</v>
      </c>
    </row>
    <row r="29" spans="2:9" x14ac:dyDescent="0.25">
      <c r="B29" s="72"/>
      <c r="C29" s="108"/>
      <c r="D29" s="82"/>
      <c r="E29" s="75"/>
      <c r="F29" s="75"/>
      <c r="G29" s="75"/>
      <c r="H29" s="76"/>
      <c r="I29" s="130">
        <f t="shared" si="1"/>
        <v>0</v>
      </c>
    </row>
    <row r="30" spans="2:9" ht="45" x14ac:dyDescent="0.25">
      <c r="B30" s="164">
        <f>B28+0.01</f>
        <v>14.059999999999999</v>
      </c>
      <c r="C30" s="108"/>
      <c r="D30" s="158" t="s">
        <v>722</v>
      </c>
      <c r="E30" s="128">
        <v>1</v>
      </c>
      <c r="F30" s="128">
        <v>1</v>
      </c>
      <c r="G30" s="128" t="s">
        <v>528</v>
      </c>
      <c r="H30" s="76"/>
      <c r="I30" s="130">
        <f t="shared" si="1"/>
        <v>0</v>
      </c>
    </row>
    <row r="31" spans="2:9" x14ac:dyDescent="0.25">
      <c r="B31" s="72"/>
      <c r="C31" s="108"/>
      <c r="D31" s="82"/>
      <c r="E31" s="75"/>
      <c r="F31" s="75"/>
      <c r="G31" s="75"/>
      <c r="H31" s="76"/>
      <c r="I31" s="130">
        <f t="shared" si="1"/>
        <v>0</v>
      </c>
    </row>
    <row r="32" spans="2:9" x14ac:dyDescent="0.25">
      <c r="B32" s="72"/>
      <c r="C32" s="159" t="s">
        <v>698</v>
      </c>
      <c r="D32" s="82"/>
      <c r="E32" s="75"/>
      <c r="F32" s="75"/>
      <c r="G32" s="75"/>
      <c r="H32" s="76"/>
      <c r="I32" s="130">
        <f t="shared" si="1"/>
        <v>0</v>
      </c>
    </row>
    <row r="33" spans="2:9" x14ac:dyDescent="0.25">
      <c r="B33" s="72"/>
      <c r="C33" s="84"/>
      <c r="D33" s="82"/>
      <c r="E33" s="75"/>
      <c r="F33" s="75"/>
      <c r="G33" s="75"/>
      <c r="H33" s="76"/>
      <c r="I33" s="130">
        <f t="shared" si="1"/>
        <v>0</v>
      </c>
    </row>
    <row r="34" spans="2:9" x14ac:dyDescent="0.25">
      <c r="B34" s="72"/>
      <c r="C34" s="74" t="s">
        <v>632</v>
      </c>
      <c r="D34" s="82"/>
      <c r="E34" s="75"/>
      <c r="F34" s="75"/>
      <c r="G34" s="75"/>
      <c r="H34" s="76"/>
      <c r="I34" s="130">
        <f t="shared" si="1"/>
        <v>0</v>
      </c>
    </row>
    <row r="35" spans="2:9" x14ac:dyDescent="0.25">
      <c r="B35" s="72"/>
      <c r="C35" s="84"/>
      <c r="D35" s="82"/>
      <c r="E35" s="75"/>
      <c r="F35" s="75"/>
      <c r="G35" s="75"/>
      <c r="H35" s="76"/>
      <c r="I35" s="130">
        <f t="shared" si="1"/>
        <v>0</v>
      </c>
    </row>
    <row r="36" spans="2:9" ht="60" x14ac:dyDescent="0.25">
      <c r="B36" s="179">
        <f>B30+0.01</f>
        <v>14.069999999999999</v>
      </c>
      <c r="C36" s="84"/>
      <c r="D36" s="246" t="s">
        <v>801</v>
      </c>
      <c r="E36" s="128">
        <f>(10.2*7.2)-(8.7*1)-(2.2*2.3*0.5*2)</f>
        <v>59.679999999999993</v>
      </c>
      <c r="F36" s="128">
        <v>1</v>
      </c>
      <c r="G36" s="128" t="s">
        <v>528</v>
      </c>
      <c r="H36" s="130"/>
      <c r="I36" s="130">
        <f t="shared" si="1"/>
        <v>0</v>
      </c>
    </row>
    <row r="37" spans="2:9" x14ac:dyDescent="0.25">
      <c r="B37" s="72"/>
      <c r="C37" s="84"/>
      <c r="D37" s="82"/>
      <c r="E37" s="75"/>
      <c r="F37" s="75"/>
      <c r="G37" s="75"/>
      <c r="H37" s="76"/>
      <c r="I37" s="130">
        <f t="shared" si="1"/>
        <v>0</v>
      </c>
    </row>
    <row r="38" spans="2:9" x14ac:dyDescent="0.25">
      <c r="B38" s="72"/>
      <c r="C38" s="159" t="s">
        <v>802</v>
      </c>
      <c r="D38" s="82"/>
      <c r="E38" s="75"/>
      <c r="F38" s="75"/>
      <c r="G38" s="75"/>
      <c r="H38" s="76"/>
      <c r="I38" s="130">
        <f t="shared" si="1"/>
        <v>0</v>
      </c>
    </row>
    <row r="39" spans="2:9" x14ac:dyDescent="0.25">
      <c r="B39" s="72"/>
      <c r="C39" s="84"/>
      <c r="D39" s="82"/>
      <c r="E39" s="75"/>
      <c r="F39" s="75"/>
      <c r="G39" s="75"/>
      <c r="H39" s="76"/>
      <c r="I39" s="130">
        <f t="shared" si="1"/>
        <v>0</v>
      </c>
    </row>
    <row r="40" spans="2:9" x14ac:dyDescent="0.25">
      <c r="B40" s="72"/>
      <c r="C40" s="74" t="s">
        <v>632</v>
      </c>
      <c r="D40" s="82"/>
      <c r="E40" s="75"/>
      <c r="F40" s="75"/>
      <c r="G40" s="75"/>
      <c r="H40" s="76"/>
      <c r="I40" s="130">
        <f t="shared" si="1"/>
        <v>0</v>
      </c>
    </row>
    <row r="41" spans="2:9" x14ac:dyDescent="0.25">
      <c r="B41" s="72"/>
      <c r="C41" s="84"/>
      <c r="D41" s="82"/>
      <c r="E41" s="75"/>
      <c r="F41" s="75"/>
      <c r="G41" s="75"/>
      <c r="H41" s="76"/>
      <c r="I41" s="130">
        <f t="shared" si="1"/>
        <v>0</v>
      </c>
    </row>
    <row r="42" spans="2:9" ht="60" x14ac:dyDescent="0.25">
      <c r="B42" s="179">
        <f>B36+0.01</f>
        <v>14.079999999999998</v>
      </c>
      <c r="C42" s="84"/>
      <c r="D42" s="246" t="s">
        <v>804</v>
      </c>
      <c r="E42" s="128">
        <f>(8.7*1)+(2.2*2.3*0.5)</f>
        <v>11.229999999999999</v>
      </c>
      <c r="F42" s="128">
        <v>1</v>
      </c>
      <c r="G42" s="128" t="s">
        <v>528</v>
      </c>
      <c r="H42" s="130"/>
      <c r="I42" s="130">
        <f t="shared" si="1"/>
        <v>0</v>
      </c>
    </row>
    <row r="43" spans="2:9" x14ac:dyDescent="0.25">
      <c r="B43" s="179"/>
      <c r="C43" s="84"/>
      <c r="D43" s="246"/>
      <c r="E43" s="128"/>
      <c r="F43" s="128"/>
      <c r="G43" s="128"/>
      <c r="H43" s="130"/>
      <c r="I43" s="130">
        <f t="shared" si="1"/>
        <v>0</v>
      </c>
    </row>
    <row r="44" spans="2:9" x14ac:dyDescent="0.25">
      <c r="B44" s="72"/>
      <c r="C44" s="159" t="s">
        <v>805</v>
      </c>
      <c r="D44" s="82"/>
      <c r="E44" s="75"/>
      <c r="F44" s="75"/>
      <c r="G44" s="75"/>
      <c r="H44" s="76"/>
      <c r="I44" s="130">
        <f t="shared" si="1"/>
        <v>0</v>
      </c>
    </row>
    <row r="45" spans="2:9" x14ac:dyDescent="0.25">
      <c r="B45" s="72"/>
      <c r="C45" s="84"/>
      <c r="D45" s="82"/>
      <c r="E45" s="75"/>
      <c r="F45" s="75"/>
      <c r="G45" s="75"/>
      <c r="H45" s="76"/>
      <c r="I45" s="130">
        <f t="shared" si="1"/>
        <v>0</v>
      </c>
    </row>
    <row r="46" spans="2:9" x14ac:dyDescent="0.25">
      <c r="B46" s="72"/>
      <c r="C46" s="74" t="s">
        <v>632</v>
      </c>
      <c r="D46" s="82"/>
      <c r="E46" s="75"/>
      <c r="F46" s="75"/>
      <c r="G46" s="75"/>
      <c r="H46" s="76"/>
      <c r="I46" s="130">
        <f t="shared" si="1"/>
        <v>0</v>
      </c>
    </row>
    <row r="47" spans="2:9" x14ac:dyDescent="0.25">
      <c r="B47" s="72"/>
      <c r="C47" s="84"/>
      <c r="D47" s="82"/>
      <c r="E47" s="75"/>
      <c r="F47" s="75"/>
      <c r="G47" s="75"/>
      <c r="H47" s="76"/>
      <c r="I47" s="130">
        <f t="shared" si="1"/>
        <v>0</v>
      </c>
    </row>
    <row r="48" spans="2:9" ht="49.5" customHeight="1" x14ac:dyDescent="0.25">
      <c r="B48" s="179">
        <f>B42+0.01</f>
        <v>14.089999999999998</v>
      </c>
      <c r="C48" s="84"/>
      <c r="D48" s="246" t="s">
        <v>1383</v>
      </c>
      <c r="E48" s="128">
        <v>3</v>
      </c>
      <c r="F48" s="128">
        <v>1</v>
      </c>
      <c r="G48" s="128" t="s">
        <v>528</v>
      </c>
      <c r="H48" s="130"/>
      <c r="I48" s="130">
        <f t="shared" si="1"/>
        <v>0</v>
      </c>
    </row>
    <row r="49" spans="2:9" x14ac:dyDescent="0.25">
      <c r="B49" s="72"/>
      <c r="C49" s="84"/>
      <c r="D49" s="82"/>
      <c r="E49" s="75"/>
      <c r="F49" s="75"/>
      <c r="G49" s="75"/>
      <c r="H49" s="76"/>
      <c r="I49" s="130">
        <f t="shared" si="1"/>
        <v>0</v>
      </c>
    </row>
    <row r="50" spans="2:9" x14ac:dyDescent="0.25">
      <c r="B50" s="72"/>
      <c r="C50" s="84"/>
      <c r="D50" s="82"/>
      <c r="E50" s="75"/>
      <c r="F50" s="75"/>
      <c r="G50" s="75"/>
      <c r="H50" s="76"/>
      <c r="I50" s="130">
        <f t="shared" si="1"/>
        <v>0</v>
      </c>
    </row>
    <row r="51" spans="2:9" x14ac:dyDescent="0.25">
      <c r="B51" s="77"/>
      <c r="C51" s="73" t="s">
        <v>549</v>
      </c>
      <c r="D51" s="160"/>
      <c r="E51" s="161"/>
      <c r="F51" s="161"/>
      <c r="G51" s="78"/>
      <c r="H51" s="79"/>
      <c r="I51" s="130">
        <f t="shared" si="1"/>
        <v>0</v>
      </c>
    </row>
    <row r="52" spans="2:9" x14ac:dyDescent="0.25">
      <c r="B52" s="77"/>
      <c r="C52" s="74"/>
      <c r="D52" s="160"/>
      <c r="E52" s="161"/>
      <c r="F52" s="161"/>
      <c r="G52" s="78"/>
      <c r="H52" s="79"/>
      <c r="I52" s="130">
        <f t="shared" si="1"/>
        <v>0</v>
      </c>
    </row>
    <row r="53" spans="2:9" x14ac:dyDescent="0.25">
      <c r="B53" s="77"/>
      <c r="C53" s="159" t="s">
        <v>550</v>
      </c>
      <c r="D53" s="160"/>
      <c r="E53" s="161"/>
      <c r="F53" s="161"/>
      <c r="G53" s="78"/>
      <c r="H53" s="79"/>
      <c r="I53" s="130">
        <f t="shared" si="1"/>
        <v>0</v>
      </c>
    </row>
    <row r="54" spans="2:9" x14ac:dyDescent="0.25">
      <c r="B54" s="77"/>
      <c r="C54" s="74"/>
      <c r="D54" s="160"/>
      <c r="E54" s="161"/>
      <c r="F54" s="161"/>
      <c r="G54" s="78"/>
      <c r="H54" s="79"/>
      <c r="I54" s="130">
        <f t="shared" si="1"/>
        <v>0</v>
      </c>
    </row>
    <row r="55" spans="2:9" x14ac:dyDescent="0.25">
      <c r="B55" s="77"/>
      <c r="C55" s="74" t="s">
        <v>551</v>
      </c>
      <c r="D55" s="160"/>
      <c r="E55" s="161"/>
      <c r="F55" s="161"/>
      <c r="G55" s="78"/>
      <c r="H55" s="79"/>
      <c r="I55" s="130">
        <f t="shared" si="1"/>
        <v>0</v>
      </c>
    </row>
    <row r="56" spans="2:9" x14ac:dyDescent="0.25">
      <c r="B56" s="77"/>
      <c r="C56" s="74"/>
      <c r="D56" s="160"/>
      <c r="E56" s="161"/>
      <c r="F56" s="161"/>
      <c r="G56" s="78"/>
      <c r="H56" s="79"/>
      <c r="I56" s="130">
        <f t="shared" si="1"/>
        <v>0</v>
      </c>
    </row>
    <row r="57" spans="2:9" x14ac:dyDescent="0.25">
      <c r="B57" s="173">
        <f>B48+0.01</f>
        <v>14.099999999999998</v>
      </c>
      <c r="C57" s="74"/>
      <c r="D57" s="112" t="s">
        <v>527</v>
      </c>
      <c r="E57" s="162"/>
      <c r="F57" s="162">
        <v>1</v>
      </c>
      <c r="G57" s="75" t="s">
        <v>528</v>
      </c>
      <c r="H57" s="76"/>
      <c r="I57" s="130">
        <f t="shared" si="1"/>
        <v>0</v>
      </c>
    </row>
    <row r="58" spans="2:9" x14ac:dyDescent="0.25">
      <c r="B58" s="77"/>
      <c r="C58" s="74"/>
      <c r="D58" s="160"/>
      <c r="E58" s="161"/>
      <c r="F58" s="161"/>
      <c r="G58" s="78"/>
      <c r="H58" s="79"/>
      <c r="I58" s="130">
        <f t="shared" si="1"/>
        <v>0</v>
      </c>
    </row>
    <row r="59" spans="2:9" ht="15.75" x14ac:dyDescent="0.25">
      <c r="B59" s="77"/>
      <c r="C59" s="432" t="s">
        <v>634</v>
      </c>
      <c r="D59" s="433"/>
      <c r="E59" s="161"/>
      <c r="F59" s="161"/>
      <c r="G59" s="78"/>
      <c r="H59" s="79"/>
      <c r="I59" s="130">
        <f t="shared" si="1"/>
        <v>0</v>
      </c>
    </row>
    <row r="60" spans="2:9" x14ac:dyDescent="0.25">
      <c r="B60" s="77"/>
      <c r="C60" s="74"/>
      <c r="D60" s="160"/>
      <c r="E60" s="161"/>
      <c r="F60" s="161"/>
      <c r="G60" s="78"/>
      <c r="H60" s="79"/>
      <c r="I60" s="130">
        <f t="shared" si="1"/>
        <v>0</v>
      </c>
    </row>
    <row r="61" spans="2:9" ht="34.5" customHeight="1" x14ac:dyDescent="0.25">
      <c r="B61" s="77"/>
      <c r="C61" s="418" t="s">
        <v>650</v>
      </c>
      <c r="D61" s="419"/>
      <c r="E61" s="161"/>
      <c r="F61" s="161"/>
      <c r="G61" s="78"/>
      <c r="H61" s="79"/>
      <c r="I61" s="130">
        <f t="shared" si="1"/>
        <v>0</v>
      </c>
    </row>
    <row r="62" spans="2:9" ht="13.35" customHeight="1" x14ac:dyDescent="0.25">
      <c r="B62" s="77"/>
      <c r="C62" s="74"/>
      <c r="D62" s="160"/>
      <c r="E62" s="161"/>
      <c r="F62" s="161"/>
      <c r="G62" s="78"/>
      <c r="H62" s="79"/>
      <c r="I62" s="130">
        <f t="shared" si="1"/>
        <v>0</v>
      </c>
    </row>
    <row r="63" spans="2:9" x14ac:dyDescent="0.25">
      <c r="B63" s="172">
        <f>B57+0.01</f>
        <v>14.109999999999998</v>
      </c>
      <c r="C63" s="74"/>
      <c r="D63" s="112" t="s">
        <v>527</v>
      </c>
      <c r="E63" s="162"/>
      <c r="F63" s="162">
        <v>1</v>
      </c>
      <c r="G63" s="75" t="s">
        <v>528</v>
      </c>
      <c r="H63" s="76"/>
      <c r="I63" s="130">
        <f t="shared" si="1"/>
        <v>0</v>
      </c>
    </row>
    <row r="64" spans="2:9" x14ac:dyDescent="0.25">
      <c r="B64" s="77"/>
      <c r="C64" s="74"/>
      <c r="D64" s="160"/>
      <c r="E64" s="161"/>
      <c r="F64" s="161"/>
      <c r="G64" s="78"/>
      <c r="H64" s="79"/>
      <c r="I64" s="130">
        <f t="shared" si="1"/>
        <v>0</v>
      </c>
    </row>
    <row r="65" spans="2:10" x14ac:dyDescent="0.25">
      <c r="B65" s="77"/>
      <c r="C65" s="159" t="s">
        <v>556</v>
      </c>
      <c r="D65" s="160"/>
      <c r="E65" s="161"/>
      <c r="F65" s="161"/>
      <c r="G65" s="78"/>
      <c r="H65" s="79"/>
      <c r="I65" s="130">
        <f t="shared" si="1"/>
        <v>0</v>
      </c>
    </row>
    <row r="66" spans="2:10" x14ac:dyDescent="0.25">
      <c r="B66" s="77"/>
      <c r="C66" s="74"/>
      <c r="D66" s="160"/>
      <c r="E66" s="161"/>
      <c r="F66" s="161"/>
      <c r="G66" s="78"/>
      <c r="H66" s="79"/>
      <c r="I66" s="130">
        <f t="shared" si="1"/>
        <v>0</v>
      </c>
    </row>
    <row r="67" spans="2:10" ht="33.75" customHeight="1" x14ac:dyDescent="0.25">
      <c r="B67" s="77"/>
      <c r="C67" s="420" t="s">
        <v>557</v>
      </c>
      <c r="D67" s="421"/>
      <c r="E67" s="161"/>
      <c r="F67" s="161"/>
      <c r="G67" s="78"/>
      <c r="H67" s="79"/>
      <c r="I67" s="130">
        <f t="shared" si="1"/>
        <v>0</v>
      </c>
    </row>
    <row r="68" spans="2:10" ht="14.45" customHeight="1" x14ac:dyDescent="0.25">
      <c r="B68" s="77"/>
      <c r="C68" s="170"/>
      <c r="D68" s="158"/>
      <c r="E68" s="161"/>
      <c r="F68" s="161"/>
      <c r="G68" s="78"/>
      <c r="H68" s="79"/>
      <c r="I68" s="130">
        <f t="shared" si="1"/>
        <v>0</v>
      </c>
    </row>
    <row r="69" spans="2:10" x14ac:dyDescent="0.25">
      <c r="B69" s="173">
        <f>B63+0.01</f>
        <v>14.119999999999997</v>
      </c>
      <c r="C69" s="74"/>
      <c r="D69" s="112" t="s">
        <v>527</v>
      </c>
      <c r="E69" s="162"/>
      <c r="F69" s="162">
        <v>1</v>
      </c>
      <c r="G69" s="75" t="s">
        <v>528</v>
      </c>
      <c r="H69" s="76"/>
      <c r="I69" s="130">
        <f t="shared" si="1"/>
        <v>0</v>
      </c>
    </row>
    <row r="70" spans="2:10" x14ac:dyDescent="0.25">
      <c r="B70" s="77"/>
      <c r="C70" s="74"/>
      <c r="D70" s="160"/>
      <c r="E70" s="161"/>
      <c r="F70" s="161"/>
      <c r="G70" s="78"/>
      <c r="H70" s="79"/>
      <c r="I70" s="130">
        <f t="shared" si="1"/>
        <v>0</v>
      </c>
    </row>
    <row r="71" spans="2:10" x14ac:dyDescent="0.25">
      <c r="B71" s="72"/>
      <c r="C71" s="159" t="s">
        <v>529</v>
      </c>
      <c r="D71" s="82"/>
      <c r="E71" s="75"/>
      <c r="F71" s="75"/>
      <c r="G71" s="75"/>
      <c r="H71" s="122"/>
      <c r="I71" s="130">
        <f t="shared" si="1"/>
        <v>0</v>
      </c>
    </row>
    <row r="72" spans="2:10" x14ac:dyDescent="0.25">
      <c r="B72" s="72"/>
      <c r="C72" s="74"/>
      <c r="D72" s="82"/>
      <c r="E72" s="75"/>
      <c r="F72" s="75"/>
      <c r="G72" s="75"/>
      <c r="H72" s="122"/>
      <c r="I72" s="130">
        <f t="shared" si="1"/>
        <v>0</v>
      </c>
    </row>
    <row r="73" spans="2:10" ht="31.5" customHeight="1" x14ac:dyDescent="0.25">
      <c r="B73" s="72"/>
      <c r="C73" s="422" t="s">
        <v>629</v>
      </c>
      <c r="D73" s="423"/>
      <c r="E73" s="75"/>
      <c r="F73" s="75"/>
      <c r="G73" s="75"/>
      <c r="H73" s="122"/>
      <c r="I73" s="130">
        <f t="shared" si="1"/>
        <v>0</v>
      </c>
    </row>
    <row r="74" spans="2:10" ht="13.7" customHeight="1" x14ac:dyDescent="0.25">
      <c r="B74" s="72"/>
      <c r="C74" s="165"/>
      <c r="D74" s="82"/>
      <c r="E74" s="75"/>
      <c r="F74" s="75"/>
      <c r="G74" s="75"/>
      <c r="H74" s="122"/>
      <c r="I74" s="130">
        <f t="shared" si="1"/>
        <v>0</v>
      </c>
    </row>
    <row r="75" spans="2:10" x14ac:dyDescent="0.25">
      <c r="B75" s="172">
        <f>B69+0.01</f>
        <v>14.129999999999997</v>
      </c>
      <c r="C75" s="74"/>
      <c r="D75" s="155" t="s">
        <v>527</v>
      </c>
      <c r="E75" s="154"/>
      <c r="F75" s="154">
        <v>1</v>
      </c>
      <c r="G75" s="75" t="s">
        <v>528</v>
      </c>
      <c r="H75" s="122"/>
      <c r="I75" s="130">
        <f t="shared" si="1"/>
        <v>0</v>
      </c>
    </row>
    <row r="76" spans="2:10" ht="15.75" thickBot="1" x14ac:dyDescent="0.3">
      <c r="B76" s="72"/>
      <c r="C76" s="74"/>
      <c r="D76" s="111"/>
      <c r="E76" s="109"/>
      <c r="F76" s="109"/>
      <c r="G76" s="75"/>
      <c r="H76" s="76"/>
      <c r="I76" s="130">
        <f t="shared" si="1"/>
        <v>0</v>
      </c>
      <c r="J76" s="110"/>
    </row>
    <row r="77" spans="2:10" ht="15.75" thickBot="1" x14ac:dyDescent="0.3">
      <c r="B77" s="72"/>
      <c r="C77" s="74"/>
      <c r="D77" s="314" t="s">
        <v>972</v>
      </c>
      <c r="E77" s="109"/>
      <c r="F77" s="109"/>
      <c r="G77" s="75"/>
      <c r="H77" s="382"/>
      <c r="I77" s="383">
        <f>SUM(I18:I76)</f>
        <v>0</v>
      </c>
      <c r="J77" s="110"/>
    </row>
    <row r="78" spans="2:10" x14ac:dyDescent="0.25">
      <c r="B78" s="72"/>
      <c r="C78" s="74"/>
      <c r="D78" s="111"/>
      <c r="E78" s="109"/>
      <c r="F78" s="109"/>
      <c r="G78" s="75"/>
      <c r="H78" s="76"/>
      <c r="I78" s="130"/>
      <c r="J78" s="110"/>
    </row>
    <row r="79" spans="2:10" x14ac:dyDescent="0.25">
      <c r="B79" s="72"/>
      <c r="C79" s="426" t="s">
        <v>816</v>
      </c>
      <c r="D79" s="427"/>
      <c r="E79" s="109"/>
      <c r="F79" s="109"/>
      <c r="G79" s="75"/>
      <c r="H79" s="76"/>
      <c r="I79" s="130"/>
      <c r="J79" s="110"/>
    </row>
    <row r="80" spans="2:10" x14ac:dyDescent="0.25">
      <c r="B80" s="72"/>
      <c r="C80" s="74"/>
      <c r="D80" s="111"/>
      <c r="E80" s="109"/>
      <c r="F80" s="109"/>
      <c r="G80" s="75"/>
      <c r="H80" s="76"/>
      <c r="I80" s="130"/>
      <c r="J80" s="110"/>
    </row>
    <row r="81" spans="2:10" x14ac:dyDescent="0.25">
      <c r="B81" s="72"/>
      <c r="C81" s="443" t="s">
        <v>974</v>
      </c>
      <c r="D81" s="444"/>
      <c r="E81" s="109"/>
      <c r="F81" s="109"/>
      <c r="G81" s="75"/>
      <c r="H81" s="76"/>
      <c r="I81" s="130"/>
      <c r="J81" s="110"/>
    </row>
    <row r="82" spans="2:10" x14ac:dyDescent="0.25">
      <c r="B82" s="72"/>
      <c r="C82" s="74"/>
      <c r="D82" s="111"/>
      <c r="E82" s="109"/>
      <c r="F82" s="109"/>
      <c r="G82" s="75"/>
      <c r="H82" s="76"/>
      <c r="I82" s="130"/>
      <c r="J82" s="110"/>
    </row>
    <row r="83" spans="2:10" ht="93" customHeight="1" x14ac:dyDescent="0.25">
      <c r="B83" s="72"/>
      <c r="C83" s="437" t="s">
        <v>977</v>
      </c>
      <c r="D83" s="438"/>
      <c r="E83" s="109"/>
      <c r="F83" s="109"/>
      <c r="G83" s="75"/>
      <c r="H83" s="76"/>
      <c r="I83" s="130"/>
      <c r="J83" s="110"/>
    </row>
    <row r="84" spans="2:10" x14ac:dyDescent="0.25">
      <c r="B84" s="72"/>
      <c r="C84" s="74"/>
      <c r="D84" s="111"/>
      <c r="E84" s="109"/>
      <c r="F84" s="109"/>
      <c r="G84" s="75"/>
      <c r="H84" s="76"/>
      <c r="I84" s="130"/>
      <c r="J84" s="110"/>
    </row>
    <row r="85" spans="2:10" ht="29.25" customHeight="1" x14ac:dyDescent="0.25">
      <c r="B85" s="72"/>
      <c r="C85" s="418" t="s">
        <v>978</v>
      </c>
      <c r="D85" s="419"/>
      <c r="E85" s="109"/>
      <c r="F85" s="109"/>
      <c r="G85" s="75"/>
      <c r="H85" s="76"/>
      <c r="I85" s="130"/>
      <c r="J85" s="110"/>
    </row>
    <row r="86" spans="2:10" x14ac:dyDescent="0.25">
      <c r="B86" s="72"/>
      <c r="C86" s="74"/>
      <c r="D86" s="111"/>
      <c r="E86" s="109"/>
      <c r="F86" s="109"/>
      <c r="G86" s="75"/>
      <c r="H86" s="76"/>
      <c r="I86" s="130"/>
      <c r="J86" s="110"/>
    </row>
    <row r="87" spans="2:10" x14ac:dyDescent="0.25">
      <c r="B87" s="172">
        <f>B75+0.01</f>
        <v>14.139999999999997</v>
      </c>
      <c r="C87" s="74"/>
      <c r="D87" s="82" t="s">
        <v>877</v>
      </c>
      <c r="E87" s="109">
        <f>(7*3.9)</f>
        <v>27.3</v>
      </c>
      <c r="F87" s="162">
        <v>28</v>
      </c>
      <c r="G87" s="75" t="s">
        <v>659</v>
      </c>
      <c r="H87" s="76"/>
      <c r="I87" s="130">
        <f t="shared" ref="I87:I141" si="2">F87*H87</f>
        <v>0</v>
      </c>
      <c r="J87" s="110"/>
    </row>
    <row r="88" spans="2:10" x14ac:dyDescent="0.25">
      <c r="B88" s="72"/>
      <c r="C88" s="74"/>
      <c r="D88" s="111"/>
      <c r="E88" s="109"/>
      <c r="F88" s="109"/>
      <c r="G88" s="75"/>
      <c r="H88" s="76"/>
      <c r="I88" s="130">
        <f t="shared" si="2"/>
        <v>0</v>
      </c>
      <c r="J88" s="110"/>
    </row>
    <row r="89" spans="2:10" ht="30" x14ac:dyDescent="0.25">
      <c r="B89" s="179">
        <f>B87+0.01</f>
        <v>14.149999999999997</v>
      </c>
      <c r="C89" s="74"/>
      <c r="D89" s="340" t="s">
        <v>979</v>
      </c>
      <c r="E89" s="343">
        <v>2</v>
      </c>
      <c r="F89" s="344">
        <v>2</v>
      </c>
      <c r="G89" s="128" t="s">
        <v>582</v>
      </c>
      <c r="H89" s="129"/>
      <c r="I89" s="130">
        <f t="shared" si="2"/>
        <v>0</v>
      </c>
      <c r="J89" s="110"/>
    </row>
    <row r="90" spans="2:10" x14ac:dyDescent="0.25">
      <c r="B90" s="72"/>
      <c r="C90" s="74"/>
      <c r="D90" s="111"/>
      <c r="E90" s="109"/>
      <c r="F90" s="109"/>
      <c r="G90" s="75"/>
      <c r="H90" s="76"/>
      <c r="I90" s="130">
        <f t="shared" si="2"/>
        <v>0</v>
      </c>
      <c r="J90" s="110"/>
    </row>
    <row r="91" spans="2:10" ht="30" x14ac:dyDescent="0.25">
      <c r="B91" s="179">
        <f>B89+0.01</f>
        <v>14.159999999999997</v>
      </c>
      <c r="C91" s="74"/>
      <c r="D91" s="384" t="s">
        <v>980</v>
      </c>
      <c r="E91" s="109"/>
      <c r="F91" s="109"/>
      <c r="G91" s="75"/>
      <c r="H91" s="76"/>
      <c r="I91" s="130">
        <f t="shared" si="2"/>
        <v>0</v>
      </c>
      <c r="J91" s="110"/>
    </row>
    <row r="92" spans="2:10" x14ac:dyDescent="0.25">
      <c r="B92" s="72"/>
      <c r="C92" s="74"/>
      <c r="D92" s="111"/>
      <c r="E92" s="109"/>
      <c r="F92" s="109"/>
      <c r="G92" s="75"/>
      <c r="H92" s="76"/>
      <c r="I92" s="130">
        <f t="shared" si="2"/>
        <v>0</v>
      </c>
      <c r="J92" s="110"/>
    </row>
    <row r="93" spans="2:10" x14ac:dyDescent="0.25">
      <c r="B93" s="179">
        <f>B91+0.01</f>
        <v>14.169999999999996</v>
      </c>
      <c r="C93" s="74"/>
      <c r="D93" s="384" t="s">
        <v>981</v>
      </c>
      <c r="E93" s="343">
        <v>1</v>
      </c>
      <c r="F93" s="344">
        <v>1</v>
      </c>
      <c r="G93" s="128" t="s">
        <v>528</v>
      </c>
      <c r="H93" s="129"/>
      <c r="I93" s="130">
        <f t="shared" si="2"/>
        <v>0</v>
      </c>
      <c r="J93" s="110"/>
    </row>
    <row r="94" spans="2:10" x14ac:dyDescent="0.25">
      <c r="B94" s="72"/>
      <c r="C94" s="74"/>
      <c r="D94" s="111"/>
      <c r="E94" s="109"/>
      <c r="F94" s="109"/>
      <c r="G94" s="75"/>
      <c r="H94" s="76"/>
      <c r="I94" s="130">
        <f t="shared" si="2"/>
        <v>0</v>
      </c>
      <c r="J94" s="110"/>
    </row>
    <row r="95" spans="2:10" ht="98.25" customHeight="1" x14ac:dyDescent="0.25">
      <c r="B95" s="72"/>
      <c r="C95" s="437" t="s">
        <v>976</v>
      </c>
      <c r="D95" s="438"/>
      <c r="E95" s="109"/>
      <c r="F95" s="109"/>
      <c r="G95" s="75"/>
      <c r="H95" s="76"/>
      <c r="I95" s="130">
        <f t="shared" si="2"/>
        <v>0</v>
      </c>
      <c r="J95" s="110"/>
    </row>
    <row r="96" spans="2:10" x14ac:dyDescent="0.25">
      <c r="B96" s="72"/>
      <c r="C96" s="74"/>
      <c r="D96" s="111"/>
      <c r="E96" s="109"/>
      <c r="F96" s="109"/>
      <c r="G96" s="75"/>
      <c r="H96" s="76"/>
      <c r="I96" s="130">
        <f t="shared" si="2"/>
        <v>0</v>
      </c>
      <c r="J96" s="110"/>
    </row>
    <row r="97" spans="2:10" ht="32.25" customHeight="1" x14ac:dyDescent="0.25">
      <c r="B97" s="72"/>
      <c r="C97" s="418" t="s">
        <v>975</v>
      </c>
      <c r="D97" s="419"/>
      <c r="E97" s="109"/>
      <c r="F97" s="109"/>
      <c r="G97" s="75"/>
      <c r="H97" s="76"/>
      <c r="I97" s="130">
        <f t="shared" si="2"/>
        <v>0</v>
      </c>
      <c r="J97" s="110"/>
    </row>
    <row r="98" spans="2:10" x14ac:dyDescent="0.25">
      <c r="B98" s="72"/>
      <c r="C98" s="74"/>
      <c r="D98" s="111"/>
      <c r="E98" s="109"/>
      <c r="F98" s="109"/>
      <c r="G98" s="75"/>
      <c r="H98" s="76"/>
      <c r="I98" s="130">
        <f t="shared" si="2"/>
        <v>0</v>
      </c>
      <c r="J98" s="110"/>
    </row>
    <row r="99" spans="2:10" x14ac:dyDescent="0.25">
      <c r="B99" s="172">
        <f>B93+0.01</f>
        <v>14.179999999999996</v>
      </c>
      <c r="C99" s="74"/>
      <c r="D99" s="82" t="s">
        <v>877</v>
      </c>
      <c r="E99" s="109">
        <f>(2.6*1.6)+(2.3*1.6)+(5.2*3)+(0.5*1.6)+(1.8*1)+(2.5*2.5)+(0.2*1.05)+(5.4*1.3)+(0.9*3.6)+(0.75*1)</f>
        <v>43.510000000000012</v>
      </c>
      <c r="F99" s="162">
        <v>44</v>
      </c>
      <c r="G99" s="75" t="s">
        <v>659</v>
      </c>
      <c r="H99" s="76"/>
      <c r="I99" s="130">
        <f t="shared" si="2"/>
        <v>0</v>
      </c>
      <c r="J99" s="110"/>
    </row>
    <row r="100" spans="2:10" x14ac:dyDescent="0.25">
      <c r="B100" s="72"/>
      <c r="C100" s="74"/>
      <c r="D100" s="111"/>
      <c r="E100" s="109"/>
      <c r="F100" s="109"/>
      <c r="G100" s="75"/>
      <c r="H100" s="76"/>
      <c r="I100" s="130">
        <f t="shared" si="2"/>
        <v>0</v>
      </c>
      <c r="J100" s="110"/>
    </row>
    <row r="101" spans="2:10" ht="30" x14ac:dyDescent="0.25">
      <c r="B101" s="179">
        <f>B99+0.01</f>
        <v>14.189999999999996</v>
      </c>
      <c r="C101" s="74"/>
      <c r="D101" s="340" t="s">
        <v>1441</v>
      </c>
      <c r="E101" s="343">
        <v>1</v>
      </c>
      <c r="F101" s="344">
        <v>1</v>
      </c>
      <c r="G101" s="128" t="s">
        <v>528</v>
      </c>
      <c r="H101" s="129"/>
      <c r="I101" s="130">
        <f t="shared" si="2"/>
        <v>0</v>
      </c>
      <c r="J101" s="110"/>
    </row>
    <row r="102" spans="2:10" x14ac:dyDescent="0.25">
      <c r="B102" s="72"/>
      <c r="C102" s="74"/>
      <c r="D102" s="111"/>
      <c r="E102" s="109"/>
      <c r="F102" s="109"/>
      <c r="G102" s="75"/>
      <c r="H102" s="76"/>
      <c r="I102" s="130">
        <f t="shared" si="2"/>
        <v>0</v>
      </c>
      <c r="J102" s="110"/>
    </row>
    <row r="103" spans="2:10" ht="30" x14ac:dyDescent="0.25">
      <c r="B103" s="179">
        <f>B101+0.01</f>
        <v>14.199999999999996</v>
      </c>
      <c r="C103" s="74"/>
      <c r="D103" s="384" t="s">
        <v>980</v>
      </c>
      <c r="E103" s="343">
        <v>7</v>
      </c>
      <c r="F103" s="344">
        <v>7</v>
      </c>
      <c r="G103" s="128" t="s">
        <v>982</v>
      </c>
      <c r="H103" s="129"/>
      <c r="I103" s="130">
        <f t="shared" si="2"/>
        <v>0</v>
      </c>
      <c r="J103" s="110"/>
    </row>
    <row r="104" spans="2:10" x14ac:dyDescent="0.25">
      <c r="B104" s="72"/>
      <c r="C104" s="74"/>
      <c r="D104" s="111"/>
      <c r="E104" s="109"/>
      <c r="F104" s="109"/>
      <c r="G104" s="75"/>
      <c r="H104" s="76"/>
      <c r="I104" s="130">
        <f t="shared" si="2"/>
        <v>0</v>
      </c>
      <c r="J104" s="110"/>
    </row>
    <row r="105" spans="2:10" x14ac:dyDescent="0.25">
      <c r="B105" s="72"/>
      <c r="C105" s="443" t="s">
        <v>985</v>
      </c>
      <c r="D105" s="444"/>
      <c r="E105" s="109"/>
      <c r="F105" s="109"/>
      <c r="G105" s="75"/>
      <c r="H105" s="76"/>
      <c r="I105" s="130">
        <f t="shared" si="2"/>
        <v>0</v>
      </c>
      <c r="J105" s="110"/>
    </row>
    <row r="106" spans="2:10" x14ac:dyDescent="0.25">
      <c r="B106" s="72"/>
      <c r="C106" s="74"/>
      <c r="D106" s="111"/>
      <c r="E106" s="109"/>
      <c r="F106" s="109"/>
      <c r="G106" s="75"/>
      <c r="H106" s="76"/>
      <c r="I106" s="130">
        <f t="shared" si="2"/>
        <v>0</v>
      </c>
      <c r="J106" s="110"/>
    </row>
    <row r="107" spans="2:10" ht="73.5" customHeight="1" x14ac:dyDescent="0.25">
      <c r="B107" s="72"/>
      <c r="C107" s="437" t="s">
        <v>1384</v>
      </c>
      <c r="D107" s="438"/>
      <c r="E107" s="109"/>
      <c r="F107" s="109"/>
      <c r="G107" s="75"/>
      <c r="H107" s="76"/>
      <c r="I107" s="130">
        <f t="shared" si="2"/>
        <v>0</v>
      </c>
      <c r="J107" s="110"/>
    </row>
    <row r="108" spans="2:10" x14ac:dyDescent="0.25">
      <c r="B108" s="72"/>
      <c r="C108" s="74"/>
      <c r="D108" s="111"/>
      <c r="E108" s="109"/>
      <c r="F108" s="109"/>
      <c r="G108" s="75"/>
      <c r="H108" s="76"/>
      <c r="I108" s="130">
        <f t="shared" si="2"/>
        <v>0</v>
      </c>
      <c r="J108" s="110"/>
    </row>
    <row r="109" spans="2:10" x14ac:dyDescent="0.25">
      <c r="B109" s="72"/>
      <c r="C109" s="434" t="s">
        <v>986</v>
      </c>
      <c r="D109" s="435"/>
      <c r="E109" s="109"/>
      <c r="F109" s="109"/>
      <c r="G109" s="75"/>
      <c r="H109" s="76"/>
      <c r="I109" s="130">
        <f t="shared" si="2"/>
        <v>0</v>
      </c>
      <c r="J109" s="110"/>
    </row>
    <row r="110" spans="2:10" x14ac:dyDescent="0.25">
      <c r="B110" s="72"/>
      <c r="C110" s="74"/>
      <c r="D110" s="111"/>
      <c r="E110" s="109"/>
      <c r="F110" s="109"/>
      <c r="G110" s="75"/>
      <c r="H110" s="76"/>
      <c r="I110" s="130">
        <f t="shared" si="2"/>
        <v>0</v>
      </c>
      <c r="J110" s="110"/>
    </row>
    <row r="111" spans="2:10" x14ac:dyDescent="0.25">
      <c r="B111" s="172">
        <f>B103+0.01</f>
        <v>14.209999999999996</v>
      </c>
      <c r="C111" s="74"/>
      <c r="D111" s="82" t="s">
        <v>987</v>
      </c>
      <c r="E111" s="109">
        <f>E99</f>
        <v>43.510000000000012</v>
      </c>
      <c r="F111" s="162">
        <v>44</v>
      </c>
      <c r="G111" s="75" t="s">
        <v>659</v>
      </c>
      <c r="H111" s="76"/>
      <c r="I111" s="130">
        <f t="shared" si="2"/>
        <v>0</v>
      </c>
      <c r="J111" s="110"/>
    </row>
    <row r="112" spans="2:10" x14ac:dyDescent="0.25">
      <c r="B112" s="72"/>
      <c r="C112" s="74"/>
      <c r="D112" s="111"/>
      <c r="E112" s="109"/>
      <c r="F112" s="109"/>
      <c r="G112" s="75"/>
      <c r="H112" s="76"/>
      <c r="I112" s="130">
        <f t="shared" si="2"/>
        <v>0</v>
      </c>
      <c r="J112" s="110"/>
    </row>
    <row r="113" spans="2:10" x14ac:dyDescent="0.25">
      <c r="B113" s="179">
        <f>B111+0.01</f>
        <v>14.219999999999995</v>
      </c>
      <c r="C113" s="74"/>
      <c r="D113" s="82" t="s">
        <v>988</v>
      </c>
      <c r="E113" s="109">
        <f>E87</f>
        <v>27.3</v>
      </c>
      <c r="F113" s="162">
        <v>28</v>
      </c>
      <c r="G113" s="75" t="s">
        <v>659</v>
      </c>
      <c r="H113" s="76"/>
      <c r="I113" s="130">
        <f t="shared" si="2"/>
        <v>0</v>
      </c>
      <c r="J113" s="110"/>
    </row>
    <row r="114" spans="2:10" x14ac:dyDescent="0.25">
      <c r="B114" s="72"/>
      <c r="C114" s="74"/>
      <c r="D114" s="111"/>
      <c r="E114" s="109"/>
      <c r="F114" s="109"/>
      <c r="G114" s="75"/>
      <c r="H114" s="76"/>
      <c r="I114" s="130">
        <f t="shared" si="2"/>
        <v>0</v>
      </c>
      <c r="J114" s="110"/>
    </row>
    <row r="115" spans="2:10" x14ac:dyDescent="0.25">
      <c r="B115" s="72"/>
      <c r="C115" s="74"/>
      <c r="D115" s="111"/>
      <c r="E115" s="109"/>
      <c r="F115" s="109"/>
      <c r="G115" s="75"/>
      <c r="H115" s="76"/>
      <c r="I115" s="130">
        <f t="shared" si="2"/>
        <v>0</v>
      </c>
      <c r="J115" s="110"/>
    </row>
    <row r="116" spans="2:10" x14ac:dyDescent="0.25">
      <c r="B116" s="77"/>
      <c r="C116" s="73" t="s">
        <v>549</v>
      </c>
      <c r="D116" s="160"/>
      <c r="E116" s="161"/>
      <c r="F116" s="161"/>
      <c r="G116" s="78"/>
      <c r="H116" s="79"/>
      <c r="I116" s="130">
        <f t="shared" si="2"/>
        <v>0</v>
      </c>
      <c r="J116" s="110"/>
    </row>
    <row r="117" spans="2:10" x14ac:dyDescent="0.25">
      <c r="B117" s="77"/>
      <c r="C117" s="74"/>
      <c r="D117" s="160"/>
      <c r="E117" s="161"/>
      <c r="F117" s="161"/>
      <c r="G117" s="78"/>
      <c r="H117" s="79"/>
      <c r="I117" s="130">
        <f t="shared" si="2"/>
        <v>0</v>
      </c>
      <c r="J117" s="110"/>
    </row>
    <row r="118" spans="2:10" x14ac:dyDescent="0.25">
      <c r="B118" s="77"/>
      <c r="C118" s="159" t="s">
        <v>550</v>
      </c>
      <c r="D118" s="160"/>
      <c r="E118" s="161"/>
      <c r="F118" s="161"/>
      <c r="G118" s="78"/>
      <c r="H118" s="79"/>
      <c r="I118" s="130">
        <f t="shared" si="2"/>
        <v>0</v>
      </c>
      <c r="J118" s="110"/>
    </row>
    <row r="119" spans="2:10" x14ac:dyDescent="0.25">
      <c r="B119" s="77"/>
      <c r="C119" s="74"/>
      <c r="D119" s="160"/>
      <c r="E119" s="161"/>
      <c r="F119" s="161"/>
      <c r="G119" s="78"/>
      <c r="H119" s="79"/>
      <c r="I119" s="130">
        <f t="shared" si="2"/>
        <v>0</v>
      </c>
      <c r="J119" s="110"/>
    </row>
    <row r="120" spans="2:10" x14ac:dyDescent="0.25">
      <c r="B120" s="77"/>
      <c r="C120" s="74" t="s">
        <v>551</v>
      </c>
      <c r="D120" s="160"/>
      <c r="E120" s="161"/>
      <c r="F120" s="161"/>
      <c r="G120" s="78"/>
      <c r="H120" s="79"/>
      <c r="I120" s="130">
        <f t="shared" si="2"/>
        <v>0</v>
      </c>
      <c r="J120" s="110"/>
    </row>
    <row r="121" spans="2:10" x14ac:dyDescent="0.25">
      <c r="B121" s="77"/>
      <c r="C121" s="74"/>
      <c r="D121" s="160"/>
      <c r="E121" s="161"/>
      <c r="F121" s="161"/>
      <c r="G121" s="78"/>
      <c r="H121" s="79"/>
      <c r="I121" s="130">
        <f t="shared" si="2"/>
        <v>0</v>
      </c>
      <c r="J121" s="110"/>
    </row>
    <row r="122" spans="2:10" x14ac:dyDescent="0.25">
      <c r="B122" s="173">
        <f>B113+0.01</f>
        <v>14.229999999999995</v>
      </c>
      <c r="C122" s="74"/>
      <c r="D122" s="112" t="s">
        <v>527</v>
      </c>
      <c r="E122" s="162"/>
      <c r="F122" s="162">
        <v>1</v>
      </c>
      <c r="G122" s="75" t="s">
        <v>528</v>
      </c>
      <c r="H122" s="76"/>
      <c r="I122" s="130">
        <f t="shared" si="2"/>
        <v>0</v>
      </c>
      <c r="J122" s="110"/>
    </row>
    <row r="123" spans="2:10" x14ac:dyDescent="0.25">
      <c r="B123" s="77"/>
      <c r="C123" s="74"/>
      <c r="D123" s="160"/>
      <c r="E123" s="161"/>
      <c r="F123" s="161"/>
      <c r="G123" s="78"/>
      <c r="H123" s="79"/>
      <c r="I123" s="130">
        <f t="shared" si="2"/>
        <v>0</v>
      </c>
      <c r="J123" s="110"/>
    </row>
    <row r="124" spans="2:10" ht="15.75" x14ac:dyDescent="0.25">
      <c r="B124" s="77"/>
      <c r="C124" s="432" t="s">
        <v>634</v>
      </c>
      <c r="D124" s="433"/>
      <c r="E124" s="161"/>
      <c r="F124" s="161"/>
      <c r="G124" s="78"/>
      <c r="H124" s="79"/>
      <c r="I124" s="130">
        <f t="shared" si="2"/>
        <v>0</v>
      </c>
      <c r="J124" s="110"/>
    </row>
    <row r="125" spans="2:10" x14ac:dyDescent="0.25">
      <c r="B125" s="77"/>
      <c r="C125" s="74"/>
      <c r="D125" s="160"/>
      <c r="E125" s="161"/>
      <c r="F125" s="161"/>
      <c r="G125" s="78"/>
      <c r="H125" s="79"/>
      <c r="I125" s="130">
        <f t="shared" si="2"/>
        <v>0</v>
      </c>
      <c r="J125" s="110"/>
    </row>
    <row r="126" spans="2:10" ht="30.75" customHeight="1" x14ac:dyDescent="0.25">
      <c r="B126" s="77"/>
      <c r="C126" s="418" t="s">
        <v>650</v>
      </c>
      <c r="D126" s="419"/>
      <c r="E126" s="161"/>
      <c r="F126" s="161"/>
      <c r="G126" s="78"/>
      <c r="H126" s="79"/>
      <c r="I126" s="130">
        <f t="shared" si="2"/>
        <v>0</v>
      </c>
      <c r="J126" s="110"/>
    </row>
    <row r="127" spans="2:10" x14ac:dyDescent="0.25">
      <c r="B127" s="77"/>
      <c r="C127" s="74"/>
      <c r="D127" s="160"/>
      <c r="E127" s="161"/>
      <c r="F127" s="161"/>
      <c r="G127" s="78"/>
      <c r="H127" s="79"/>
      <c r="I127" s="130">
        <f t="shared" si="2"/>
        <v>0</v>
      </c>
      <c r="J127" s="110"/>
    </row>
    <row r="128" spans="2:10" x14ac:dyDescent="0.25">
      <c r="B128" s="172">
        <f>B122+0.01</f>
        <v>14.239999999999995</v>
      </c>
      <c r="C128" s="74"/>
      <c r="D128" s="112" t="s">
        <v>527</v>
      </c>
      <c r="E128" s="162"/>
      <c r="F128" s="162">
        <v>1</v>
      </c>
      <c r="G128" s="75" t="s">
        <v>528</v>
      </c>
      <c r="H128" s="76"/>
      <c r="I128" s="130">
        <f t="shared" si="2"/>
        <v>0</v>
      </c>
      <c r="J128" s="110"/>
    </row>
    <row r="129" spans="2:10" x14ac:dyDescent="0.25">
      <c r="B129" s="77"/>
      <c r="C129" s="74"/>
      <c r="D129" s="160"/>
      <c r="E129" s="161"/>
      <c r="F129" s="161"/>
      <c r="G129" s="78"/>
      <c r="H129" s="79"/>
      <c r="I129" s="130">
        <f t="shared" si="2"/>
        <v>0</v>
      </c>
      <c r="J129" s="110"/>
    </row>
    <row r="130" spans="2:10" x14ac:dyDescent="0.25">
      <c r="B130" s="77"/>
      <c r="C130" s="159" t="s">
        <v>556</v>
      </c>
      <c r="D130" s="160"/>
      <c r="E130" s="161"/>
      <c r="F130" s="161"/>
      <c r="G130" s="78"/>
      <c r="H130" s="79"/>
      <c r="I130" s="130">
        <f t="shared" si="2"/>
        <v>0</v>
      </c>
      <c r="J130" s="110"/>
    </row>
    <row r="131" spans="2:10" x14ac:dyDescent="0.25">
      <c r="B131" s="77"/>
      <c r="C131" s="74"/>
      <c r="D131" s="160"/>
      <c r="E131" s="161"/>
      <c r="F131" s="161"/>
      <c r="G131" s="78"/>
      <c r="H131" s="79"/>
      <c r="I131" s="130">
        <f t="shared" si="2"/>
        <v>0</v>
      </c>
      <c r="J131" s="110"/>
    </row>
    <row r="132" spans="2:10" ht="30.75" customHeight="1" x14ac:dyDescent="0.25">
      <c r="B132" s="77"/>
      <c r="C132" s="420" t="s">
        <v>557</v>
      </c>
      <c r="D132" s="421"/>
      <c r="E132" s="161"/>
      <c r="F132" s="161"/>
      <c r="G132" s="78"/>
      <c r="H132" s="79"/>
      <c r="I132" s="130">
        <f t="shared" si="2"/>
        <v>0</v>
      </c>
      <c r="J132" s="110"/>
    </row>
    <row r="133" spans="2:10" x14ac:dyDescent="0.25">
      <c r="B133" s="77"/>
      <c r="C133" s="170"/>
      <c r="D133" s="158"/>
      <c r="E133" s="161"/>
      <c r="F133" s="161"/>
      <c r="G133" s="78"/>
      <c r="H133" s="79"/>
      <c r="I133" s="130">
        <f t="shared" si="2"/>
        <v>0</v>
      </c>
      <c r="J133" s="110"/>
    </row>
    <row r="134" spans="2:10" x14ac:dyDescent="0.25">
      <c r="B134" s="173">
        <f>B128+0.01</f>
        <v>14.249999999999995</v>
      </c>
      <c r="C134" s="74"/>
      <c r="D134" s="112" t="s">
        <v>527</v>
      </c>
      <c r="E134" s="162"/>
      <c r="F134" s="162">
        <v>1</v>
      </c>
      <c r="G134" s="75" t="s">
        <v>528</v>
      </c>
      <c r="H134" s="76"/>
      <c r="I134" s="130">
        <f t="shared" si="2"/>
        <v>0</v>
      </c>
      <c r="J134" s="110"/>
    </row>
    <row r="135" spans="2:10" x14ac:dyDescent="0.25">
      <c r="B135" s="77"/>
      <c r="C135" s="74"/>
      <c r="D135" s="160"/>
      <c r="E135" s="161"/>
      <c r="F135" s="161"/>
      <c r="G135" s="78"/>
      <c r="H135" s="79"/>
      <c r="I135" s="130">
        <f t="shared" si="2"/>
        <v>0</v>
      </c>
      <c r="J135" s="110"/>
    </row>
    <row r="136" spans="2:10" x14ac:dyDescent="0.25">
      <c r="B136" s="72"/>
      <c r="C136" s="159" t="s">
        <v>529</v>
      </c>
      <c r="D136" s="82"/>
      <c r="E136" s="75"/>
      <c r="F136" s="75"/>
      <c r="G136" s="75"/>
      <c r="H136" s="122"/>
      <c r="I136" s="130">
        <f t="shared" si="2"/>
        <v>0</v>
      </c>
      <c r="J136" s="110"/>
    </row>
    <row r="137" spans="2:10" x14ac:dyDescent="0.25">
      <c r="B137" s="72"/>
      <c r="C137" s="74"/>
      <c r="D137" s="82"/>
      <c r="E137" s="75"/>
      <c r="F137" s="75"/>
      <c r="G137" s="75"/>
      <c r="H137" s="122"/>
      <c r="I137" s="130">
        <f t="shared" si="2"/>
        <v>0</v>
      </c>
      <c r="J137" s="110"/>
    </row>
    <row r="138" spans="2:10" ht="30.75" customHeight="1" x14ac:dyDescent="0.25">
      <c r="B138" s="72"/>
      <c r="C138" s="422" t="s">
        <v>629</v>
      </c>
      <c r="D138" s="423"/>
      <c r="E138" s="75"/>
      <c r="F138" s="75"/>
      <c r="G138" s="75"/>
      <c r="H138" s="122"/>
      <c r="I138" s="130">
        <f t="shared" si="2"/>
        <v>0</v>
      </c>
      <c r="J138" s="110"/>
    </row>
    <row r="139" spans="2:10" x14ac:dyDescent="0.25">
      <c r="B139" s="72"/>
      <c r="C139" s="165"/>
      <c r="D139" s="82"/>
      <c r="E139" s="75"/>
      <c r="F139" s="75"/>
      <c r="G139" s="75"/>
      <c r="H139" s="122"/>
      <c r="I139" s="130">
        <f t="shared" si="2"/>
        <v>0</v>
      </c>
      <c r="J139" s="110"/>
    </row>
    <row r="140" spans="2:10" x14ac:dyDescent="0.25">
      <c r="B140" s="172">
        <f>B134+0.01</f>
        <v>14.259999999999994</v>
      </c>
      <c r="C140" s="74"/>
      <c r="D140" s="155" t="s">
        <v>527</v>
      </c>
      <c r="E140" s="154"/>
      <c r="F140" s="154">
        <v>1</v>
      </c>
      <c r="G140" s="75" t="s">
        <v>528</v>
      </c>
      <c r="H140" s="122"/>
      <c r="I140" s="130">
        <f t="shared" si="2"/>
        <v>0</v>
      </c>
      <c r="J140" s="110"/>
    </row>
    <row r="141" spans="2:10" x14ac:dyDescent="0.25">
      <c r="B141" s="72"/>
      <c r="C141" s="74"/>
      <c r="D141" s="111"/>
      <c r="E141" s="109"/>
      <c r="F141" s="109"/>
      <c r="G141" s="75"/>
      <c r="H141" s="76"/>
      <c r="I141" s="130">
        <f t="shared" si="2"/>
        <v>0</v>
      </c>
      <c r="J141" s="110"/>
    </row>
    <row r="142" spans="2:10" ht="15.75" thickBot="1" x14ac:dyDescent="0.3">
      <c r="B142" s="85"/>
      <c r="C142" s="86"/>
      <c r="D142" s="87"/>
      <c r="E142" s="88"/>
      <c r="F142" s="88"/>
      <c r="G142" s="88"/>
      <c r="H142" s="89"/>
      <c r="I142" s="76" t="str">
        <f t="shared" si="0"/>
        <v/>
      </c>
    </row>
    <row r="143" spans="2:10" ht="30.75" customHeight="1" thickBot="1" x14ac:dyDescent="0.3">
      <c r="D143" s="367" t="s">
        <v>973</v>
      </c>
      <c r="E143" s="109"/>
      <c r="F143" s="109"/>
      <c r="G143" s="75"/>
      <c r="H143" s="382"/>
      <c r="I143" s="124">
        <f>SUM(I81:I142)</f>
        <v>0</v>
      </c>
    </row>
  </sheetData>
  <mergeCells count="23">
    <mergeCell ref="C132:D132"/>
    <mergeCell ref="C138:D138"/>
    <mergeCell ref="C10:D10"/>
    <mergeCell ref="C105:D105"/>
    <mergeCell ref="C107:D107"/>
    <mergeCell ref="C109:D109"/>
    <mergeCell ref="C124:D124"/>
    <mergeCell ref="C126:D126"/>
    <mergeCell ref="C81:D81"/>
    <mergeCell ref="C83:D83"/>
    <mergeCell ref="C85:D85"/>
    <mergeCell ref="C95:D95"/>
    <mergeCell ref="C97:D97"/>
    <mergeCell ref="C79:D79"/>
    <mergeCell ref="C73:D73"/>
    <mergeCell ref="C59:D59"/>
    <mergeCell ref="C61:D61"/>
    <mergeCell ref="C67:D67"/>
    <mergeCell ref="C6:D6"/>
    <mergeCell ref="C7:D7"/>
    <mergeCell ref="C8:D8"/>
    <mergeCell ref="C9:D9"/>
    <mergeCell ref="C20:D20"/>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8D56-9FFC-469C-BCB3-E58AA52668F0}">
  <sheetPr>
    <pageSetUpPr fitToPage="1"/>
  </sheetPr>
  <dimension ref="B1:J215"/>
  <sheetViews>
    <sheetView topLeftCell="A204" zoomScale="80" zoomScaleNormal="80" workbookViewId="0">
      <selection activeCell="D215" sqref="D215"/>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385"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386"/>
      <c r="G2" s="96"/>
      <c r="H2" s="95"/>
      <c r="I2" s="97"/>
    </row>
    <row r="3" spans="2:9" ht="30" customHeight="1" x14ac:dyDescent="0.25">
      <c r="B3" s="73" t="str">
        <f>+Summary!B3</f>
        <v>Tender Document</v>
      </c>
      <c r="C3" s="83"/>
      <c r="D3" s="83"/>
      <c r="E3" s="91"/>
      <c r="F3" s="387"/>
      <c r="G3" s="98"/>
      <c r="H3" s="99" t="str">
        <f>Summary!D37</f>
        <v>Fittings</v>
      </c>
      <c r="I3" s="100">
        <f>+Summary!G3</f>
        <v>45614</v>
      </c>
    </row>
    <row r="4" spans="2:9" ht="13.5" customHeight="1" thickBot="1" x14ac:dyDescent="0.3">
      <c r="B4" s="86">
        <v>15</v>
      </c>
      <c r="C4" s="101"/>
      <c r="D4" s="101"/>
      <c r="E4" s="102"/>
      <c r="F4" s="388"/>
      <c r="G4" s="102"/>
      <c r="H4" s="101"/>
      <c r="I4" s="103"/>
    </row>
    <row r="5" spans="2:9" ht="23.25" customHeight="1" thickBot="1" x14ac:dyDescent="0.3">
      <c r="B5" s="72"/>
      <c r="C5" s="73"/>
      <c r="D5" s="82"/>
      <c r="E5" s="106" t="s">
        <v>581</v>
      </c>
      <c r="F5" s="389" t="s">
        <v>1</v>
      </c>
      <c r="G5" s="107" t="s">
        <v>2</v>
      </c>
      <c r="H5" s="104" t="s">
        <v>3</v>
      </c>
      <c r="I5" s="105" t="s">
        <v>5</v>
      </c>
    </row>
    <row r="6" spans="2:9" ht="33.75" customHeight="1" x14ac:dyDescent="0.25">
      <c r="B6" s="72"/>
      <c r="C6" s="420" t="s">
        <v>560</v>
      </c>
      <c r="D6" s="421"/>
      <c r="E6" s="75"/>
      <c r="F6" s="162"/>
      <c r="G6" s="75"/>
      <c r="H6" s="76"/>
      <c r="I6" s="76" t="str">
        <f t="shared" ref="I6:I214" si="0">IF(H6="","",H6*E6)</f>
        <v/>
      </c>
    </row>
    <row r="7" spans="2:9" ht="77.25" customHeight="1" x14ac:dyDescent="0.25">
      <c r="B7" s="72"/>
      <c r="C7" s="422" t="s">
        <v>658</v>
      </c>
      <c r="D7" s="423"/>
      <c r="E7" s="75"/>
      <c r="F7" s="162"/>
      <c r="G7" s="75"/>
      <c r="H7" s="76"/>
      <c r="I7" s="76" t="str">
        <f t="shared" si="0"/>
        <v/>
      </c>
    </row>
    <row r="8" spans="2:9" ht="45" customHeight="1" x14ac:dyDescent="0.25">
      <c r="B8" s="72"/>
      <c r="C8" s="422" t="s">
        <v>575</v>
      </c>
      <c r="D8" s="423"/>
      <c r="E8" s="75"/>
      <c r="F8" s="162"/>
      <c r="G8" s="75"/>
      <c r="H8" s="76"/>
      <c r="I8" s="76"/>
    </row>
    <row r="9" spans="2:9" ht="15" customHeight="1" x14ac:dyDescent="0.25">
      <c r="B9" s="72"/>
      <c r="C9" s="422" t="s">
        <v>780</v>
      </c>
      <c r="D9" s="423"/>
      <c r="E9" s="75"/>
      <c r="F9" s="162"/>
      <c r="G9" s="75"/>
      <c r="H9" s="76"/>
      <c r="I9" s="76"/>
    </row>
    <row r="10" spans="2:9" ht="15" customHeight="1" x14ac:dyDescent="0.25">
      <c r="B10" s="72"/>
      <c r="C10" s="422" t="s">
        <v>1042</v>
      </c>
      <c r="D10" s="423"/>
      <c r="E10" s="75"/>
      <c r="F10" s="162"/>
      <c r="G10" s="75"/>
      <c r="H10" s="76"/>
      <c r="I10" s="76"/>
    </row>
    <row r="11" spans="2:9" ht="15.6" customHeight="1" x14ac:dyDescent="0.25">
      <c r="B11" s="72"/>
      <c r="C11" s="165"/>
      <c r="D11" s="167"/>
      <c r="E11" s="75"/>
      <c r="F11" s="162"/>
      <c r="G11" s="75"/>
      <c r="H11" s="76"/>
      <c r="I11" s="76"/>
    </row>
    <row r="12" spans="2:9" ht="15.6" customHeight="1" x14ac:dyDescent="0.25">
      <c r="B12" s="72"/>
      <c r="C12" s="350" t="s">
        <v>815</v>
      </c>
      <c r="D12" s="167"/>
      <c r="E12" s="75"/>
      <c r="F12" s="162"/>
      <c r="G12" s="75"/>
      <c r="H12" s="76"/>
      <c r="I12" s="76"/>
    </row>
    <row r="13" spans="2:9" ht="15.6" customHeight="1" x14ac:dyDescent="0.25">
      <c r="B13" s="72"/>
      <c r="C13" s="165"/>
      <c r="D13" s="167"/>
      <c r="E13" s="75"/>
      <c r="F13" s="162"/>
      <c r="G13" s="75"/>
      <c r="H13" s="76"/>
      <c r="I13" s="76"/>
    </row>
    <row r="14" spans="2:9" ht="28.5" customHeight="1" x14ac:dyDescent="0.25">
      <c r="B14" s="72"/>
      <c r="C14" s="437" t="s">
        <v>788</v>
      </c>
      <c r="D14" s="438"/>
      <c r="E14" s="75"/>
      <c r="F14" s="162"/>
      <c r="G14" s="75"/>
      <c r="H14" s="76"/>
      <c r="I14" s="76"/>
    </row>
    <row r="15" spans="2:9" x14ac:dyDescent="0.25">
      <c r="B15" s="72"/>
      <c r="C15" s="84"/>
      <c r="D15" s="82"/>
      <c r="E15" s="75"/>
      <c r="F15" s="162"/>
      <c r="G15" s="75"/>
      <c r="H15" s="76"/>
      <c r="I15" s="76"/>
    </row>
    <row r="16" spans="2:9" ht="14.25" customHeight="1" x14ac:dyDescent="0.25">
      <c r="B16" s="164"/>
      <c r="C16" s="422" t="s">
        <v>1385</v>
      </c>
      <c r="D16" s="423"/>
      <c r="E16" s="75"/>
      <c r="F16" s="344"/>
      <c r="G16" s="128"/>
      <c r="H16" s="129"/>
      <c r="I16" s="130">
        <f t="shared" ref="I16:I73" si="1">F16*H16</f>
        <v>0</v>
      </c>
    </row>
    <row r="17" spans="2:9" x14ac:dyDescent="0.25">
      <c r="B17" s="72"/>
      <c r="C17" s="171"/>
      <c r="D17" s="112"/>
      <c r="E17" s="75"/>
      <c r="F17" s="344"/>
      <c r="G17" s="128"/>
      <c r="H17" s="129"/>
      <c r="I17" s="130">
        <f t="shared" si="1"/>
        <v>0</v>
      </c>
    </row>
    <row r="18" spans="2:9" ht="16.5" customHeight="1" x14ac:dyDescent="0.25">
      <c r="B18" s="172">
        <f>B4+0.01</f>
        <v>15.01</v>
      </c>
      <c r="C18" s="73"/>
      <c r="D18" s="158" t="s">
        <v>790</v>
      </c>
      <c r="E18" s="75">
        <v>1</v>
      </c>
      <c r="F18" s="344">
        <v>1</v>
      </c>
      <c r="G18" s="128" t="s">
        <v>582</v>
      </c>
      <c r="H18" s="129"/>
      <c r="I18" s="130">
        <f t="shared" si="1"/>
        <v>0</v>
      </c>
    </row>
    <row r="19" spans="2:9" x14ac:dyDescent="0.25">
      <c r="B19" s="72"/>
      <c r="C19" s="73"/>
      <c r="D19" s="82"/>
      <c r="E19" s="75"/>
      <c r="F19" s="344"/>
      <c r="G19" s="128"/>
      <c r="H19" s="129"/>
      <c r="I19" s="130">
        <f t="shared" si="1"/>
        <v>0</v>
      </c>
    </row>
    <row r="20" spans="2:9" x14ac:dyDescent="0.25">
      <c r="B20" s="164"/>
      <c r="C20" s="418" t="s">
        <v>791</v>
      </c>
      <c r="D20" s="419"/>
      <c r="E20" s="75"/>
      <c r="F20" s="344"/>
      <c r="G20" s="128"/>
      <c r="H20" s="129"/>
      <c r="I20" s="130">
        <f t="shared" si="1"/>
        <v>0</v>
      </c>
    </row>
    <row r="21" spans="2:9" x14ac:dyDescent="0.25">
      <c r="B21" s="72"/>
      <c r="C21" s="171"/>
      <c r="D21" s="112"/>
      <c r="E21" s="75"/>
      <c r="F21" s="344"/>
      <c r="G21" s="128"/>
      <c r="H21" s="129"/>
      <c r="I21" s="130">
        <f t="shared" si="1"/>
        <v>0</v>
      </c>
    </row>
    <row r="22" spans="2:9" ht="16.5" customHeight="1" x14ac:dyDescent="0.25">
      <c r="B22" s="172">
        <f>B18+0.01</f>
        <v>15.02</v>
      </c>
      <c r="C22" s="73"/>
      <c r="D22" s="82" t="s">
        <v>789</v>
      </c>
      <c r="E22" s="128">
        <v>1</v>
      </c>
      <c r="F22" s="344">
        <v>1</v>
      </c>
      <c r="G22" s="128" t="s">
        <v>582</v>
      </c>
      <c r="H22" s="129"/>
      <c r="I22" s="130">
        <f t="shared" si="1"/>
        <v>0</v>
      </c>
    </row>
    <row r="23" spans="2:9" x14ac:dyDescent="0.25">
      <c r="B23" s="72"/>
      <c r="C23" s="73"/>
      <c r="D23" s="82"/>
      <c r="E23" s="75"/>
      <c r="F23" s="344"/>
      <c r="G23" s="128"/>
      <c r="H23" s="129"/>
      <c r="I23" s="130">
        <f t="shared" si="1"/>
        <v>0</v>
      </c>
    </row>
    <row r="24" spans="2:9" x14ac:dyDescent="0.25">
      <c r="B24" s="72"/>
      <c r="C24" s="418" t="s">
        <v>793</v>
      </c>
      <c r="D24" s="419"/>
      <c r="E24" s="75"/>
      <c r="F24" s="344"/>
      <c r="G24" s="128"/>
      <c r="H24" s="129"/>
      <c r="I24" s="130">
        <f t="shared" si="1"/>
        <v>0</v>
      </c>
    </row>
    <row r="25" spans="2:9" x14ac:dyDescent="0.25">
      <c r="B25" s="72"/>
      <c r="C25" s="171"/>
      <c r="D25" s="112"/>
      <c r="E25" s="75"/>
      <c r="F25" s="344"/>
      <c r="G25" s="128"/>
      <c r="H25" s="129"/>
      <c r="I25" s="130">
        <f t="shared" si="1"/>
        <v>0</v>
      </c>
    </row>
    <row r="26" spans="2:9" x14ac:dyDescent="0.25">
      <c r="B26" s="172">
        <f>B22+0.01</f>
        <v>15.03</v>
      </c>
      <c r="C26" s="73"/>
      <c r="D26" s="82" t="s">
        <v>789</v>
      </c>
      <c r="E26" s="128">
        <v>1</v>
      </c>
      <c r="F26" s="344">
        <v>1</v>
      </c>
      <c r="G26" s="128" t="s">
        <v>582</v>
      </c>
      <c r="H26" s="129"/>
      <c r="I26" s="130">
        <f t="shared" si="1"/>
        <v>0</v>
      </c>
    </row>
    <row r="27" spans="2:9" x14ac:dyDescent="0.25">
      <c r="B27" s="72"/>
      <c r="C27" s="73"/>
      <c r="D27" s="82"/>
      <c r="E27" s="75"/>
      <c r="F27" s="344"/>
      <c r="G27" s="128"/>
      <c r="H27" s="129"/>
      <c r="I27" s="130">
        <f t="shared" si="1"/>
        <v>0</v>
      </c>
    </row>
    <row r="28" spans="2:9" x14ac:dyDescent="0.25">
      <c r="B28" s="72"/>
      <c r="C28" s="418" t="s">
        <v>792</v>
      </c>
      <c r="D28" s="419"/>
      <c r="E28" s="75"/>
      <c r="F28" s="344"/>
      <c r="G28" s="128"/>
      <c r="H28" s="76"/>
      <c r="I28" s="130">
        <f t="shared" si="1"/>
        <v>0</v>
      </c>
    </row>
    <row r="29" spans="2:9" x14ac:dyDescent="0.25">
      <c r="B29" s="72"/>
      <c r="C29" s="171"/>
      <c r="D29" s="112"/>
      <c r="E29" s="75"/>
      <c r="F29" s="162"/>
      <c r="G29" s="75"/>
      <c r="H29" s="76"/>
      <c r="I29" s="130">
        <f t="shared" si="1"/>
        <v>0</v>
      </c>
    </row>
    <row r="30" spans="2:9" ht="18.75" customHeight="1" x14ac:dyDescent="0.25">
      <c r="B30" s="172">
        <f>B26+0.01</f>
        <v>15.04</v>
      </c>
      <c r="C30" s="73"/>
      <c r="D30" s="82" t="s">
        <v>789</v>
      </c>
      <c r="E30" s="128">
        <v>1</v>
      </c>
      <c r="F30" s="344">
        <v>1</v>
      </c>
      <c r="G30" s="128" t="s">
        <v>582</v>
      </c>
      <c r="H30" s="76"/>
      <c r="I30" s="130">
        <f t="shared" si="1"/>
        <v>0</v>
      </c>
    </row>
    <row r="31" spans="2:9" x14ac:dyDescent="0.25">
      <c r="B31" s="172"/>
      <c r="C31" s="73"/>
      <c r="D31" s="82"/>
      <c r="E31" s="75"/>
      <c r="F31" s="162"/>
      <c r="G31" s="75"/>
      <c r="H31" s="76"/>
      <c r="I31" s="130">
        <f t="shared" si="1"/>
        <v>0</v>
      </c>
    </row>
    <row r="32" spans="2:9" x14ac:dyDescent="0.25">
      <c r="B32" s="72"/>
      <c r="C32" s="418" t="s">
        <v>794</v>
      </c>
      <c r="D32" s="419"/>
      <c r="E32" s="75"/>
      <c r="F32" s="344"/>
      <c r="G32" s="128"/>
      <c r="H32" s="76"/>
      <c r="I32" s="130">
        <f t="shared" si="1"/>
        <v>0</v>
      </c>
    </row>
    <row r="33" spans="2:9" x14ac:dyDescent="0.25">
      <c r="B33" s="72"/>
      <c r="C33" s="171"/>
      <c r="D33" s="112"/>
      <c r="E33" s="75"/>
      <c r="F33" s="162"/>
      <c r="G33" s="75"/>
      <c r="H33" s="76"/>
      <c r="I33" s="130">
        <f t="shared" si="1"/>
        <v>0</v>
      </c>
    </row>
    <row r="34" spans="2:9" x14ac:dyDescent="0.25">
      <c r="B34" s="172">
        <f>B30+0.01</f>
        <v>15.049999999999999</v>
      </c>
      <c r="C34" s="73"/>
      <c r="D34" s="82" t="s">
        <v>789</v>
      </c>
      <c r="E34" s="75">
        <v>1</v>
      </c>
      <c r="F34" s="162">
        <v>1</v>
      </c>
      <c r="G34" s="75" t="s">
        <v>582</v>
      </c>
      <c r="H34" s="76"/>
      <c r="I34" s="130">
        <f t="shared" si="1"/>
        <v>0</v>
      </c>
    </row>
    <row r="35" spans="2:9" x14ac:dyDescent="0.25">
      <c r="B35" s="72"/>
      <c r="C35" s="84"/>
      <c r="D35" s="82"/>
      <c r="E35" s="75"/>
      <c r="F35" s="162"/>
      <c r="G35" s="75"/>
      <c r="H35" s="76"/>
      <c r="I35" s="130">
        <f t="shared" si="1"/>
        <v>0</v>
      </c>
    </row>
    <row r="36" spans="2:9" ht="18" customHeight="1" x14ac:dyDescent="0.25">
      <c r="B36" s="72"/>
      <c r="C36" s="418" t="s">
        <v>795</v>
      </c>
      <c r="D36" s="419"/>
      <c r="E36" s="75"/>
      <c r="F36" s="344"/>
      <c r="G36" s="128"/>
      <c r="H36" s="76"/>
      <c r="I36" s="130">
        <f t="shared" si="1"/>
        <v>0</v>
      </c>
    </row>
    <row r="37" spans="2:9" x14ac:dyDescent="0.25">
      <c r="B37" s="72"/>
      <c r="C37" s="171"/>
      <c r="D37" s="112"/>
      <c r="E37" s="75"/>
      <c r="F37" s="162"/>
      <c r="G37" s="75"/>
      <c r="H37" s="76"/>
      <c r="I37" s="130">
        <f t="shared" si="1"/>
        <v>0</v>
      </c>
    </row>
    <row r="38" spans="2:9" x14ac:dyDescent="0.25">
      <c r="B38" s="172">
        <f>B34+0.01</f>
        <v>15.059999999999999</v>
      </c>
      <c r="C38" s="73"/>
      <c r="D38" s="82" t="s">
        <v>789</v>
      </c>
      <c r="E38" s="75">
        <v>1</v>
      </c>
      <c r="F38" s="162">
        <v>1</v>
      </c>
      <c r="G38" s="75" t="s">
        <v>582</v>
      </c>
      <c r="H38" s="76"/>
      <c r="I38" s="130">
        <f t="shared" si="1"/>
        <v>0</v>
      </c>
    </row>
    <row r="39" spans="2:9" x14ac:dyDescent="0.25">
      <c r="B39" s="72"/>
      <c r="C39" s="84"/>
      <c r="D39" s="82"/>
      <c r="E39" s="75"/>
      <c r="F39" s="162"/>
      <c r="G39" s="75"/>
      <c r="H39" s="76"/>
      <c r="I39" s="130">
        <f t="shared" si="1"/>
        <v>0</v>
      </c>
    </row>
    <row r="40" spans="2:9" ht="29.25" customHeight="1" x14ac:dyDescent="0.25">
      <c r="B40" s="72"/>
      <c r="C40" s="418" t="s">
        <v>796</v>
      </c>
      <c r="D40" s="419"/>
      <c r="E40" s="75"/>
      <c r="F40" s="162"/>
      <c r="G40" s="75"/>
      <c r="H40" s="76"/>
      <c r="I40" s="130">
        <f t="shared" si="1"/>
        <v>0</v>
      </c>
    </row>
    <row r="41" spans="2:9" x14ac:dyDescent="0.25">
      <c r="B41" s="72"/>
      <c r="C41" s="84"/>
      <c r="D41" s="82"/>
      <c r="E41" s="75"/>
      <c r="F41" s="162"/>
      <c r="G41" s="75"/>
      <c r="H41" s="76"/>
      <c r="I41" s="130">
        <f t="shared" si="1"/>
        <v>0</v>
      </c>
    </row>
    <row r="42" spans="2:9" x14ac:dyDescent="0.25">
      <c r="B42" s="164">
        <f>B38+0.01</f>
        <v>15.069999999999999</v>
      </c>
      <c r="C42" s="84"/>
      <c r="D42" s="82" t="s">
        <v>789</v>
      </c>
      <c r="E42" s="75">
        <v>1</v>
      </c>
      <c r="F42" s="162">
        <v>1</v>
      </c>
      <c r="G42" s="75" t="s">
        <v>582</v>
      </c>
      <c r="H42" s="76"/>
      <c r="I42" s="130">
        <f t="shared" si="1"/>
        <v>0</v>
      </c>
    </row>
    <row r="43" spans="2:9" x14ac:dyDescent="0.25">
      <c r="B43" s="72"/>
      <c r="C43" s="84"/>
      <c r="D43" s="82"/>
      <c r="E43" s="75"/>
      <c r="F43" s="162"/>
      <c r="G43" s="75"/>
      <c r="H43" s="76"/>
      <c r="I43" s="130">
        <f t="shared" si="1"/>
        <v>0</v>
      </c>
    </row>
    <row r="44" spans="2:9" ht="31.5" customHeight="1" x14ac:dyDescent="0.25">
      <c r="B44" s="72"/>
      <c r="C44" s="418" t="s">
        <v>797</v>
      </c>
      <c r="D44" s="419"/>
      <c r="E44" s="75"/>
      <c r="F44" s="162"/>
      <c r="G44" s="75"/>
      <c r="H44" s="76"/>
      <c r="I44" s="130">
        <f t="shared" si="1"/>
        <v>0</v>
      </c>
    </row>
    <row r="45" spans="2:9" x14ac:dyDescent="0.25">
      <c r="B45" s="72"/>
      <c r="C45" s="84"/>
      <c r="D45" s="82"/>
      <c r="E45" s="75"/>
      <c r="F45" s="162"/>
      <c r="G45" s="75"/>
      <c r="H45" s="76"/>
      <c r="I45" s="130">
        <f t="shared" si="1"/>
        <v>0</v>
      </c>
    </row>
    <row r="46" spans="2:9" x14ac:dyDescent="0.25">
      <c r="B46" s="179">
        <f>B42+0.01</f>
        <v>15.079999999999998</v>
      </c>
      <c r="C46" s="84"/>
      <c r="D46" s="82" t="s">
        <v>789</v>
      </c>
      <c r="E46" s="75">
        <v>1</v>
      </c>
      <c r="F46" s="162">
        <v>1</v>
      </c>
      <c r="G46" s="75" t="s">
        <v>582</v>
      </c>
      <c r="H46" s="76"/>
      <c r="I46" s="130">
        <f t="shared" si="1"/>
        <v>0</v>
      </c>
    </row>
    <row r="47" spans="2:9" x14ac:dyDescent="0.25">
      <c r="B47" s="72"/>
      <c r="C47" s="84"/>
      <c r="D47" s="82"/>
      <c r="E47" s="75"/>
      <c r="F47" s="162"/>
      <c r="G47" s="75"/>
      <c r="H47" s="76"/>
      <c r="I47" s="130">
        <f t="shared" si="1"/>
        <v>0</v>
      </c>
    </row>
    <row r="48" spans="2:9" x14ac:dyDescent="0.25">
      <c r="B48" s="72"/>
      <c r="C48" s="84"/>
      <c r="D48" s="82"/>
      <c r="E48" s="75"/>
      <c r="F48" s="162"/>
      <c r="G48" s="75"/>
      <c r="H48" s="76"/>
      <c r="I48" s="130">
        <f t="shared" si="1"/>
        <v>0</v>
      </c>
    </row>
    <row r="49" spans="2:9" x14ac:dyDescent="0.25">
      <c r="B49" s="77"/>
      <c r="C49" s="73" t="s">
        <v>549</v>
      </c>
      <c r="D49" s="160"/>
      <c r="E49" s="161"/>
      <c r="F49" s="161"/>
      <c r="G49" s="78"/>
      <c r="H49" s="79"/>
      <c r="I49" s="130">
        <f t="shared" si="1"/>
        <v>0</v>
      </c>
    </row>
    <row r="50" spans="2:9" x14ac:dyDescent="0.25">
      <c r="B50" s="77"/>
      <c r="C50" s="74"/>
      <c r="D50" s="160"/>
      <c r="E50" s="161"/>
      <c r="F50" s="161"/>
      <c r="G50" s="78"/>
      <c r="H50" s="79"/>
      <c r="I50" s="130">
        <f t="shared" si="1"/>
        <v>0</v>
      </c>
    </row>
    <row r="51" spans="2:9" x14ac:dyDescent="0.25">
      <c r="B51" s="77"/>
      <c r="C51" s="159" t="s">
        <v>550</v>
      </c>
      <c r="D51" s="160"/>
      <c r="E51" s="161"/>
      <c r="F51" s="161"/>
      <c r="G51" s="78"/>
      <c r="H51" s="79"/>
      <c r="I51" s="130">
        <f t="shared" si="1"/>
        <v>0</v>
      </c>
    </row>
    <row r="52" spans="2:9" x14ac:dyDescent="0.25">
      <c r="B52" s="77"/>
      <c r="C52" s="74"/>
      <c r="D52" s="160"/>
      <c r="E52" s="161"/>
      <c r="F52" s="161"/>
      <c r="G52" s="78"/>
      <c r="H52" s="79"/>
      <c r="I52" s="130">
        <f t="shared" si="1"/>
        <v>0</v>
      </c>
    </row>
    <row r="53" spans="2:9" x14ac:dyDescent="0.25">
      <c r="B53" s="77"/>
      <c r="C53" s="74" t="s">
        <v>551</v>
      </c>
      <c r="D53" s="160"/>
      <c r="E53" s="161"/>
      <c r="F53" s="161"/>
      <c r="G53" s="78"/>
      <c r="H53" s="79"/>
      <c r="I53" s="130">
        <f t="shared" si="1"/>
        <v>0</v>
      </c>
    </row>
    <row r="54" spans="2:9" x14ac:dyDescent="0.25">
      <c r="B54" s="77"/>
      <c r="C54" s="74"/>
      <c r="D54" s="160"/>
      <c r="E54" s="161"/>
      <c r="F54" s="161"/>
      <c r="G54" s="78"/>
      <c r="H54" s="79"/>
      <c r="I54" s="130">
        <f t="shared" si="1"/>
        <v>0</v>
      </c>
    </row>
    <row r="55" spans="2:9" x14ac:dyDescent="0.25">
      <c r="B55" s="173">
        <f>B46+0.01</f>
        <v>15.089999999999998</v>
      </c>
      <c r="C55" s="74"/>
      <c r="D55" s="112" t="s">
        <v>527</v>
      </c>
      <c r="E55" s="162"/>
      <c r="F55" s="162">
        <v>1</v>
      </c>
      <c r="G55" s="75" t="s">
        <v>528</v>
      </c>
      <c r="H55" s="76"/>
      <c r="I55" s="130">
        <f t="shared" si="1"/>
        <v>0</v>
      </c>
    </row>
    <row r="56" spans="2:9" x14ac:dyDescent="0.25">
      <c r="B56" s="77"/>
      <c r="C56" s="74"/>
      <c r="D56" s="160"/>
      <c r="E56" s="161"/>
      <c r="F56" s="161"/>
      <c r="G56" s="78"/>
      <c r="H56" s="79"/>
      <c r="I56" s="130">
        <f t="shared" si="1"/>
        <v>0</v>
      </c>
    </row>
    <row r="57" spans="2:9" ht="15.75" x14ac:dyDescent="0.25">
      <c r="B57" s="77"/>
      <c r="C57" s="432" t="s">
        <v>634</v>
      </c>
      <c r="D57" s="433"/>
      <c r="E57" s="161"/>
      <c r="F57" s="161"/>
      <c r="G57" s="78"/>
      <c r="H57" s="79"/>
      <c r="I57" s="130">
        <f t="shared" si="1"/>
        <v>0</v>
      </c>
    </row>
    <row r="58" spans="2:9" x14ac:dyDescent="0.25">
      <c r="B58" s="77"/>
      <c r="C58" s="74"/>
      <c r="D58" s="160"/>
      <c r="E58" s="161"/>
      <c r="F58" s="161"/>
      <c r="G58" s="78"/>
      <c r="H58" s="79"/>
      <c r="I58" s="130">
        <f t="shared" si="1"/>
        <v>0</v>
      </c>
    </row>
    <row r="59" spans="2:9" ht="34.5" customHeight="1" x14ac:dyDescent="0.25">
      <c r="B59" s="77"/>
      <c r="C59" s="418" t="s">
        <v>650</v>
      </c>
      <c r="D59" s="419"/>
      <c r="E59" s="161"/>
      <c r="F59" s="161"/>
      <c r="G59" s="78"/>
      <c r="H59" s="79"/>
      <c r="I59" s="130">
        <f t="shared" si="1"/>
        <v>0</v>
      </c>
    </row>
    <row r="60" spans="2:9" ht="13.35" customHeight="1" x14ac:dyDescent="0.25">
      <c r="B60" s="77"/>
      <c r="C60" s="74"/>
      <c r="D60" s="160"/>
      <c r="E60" s="161"/>
      <c r="F60" s="161"/>
      <c r="G60" s="78"/>
      <c r="H60" s="79"/>
      <c r="I60" s="130">
        <f t="shared" si="1"/>
        <v>0</v>
      </c>
    </row>
    <row r="61" spans="2:9" x14ac:dyDescent="0.25">
      <c r="B61" s="172">
        <f>B55+0.01</f>
        <v>15.099999999999998</v>
      </c>
      <c r="C61" s="74"/>
      <c r="D61" s="112" t="s">
        <v>527</v>
      </c>
      <c r="E61" s="162"/>
      <c r="F61" s="162">
        <v>1</v>
      </c>
      <c r="G61" s="75" t="s">
        <v>528</v>
      </c>
      <c r="H61" s="76"/>
      <c r="I61" s="130">
        <f t="shared" si="1"/>
        <v>0</v>
      </c>
    </row>
    <row r="62" spans="2:9" x14ac:dyDescent="0.25">
      <c r="B62" s="77"/>
      <c r="C62" s="74"/>
      <c r="D62" s="160"/>
      <c r="E62" s="161"/>
      <c r="F62" s="161"/>
      <c r="G62" s="78"/>
      <c r="H62" s="79"/>
      <c r="I62" s="130">
        <f t="shared" si="1"/>
        <v>0</v>
      </c>
    </row>
    <row r="63" spans="2:9" x14ac:dyDescent="0.25">
      <c r="B63" s="77"/>
      <c r="C63" s="159" t="s">
        <v>556</v>
      </c>
      <c r="D63" s="160"/>
      <c r="E63" s="161"/>
      <c r="F63" s="161"/>
      <c r="G63" s="78"/>
      <c r="H63" s="79"/>
      <c r="I63" s="130">
        <f t="shared" si="1"/>
        <v>0</v>
      </c>
    </row>
    <row r="64" spans="2:9" x14ac:dyDescent="0.25">
      <c r="B64" s="77"/>
      <c r="C64" s="74"/>
      <c r="D64" s="160"/>
      <c r="E64" s="161"/>
      <c r="F64" s="161"/>
      <c r="G64" s="78"/>
      <c r="H64" s="79"/>
      <c r="I64" s="130">
        <f t="shared" si="1"/>
        <v>0</v>
      </c>
    </row>
    <row r="65" spans="2:10" ht="33.75" customHeight="1" x14ac:dyDescent="0.25">
      <c r="B65" s="77"/>
      <c r="C65" s="420" t="s">
        <v>557</v>
      </c>
      <c r="D65" s="421"/>
      <c r="E65" s="161"/>
      <c r="F65" s="161"/>
      <c r="G65" s="78"/>
      <c r="H65" s="79"/>
      <c r="I65" s="130">
        <f t="shared" si="1"/>
        <v>0</v>
      </c>
    </row>
    <row r="66" spans="2:10" ht="14.45" customHeight="1" x14ac:dyDescent="0.25">
      <c r="B66" s="77"/>
      <c r="C66" s="170"/>
      <c r="D66" s="158"/>
      <c r="E66" s="161"/>
      <c r="F66" s="161"/>
      <c r="G66" s="78"/>
      <c r="H66" s="79"/>
      <c r="I66" s="130">
        <f t="shared" si="1"/>
        <v>0</v>
      </c>
    </row>
    <row r="67" spans="2:10" x14ac:dyDescent="0.25">
      <c r="B67" s="173">
        <f>B61+0.01</f>
        <v>15.109999999999998</v>
      </c>
      <c r="C67" s="74"/>
      <c r="D67" s="112" t="s">
        <v>527</v>
      </c>
      <c r="E67" s="162"/>
      <c r="F67" s="162">
        <v>1</v>
      </c>
      <c r="G67" s="75" t="s">
        <v>528</v>
      </c>
      <c r="H67" s="76"/>
      <c r="I67" s="130">
        <f t="shared" si="1"/>
        <v>0</v>
      </c>
    </row>
    <row r="68" spans="2:10" x14ac:dyDescent="0.25">
      <c r="B68" s="77"/>
      <c r="C68" s="74"/>
      <c r="D68" s="160"/>
      <c r="E68" s="161"/>
      <c r="F68" s="161"/>
      <c r="G68" s="78"/>
      <c r="H68" s="79"/>
      <c r="I68" s="130">
        <f t="shared" si="1"/>
        <v>0</v>
      </c>
    </row>
    <row r="69" spans="2:10" x14ac:dyDescent="0.25">
      <c r="B69" s="72"/>
      <c r="C69" s="159" t="s">
        <v>529</v>
      </c>
      <c r="D69" s="82"/>
      <c r="E69" s="75"/>
      <c r="F69" s="162"/>
      <c r="G69" s="75"/>
      <c r="H69" s="122"/>
      <c r="I69" s="130">
        <f t="shared" si="1"/>
        <v>0</v>
      </c>
    </row>
    <row r="70" spans="2:10" x14ac:dyDescent="0.25">
      <c r="B70" s="72"/>
      <c r="C70" s="74"/>
      <c r="D70" s="82"/>
      <c r="E70" s="75"/>
      <c r="F70" s="162"/>
      <c r="G70" s="75"/>
      <c r="H70" s="122"/>
      <c r="I70" s="130">
        <f t="shared" si="1"/>
        <v>0</v>
      </c>
    </row>
    <row r="71" spans="2:10" ht="31.5" customHeight="1" x14ac:dyDescent="0.25">
      <c r="B71" s="72"/>
      <c r="C71" s="422" t="s">
        <v>629</v>
      </c>
      <c r="D71" s="423"/>
      <c r="E71" s="75"/>
      <c r="F71" s="162"/>
      <c r="G71" s="75"/>
      <c r="H71" s="122"/>
      <c r="I71" s="130">
        <f t="shared" si="1"/>
        <v>0</v>
      </c>
    </row>
    <row r="72" spans="2:10" ht="13.7" customHeight="1" x14ac:dyDescent="0.25">
      <c r="B72" s="72"/>
      <c r="C72" s="165"/>
      <c r="D72" s="82"/>
      <c r="E72" s="75"/>
      <c r="F72" s="162"/>
      <c r="G72" s="75"/>
      <c r="H72" s="122"/>
      <c r="I72" s="130">
        <f t="shared" si="1"/>
        <v>0</v>
      </c>
    </row>
    <row r="73" spans="2:10" x14ac:dyDescent="0.25">
      <c r="B73" s="172">
        <f>B67+0.01</f>
        <v>15.119999999999997</v>
      </c>
      <c r="C73" s="74"/>
      <c r="D73" s="155" t="s">
        <v>527</v>
      </c>
      <c r="E73" s="154"/>
      <c r="F73" s="390">
        <v>1</v>
      </c>
      <c r="G73" s="75" t="s">
        <v>528</v>
      </c>
      <c r="H73" s="122"/>
      <c r="I73" s="130">
        <f t="shared" si="1"/>
        <v>0</v>
      </c>
    </row>
    <row r="74" spans="2:10" ht="15.75" thickBot="1" x14ac:dyDescent="0.3">
      <c r="B74" s="72"/>
      <c r="C74" s="74"/>
      <c r="D74" s="111"/>
      <c r="E74" s="109"/>
      <c r="F74" s="162"/>
      <c r="G74" s="75"/>
      <c r="H74" s="76"/>
      <c r="I74" s="130">
        <f t="shared" ref="I74" si="2">F74*H74</f>
        <v>0</v>
      </c>
      <c r="J74" s="110"/>
    </row>
    <row r="75" spans="2:10" ht="15" customHeight="1" thickBot="1" x14ac:dyDescent="0.3">
      <c r="B75" s="72"/>
      <c r="C75" s="74"/>
      <c r="D75" s="314" t="s">
        <v>1004</v>
      </c>
      <c r="E75" s="109"/>
      <c r="F75" s="162"/>
      <c r="G75" s="75"/>
      <c r="H75" s="382"/>
      <c r="I75" s="383">
        <f>SUM(I16:I74)</f>
        <v>0</v>
      </c>
      <c r="J75" s="110"/>
    </row>
    <row r="76" spans="2:10" x14ac:dyDescent="0.25">
      <c r="B76" s="72"/>
      <c r="C76" s="74"/>
      <c r="D76" s="111"/>
      <c r="E76" s="109"/>
      <c r="F76" s="162"/>
      <c r="G76" s="75"/>
      <c r="H76" s="76"/>
      <c r="I76" s="130"/>
      <c r="J76" s="110"/>
    </row>
    <row r="77" spans="2:10" x14ac:dyDescent="0.25">
      <c r="B77" s="72"/>
      <c r="C77" s="426" t="s">
        <v>816</v>
      </c>
      <c r="D77" s="427"/>
      <c r="E77" s="109"/>
      <c r="F77" s="162"/>
      <c r="G77" s="75"/>
      <c r="H77" s="76"/>
      <c r="I77" s="130"/>
      <c r="J77" s="110"/>
    </row>
    <row r="78" spans="2:10" x14ac:dyDescent="0.25">
      <c r="B78" s="72"/>
      <c r="C78" s="74"/>
      <c r="D78" s="111"/>
      <c r="E78" s="109"/>
      <c r="F78" s="162"/>
      <c r="G78" s="75"/>
      <c r="H78" s="76"/>
      <c r="I78" s="130"/>
      <c r="J78" s="110"/>
    </row>
    <row r="79" spans="2:10" x14ac:dyDescent="0.25">
      <c r="B79" s="72"/>
      <c r="C79" s="443" t="s">
        <v>1005</v>
      </c>
      <c r="D79" s="444"/>
      <c r="E79" s="109"/>
      <c r="F79" s="162"/>
      <c r="G79" s="75"/>
      <c r="H79" s="76"/>
      <c r="I79" s="130"/>
      <c r="J79" s="110"/>
    </row>
    <row r="80" spans="2:10" x14ac:dyDescent="0.25">
      <c r="B80" s="72"/>
      <c r="C80" s="74"/>
      <c r="D80" s="111"/>
      <c r="E80" s="109"/>
      <c r="F80" s="162"/>
      <c r="G80" s="75"/>
      <c r="H80" s="76"/>
      <c r="I80" s="130"/>
      <c r="J80" s="110"/>
    </row>
    <row r="81" spans="2:10" ht="46.5" customHeight="1" x14ac:dyDescent="0.25">
      <c r="B81" s="72"/>
      <c r="C81" s="437" t="s">
        <v>1028</v>
      </c>
      <c r="D81" s="438"/>
      <c r="E81" s="109"/>
      <c r="F81" s="162"/>
      <c r="G81" s="75"/>
      <c r="H81" s="76"/>
      <c r="I81" s="130"/>
      <c r="J81" s="110"/>
    </row>
    <row r="82" spans="2:10" x14ac:dyDescent="0.25">
      <c r="B82" s="72"/>
      <c r="C82" s="74"/>
      <c r="D82" s="111"/>
      <c r="E82" s="109"/>
      <c r="F82" s="162"/>
      <c r="G82" s="75"/>
      <c r="H82" s="76"/>
      <c r="I82" s="130"/>
      <c r="J82" s="110"/>
    </row>
    <row r="83" spans="2:10" x14ac:dyDescent="0.25">
      <c r="B83" s="72"/>
      <c r="C83" s="434" t="s">
        <v>1018</v>
      </c>
      <c r="D83" s="435"/>
      <c r="E83" s="109"/>
      <c r="F83" s="162"/>
      <c r="G83" s="75"/>
      <c r="H83" s="76"/>
      <c r="I83" s="130"/>
      <c r="J83" s="110"/>
    </row>
    <row r="84" spans="2:10" x14ac:dyDescent="0.25">
      <c r="B84" s="72"/>
      <c r="C84" s="74"/>
      <c r="D84" s="111"/>
      <c r="E84" s="109"/>
      <c r="F84" s="162"/>
      <c r="G84" s="75"/>
      <c r="H84" s="76"/>
      <c r="I84" s="130"/>
      <c r="J84" s="110"/>
    </row>
    <row r="85" spans="2:10" x14ac:dyDescent="0.25">
      <c r="B85" s="172">
        <f>B73+0.01</f>
        <v>15.129999999999997</v>
      </c>
      <c r="C85" s="74"/>
      <c r="D85" s="82" t="s">
        <v>1010</v>
      </c>
      <c r="E85" s="109"/>
      <c r="F85" s="162">
        <v>2</v>
      </c>
      <c r="G85" s="75" t="s">
        <v>582</v>
      </c>
      <c r="H85" s="76"/>
      <c r="I85" s="130">
        <f t="shared" ref="I85:I148" si="3">F85*H85</f>
        <v>0</v>
      </c>
      <c r="J85" s="110"/>
    </row>
    <row r="86" spans="2:10" x14ac:dyDescent="0.25">
      <c r="B86" s="72"/>
      <c r="C86" s="74"/>
      <c r="D86" s="111"/>
      <c r="E86" s="109"/>
      <c r="F86" s="162"/>
      <c r="G86" s="75"/>
      <c r="H86" s="76"/>
      <c r="I86" s="130">
        <f t="shared" si="3"/>
        <v>0</v>
      </c>
      <c r="J86" s="110"/>
    </row>
    <row r="87" spans="2:10" ht="30" x14ac:dyDescent="0.25">
      <c r="B87" s="179">
        <f>B85+0.01</f>
        <v>15.139999999999997</v>
      </c>
      <c r="C87" s="74"/>
      <c r="D87" s="82" t="s">
        <v>1011</v>
      </c>
      <c r="E87" s="109"/>
      <c r="F87" s="344">
        <v>1</v>
      </c>
      <c r="G87" s="128" t="s">
        <v>582</v>
      </c>
      <c r="H87" s="129"/>
      <c r="I87" s="130">
        <f t="shared" si="3"/>
        <v>0</v>
      </c>
      <c r="J87" s="110"/>
    </row>
    <row r="88" spans="2:10" x14ac:dyDescent="0.25">
      <c r="B88" s="72"/>
      <c r="C88" s="74"/>
      <c r="D88" s="111"/>
      <c r="E88" s="109"/>
      <c r="F88" s="162"/>
      <c r="G88" s="75"/>
      <c r="H88" s="76"/>
      <c r="I88" s="130">
        <f t="shared" si="3"/>
        <v>0</v>
      </c>
      <c r="J88" s="110"/>
    </row>
    <row r="89" spans="2:10" x14ac:dyDescent="0.25">
      <c r="B89" s="179">
        <f>B87+0.01</f>
        <v>15.149999999999997</v>
      </c>
      <c r="C89" s="74"/>
      <c r="D89" s="82" t="s">
        <v>1012</v>
      </c>
      <c r="E89" s="109"/>
      <c r="F89" s="344">
        <v>1</v>
      </c>
      <c r="G89" s="128" t="s">
        <v>582</v>
      </c>
      <c r="H89" s="129"/>
      <c r="I89" s="130">
        <f t="shared" si="3"/>
        <v>0</v>
      </c>
      <c r="J89" s="110"/>
    </row>
    <row r="90" spans="2:10" x14ac:dyDescent="0.25">
      <c r="B90" s="72"/>
      <c r="C90" s="74"/>
      <c r="D90" s="111"/>
      <c r="E90" s="109"/>
      <c r="F90" s="162"/>
      <c r="G90" s="75"/>
      <c r="H90" s="76"/>
      <c r="I90" s="130">
        <f t="shared" si="3"/>
        <v>0</v>
      </c>
      <c r="J90" s="110"/>
    </row>
    <row r="91" spans="2:10" x14ac:dyDescent="0.25">
      <c r="B91" s="179">
        <f>B89+0.01</f>
        <v>15.159999999999997</v>
      </c>
      <c r="C91" s="74"/>
      <c r="D91" s="82" t="s">
        <v>1013</v>
      </c>
      <c r="E91" s="109"/>
      <c r="F91" s="344">
        <v>1</v>
      </c>
      <c r="G91" s="128" t="s">
        <v>582</v>
      </c>
      <c r="H91" s="129"/>
      <c r="I91" s="130">
        <f t="shared" si="3"/>
        <v>0</v>
      </c>
      <c r="J91" s="110"/>
    </row>
    <row r="92" spans="2:10" x14ac:dyDescent="0.25">
      <c r="B92" s="72"/>
      <c r="C92" s="74"/>
      <c r="D92" s="111"/>
      <c r="E92" s="109"/>
      <c r="F92" s="162"/>
      <c r="G92" s="75"/>
      <c r="H92" s="76"/>
      <c r="I92" s="130">
        <f t="shared" si="3"/>
        <v>0</v>
      </c>
      <c r="J92" s="110"/>
    </row>
    <row r="93" spans="2:10" ht="30" x14ac:dyDescent="0.25">
      <c r="B93" s="179">
        <f>B91+0.01</f>
        <v>15.169999999999996</v>
      </c>
      <c r="C93" s="74"/>
      <c r="D93" s="82" t="s">
        <v>1014</v>
      </c>
      <c r="E93" s="109"/>
      <c r="F93" s="344">
        <v>1</v>
      </c>
      <c r="G93" s="128" t="s">
        <v>582</v>
      </c>
      <c r="H93" s="129"/>
      <c r="I93" s="130">
        <f t="shared" si="3"/>
        <v>0</v>
      </c>
      <c r="J93" s="110"/>
    </row>
    <row r="94" spans="2:10" x14ac:dyDescent="0.25">
      <c r="B94" s="179"/>
      <c r="C94" s="74"/>
      <c r="D94" s="82"/>
      <c r="E94" s="109"/>
      <c r="F94" s="344"/>
      <c r="G94" s="128"/>
      <c r="H94" s="129"/>
      <c r="I94" s="130">
        <f t="shared" si="3"/>
        <v>0</v>
      </c>
      <c r="J94" s="110"/>
    </row>
    <row r="95" spans="2:10" ht="30" x14ac:dyDescent="0.25">
      <c r="B95" s="179">
        <f>B93+0.01</f>
        <v>15.179999999999996</v>
      </c>
      <c r="C95" s="74"/>
      <c r="D95" s="82" t="s">
        <v>1015</v>
      </c>
      <c r="E95" s="109"/>
      <c r="F95" s="344">
        <v>1</v>
      </c>
      <c r="G95" s="128" t="s">
        <v>582</v>
      </c>
      <c r="H95" s="129"/>
      <c r="I95" s="130">
        <f t="shared" si="3"/>
        <v>0</v>
      </c>
      <c r="J95" s="110"/>
    </row>
    <row r="96" spans="2:10" x14ac:dyDescent="0.25">
      <c r="B96" s="179"/>
      <c r="C96" s="74"/>
      <c r="D96" s="82"/>
      <c r="E96" s="109"/>
      <c r="F96" s="344"/>
      <c r="G96" s="128"/>
      <c r="H96" s="129"/>
      <c r="I96" s="130">
        <f t="shared" si="3"/>
        <v>0</v>
      </c>
      <c r="J96" s="110"/>
    </row>
    <row r="97" spans="2:10" ht="30" x14ac:dyDescent="0.25">
      <c r="B97" s="179">
        <f>B95+0.01</f>
        <v>15.189999999999996</v>
      </c>
      <c r="C97" s="74"/>
      <c r="D97" s="82" t="s">
        <v>1386</v>
      </c>
      <c r="E97" s="109"/>
      <c r="F97" s="344">
        <v>8</v>
      </c>
      <c r="G97" s="128" t="s">
        <v>582</v>
      </c>
      <c r="H97" s="129"/>
      <c r="I97" s="130">
        <f t="shared" si="3"/>
        <v>0</v>
      </c>
      <c r="J97" s="110"/>
    </row>
    <row r="98" spans="2:10" x14ac:dyDescent="0.25">
      <c r="B98" s="72"/>
      <c r="C98" s="74"/>
      <c r="D98" s="111"/>
      <c r="E98" s="109"/>
      <c r="F98" s="162"/>
      <c r="G98" s="75"/>
      <c r="H98" s="76"/>
      <c r="I98" s="130">
        <f t="shared" si="3"/>
        <v>0</v>
      </c>
      <c r="J98" s="110"/>
    </row>
    <row r="99" spans="2:10" x14ac:dyDescent="0.25">
      <c r="B99" s="179">
        <f>B97+0.01</f>
        <v>15.199999999999996</v>
      </c>
      <c r="C99" s="74"/>
      <c r="D99" s="82" t="s">
        <v>1016</v>
      </c>
      <c r="E99" s="109"/>
      <c r="F99" s="344">
        <v>4</v>
      </c>
      <c r="G99" s="128" t="s">
        <v>582</v>
      </c>
      <c r="H99" s="129"/>
      <c r="I99" s="130">
        <f t="shared" si="3"/>
        <v>0</v>
      </c>
      <c r="J99" s="110"/>
    </row>
    <row r="100" spans="2:10" x14ac:dyDescent="0.25">
      <c r="B100" s="72"/>
      <c r="C100" s="74"/>
      <c r="D100" s="111"/>
      <c r="E100" s="109"/>
      <c r="F100" s="162"/>
      <c r="G100" s="75"/>
      <c r="H100" s="76"/>
      <c r="I100" s="130">
        <f t="shared" si="3"/>
        <v>0</v>
      </c>
      <c r="J100" s="110"/>
    </row>
    <row r="101" spans="2:10" x14ac:dyDescent="0.25">
      <c r="B101" s="179">
        <f>B99+0.01</f>
        <v>15.209999999999996</v>
      </c>
      <c r="C101" s="74"/>
      <c r="D101" s="82" t="s">
        <v>1017</v>
      </c>
      <c r="E101" s="109"/>
      <c r="F101" s="344">
        <v>1</v>
      </c>
      <c r="G101" s="128" t="s">
        <v>582</v>
      </c>
      <c r="H101" s="129"/>
      <c r="I101" s="130">
        <f t="shared" si="3"/>
        <v>0</v>
      </c>
      <c r="J101" s="110"/>
    </row>
    <row r="102" spans="2:10" x14ac:dyDescent="0.25">
      <c r="B102" s="72"/>
      <c r="C102" s="74"/>
      <c r="D102" s="111"/>
      <c r="E102" s="109"/>
      <c r="F102" s="162"/>
      <c r="G102" s="75"/>
      <c r="H102" s="76"/>
      <c r="I102" s="130">
        <f t="shared" si="3"/>
        <v>0</v>
      </c>
      <c r="J102" s="110"/>
    </row>
    <row r="103" spans="2:10" ht="31.5" customHeight="1" x14ac:dyDescent="0.25">
      <c r="B103" s="179">
        <f>B101+0.01</f>
        <v>15.219999999999995</v>
      </c>
      <c r="C103" s="74"/>
      <c r="D103" s="82" t="s">
        <v>1387</v>
      </c>
      <c r="E103" s="109"/>
      <c r="F103" s="344">
        <v>1</v>
      </c>
      <c r="G103" s="128" t="s">
        <v>582</v>
      </c>
      <c r="H103" s="129"/>
      <c r="I103" s="130">
        <f t="shared" si="3"/>
        <v>0</v>
      </c>
      <c r="J103" s="110"/>
    </row>
    <row r="104" spans="2:10" x14ac:dyDescent="0.25">
      <c r="B104" s="72"/>
      <c r="C104" s="74"/>
      <c r="D104" s="111"/>
      <c r="E104" s="109"/>
      <c r="F104" s="162"/>
      <c r="G104" s="75"/>
      <c r="H104" s="76"/>
      <c r="I104" s="130">
        <f t="shared" si="3"/>
        <v>0</v>
      </c>
      <c r="J104" s="110"/>
    </row>
    <row r="105" spans="2:10" ht="30" x14ac:dyDescent="0.25">
      <c r="B105" s="179">
        <f>B103+0.01</f>
        <v>15.229999999999995</v>
      </c>
      <c r="C105" s="74"/>
      <c r="D105" s="158" t="s">
        <v>1442</v>
      </c>
      <c r="E105" s="343">
        <f>3.7+1+1+2.6</f>
        <v>8.3000000000000007</v>
      </c>
      <c r="F105" s="344">
        <v>1</v>
      </c>
      <c r="G105" s="128" t="s">
        <v>582</v>
      </c>
      <c r="H105" s="129"/>
      <c r="I105" s="130">
        <f t="shared" si="3"/>
        <v>0</v>
      </c>
      <c r="J105" s="110"/>
    </row>
    <row r="106" spans="2:10" x14ac:dyDescent="0.25">
      <c r="B106" s="72"/>
      <c r="C106" s="74"/>
      <c r="D106" s="111"/>
      <c r="E106" s="109"/>
      <c r="F106" s="162"/>
      <c r="G106" s="75"/>
      <c r="H106" s="76"/>
      <c r="I106" s="130">
        <f t="shared" si="3"/>
        <v>0</v>
      </c>
      <c r="J106" s="110"/>
    </row>
    <row r="107" spans="2:10" ht="45" customHeight="1" x14ac:dyDescent="0.25">
      <c r="B107" s="72"/>
      <c r="C107" s="437" t="s">
        <v>1019</v>
      </c>
      <c r="D107" s="438"/>
      <c r="E107" s="109"/>
      <c r="F107" s="162"/>
      <c r="G107" s="75"/>
      <c r="H107" s="76"/>
      <c r="I107" s="130">
        <f t="shared" si="3"/>
        <v>0</v>
      </c>
      <c r="J107" s="110"/>
    </row>
    <row r="108" spans="2:10" x14ac:dyDescent="0.25">
      <c r="B108" s="72"/>
      <c r="C108" s="74"/>
      <c r="D108" s="111"/>
      <c r="E108" s="109"/>
      <c r="F108" s="162"/>
      <c r="G108" s="75"/>
      <c r="H108" s="76"/>
      <c r="I108" s="130">
        <f t="shared" si="3"/>
        <v>0</v>
      </c>
      <c r="J108" s="110"/>
    </row>
    <row r="109" spans="2:10" x14ac:dyDescent="0.25">
      <c r="B109" s="72"/>
      <c r="C109" s="434" t="s">
        <v>1020</v>
      </c>
      <c r="D109" s="435"/>
      <c r="E109" s="109"/>
      <c r="F109" s="162"/>
      <c r="G109" s="75"/>
      <c r="H109" s="76"/>
      <c r="I109" s="130">
        <f t="shared" si="3"/>
        <v>0</v>
      </c>
      <c r="J109" s="110"/>
    </row>
    <row r="110" spans="2:10" x14ac:dyDescent="0.25">
      <c r="B110" s="72"/>
      <c r="C110" s="74"/>
      <c r="D110" s="111"/>
      <c r="E110" s="109"/>
      <c r="F110" s="162"/>
      <c r="G110" s="75"/>
      <c r="H110" s="76"/>
      <c r="I110" s="130">
        <f t="shared" si="3"/>
        <v>0</v>
      </c>
      <c r="J110" s="110"/>
    </row>
    <row r="111" spans="2:10" ht="15.75" customHeight="1" x14ac:dyDescent="0.25">
      <c r="B111" s="179">
        <f>B105+0.01</f>
        <v>15.239999999999995</v>
      </c>
      <c r="C111" s="74"/>
      <c r="D111" s="82" t="s">
        <v>1021</v>
      </c>
      <c r="E111" s="109"/>
      <c r="F111" s="344">
        <v>1</v>
      </c>
      <c r="G111" s="128" t="s">
        <v>582</v>
      </c>
      <c r="H111" s="129"/>
      <c r="I111" s="130">
        <f t="shared" si="3"/>
        <v>0</v>
      </c>
      <c r="J111" s="110"/>
    </row>
    <row r="112" spans="2:10" x14ac:dyDescent="0.25">
      <c r="B112" s="72"/>
      <c r="C112" s="74"/>
      <c r="D112" s="111"/>
      <c r="E112" s="109"/>
      <c r="F112" s="162"/>
      <c r="G112" s="75"/>
      <c r="H112" s="76"/>
      <c r="I112" s="130">
        <f t="shared" si="3"/>
        <v>0</v>
      </c>
      <c r="J112" s="110"/>
    </row>
    <row r="113" spans="2:10" ht="30" x14ac:dyDescent="0.25">
      <c r="B113" s="179">
        <f>B111+0.01</f>
        <v>15.249999999999995</v>
      </c>
      <c r="C113" s="74"/>
      <c r="D113" s="82" t="s">
        <v>1022</v>
      </c>
      <c r="E113" s="109"/>
      <c r="F113" s="344">
        <v>1</v>
      </c>
      <c r="G113" s="128" t="s">
        <v>582</v>
      </c>
      <c r="H113" s="129"/>
      <c r="I113" s="130">
        <f t="shared" si="3"/>
        <v>0</v>
      </c>
      <c r="J113" s="110"/>
    </row>
    <row r="114" spans="2:10" x14ac:dyDescent="0.25">
      <c r="B114" s="72"/>
      <c r="C114" s="74"/>
      <c r="D114" s="111"/>
      <c r="E114" s="109"/>
      <c r="F114" s="162"/>
      <c r="G114" s="75"/>
      <c r="H114" s="76"/>
      <c r="I114" s="130">
        <f t="shared" si="3"/>
        <v>0</v>
      </c>
      <c r="J114" s="110"/>
    </row>
    <row r="115" spans="2:10" ht="30" x14ac:dyDescent="0.25">
      <c r="B115" s="179">
        <f>B113+0.01</f>
        <v>15.259999999999994</v>
      </c>
      <c r="C115" s="74"/>
      <c r="D115" s="82" t="s">
        <v>1023</v>
      </c>
      <c r="E115" s="109"/>
      <c r="F115" s="344">
        <v>1</v>
      </c>
      <c r="G115" s="128" t="s">
        <v>582</v>
      </c>
      <c r="H115" s="129"/>
      <c r="I115" s="130">
        <f t="shared" si="3"/>
        <v>0</v>
      </c>
      <c r="J115" s="110"/>
    </row>
    <row r="116" spans="2:10" x14ac:dyDescent="0.25">
      <c r="B116" s="72"/>
      <c r="C116" s="74"/>
      <c r="D116" s="111"/>
      <c r="E116" s="109"/>
      <c r="F116" s="162"/>
      <c r="G116" s="75"/>
      <c r="H116" s="76"/>
      <c r="I116" s="130">
        <f t="shared" si="3"/>
        <v>0</v>
      </c>
      <c r="J116" s="110"/>
    </row>
    <row r="117" spans="2:10" x14ac:dyDescent="0.25">
      <c r="B117" s="179">
        <f>B115+0.01</f>
        <v>15.269999999999994</v>
      </c>
      <c r="C117" s="74"/>
      <c r="D117" s="82" t="s">
        <v>1024</v>
      </c>
      <c r="E117" s="109"/>
      <c r="F117" s="344">
        <v>1</v>
      </c>
      <c r="G117" s="128" t="s">
        <v>582</v>
      </c>
      <c r="H117" s="129"/>
      <c r="I117" s="130">
        <f t="shared" si="3"/>
        <v>0</v>
      </c>
      <c r="J117" s="110"/>
    </row>
    <row r="118" spans="2:10" x14ac:dyDescent="0.25">
      <c r="B118" s="72"/>
      <c r="C118" s="74"/>
      <c r="D118" s="111"/>
      <c r="E118" s="109"/>
      <c r="F118" s="162"/>
      <c r="G118" s="75"/>
      <c r="H118" s="76"/>
      <c r="I118" s="130">
        <f t="shared" si="3"/>
        <v>0</v>
      </c>
      <c r="J118" s="110"/>
    </row>
    <row r="119" spans="2:10" ht="46.5" customHeight="1" x14ac:dyDescent="0.25">
      <c r="B119" s="179">
        <f>B117+0.01</f>
        <v>15.279999999999994</v>
      </c>
      <c r="C119" s="74"/>
      <c r="D119" s="158" t="s">
        <v>1025</v>
      </c>
      <c r="E119" s="109"/>
      <c r="F119" s="344">
        <v>1</v>
      </c>
      <c r="G119" s="128" t="s">
        <v>582</v>
      </c>
      <c r="H119" s="129"/>
      <c r="I119" s="130">
        <f t="shared" si="3"/>
        <v>0</v>
      </c>
      <c r="J119" s="110"/>
    </row>
    <row r="120" spans="2:10" x14ac:dyDescent="0.25">
      <c r="B120" s="72"/>
      <c r="C120" s="74"/>
      <c r="D120" s="111"/>
      <c r="E120" s="109"/>
      <c r="F120" s="162"/>
      <c r="G120" s="75"/>
      <c r="H120" s="76"/>
      <c r="I120" s="130">
        <f t="shared" si="3"/>
        <v>0</v>
      </c>
      <c r="J120" s="110"/>
    </row>
    <row r="121" spans="2:10" ht="44.25" customHeight="1" x14ac:dyDescent="0.25">
      <c r="B121" s="179">
        <f>B119+0.01</f>
        <v>15.289999999999994</v>
      </c>
      <c r="C121" s="74"/>
      <c r="D121" s="158" t="s">
        <v>1026</v>
      </c>
      <c r="E121" s="109"/>
      <c r="F121" s="344">
        <v>1</v>
      </c>
      <c r="G121" s="128" t="s">
        <v>582</v>
      </c>
      <c r="H121" s="129"/>
      <c r="I121" s="130">
        <f t="shared" si="3"/>
        <v>0</v>
      </c>
      <c r="J121" s="110"/>
    </row>
    <row r="122" spans="2:10" x14ac:dyDescent="0.25">
      <c r="B122" s="72"/>
      <c r="C122" s="74"/>
      <c r="D122" s="111"/>
      <c r="E122" s="109"/>
      <c r="F122" s="162"/>
      <c r="G122" s="75"/>
      <c r="H122" s="76"/>
      <c r="I122" s="130">
        <f t="shared" si="3"/>
        <v>0</v>
      </c>
      <c r="J122" s="110"/>
    </row>
    <row r="123" spans="2:10" ht="30" x14ac:dyDescent="0.25">
      <c r="B123" s="179">
        <f>B121+0.01</f>
        <v>15.299999999999994</v>
      </c>
      <c r="C123" s="74"/>
      <c r="D123" s="158" t="s">
        <v>1027</v>
      </c>
      <c r="E123" s="109"/>
      <c r="F123" s="344">
        <v>1</v>
      </c>
      <c r="G123" s="128" t="s">
        <v>582</v>
      </c>
      <c r="H123" s="129"/>
      <c r="I123" s="130">
        <f t="shared" si="3"/>
        <v>0</v>
      </c>
      <c r="J123" s="110"/>
    </row>
    <row r="124" spans="2:10" x14ac:dyDescent="0.25">
      <c r="B124" s="72"/>
      <c r="C124" s="74"/>
      <c r="D124" s="111"/>
      <c r="E124" s="109"/>
      <c r="F124" s="162"/>
      <c r="G124" s="75"/>
      <c r="H124" s="76"/>
      <c r="I124" s="130">
        <f t="shared" si="3"/>
        <v>0</v>
      </c>
      <c r="J124" s="110"/>
    </row>
    <row r="125" spans="2:10" ht="45.75" customHeight="1" x14ac:dyDescent="0.25">
      <c r="B125" s="72"/>
      <c r="C125" s="437" t="s">
        <v>1030</v>
      </c>
      <c r="D125" s="438"/>
      <c r="E125" s="109"/>
      <c r="F125" s="162"/>
      <c r="G125" s="75"/>
      <c r="H125" s="76"/>
      <c r="I125" s="130">
        <f t="shared" si="3"/>
        <v>0</v>
      </c>
      <c r="J125" s="110"/>
    </row>
    <row r="126" spans="2:10" x14ac:dyDescent="0.25">
      <c r="B126" s="72"/>
      <c r="C126" s="74"/>
      <c r="D126" s="111"/>
      <c r="E126" s="109"/>
      <c r="F126" s="162"/>
      <c r="G126" s="75"/>
      <c r="H126" s="76"/>
      <c r="I126" s="130">
        <f t="shared" si="3"/>
        <v>0</v>
      </c>
      <c r="J126" s="110"/>
    </row>
    <row r="127" spans="2:10" x14ac:dyDescent="0.25">
      <c r="B127" s="72"/>
      <c r="C127" s="434" t="s">
        <v>1018</v>
      </c>
      <c r="D127" s="435"/>
      <c r="E127" s="109"/>
      <c r="F127" s="162"/>
      <c r="G127" s="75"/>
      <c r="H127" s="76"/>
      <c r="I127" s="130">
        <f t="shared" si="3"/>
        <v>0</v>
      </c>
      <c r="J127" s="110"/>
    </row>
    <row r="128" spans="2:10" x14ac:dyDescent="0.25">
      <c r="B128" s="72"/>
      <c r="C128" s="74"/>
      <c r="D128" s="111"/>
      <c r="E128" s="109"/>
      <c r="F128" s="162"/>
      <c r="G128" s="75"/>
      <c r="H128" s="76"/>
      <c r="I128" s="130">
        <f t="shared" si="3"/>
        <v>0</v>
      </c>
      <c r="J128" s="110"/>
    </row>
    <row r="129" spans="2:10" ht="60.75" customHeight="1" x14ac:dyDescent="0.25">
      <c r="B129" s="179">
        <f>B123+0.01</f>
        <v>15.309999999999993</v>
      </c>
      <c r="C129" s="74"/>
      <c r="D129" s="158" t="s">
        <v>1033</v>
      </c>
      <c r="E129" s="109"/>
      <c r="F129" s="344">
        <v>1</v>
      </c>
      <c r="G129" s="128" t="s">
        <v>582</v>
      </c>
      <c r="H129" s="129"/>
      <c r="I129" s="130">
        <f t="shared" si="3"/>
        <v>0</v>
      </c>
      <c r="J129" s="110"/>
    </row>
    <row r="130" spans="2:10" ht="14.25" customHeight="1" x14ac:dyDescent="0.25">
      <c r="B130" s="72"/>
      <c r="C130" s="74"/>
      <c r="D130" s="111"/>
      <c r="E130" s="109"/>
      <c r="F130" s="162"/>
      <c r="G130" s="75"/>
      <c r="H130" s="76"/>
      <c r="I130" s="130">
        <f t="shared" si="3"/>
        <v>0</v>
      </c>
      <c r="J130" s="110"/>
    </row>
    <row r="131" spans="2:10" ht="28.5" customHeight="1" x14ac:dyDescent="0.25">
      <c r="B131" s="179">
        <f>B129+0.01</f>
        <v>15.319999999999993</v>
      </c>
      <c r="C131" s="74"/>
      <c r="D131" s="158" t="s">
        <v>1034</v>
      </c>
      <c r="E131" s="109"/>
      <c r="F131" s="344">
        <v>1</v>
      </c>
      <c r="G131" s="128" t="s">
        <v>582</v>
      </c>
      <c r="H131" s="129"/>
      <c r="I131" s="130">
        <f t="shared" si="3"/>
        <v>0</v>
      </c>
      <c r="J131" s="110"/>
    </row>
    <row r="132" spans="2:10" x14ac:dyDescent="0.25">
      <c r="B132" s="72"/>
      <c r="C132" s="74"/>
      <c r="D132" s="111"/>
      <c r="E132" s="109"/>
      <c r="F132" s="162"/>
      <c r="G132" s="75"/>
      <c r="H132" s="76"/>
      <c r="I132" s="130">
        <f t="shared" si="3"/>
        <v>0</v>
      </c>
      <c r="J132" s="110"/>
    </row>
    <row r="133" spans="2:10" ht="43.5" customHeight="1" x14ac:dyDescent="0.25">
      <c r="B133" s="72"/>
      <c r="C133" s="437" t="s">
        <v>1031</v>
      </c>
      <c r="D133" s="438"/>
      <c r="E133" s="109"/>
      <c r="F133" s="162"/>
      <c r="G133" s="75"/>
      <c r="H133" s="76"/>
      <c r="I133" s="130">
        <f t="shared" si="3"/>
        <v>0</v>
      </c>
      <c r="J133" s="110"/>
    </row>
    <row r="134" spans="2:10" x14ac:dyDescent="0.25">
      <c r="B134" s="72"/>
      <c r="C134" s="74"/>
      <c r="D134" s="111"/>
      <c r="E134" s="109"/>
      <c r="F134" s="162"/>
      <c r="G134" s="75"/>
      <c r="H134" s="76"/>
      <c r="I134" s="130">
        <f t="shared" si="3"/>
        <v>0</v>
      </c>
      <c r="J134" s="110"/>
    </row>
    <row r="135" spans="2:10" x14ac:dyDescent="0.25">
      <c r="B135" s="72"/>
      <c r="C135" s="434" t="s">
        <v>1035</v>
      </c>
      <c r="D135" s="435"/>
      <c r="E135" s="109"/>
      <c r="F135" s="162"/>
      <c r="G135" s="75"/>
      <c r="H135" s="76"/>
      <c r="I135" s="130">
        <f t="shared" si="3"/>
        <v>0</v>
      </c>
      <c r="J135" s="110"/>
    </row>
    <row r="136" spans="2:10" x14ac:dyDescent="0.25">
      <c r="B136" s="72"/>
      <c r="C136" s="74"/>
      <c r="D136" s="111"/>
      <c r="E136" s="109"/>
      <c r="F136" s="162"/>
      <c r="G136" s="75"/>
      <c r="H136" s="76"/>
      <c r="I136" s="130">
        <f t="shared" si="3"/>
        <v>0</v>
      </c>
      <c r="J136" s="110"/>
    </row>
    <row r="137" spans="2:10" ht="45" x14ac:dyDescent="0.25">
      <c r="B137" s="179">
        <f>B131+0.01</f>
        <v>15.329999999999993</v>
      </c>
      <c r="C137" s="74"/>
      <c r="D137" s="158" t="s">
        <v>1032</v>
      </c>
      <c r="E137" s="109"/>
      <c r="F137" s="344">
        <v>1</v>
      </c>
      <c r="G137" s="128" t="s">
        <v>582</v>
      </c>
      <c r="H137" s="129"/>
      <c r="I137" s="130">
        <f t="shared" si="3"/>
        <v>0</v>
      </c>
      <c r="J137" s="110"/>
    </row>
    <row r="138" spans="2:10" x14ac:dyDescent="0.25">
      <c r="B138" s="72"/>
      <c r="C138" s="74"/>
      <c r="D138" s="111"/>
      <c r="E138" s="109"/>
      <c r="F138" s="162"/>
      <c r="G138" s="75"/>
      <c r="H138" s="76"/>
      <c r="I138" s="130">
        <f t="shared" si="3"/>
        <v>0</v>
      </c>
      <c r="J138" s="110"/>
    </row>
    <row r="139" spans="2:10" ht="47.25" customHeight="1" x14ac:dyDescent="0.25">
      <c r="B139" s="72"/>
      <c r="C139" s="437" t="s">
        <v>1443</v>
      </c>
      <c r="D139" s="438"/>
      <c r="E139" s="109"/>
      <c r="F139" s="162"/>
      <c r="G139" s="75"/>
      <c r="H139" s="76"/>
      <c r="I139" s="130">
        <f t="shared" si="3"/>
        <v>0</v>
      </c>
      <c r="J139" s="110"/>
    </row>
    <row r="140" spans="2:10" x14ac:dyDescent="0.25">
      <c r="B140" s="72"/>
      <c r="C140" s="74"/>
      <c r="D140" s="111"/>
      <c r="E140" s="109"/>
      <c r="F140" s="162"/>
      <c r="G140" s="75"/>
      <c r="H140" s="76"/>
      <c r="I140" s="130">
        <f t="shared" si="3"/>
        <v>0</v>
      </c>
      <c r="J140" s="110"/>
    </row>
    <row r="141" spans="2:10" x14ac:dyDescent="0.25">
      <c r="B141" s="72"/>
      <c r="C141" s="434" t="s">
        <v>1035</v>
      </c>
      <c r="D141" s="435"/>
      <c r="E141" s="109"/>
      <c r="F141" s="162"/>
      <c r="G141" s="75"/>
      <c r="H141" s="76"/>
      <c r="I141" s="130">
        <f t="shared" si="3"/>
        <v>0</v>
      </c>
      <c r="J141" s="110"/>
    </row>
    <row r="142" spans="2:10" x14ac:dyDescent="0.25">
      <c r="B142" s="72"/>
      <c r="C142" s="74"/>
      <c r="D142" s="111"/>
      <c r="E142" s="109"/>
      <c r="F142" s="162"/>
      <c r="G142" s="75"/>
      <c r="H142" s="76"/>
      <c r="I142" s="130">
        <f t="shared" si="3"/>
        <v>0</v>
      </c>
      <c r="J142" s="110"/>
    </row>
    <row r="143" spans="2:10" ht="30" x14ac:dyDescent="0.25">
      <c r="B143" s="179">
        <f>B137+0.01</f>
        <v>15.339999999999993</v>
      </c>
      <c r="C143" s="74"/>
      <c r="D143" s="158" t="s">
        <v>1036</v>
      </c>
      <c r="E143" s="109"/>
      <c r="F143" s="344">
        <v>1</v>
      </c>
      <c r="G143" s="128" t="s">
        <v>582</v>
      </c>
      <c r="H143" s="129"/>
      <c r="I143" s="130">
        <f t="shared" si="3"/>
        <v>0</v>
      </c>
      <c r="J143" s="110"/>
    </row>
    <row r="144" spans="2:10" x14ac:dyDescent="0.25">
      <c r="B144" s="72"/>
      <c r="C144" s="74"/>
      <c r="D144" s="111"/>
      <c r="E144" s="109"/>
      <c r="F144" s="162"/>
      <c r="G144" s="75"/>
      <c r="H144" s="76"/>
      <c r="I144" s="130">
        <f t="shared" si="3"/>
        <v>0</v>
      </c>
      <c r="J144" s="110"/>
    </row>
    <row r="145" spans="2:10" ht="62.25" customHeight="1" x14ac:dyDescent="0.25">
      <c r="B145" s="72"/>
      <c r="C145" s="437" t="s">
        <v>1038</v>
      </c>
      <c r="D145" s="438"/>
      <c r="E145" s="109"/>
      <c r="F145" s="162"/>
      <c r="G145" s="75"/>
      <c r="H145" s="76"/>
      <c r="I145" s="130">
        <f t="shared" si="3"/>
        <v>0</v>
      </c>
      <c r="J145" s="110"/>
    </row>
    <row r="146" spans="2:10" x14ac:dyDescent="0.25">
      <c r="B146" s="72"/>
      <c r="C146" s="74"/>
      <c r="D146" s="111"/>
      <c r="E146" s="109"/>
      <c r="F146" s="162"/>
      <c r="G146" s="75"/>
      <c r="H146" s="76"/>
      <c r="I146" s="130">
        <f t="shared" si="3"/>
        <v>0</v>
      </c>
      <c r="J146" s="110"/>
    </row>
    <row r="147" spans="2:10" x14ac:dyDescent="0.25">
      <c r="B147" s="72"/>
      <c r="C147" s="434" t="s">
        <v>1039</v>
      </c>
      <c r="D147" s="435"/>
      <c r="E147" s="109"/>
      <c r="F147" s="162"/>
      <c r="G147" s="75"/>
      <c r="H147" s="76"/>
      <c r="I147" s="130">
        <f t="shared" si="3"/>
        <v>0</v>
      </c>
      <c r="J147" s="110"/>
    </row>
    <row r="148" spans="2:10" x14ac:dyDescent="0.25">
      <c r="B148" s="72"/>
      <c r="C148" s="74"/>
      <c r="D148" s="111"/>
      <c r="E148" s="109"/>
      <c r="F148" s="162"/>
      <c r="G148" s="75"/>
      <c r="H148" s="76"/>
      <c r="I148" s="130">
        <f t="shared" si="3"/>
        <v>0</v>
      </c>
      <c r="J148" s="110"/>
    </row>
    <row r="149" spans="2:10" ht="30" x14ac:dyDescent="0.25">
      <c r="B149" s="179">
        <f>B143+0.01</f>
        <v>15.349999999999993</v>
      </c>
      <c r="C149" s="74"/>
      <c r="D149" s="158" t="s">
        <v>1037</v>
      </c>
      <c r="E149" s="343">
        <v>2</v>
      </c>
      <c r="F149" s="344">
        <v>2</v>
      </c>
      <c r="G149" s="128" t="s">
        <v>582</v>
      </c>
      <c r="H149" s="129"/>
      <c r="I149" s="130">
        <f t="shared" ref="I149:I187" si="4">F149*H149</f>
        <v>0</v>
      </c>
      <c r="J149" s="110"/>
    </row>
    <row r="150" spans="2:10" x14ac:dyDescent="0.25">
      <c r="B150" s="72"/>
      <c r="C150" s="74"/>
      <c r="D150" s="111"/>
      <c r="E150" s="109"/>
      <c r="F150" s="162"/>
      <c r="G150" s="75"/>
      <c r="H150" s="76"/>
      <c r="I150" s="130">
        <f t="shared" si="4"/>
        <v>0</v>
      </c>
      <c r="J150" s="110"/>
    </row>
    <row r="151" spans="2:10" x14ac:dyDescent="0.25">
      <c r="B151" s="179">
        <f>B149+0.01</f>
        <v>15.359999999999992</v>
      </c>
      <c r="C151" s="74"/>
      <c r="D151" s="158" t="s">
        <v>1040</v>
      </c>
      <c r="E151" s="343">
        <v>12</v>
      </c>
      <c r="F151" s="344">
        <v>12</v>
      </c>
      <c r="G151" s="128" t="s">
        <v>582</v>
      </c>
      <c r="H151" s="129"/>
      <c r="I151" s="130">
        <f t="shared" si="4"/>
        <v>0</v>
      </c>
      <c r="J151" s="110"/>
    </row>
    <row r="152" spans="2:10" x14ac:dyDescent="0.25">
      <c r="B152" s="72"/>
      <c r="C152" s="74"/>
      <c r="D152" s="111"/>
      <c r="E152" s="109"/>
      <c r="F152" s="162"/>
      <c r="G152" s="75"/>
      <c r="H152" s="76"/>
      <c r="I152" s="130">
        <f t="shared" si="4"/>
        <v>0</v>
      </c>
      <c r="J152" s="110"/>
    </row>
    <row r="153" spans="2:10" x14ac:dyDescent="0.25">
      <c r="B153" s="72"/>
      <c r="C153" s="437" t="s">
        <v>788</v>
      </c>
      <c r="D153" s="438"/>
      <c r="E153" s="75"/>
      <c r="F153" s="162"/>
      <c r="G153" s="75"/>
      <c r="H153" s="76"/>
      <c r="I153" s="130">
        <f t="shared" si="4"/>
        <v>0</v>
      </c>
      <c r="J153" s="110"/>
    </row>
    <row r="154" spans="2:10" x14ac:dyDescent="0.25">
      <c r="B154" s="72"/>
      <c r="C154" s="84"/>
      <c r="D154" s="82"/>
      <c r="E154" s="75"/>
      <c r="F154" s="162"/>
      <c r="G154" s="75"/>
      <c r="H154" s="76"/>
      <c r="I154" s="130">
        <f t="shared" si="4"/>
        <v>0</v>
      </c>
      <c r="J154" s="110"/>
    </row>
    <row r="155" spans="2:10" x14ac:dyDescent="0.25">
      <c r="B155" s="164"/>
      <c r="C155" s="422" t="s">
        <v>1388</v>
      </c>
      <c r="D155" s="423"/>
      <c r="E155" s="75"/>
      <c r="F155" s="344"/>
      <c r="G155" s="128"/>
      <c r="H155" s="129"/>
      <c r="I155" s="130">
        <f t="shared" si="4"/>
        <v>0</v>
      </c>
      <c r="J155" s="110"/>
    </row>
    <row r="156" spans="2:10" x14ac:dyDescent="0.25">
      <c r="B156" s="72"/>
      <c r="C156" s="171"/>
      <c r="D156" s="112"/>
      <c r="E156" s="75"/>
      <c r="F156" s="344"/>
      <c r="G156" s="128"/>
      <c r="H156" s="129"/>
      <c r="I156" s="130">
        <f t="shared" si="4"/>
        <v>0</v>
      </c>
      <c r="J156" s="110"/>
    </row>
    <row r="157" spans="2:10" x14ac:dyDescent="0.25">
      <c r="B157" s="172">
        <f>B143+0.01</f>
        <v>15.349999999999993</v>
      </c>
      <c r="C157" s="73"/>
      <c r="D157" s="158" t="s">
        <v>1043</v>
      </c>
      <c r="E157" s="75">
        <v>1</v>
      </c>
      <c r="F157" s="344">
        <v>1</v>
      </c>
      <c r="G157" s="128" t="s">
        <v>582</v>
      </c>
      <c r="H157" s="129"/>
      <c r="I157" s="130">
        <f t="shared" si="4"/>
        <v>0</v>
      </c>
      <c r="J157" s="110"/>
    </row>
    <row r="158" spans="2:10" x14ac:dyDescent="0.25">
      <c r="B158" s="72"/>
      <c r="C158" s="73"/>
      <c r="D158" s="82"/>
      <c r="E158" s="75"/>
      <c r="F158" s="344"/>
      <c r="G158" s="128"/>
      <c r="H158" s="129"/>
      <c r="I158" s="130">
        <f t="shared" si="4"/>
        <v>0</v>
      </c>
      <c r="J158" s="110"/>
    </row>
    <row r="159" spans="2:10" x14ac:dyDescent="0.25">
      <c r="B159" s="179">
        <f>B157+0.01</f>
        <v>15.359999999999992</v>
      </c>
      <c r="C159" s="73"/>
      <c r="D159" s="158" t="s">
        <v>1044</v>
      </c>
      <c r="E159" s="75">
        <v>1</v>
      </c>
      <c r="F159" s="344">
        <v>1</v>
      </c>
      <c r="G159" s="128" t="s">
        <v>582</v>
      </c>
      <c r="H159" s="129"/>
      <c r="I159" s="130">
        <f t="shared" si="4"/>
        <v>0</v>
      </c>
      <c r="J159" s="110"/>
    </row>
    <row r="160" spans="2:10" x14ac:dyDescent="0.25">
      <c r="B160" s="172"/>
      <c r="C160" s="73"/>
      <c r="D160" s="158"/>
      <c r="E160" s="75"/>
      <c r="F160" s="344"/>
      <c r="G160" s="128"/>
      <c r="H160" s="129"/>
      <c r="I160" s="130">
        <f t="shared" si="4"/>
        <v>0</v>
      </c>
      <c r="J160" s="110"/>
    </row>
    <row r="161" spans="2:10" x14ac:dyDescent="0.25">
      <c r="B161" s="179">
        <f>B159+0.01</f>
        <v>15.369999999999992</v>
      </c>
      <c r="C161" s="73"/>
      <c r="D161" s="158" t="s">
        <v>1045</v>
      </c>
      <c r="E161" s="75">
        <v>1</v>
      </c>
      <c r="F161" s="344">
        <v>1</v>
      </c>
      <c r="G161" s="128" t="s">
        <v>582</v>
      </c>
      <c r="H161" s="129"/>
      <c r="I161" s="130">
        <f t="shared" si="4"/>
        <v>0</v>
      </c>
      <c r="J161" s="110"/>
    </row>
    <row r="162" spans="2:10" x14ac:dyDescent="0.25">
      <c r="B162" s="72"/>
      <c r="C162" s="73"/>
      <c r="D162" s="82"/>
      <c r="E162" s="75"/>
      <c r="F162" s="344"/>
      <c r="G162" s="128"/>
      <c r="H162" s="129"/>
      <c r="I162" s="130">
        <f t="shared" si="4"/>
        <v>0</v>
      </c>
      <c r="J162" s="110"/>
    </row>
    <row r="163" spans="2:10" x14ac:dyDescent="0.25">
      <c r="B163" s="164"/>
      <c r="C163" s="418" t="s">
        <v>1046</v>
      </c>
      <c r="D163" s="419"/>
      <c r="E163" s="75"/>
      <c r="F163" s="344"/>
      <c r="G163" s="128"/>
      <c r="H163" s="129"/>
      <c r="I163" s="130">
        <f t="shared" si="4"/>
        <v>0</v>
      </c>
      <c r="J163" s="110"/>
    </row>
    <row r="164" spans="2:10" x14ac:dyDescent="0.25">
      <c r="B164" s="72"/>
      <c r="C164" s="171"/>
      <c r="D164" s="112"/>
      <c r="E164" s="75"/>
      <c r="F164" s="344"/>
      <c r="G164" s="128"/>
      <c r="H164" s="129"/>
      <c r="I164" s="130">
        <f t="shared" si="4"/>
        <v>0</v>
      </c>
      <c r="J164" s="110"/>
    </row>
    <row r="165" spans="2:10" x14ac:dyDescent="0.25">
      <c r="B165" s="172">
        <f>B157+0.01</f>
        <v>15.359999999999992</v>
      </c>
      <c r="C165" s="73"/>
      <c r="D165" s="82" t="s">
        <v>789</v>
      </c>
      <c r="E165" s="128">
        <v>1</v>
      </c>
      <c r="F165" s="344">
        <v>1</v>
      </c>
      <c r="G165" s="128" t="s">
        <v>582</v>
      </c>
      <c r="H165" s="129"/>
      <c r="I165" s="130">
        <f t="shared" si="4"/>
        <v>0</v>
      </c>
      <c r="J165" s="110"/>
    </row>
    <row r="166" spans="2:10" x14ac:dyDescent="0.25">
      <c r="B166" s="72"/>
      <c r="C166" s="73"/>
      <c r="D166" s="82"/>
      <c r="E166" s="75"/>
      <c r="F166" s="344"/>
      <c r="G166" s="128"/>
      <c r="H166" s="129"/>
      <c r="I166" s="130">
        <f t="shared" si="4"/>
        <v>0</v>
      </c>
      <c r="J166" s="110"/>
    </row>
    <row r="167" spans="2:10" x14ac:dyDescent="0.25">
      <c r="B167" s="72"/>
      <c r="C167" s="418" t="s">
        <v>1047</v>
      </c>
      <c r="D167" s="419"/>
      <c r="E167" s="75"/>
      <c r="F167" s="344"/>
      <c r="G167" s="128"/>
      <c r="H167" s="76"/>
      <c r="I167" s="130">
        <f t="shared" si="4"/>
        <v>0</v>
      </c>
      <c r="J167" s="110"/>
    </row>
    <row r="168" spans="2:10" x14ac:dyDescent="0.25">
      <c r="B168" s="72"/>
      <c r="C168" s="171"/>
      <c r="D168" s="112"/>
      <c r="E168" s="75"/>
      <c r="F168" s="162"/>
      <c r="G168" s="75"/>
      <c r="H168" s="76"/>
      <c r="I168" s="130">
        <f t="shared" si="4"/>
        <v>0</v>
      </c>
      <c r="J168" s="110"/>
    </row>
    <row r="169" spans="2:10" x14ac:dyDescent="0.25">
      <c r="B169" s="172">
        <f>B165+0.01</f>
        <v>15.369999999999992</v>
      </c>
      <c r="C169" s="73"/>
      <c r="D169" s="82" t="s">
        <v>789</v>
      </c>
      <c r="E169" s="128">
        <v>2</v>
      </c>
      <c r="F169" s="344">
        <v>2</v>
      </c>
      <c r="G169" s="128" t="s">
        <v>582</v>
      </c>
      <c r="H169" s="76"/>
      <c r="I169" s="130">
        <f t="shared" si="4"/>
        <v>0</v>
      </c>
      <c r="J169" s="110"/>
    </row>
    <row r="170" spans="2:10" x14ac:dyDescent="0.25">
      <c r="B170" s="72"/>
      <c r="C170" s="74"/>
      <c r="D170" s="111"/>
      <c r="E170" s="109"/>
      <c r="F170" s="162"/>
      <c r="G170" s="75"/>
      <c r="H170" s="76"/>
      <c r="I170" s="130">
        <f t="shared" si="4"/>
        <v>0</v>
      </c>
      <c r="J170" s="110"/>
    </row>
    <row r="171" spans="2:10" ht="18" customHeight="1" x14ac:dyDescent="0.25">
      <c r="B171" s="72"/>
      <c r="C171" s="418" t="s">
        <v>1137</v>
      </c>
      <c r="D171" s="419"/>
      <c r="E171" s="75"/>
      <c r="F171" s="344"/>
      <c r="G171" s="128"/>
      <c r="H171" s="76"/>
      <c r="I171" s="130">
        <f t="shared" si="4"/>
        <v>0</v>
      </c>
      <c r="J171" s="110"/>
    </row>
    <row r="172" spans="2:10" x14ac:dyDescent="0.25">
      <c r="B172" s="72"/>
      <c r="C172" s="171"/>
      <c r="D172" s="112"/>
      <c r="E172" s="75"/>
      <c r="F172" s="162"/>
      <c r="G172" s="75"/>
      <c r="H172" s="76"/>
      <c r="I172" s="130">
        <f t="shared" si="4"/>
        <v>0</v>
      </c>
      <c r="J172" s="110"/>
    </row>
    <row r="173" spans="2:10" x14ac:dyDescent="0.25">
      <c r="B173" s="172">
        <f>B169+0.01</f>
        <v>15.379999999999992</v>
      </c>
      <c r="C173" s="73"/>
      <c r="D173" s="82" t="s">
        <v>1048</v>
      </c>
      <c r="E173" s="75">
        <v>2</v>
      </c>
      <c r="F173" s="162">
        <v>2</v>
      </c>
      <c r="G173" s="75" t="s">
        <v>582</v>
      </c>
      <c r="H173" s="76"/>
      <c r="I173" s="130">
        <f t="shared" si="4"/>
        <v>0</v>
      </c>
      <c r="J173" s="110"/>
    </row>
    <row r="174" spans="2:10" x14ac:dyDescent="0.25">
      <c r="B174" s="72"/>
      <c r="C174" s="84"/>
      <c r="D174" s="82"/>
      <c r="E174" s="75"/>
      <c r="F174" s="162"/>
      <c r="G174" s="75"/>
      <c r="H174" s="76"/>
      <c r="I174" s="130">
        <f t="shared" si="4"/>
        <v>0</v>
      </c>
      <c r="J174" s="110"/>
    </row>
    <row r="175" spans="2:10" ht="26.25" customHeight="1" x14ac:dyDescent="0.25">
      <c r="B175" s="72"/>
      <c r="C175" s="418" t="s">
        <v>1049</v>
      </c>
      <c r="D175" s="419"/>
      <c r="E175" s="75"/>
      <c r="F175" s="162"/>
      <c r="G175" s="75"/>
      <c r="H175" s="76"/>
      <c r="I175" s="130">
        <f t="shared" si="4"/>
        <v>0</v>
      </c>
      <c r="J175" s="110"/>
    </row>
    <row r="176" spans="2:10" x14ac:dyDescent="0.25">
      <c r="B176" s="72"/>
      <c r="C176" s="84"/>
      <c r="D176" s="82"/>
      <c r="E176" s="75"/>
      <c r="F176" s="162"/>
      <c r="G176" s="75"/>
      <c r="H176" s="76"/>
      <c r="I176" s="130">
        <f t="shared" si="4"/>
        <v>0</v>
      </c>
      <c r="J176" s="110"/>
    </row>
    <row r="177" spans="2:10" x14ac:dyDescent="0.25">
      <c r="B177" s="164">
        <f>B173+0.01</f>
        <v>15.389999999999992</v>
      </c>
      <c r="C177" s="84"/>
      <c r="D177" s="82" t="s">
        <v>789</v>
      </c>
      <c r="E177" s="75">
        <v>1</v>
      </c>
      <c r="F177" s="162">
        <v>1</v>
      </c>
      <c r="G177" s="75" t="s">
        <v>582</v>
      </c>
      <c r="H177" s="76"/>
      <c r="I177" s="130">
        <f t="shared" si="4"/>
        <v>0</v>
      </c>
      <c r="J177" s="110"/>
    </row>
    <row r="178" spans="2:10" x14ac:dyDescent="0.25">
      <c r="B178" s="72"/>
      <c r="C178" s="84"/>
      <c r="D178" s="82"/>
      <c r="E178" s="75"/>
      <c r="F178" s="162"/>
      <c r="G178" s="75"/>
      <c r="H178" s="76"/>
      <c r="I178" s="130">
        <f t="shared" si="4"/>
        <v>0</v>
      </c>
      <c r="J178" s="110"/>
    </row>
    <row r="179" spans="2:10" ht="32.25" customHeight="1" x14ac:dyDescent="0.25">
      <c r="B179" s="72"/>
      <c r="C179" s="418" t="s">
        <v>1050</v>
      </c>
      <c r="D179" s="419"/>
      <c r="E179" s="75"/>
      <c r="F179" s="162"/>
      <c r="G179" s="75"/>
      <c r="H179" s="76"/>
      <c r="I179" s="130">
        <f t="shared" si="4"/>
        <v>0</v>
      </c>
      <c r="J179" s="110"/>
    </row>
    <row r="180" spans="2:10" x14ac:dyDescent="0.25">
      <c r="B180" s="72"/>
      <c r="C180" s="84"/>
      <c r="D180" s="82"/>
      <c r="E180" s="75"/>
      <c r="F180" s="162"/>
      <c r="G180" s="75"/>
      <c r="H180" s="76"/>
      <c r="I180" s="130">
        <f t="shared" si="4"/>
        <v>0</v>
      </c>
      <c r="J180" s="110"/>
    </row>
    <row r="181" spans="2:10" x14ac:dyDescent="0.25">
      <c r="B181" s="179">
        <f>B177+0.01</f>
        <v>15.399999999999991</v>
      </c>
      <c r="C181" s="84"/>
      <c r="D181" s="82" t="s">
        <v>789</v>
      </c>
      <c r="E181" s="75">
        <v>2</v>
      </c>
      <c r="F181" s="162">
        <v>2</v>
      </c>
      <c r="G181" s="75" t="s">
        <v>582</v>
      </c>
      <c r="H181" s="76"/>
      <c r="I181" s="130">
        <f t="shared" si="4"/>
        <v>0</v>
      </c>
      <c r="J181" s="110"/>
    </row>
    <row r="182" spans="2:10" x14ac:dyDescent="0.25">
      <c r="B182" s="72"/>
      <c r="C182" s="74"/>
      <c r="D182" s="111"/>
      <c r="E182" s="109"/>
      <c r="F182" s="162"/>
      <c r="G182" s="75"/>
      <c r="H182" s="76"/>
      <c r="I182" s="130">
        <f t="shared" si="4"/>
        <v>0</v>
      </c>
      <c r="J182" s="110"/>
    </row>
    <row r="183" spans="2:10" x14ac:dyDescent="0.25">
      <c r="B183" s="72"/>
      <c r="C183" s="418" t="s">
        <v>1051</v>
      </c>
      <c r="D183" s="419"/>
      <c r="E183" s="75"/>
      <c r="F183" s="344"/>
      <c r="G183" s="128"/>
      <c r="H183" s="76"/>
      <c r="I183" s="130">
        <f t="shared" si="4"/>
        <v>0</v>
      </c>
      <c r="J183" s="110"/>
    </row>
    <row r="184" spans="2:10" x14ac:dyDescent="0.25">
      <c r="B184" s="72"/>
      <c r="C184" s="171"/>
      <c r="D184" s="112"/>
      <c r="E184" s="75"/>
      <c r="F184" s="162"/>
      <c r="G184" s="75"/>
      <c r="H184" s="76"/>
      <c r="I184" s="130">
        <f t="shared" si="4"/>
        <v>0</v>
      </c>
      <c r="J184" s="110"/>
    </row>
    <row r="185" spans="2:10" x14ac:dyDescent="0.25">
      <c r="B185" s="172">
        <f>B181+0.01</f>
        <v>15.409999999999991</v>
      </c>
      <c r="C185" s="73"/>
      <c r="D185" s="82" t="s">
        <v>789</v>
      </c>
      <c r="E185" s="75">
        <v>2</v>
      </c>
      <c r="F185" s="162">
        <v>2</v>
      </c>
      <c r="G185" s="75" t="s">
        <v>582</v>
      </c>
      <c r="H185" s="76"/>
      <c r="I185" s="130">
        <f t="shared" si="4"/>
        <v>0</v>
      </c>
      <c r="J185" s="110"/>
    </row>
    <row r="186" spans="2:10" x14ac:dyDescent="0.25">
      <c r="B186" s="72"/>
      <c r="C186" s="74"/>
      <c r="D186" s="111"/>
      <c r="E186" s="109"/>
      <c r="F186" s="162"/>
      <c r="G186" s="75"/>
      <c r="H186" s="76"/>
      <c r="I186" s="130">
        <f t="shared" si="4"/>
        <v>0</v>
      </c>
      <c r="J186" s="110"/>
    </row>
    <row r="187" spans="2:10" x14ac:dyDescent="0.25">
      <c r="B187" s="72"/>
      <c r="C187" s="74"/>
      <c r="D187" s="111"/>
      <c r="E187" s="109"/>
      <c r="F187" s="162"/>
      <c r="G187" s="75"/>
      <c r="H187" s="76"/>
      <c r="I187" s="130">
        <f t="shared" si="4"/>
        <v>0</v>
      </c>
      <c r="J187" s="110"/>
    </row>
    <row r="188" spans="2:10" x14ac:dyDescent="0.25">
      <c r="B188" s="77"/>
      <c r="C188" s="73" t="s">
        <v>549</v>
      </c>
      <c r="D188" s="160"/>
      <c r="E188" s="161"/>
      <c r="F188" s="161"/>
      <c r="G188" s="78"/>
      <c r="H188" s="79"/>
      <c r="I188" s="130">
        <f t="shared" ref="I188:I212" si="5">F188*H188</f>
        <v>0</v>
      </c>
      <c r="J188" s="110"/>
    </row>
    <row r="189" spans="2:10" x14ac:dyDescent="0.25">
      <c r="B189" s="77"/>
      <c r="C189" s="74"/>
      <c r="D189" s="160"/>
      <c r="E189" s="161"/>
      <c r="F189" s="161"/>
      <c r="G189" s="78"/>
      <c r="H189" s="79"/>
      <c r="I189" s="130">
        <f t="shared" si="5"/>
        <v>0</v>
      </c>
      <c r="J189" s="110"/>
    </row>
    <row r="190" spans="2:10" x14ac:dyDescent="0.25">
      <c r="B190" s="77"/>
      <c r="C190" s="159" t="s">
        <v>550</v>
      </c>
      <c r="D190" s="160"/>
      <c r="E190" s="161"/>
      <c r="F190" s="161"/>
      <c r="G190" s="78"/>
      <c r="H190" s="79"/>
      <c r="I190" s="130">
        <f t="shared" si="5"/>
        <v>0</v>
      </c>
      <c r="J190" s="110"/>
    </row>
    <row r="191" spans="2:10" x14ac:dyDescent="0.25">
      <c r="B191" s="77"/>
      <c r="C191" s="74"/>
      <c r="D191" s="160"/>
      <c r="E191" s="161"/>
      <c r="F191" s="161"/>
      <c r="G191" s="78"/>
      <c r="H191" s="79"/>
      <c r="I191" s="130">
        <f t="shared" si="5"/>
        <v>0</v>
      </c>
      <c r="J191" s="110"/>
    </row>
    <row r="192" spans="2:10" x14ac:dyDescent="0.25">
      <c r="B192" s="77"/>
      <c r="C192" s="74" t="s">
        <v>551</v>
      </c>
      <c r="D192" s="160"/>
      <c r="E192" s="161"/>
      <c r="F192" s="161"/>
      <c r="G192" s="78"/>
      <c r="H192" s="79"/>
      <c r="I192" s="130">
        <f t="shared" si="5"/>
        <v>0</v>
      </c>
      <c r="J192" s="110"/>
    </row>
    <row r="193" spans="2:10" x14ac:dyDescent="0.25">
      <c r="B193" s="77"/>
      <c r="C193" s="74"/>
      <c r="D193" s="160"/>
      <c r="E193" s="161"/>
      <c r="F193" s="161"/>
      <c r="G193" s="78"/>
      <c r="H193" s="79"/>
      <c r="I193" s="130">
        <f t="shared" si="5"/>
        <v>0</v>
      </c>
      <c r="J193" s="110"/>
    </row>
    <row r="194" spans="2:10" x14ac:dyDescent="0.25">
      <c r="B194" s="173">
        <f>B151+0.01</f>
        <v>15.369999999999992</v>
      </c>
      <c r="C194" s="74"/>
      <c r="D194" s="112" t="s">
        <v>527</v>
      </c>
      <c r="E194" s="162"/>
      <c r="F194" s="162">
        <v>1</v>
      </c>
      <c r="G194" s="75" t="s">
        <v>528</v>
      </c>
      <c r="H194" s="76"/>
      <c r="I194" s="130">
        <f t="shared" si="5"/>
        <v>0</v>
      </c>
      <c r="J194" s="110"/>
    </row>
    <row r="195" spans="2:10" x14ac:dyDescent="0.25">
      <c r="B195" s="77"/>
      <c r="C195" s="74"/>
      <c r="D195" s="160"/>
      <c r="E195" s="161"/>
      <c r="F195" s="161"/>
      <c r="G195" s="78"/>
      <c r="H195" s="79"/>
      <c r="I195" s="130">
        <f t="shared" si="5"/>
        <v>0</v>
      </c>
      <c r="J195" s="110"/>
    </row>
    <row r="196" spans="2:10" ht="15.75" x14ac:dyDescent="0.25">
      <c r="B196" s="77"/>
      <c r="C196" s="432" t="s">
        <v>634</v>
      </c>
      <c r="D196" s="433"/>
      <c r="E196" s="161"/>
      <c r="F196" s="161"/>
      <c r="G196" s="78"/>
      <c r="H196" s="79"/>
      <c r="I196" s="130">
        <f t="shared" si="5"/>
        <v>0</v>
      </c>
      <c r="J196" s="110"/>
    </row>
    <row r="197" spans="2:10" x14ac:dyDescent="0.25">
      <c r="B197" s="77"/>
      <c r="C197" s="74"/>
      <c r="D197" s="160"/>
      <c r="E197" s="161"/>
      <c r="F197" s="161"/>
      <c r="G197" s="78"/>
      <c r="H197" s="79"/>
      <c r="I197" s="130">
        <f t="shared" si="5"/>
        <v>0</v>
      </c>
      <c r="J197" s="110"/>
    </row>
    <row r="198" spans="2:10" ht="30.75" customHeight="1" x14ac:dyDescent="0.25">
      <c r="B198" s="77"/>
      <c r="C198" s="418" t="s">
        <v>650</v>
      </c>
      <c r="D198" s="419"/>
      <c r="E198" s="161"/>
      <c r="F198" s="161"/>
      <c r="G198" s="78"/>
      <c r="H198" s="79"/>
      <c r="I198" s="130">
        <f t="shared" si="5"/>
        <v>0</v>
      </c>
      <c r="J198" s="110"/>
    </row>
    <row r="199" spans="2:10" x14ac:dyDescent="0.25">
      <c r="B199" s="77"/>
      <c r="C199" s="74"/>
      <c r="D199" s="160"/>
      <c r="E199" s="161"/>
      <c r="F199" s="161"/>
      <c r="G199" s="78"/>
      <c r="H199" s="79"/>
      <c r="I199" s="130">
        <f t="shared" si="5"/>
        <v>0</v>
      </c>
      <c r="J199" s="110"/>
    </row>
    <row r="200" spans="2:10" x14ac:dyDescent="0.25">
      <c r="B200" s="172">
        <f>B194+0.01</f>
        <v>15.379999999999992</v>
      </c>
      <c r="C200" s="74"/>
      <c r="D200" s="112" t="s">
        <v>527</v>
      </c>
      <c r="E200" s="162"/>
      <c r="F200" s="162">
        <v>1</v>
      </c>
      <c r="G200" s="75" t="s">
        <v>528</v>
      </c>
      <c r="H200" s="76"/>
      <c r="I200" s="130">
        <f t="shared" si="5"/>
        <v>0</v>
      </c>
      <c r="J200" s="110"/>
    </row>
    <row r="201" spans="2:10" x14ac:dyDescent="0.25">
      <c r="B201" s="77"/>
      <c r="C201" s="74"/>
      <c r="D201" s="160"/>
      <c r="E201" s="161"/>
      <c r="F201" s="161"/>
      <c r="G201" s="78"/>
      <c r="H201" s="79"/>
      <c r="I201" s="130">
        <f t="shared" si="5"/>
        <v>0</v>
      </c>
      <c r="J201" s="110"/>
    </row>
    <row r="202" spans="2:10" x14ac:dyDescent="0.25">
      <c r="B202" s="77"/>
      <c r="C202" s="159" t="s">
        <v>556</v>
      </c>
      <c r="D202" s="160"/>
      <c r="E202" s="161"/>
      <c r="F202" s="161"/>
      <c r="G202" s="78"/>
      <c r="H202" s="79"/>
      <c r="I202" s="130">
        <f t="shared" si="5"/>
        <v>0</v>
      </c>
      <c r="J202" s="110"/>
    </row>
    <row r="203" spans="2:10" x14ac:dyDescent="0.25">
      <c r="B203" s="77"/>
      <c r="C203" s="74"/>
      <c r="D203" s="160"/>
      <c r="E203" s="161"/>
      <c r="F203" s="161"/>
      <c r="G203" s="78"/>
      <c r="H203" s="79"/>
      <c r="I203" s="130">
        <f t="shared" si="5"/>
        <v>0</v>
      </c>
      <c r="J203" s="110"/>
    </row>
    <row r="204" spans="2:10" ht="28.5" customHeight="1" x14ac:dyDescent="0.25">
      <c r="B204" s="77"/>
      <c r="C204" s="420" t="s">
        <v>557</v>
      </c>
      <c r="D204" s="421"/>
      <c r="E204" s="161"/>
      <c r="F204" s="161"/>
      <c r="G204" s="78"/>
      <c r="H204" s="79"/>
      <c r="I204" s="130">
        <f t="shared" si="5"/>
        <v>0</v>
      </c>
      <c r="J204" s="110"/>
    </row>
    <row r="205" spans="2:10" x14ac:dyDescent="0.25">
      <c r="B205" s="77"/>
      <c r="C205" s="170"/>
      <c r="D205" s="158"/>
      <c r="E205" s="161"/>
      <c r="F205" s="161"/>
      <c r="G205" s="78"/>
      <c r="H205" s="79"/>
      <c r="I205" s="130">
        <f t="shared" si="5"/>
        <v>0</v>
      </c>
      <c r="J205" s="110"/>
    </row>
    <row r="206" spans="2:10" x14ac:dyDescent="0.25">
      <c r="B206" s="173">
        <f>B200+0.01</f>
        <v>15.389999999999992</v>
      </c>
      <c r="C206" s="74"/>
      <c r="D206" s="112" t="s">
        <v>527</v>
      </c>
      <c r="E206" s="162"/>
      <c r="F206" s="162">
        <v>1</v>
      </c>
      <c r="G206" s="75" t="s">
        <v>528</v>
      </c>
      <c r="H206" s="76"/>
      <c r="I206" s="130">
        <f t="shared" si="5"/>
        <v>0</v>
      </c>
      <c r="J206" s="110"/>
    </row>
    <row r="207" spans="2:10" x14ac:dyDescent="0.25">
      <c r="B207" s="77"/>
      <c r="C207" s="74"/>
      <c r="D207" s="160"/>
      <c r="E207" s="161"/>
      <c r="F207" s="161"/>
      <c r="G207" s="78"/>
      <c r="H207" s="79"/>
      <c r="I207" s="130">
        <f t="shared" si="5"/>
        <v>0</v>
      </c>
      <c r="J207" s="110"/>
    </row>
    <row r="208" spans="2:10" x14ac:dyDescent="0.25">
      <c r="B208" s="72"/>
      <c r="C208" s="159" t="s">
        <v>529</v>
      </c>
      <c r="D208" s="82"/>
      <c r="E208" s="75"/>
      <c r="F208" s="162"/>
      <c r="G208" s="75"/>
      <c r="H208" s="122"/>
      <c r="I208" s="130">
        <f t="shared" si="5"/>
        <v>0</v>
      </c>
      <c r="J208" s="110"/>
    </row>
    <row r="209" spans="2:10" x14ac:dyDescent="0.25">
      <c r="B209" s="72"/>
      <c r="C209" s="74"/>
      <c r="D209" s="82"/>
      <c r="E209" s="75"/>
      <c r="F209" s="162"/>
      <c r="G209" s="75"/>
      <c r="H209" s="122"/>
      <c r="I209" s="130">
        <f t="shared" si="5"/>
        <v>0</v>
      </c>
      <c r="J209" s="110"/>
    </row>
    <row r="210" spans="2:10" ht="27.75" customHeight="1" x14ac:dyDescent="0.25">
      <c r="B210" s="72"/>
      <c r="C210" s="422" t="s">
        <v>629</v>
      </c>
      <c r="D210" s="423"/>
      <c r="E210" s="75"/>
      <c r="F210" s="162"/>
      <c r="G210" s="75"/>
      <c r="H210" s="122"/>
      <c r="I210" s="130">
        <f t="shared" si="5"/>
        <v>0</v>
      </c>
      <c r="J210" s="110"/>
    </row>
    <row r="211" spans="2:10" x14ac:dyDescent="0.25">
      <c r="B211" s="72"/>
      <c r="C211" s="165"/>
      <c r="D211" s="82"/>
      <c r="E211" s="75"/>
      <c r="F211" s="162"/>
      <c r="G211" s="75"/>
      <c r="H211" s="122"/>
      <c r="I211" s="130">
        <f t="shared" si="5"/>
        <v>0</v>
      </c>
      <c r="J211" s="110"/>
    </row>
    <row r="212" spans="2:10" x14ac:dyDescent="0.25">
      <c r="B212" s="172">
        <f>B206+0.01</f>
        <v>15.399999999999991</v>
      </c>
      <c r="C212" s="74"/>
      <c r="D212" s="155" t="s">
        <v>527</v>
      </c>
      <c r="E212" s="154"/>
      <c r="F212" s="390">
        <v>1</v>
      </c>
      <c r="G212" s="75" t="s">
        <v>528</v>
      </c>
      <c r="H212" s="122"/>
      <c r="I212" s="130">
        <f t="shared" si="5"/>
        <v>0</v>
      </c>
      <c r="J212" s="110"/>
    </row>
    <row r="213" spans="2:10" x14ac:dyDescent="0.25">
      <c r="B213" s="72"/>
      <c r="C213" s="74"/>
      <c r="D213" s="111"/>
      <c r="E213" s="109"/>
      <c r="F213" s="162"/>
      <c r="G213" s="75"/>
      <c r="H213" s="76"/>
      <c r="I213" s="130"/>
      <c r="J213" s="110"/>
    </row>
    <row r="214" spans="2:10" ht="15.75" thickBot="1" x14ac:dyDescent="0.3">
      <c r="B214" s="85"/>
      <c r="C214" s="86"/>
      <c r="D214" s="87"/>
      <c r="E214" s="88"/>
      <c r="F214" s="391"/>
      <c r="G214" s="88"/>
      <c r="H214" s="89"/>
      <c r="I214" s="76" t="str">
        <f t="shared" si="0"/>
        <v/>
      </c>
    </row>
    <row r="215" spans="2:10" ht="30.75" customHeight="1" thickBot="1" x14ac:dyDescent="0.3">
      <c r="D215" s="367" t="s">
        <v>1064</v>
      </c>
      <c r="E215" s="109"/>
      <c r="F215" s="109"/>
      <c r="G215" s="75"/>
      <c r="H215" s="382"/>
      <c r="I215" s="124">
        <f>SUM(I81:I214)</f>
        <v>0</v>
      </c>
    </row>
  </sheetData>
  <mergeCells count="44">
    <mergeCell ref="C147:D147"/>
    <mergeCell ref="C196:D196"/>
    <mergeCell ref="C198:D198"/>
    <mergeCell ref="C204:D204"/>
    <mergeCell ref="C210:D210"/>
    <mergeCell ref="C153:D153"/>
    <mergeCell ref="C155:D155"/>
    <mergeCell ref="C163:D163"/>
    <mergeCell ref="C167:D167"/>
    <mergeCell ref="C171:D171"/>
    <mergeCell ref="C175:D175"/>
    <mergeCell ref="C179:D179"/>
    <mergeCell ref="C183:D183"/>
    <mergeCell ref="C133:D133"/>
    <mergeCell ref="C135:D135"/>
    <mergeCell ref="C139:D139"/>
    <mergeCell ref="C141:D141"/>
    <mergeCell ref="C145:D145"/>
    <mergeCell ref="C107:D107"/>
    <mergeCell ref="C83:D83"/>
    <mergeCell ref="C109:D109"/>
    <mergeCell ref="C125:D125"/>
    <mergeCell ref="C127:D127"/>
    <mergeCell ref="C77:D77"/>
    <mergeCell ref="C79:D79"/>
    <mergeCell ref="C81:D81"/>
    <mergeCell ref="C10:D10"/>
    <mergeCell ref="C57:D57"/>
    <mergeCell ref="C59:D59"/>
    <mergeCell ref="C65:D65"/>
    <mergeCell ref="C71:D71"/>
    <mergeCell ref="C44:D44"/>
    <mergeCell ref="C20:D20"/>
    <mergeCell ref="C24:D24"/>
    <mergeCell ref="C28:D28"/>
    <mergeCell ref="C32:D32"/>
    <mergeCell ref="C40:D40"/>
    <mergeCell ref="C36:D36"/>
    <mergeCell ref="C6:D6"/>
    <mergeCell ref="C7:D7"/>
    <mergeCell ref="C8:D8"/>
    <mergeCell ref="C9:D9"/>
    <mergeCell ref="C16:D16"/>
    <mergeCell ref="C14:D14"/>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F9DB-5564-4DE1-ADC2-9DCF42573103}">
  <sheetPr>
    <pageSetUpPr fitToPage="1"/>
  </sheetPr>
  <dimension ref="B1:O203"/>
  <sheetViews>
    <sheetView topLeftCell="A188" zoomScale="80" zoomScaleNormal="80" workbookViewId="0">
      <selection activeCell="B2" sqref="B2:J3"/>
    </sheetView>
  </sheetViews>
  <sheetFormatPr defaultColWidth="9.140625" defaultRowHeight="15" x14ac:dyDescent="0.25"/>
  <cols>
    <col min="1" max="1" width="3" style="71" customWidth="1"/>
    <col min="2" max="2" width="9.5703125" style="71" customWidth="1"/>
    <col min="3" max="3" width="4.5703125" style="71" customWidth="1"/>
    <col min="4" max="4" width="67" style="71" customWidth="1"/>
    <col min="5" max="5" width="9.5703125" style="90" customWidth="1"/>
    <col min="6" max="6" width="9.140625" style="91"/>
    <col min="7" max="7" width="9" style="71" customWidth="1"/>
    <col min="8" max="8" width="14.42578125" style="71" customWidth="1"/>
    <col min="9" max="9" width="10.85546875" style="71" customWidth="1"/>
    <col min="10" max="10" width="16.140625" style="71" customWidth="1"/>
    <col min="11" max="11" width="10.140625" style="71" bestFit="1" customWidth="1"/>
    <col min="12" max="16384" width="9.140625" style="71"/>
  </cols>
  <sheetData>
    <row r="1" spans="2:15" ht="15.75" thickBot="1" x14ac:dyDescent="0.3"/>
    <row r="2" spans="2:15" ht="34.5" customHeight="1" x14ac:dyDescent="0.25">
      <c r="B2" s="12" t="str">
        <f>Drs!B2</f>
        <v>Todmorden Bandstand Refurbishment &amp; Bowls Pavilion New Build</v>
      </c>
      <c r="C2" s="95"/>
      <c r="D2" s="95"/>
      <c r="E2" s="96"/>
      <c r="F2" s="96"/>
      <c r="G2" s="95"/>
      <c r="H2" s="95"/>
      <c r="I2" s="95"/>
      <c r="J2" s="97"/>
    </row>
    <row r="3" spans="2:15" ht="30" customHeight="1" x14ac:dyDescent="0.25">
      <c r="B3" s="73" t="str">
        <f>+[1]Summary!B3</f>
        <v>Tender Document</v>
      </c>
      <c r="C3" s="83"/>
      <c r="D3" s="83"/>
      <c r="E3" s="91"/>
      <c r="F3" s="98"/>
      <c r="G3" s="99" t="str">
        <f>[1]Summary!D27</f>
        <v>Mechanical &amp; Electrical Services</v>
      </c>
      <c r="H3" s="99"/>
      <c r="I3" s="99"/>
      <c r="J3" s="100">
        <f>Fittings!I3</f>
        <v>45614</v>
      </c>
    </row>
    <row r="4" spans="2:15" ht="13.5" customHeight="1" thickBot="1" x14ac:dyDescent="0.3">
      <c r="B4" s="86">
        <v>16</v>
      </c>
      <c r="C4" s="101"/>
      <c r="D4" s="101"/>
      <c r="E4" s="102"/>
      <c r="F4" s="102"/>
      <c r="G4" s="101"/>
      <c r="H4" s="102" t="s">
        <v>667</v>
      </c>
      <c r="I4" s="101"/>
      <c r="J4" s="392" t="s">
        <v>1052</v>
      </c>
    </row>
    <row r="5" spans="2:15" ht="23.25" customHeight="1" thickBot="1" x14ac:dyDescent="0.3">
      <c r="B5" s="106" t="s">
        <v>528</v>
      </c>
      <c r="C5" s="106"/>
      <c r="D5" s="106" t="s">
        <v>530</v>
      </c>
      <c r="E5" s="106" t="s">
        <v>1</v>
      </c>
      <c r="F5" s="107" t="s">
        <v>2</v>
      </c>
      <c r="G5" s="104" t="s">
        <v>3</v>
      </c>
      <c r="H5" s="105" t="s">
        <v>5</v>
      </c>
      <c r="I5" s="104" t="s">
        <v>3</v>
      </c>
      <c r="J5" s="105" t="s">
        <v>5</v>
      </c>
    </row>
    <row r="6" spans="2:15" x14ac:dyDescent="0.25">
      <c r="B6" s="72"/>
      <c r="C6" s="73"/>
      <c r="D6" s="82"/>
      <c r="E6" s="75"/>
      <c r="F6" s="75"/>
      <c r="G6" s="76"/>
      <c r="H6" s="76"/>
      <c r="I6" s="76"/>
      <c r="J6" s="76" t="str">
        <f t="shared" ref="J6" si="0">IF(G6="","",G6*E6)</f>
        <v/>
      </c>
    </row>
    <row r="7" spans="2:15" ht="34.5" customHeight="1" x14ac:dyDescent="0.25">
      <c r="B7" s="72"/>
      <c r="C7" s="420" t="s">
        <v>560</v>
      </c>
      <c r="D7" s="421"/>
      <c r="E7" s="75"/>
      <c r="F7" s="75"/>
      <c r="G7" s="76"/>
      <c r="H7" s="76"/>
      <c r="I7" s="76"/>
      <c r="J7" s="76"/>
    </row>
    <row r="8" spans="2:15" ht="59.45" customHeight="1" x14ac:dyDescent="0.3">
      <c r="B8" s="137"/>
      <c r="C8" s="422" t="s">
        <v>526</v>
      </c>
      <c r="D8" s="423"/>
      <c r="E8" s="132"/>
      <c r="F8" s="132"/>
      <c r="G8" s="133"/>
      <c r="H8" s="133"/>
      <c r="I8" s="133"/>
      <c r="J8" s="133"/>
    </row>
    <row r="9" spans="2:15" ht="52.5" customHeight="1" x14ac:dyDescent="0.3">
      <c r="B9" s="137"/>
      <c r="C9" s="422" t="s">
        <v>575</v>
      </c>
      <c r="D9" s="423"/>
      <c r="E9" s="132"/>
      <c r="F9" s="132"/>
      <c r="G9" s="133"/>
      <c r="H9" s="133"/>
      <c r="I9" s="133"/>
      <c r="J9" s="133"/>
    </row>
    <row r="10" spans="2:15" ht="16.5" x14ac:dyDescent="0.3">
      <c r="B10" s="137"/>
      <c r="C10" s="73"/>
      <c r="D10" s="82"/>
      <c r="E10" s="132"/>
      <c r="F10" s="132"/>
      <c r="G10" s="133"/>
      <c r="H10" s="133"/>
      <c r="I10" s="133"/>
      <c r="J10" s="133"/>
    </row>
    <row r="11" spans="2:15" ht="16.5" x14ac:dyDescent="0.3">
      <c r="B11" s="137"/>
      <c r="C11" s="73"/>
      <c r="D11" s="82"/>
      <c r="E11" s="132"/>
      <c r="F11" s="132"/>
      <c r="G11" s="133"/>
      <c r="H11" s="133"/>
      <c r="I11" s="133"/>
      <c r="J11" s="133"/>
    </row>
    <row r="12" spans="2:15" ht="16.5" customHeight="1" x14ac:dyDescent="0.3">
      <c r="B12" s="137"/>
      <c r="C12" s="84" t="s">
        <v>531</v>
      </c>
      <c r="D12" s="112"/>
      <c r="E12" s="132"/>
      <c r="F12" s="132"/>
      <c r="G12" s="133"/>
      <c r="H12" s="133"/>
      <c r="I12" s="133"/>
      <c r="J12" s="133"/>
      <c r="L12" s="142"/>
      <c r="M12" s="180"/>
      <c r="N12" s="136"/>
      <c r="O12" s="134"/>
    </row>
    <row r="13" spans="2:15" ht="16.5" customHeight="1" x14ac:dyDescent="0.3">
      <c r="B13" s="137"/>
      <c r="C13" s="74" t="s">
        <v>587</v>
      </c>
      <c r="D13" s="112"/>
      <c r="E13" s="132"/>
      <c r="F13" s="132"/>
      <c r="G13" s="133"/>
      <c r="H13" s="133"/>
      <c r="I13" s="133"/>
      <c r="J13" s="133"/>
      <c r="L13" s="142"/>
      <c r="M13" s="180"/>
      <c r="N13" s="136"/>
      <c r="O13" s="134"/>
    </row>
    <row r="14" spans="2:15" ht="16.5" customHeight="1" x14ac:dyDescent="0.3">
      <c r="B14" s="137"/>
      <c r="C14" s="84"/>
      <c r="D14" s="112"/>
      <c r="E14" s="132"/>
      <c r="F14" s="132"/>
      <c r="G14" s="133"/>
      <c r="H14" s="133"/>
      <c r="I14" s="133"/>
      <c r="J14" s="133"/>
      <c r="L14" s="142"/>
      <c r="M14" s="180"/>
      <c r="N14" s="136"/>
      <c r="O14" s="134"/>
    </row>
    <row r="15" spans="2:15" ht="18.75" customHeight="1" x14ac:dyDescent="0.3">
      <c r="B15" s="137">
        <f>B4+0.01</f>
        <v>16.010000000000002</v>
      </c>
      <c r="C15" s="422" t="s">
        <v>635</v>
      </c>
      <c r="D15" s="423"/>
      <c r="E15" s="181">
        <v>1</v>
      </c>
      <c r="F15" s="181" t="s">
        <v>528</v>
      </c>
      <c r="G15" s="133"/>
      <c r="H15" s="139">
        <f>E15*G15</f>
        <v>0</v>
      </c>
      <c r="I15" s="133"/>
      <c r="J15" s="182">
        <f>E15*I15</f>
        <v>0</v>
      </c>
      <c r="L15" s="142"/>
      <c r="M15" s="180"/>
      <c r="N15" s="136"/>
      <c r="O15" s="134"/>
    </row>
    <row r="16" spans="2:15" ht="18" customHeight="1" x14ac:dyDescent="0.3">
      <c r="B16" s="137"/>
      <c r="C16" s="73"/>
      <c r="D16" s="158"/>
      <c r="E16" s="181"/>
      <c r="F16" s="181"/>
      <c r="G16" s="183"/>
      <c r="H16" s="139">
        <f t="shared" ref="H16:H46" si="1">E16*G16</f>
        <v>0</v>
      </c>
      <c r="I16" s="133"/>
      <c r="J16" s="182">
        <f t="shared" ref="J16:J46" si="2">E16*I16</f>
        <v>0</v>
      </c>
      <c r="L16" s="142"/>
      <c r="M16" s="180"/>
      <c r="N16" s="136"/>
      <c r="O16" s="134"/>
    </row>
    <row r="17" spans="2:15" ht="16.5" customHeight="1" x14ac:dyDescent="0.3">
      <c r="B17" s="137">
        <f>B15+0.01</f>
        <v>16.020000000000003</v>
      </c>
      <c r="C17" s="422" t="s">
        <v>588</v>
      </c>
      <c r="D17" s="423"/>
      <c r="E17" s="181">
        <v>1</v>
      </c>
      <c r="F17" s="181" t="s">
        <v>528</v>
      </c>
      <c r="G17" s="133"/>
      <c r="H17" s="139">
        <f t="shared" si="1"/>
        <v>0</v>
      </c>
      <c r="I17" s="133"/>
      <c r="J17" s="182">
        <f t="shared" si="2"/>
        <v>0</v>
      </c>
      <c r="L17" s="142"/>
      <c r="M17" s="180"/>
      <c r="N17" s="136"/>
      <c r="O17" s="134"/>
    </row>
    <row r="18" spans="2:15" ht="16.5" customHeight="1" x14ac:dyDescent="0.3">
      <c r="B18" s="137"/>
      <c r="C18" s="73"/>
      <c r="D18" s="158"/>
      <c r="E18" s="181"/>
      <c r="F18" s="181"/>
      <c r="G18" s="183"/>
      <c r="H18" s="139">
        <f t="shared" si="1"/>
        <v>0</v>
      </c>
      <c r="I18" s="133"/>
      <c r="J18" s="182">
        <f t="shared" si="2"/>
        <v>0</v>
      </c>
      <c r="L18" s="142"/>
      <c r="M18" s="180"/>
      <c r="N18" s="136"/>
      <c r="O18" s="134"/>
    </row>
    <row r="19" spans="2:15" ht="16.5" customHeight="1" x14ac:dyDescent="0.3">
      <c r="B19" s="137"/>
      <c r="C19" s="422" t="s">
        <v>589</v>
      </c>
      <c r="D19" s="423"/>
      <c r="E19" s="132"/>
      <c r="F19" s="132"/>
      <c r="G19" s="133"/>
      <c r="H19" s="139">
        <f t="shared" si="1"/>
        <v>0</v>
      </c>
      <c r="I19" s="133"/>
      <c r="J19" s="182">
        <f t="shared" si="2"/>
        <v>0</v>
      </c>
      <c r="L19" s="142"/>
      <c r="M19" s="180"/>
      <c r="N19" s="136"/>
      <c r="O19" s="134"/>
    </row>
    <row r="20" spans="2:15" ht="16.5" customHeight="1" x14ac:dyDescent="0.3">
      <c r="B20" s="137"/>
      <c r="C20" s="165"/>
      <c r="D20" s="167"/>
      <c r="E20" s="132"/>
      <c r="F20" s="132"/>
      <c r="G20" s="133"/>
      <c r="H20" s="139">
        <f t="shared" si="1"/>
        <v>0</v>
      </c>
      <c r="I20" s="133"/>
      <c r="J20" s="182">
        <f t="shared" si="2"/>
        <v>0</v>
      </c>
      <c r="L20" s="142"/>
      <c r="M20" s="180"/>
      <c r="N20" s="136"/>
      <c r="O20" s="134"/>
    </row>
    <row r="21" spans="2:15" ht="21" customHeight="1" x14ac:dyDescent="0.3">
      <c r="B21" s="138">
        <f>B17+0.01</f>
        <v>16.030000000000005</v>
      </c>
      <c r="C21" s="73"/>
      <c r="D21" s="158" t="s">
        <v>590</v>
      </c>
      <c r="E21" s="181">
        <v>1</v>
      </c>
      <c r="F21" s="181" t="s">
        <v>528</v>
      </c>
      <c r="G21" s="183"/>
      <c r="H21" s="139">
        <f t="shared" si="1"/>
        <v>0</v>
      </c>
      <c r="I21" s="133"/>
      <c r="J21" s="182">
        <f t="shared" si="2"/>
        <v>0</v>
      </c>
      <c r="L21" s="142"/>
      <c r="M21" s="180"/>
      <c r="N21" s="136"/>
      <c r="O21" s="134"/>
    </row>
    <row r="22" spans="2:15" ht="14.45" customHeight="1" x14ac:dyDescent="0.3">
      <c r="B22" s="138"/>
      <c r="C22" s="73"/>
      <c r="D22" s="158"/>
      <c r="E22" s="181"/>
      <c r="F22" s="181"/>
      <c r="G22" s="183"/>
      <c r="H22" s="139">
        <f t="shared" si="1"/>
        <v>0</v>
      </c>
      <c r="I22" s="133"/>
      <c r="J22" s="182">
        <f t="shared" si="2"/>
        <v>0</v>
      </c>
      <c r="L22" s="142"/>
      <c r="M22" s="180"/>
      <c r="N22" s="136"/>
      <c r="O22" s="134"/>
    </row>
    <row r="23" spans="2:15" ht="16.5" customHeight="1" x14ac:dyDescent="0.3">
      <c r="B23" s="137">
        <f>B21+0.01</f>
        <v>16.040000000000006</v>
      </c>
      <c r="C23" s="84"/>
      <c r="D23" s="112" t="s">
        <v>591</v>
      </c>
      <c r="E23" s="181">
        <v>1</v>
      </c>
      <c r="F23" s="181" t="s">
        <v>528</v>
      </c>
      <c r="G23" s="133"/>
      <c r="H23" s="139">
        <f t="shared" si="1"/>
        <v>0</v>
      </c>
      <c r="I23" s="133"/>
      <c r="J23" s="182">
        <f t="shared" si="2"/>
        <v>0</v>
      </c>
      <c r="L23" s="142"/>
      <c r="M23" s="180"/>
      <c r="N23" s="136"/>
      <c r="O23" s="134"/>
    </row>
    <row r="24" spans="2:15" ht="11.45" customHeight="1" x14ac:dyDescent="0.3">
      <c r="B24" s="137"/>
      <c r="C24" s="84"/>
      <c r="D24" s="112"/>
      <c r="E24" s="181"/>
      <c r="F24" s="181"/>
      <c r="G24" s="133"/>
      <c r="H24" s="139">
        <f t="shared" si="1"/>
        <v>0</v>
      </c>
      <c r="I24" s="133"/>
      <c r="J24" s="182">
        <f t="shared" si="2"/>
        <v>0</v>
      </c>
      <c r="L24" s="142"/>
      <c r="M24" s="180"/>
      <c r="N24" s="136"/>
      <c r="O24" s="134"/>
    </row>
    <row r="25" spans="2:15" ht="18" customHeight="1" x14ac:dyDescent="0.3">
      <c r="B25" s="137">
        <f t="shared" ref="B25" si="3">B23+0.01</f>
        <v>16.050000000000008</v>
      </c>
      <c r="C25" s="73"/>
      <c r="D25" s="158" t="s">
        <v>592</v>
      </c>
      <c r="E25" s="181">
        <v>1</v>
      </c>
      <c r="F25" s="181" t="s">
        <v>528</v>
      </c>
      <c r="G25" s="183"/>
      <c r="H25" s="139">
        <f t="shared" si="1"/>
        <v>0</v>
      </c>
      <c r="I25" s="133"/>
      <c r="J25" s="182">
        <f t="shared" si="2"/>
        <v>0</v>
      </c>
      <c r="L25" s="142"/>
      <c r="M25" s="180"/>
      <c r="N25" s="136"/>
      <c r="O25" s="134"/>
    </row>
    <row r="26" spans="2:15" ht="12.95" customHeight="1" x14ac:dyDescent="0.3">
      <c r="B26" s="137"/>
      <c r="C26" s="73"/>
      <c r="D26" s="158"/>
      <c r="E26" s="181"/>
      <c r="F26" s="181"/>
      <c r="G26" s="183"/>
      <c r="H26" s="139">
        <f t="shared" si="1"/>
        <v>0</v>
      </c>
      <c r="I26" s="133"/>
      <c r="J26" s="182">
        <f t="shared" si="2"/>
        <v>0</v>
      </c>
      <c r="L26" s="142"/>
      <c r="M26" s="180"/>
      <c r="N26" s="136"/>
      <c r="O26" s="134"/>
    </row>
    <row r="27" spans="2:15" ht="16.5" customHeight="1" x14ac:dyDescent="0.3">
      <c r="B27" s="137">
        <f>B25+0.01</f>
        <v>16.060000000000009</v>
      </c>
      <c r="C27" s="84"/>
      <c r="D27" s="112" t="s">
        <v>593</v>
      </c>
      <c r="E27" s="181">
        <v>1</v>
      </c>
      <c r="F27" s="181" t="s">
        <v>528</v>
      </c>
      <c r="G27" s="133"/>
      <c r="H27" s="139">
        <f t="shared" si="1"/>
        <v>0</v>
      </c>
      <c r="I27" s="133"/>
      <c r="J27" s="182">
        <f t="shared" si="2"/>
        <v>0</v>
      </c>
      <c r="L27" s="142"/>
      <c r="M27" s="180"/>
      <c r="N27" s="136"/>
      <c r="O27" s="134"/>
    </row>
    <row r="28" spans="2:15" ht="16.5" customHeight="1" x14ac:dyDescent="0.3">
      <c r="B28" s="137"/>
      <c r="C28" s="84"/>
      <c r="D28" s="112"/>
      <c r="E28" s="181"/>
      <c r="F28" s="181"/>
      <c r="G28" s="133"/>
      <c r="H28" s="139">
        <f t="shared" si="1"/>
        <v>0</v>
      </c>
      <c r="I28" s="133"/>
      <c r="J28" s="182">
        <f t="shared" si="2"/>
        <v>0</v>
      </c>
      <c r="L28" s="142"/>
      <c r="M28" s="180"/>
      <c r="N28" s="136"/>
      <c r="O28" s="134"/>
    </row>
    <row r="29" spans="2:15" ht="16.5" customHeight="1" x14ac:dyDescent="0.3">
      <c r="B29" s="137">
        <f>B27+0.01</f>
        <v>16.070000000000011</v>
      </c>
      <c r="C29" s="84"/>
      <c r="D29" s="158" t="s">
        <v>594</v>
      </c>
      <c r="E29" s="181">
        <v>1</v>
      </c>
      <c r="F29" s="181" t="s">
        <v>528</v>
      </c>
      <c r="G29" s="183"/>
      <c r="H29" s="139">
        <f t="shared" si="1"/>
        <v>0</v>
      </c>
      <c r="I29" s="133"/>
      <c r="J29" s="182">
        <f t="shared" si="2"/>
        <v>0</v>
      </c>
      <c r="L29" s="142"/>
      <c r="M29" s="180"/>
      <c r="N29" s="136"/>
      <c r="O29" s="134"/>
    </row>
    <row r="30" spans="2:15" ht="16.5" customHeight="1" x14ac:dyDescent="0.3">
      <c r="B30" s="137"/>
      <c r="C30" s="84"/>
      <c r="D30" s="158"/>
      <c r="E30" s="181"/>
      <c r="F30" s="181"/>
      <c r="G30" s="183"/>
      <c r="H30" s="139">
        <f t="shared" si="1"/>
        <v>0</v>
      </c>
      <c r="I30" s="133"/>
      <c r="J30" s="182">
        <f t="shared" si="2"/>
        <v>0</v>
      </c>
      <c r="L30" s="142"/>
      <c r="M30" s="180"/>
      <c r="N30" s="136"/>
      <c r="O30" s="134"/>
    </row>
    <row r="31" spans="2:15" ht="16.5" customHeight="1" x14ac:dyDescent="0.3">
      <c r="B31" s="137">
        <f>B29+0.01</f>
        <v>16.080000000000013</v>
      </c>
      <c r="C31" s="84"/>
      <c r="D31" s="158" t="s">
        <v>665</v>
      </c>
      <c r="E31" s="181">
        <v>1</v>
      </c>
      <c r="F31" s="181" t="s">
        <v>528</v>
      </c>
      <c r="G31" s="183"/>
      <c r="H31" s="139">
        <f t="shared" si="1"/>
        <v>0</v>
      </c>
      <c r="I31" s="133"/>
      <c r="J31" s="182">
        <f t="shared" si="2"/>
        <v>0</v>
      </c>
      <c r="L31" s="142"/>
      <c r="M31" s="180"/>
      <c r="N31" s="136"/>
      <c r="O31" s="134"/>
    </row>
    <row r="32" spans="2:15" ht="16.5" customHeight="1" x14ac:dyDescent="0.3">
      <c r="B32" s="137"/>
      <c r="C32" s="84"/>
      <c r="D32" s="158"/>
      <c r="E32" s="181"/>
      <c r="F32" s="181"/>
      <c r="G32" s="183"/>
      <c r="H32" s="139">
        <f t="shared" si="1"/>
        <v>0</v>
      </c>
      <c r="I32" s="133"/>
      <c r="J32" s="182">
        <f t="shared" si="2"/>
        <v>0</v>
      </c>
      <c r="L32" s="142"/>
      <c r="M32" s="180"/>
      <c r="N32" s="136"/>
      <c r="O32" s="134"/>
    </row>
    <row r="33" spans="2:10" ht="16.5" x14ac:dyDescent="0.3">
      <c r="B33" s="197">
        <f>B31+0.01</f>
        <v>16.090000000000014</v>
      </c>
      <c r="C33" s="73"/>
      <c r="D33" s="82" t="s">
        <v>666</v>
      </c>
      <c r="E33" s="181">
        <v>1</v>
      </c>
      <c r="F33" s="181" t="s">
        <v>528</v>
      </c>
      <c r="G33" s="133"/>
      <c r="H33" s="139">
        <f t="shared" si="1"/>
        <v>0</v>
      </c>
      <c r="I33" s="133"/>
      <c r="J33" s="182">
        <f t="shared" si="2"/>
        <v>0</v>
      </c>
    </row>
    <row r="34" spans="2:10" ht="16.5" x14ac:dyDescent="0.3">
      <c r="B34" s="137"/>
      <c r="C34" s="73"/>
      <c r="D34" s="82"/>
      <c r="E34" s="181"/>
      <c r="F34" s="181"/>
      <c r="G34" s="133"/>
      <c r="H34" s="139">
        <f t="shared" si="1"/>
        <v>0</v>
      </c>
      <c r="I34" s="133"/>
      <c r="J34" s="182">
        <f t="shared" si="2"/>
        <v>0</v>
      </c>
    </row>
    <row r="35" spans="2:10" ht="16.5" x14ac:dyDescent="0.3">
      <c r="B35" s="197">
        <f>B33+0.01</f>
        <v>16.100000000000016</v>
      </c>
      <c r="C35" s="73"/>
      <c r="D35" s="158" t="s">
        <v>595</v>
      </c>
      <c r="E35" s="181">
        <v>1</v>
      </c>
      <c r="F35" s="181" t="s">
        <v>528</v>
      </c>
      <c r="G35" s="183"/>
      <c r="H35" s="139">
        <f t="shared" si="1"/>
        <v>0</v>
      </c>
      <c r="I35" s="133"/>
      <c r="J35" s="182">
        <f t="shared" si="2"/>
        <v>0</v>
      </c>
    </row>
    <row r="36" spans="2:10" ht="16.5" x14ac:dyDescent="0.3">
      <c r="B36" s="137"/>
      <c r="C36" s="73"/>
      <c r="D36" s="158"/>
      <c r="E36" s="181"/>
      <c r="F36" s="181"/>
      <c r="G36" s="183"/>
      <c r="H36" s="139">
        <f t="shared" si="1"/>
        <v>0</v>
      </c>
      <c r="I36" s="133"/>
      <c r="J36" s="182">
        <f t="shared" si="2"/>
        <v>0</v>
      </c>
    </row>
    <row r="37" spans="2:10" ht="16.5" x14ac:dyDescent="0.3">
      <c r="B37" s="137">
        <f>B35+0.01</f>
        <v>16.110000000000017</v>
      </c>
      <c r="C37" s="84"/>
      <c r="D37" s="112" t="s">
        <v>596</v>
      </c>
      <c r="E37" s="181">
        <v>1</v>
      </c>
      <c r="F37" s="181" t="s">
        <v>528</v>
      </c>
      <c r="G37" s="133"/>
      <c r="H37" s="139">
        <f t="shared" si="1"/>
        <v>0</v>
      </c>
      <c r="I37" s="133"/>
      <c r="J37" s="182">
        <f t="shared" si="2"/>
        <v>0</v>
      </c>
    </row>
    <row r="38" spans="2:10" ht="16.5" x14ac:dyDescent="0.3">
      <c r="B38" s="137"/>
      <c r="C38" s="84"/>
      <c r="D38" s="112"/>
      <c r="E38" s="181"/>
      <c r="F38" s="181"/>
      <c r="G38" s="133"/>
      <c r="H38" s="139">
        <f t="shared" si="1"/>
        <v>0</v>
      </c>
      <c r="I38" s="133"/>
      <c r="J38" s="182">
        <f t="shared" si="2"/>
        <v>0</v>
      </c>
    </row>
    <row r="39" spans="2:10" ht="16.5" x14ac:dyDescent="0.3">
      <c r="B39" s="137">
        <f>B37+0.01</f>
        <v>16.120000000000019</v>
      </c>
      <c r="C39" s="84"/>
      <c r="D39" s="112" t="s">
        <v>597</v>
      </c>
      <c r="E39" s="181">
        <v>1</v>
      </c>
      <c r="F39" s="181" t="s">
        <v>528</v>
      </c>
      <c r="G39" s="133"/>
      <c r="H39" s="139">
        <f t="shared" si="1"/>
        <v>0</v>
      </c>
      <c r="I39" s="133"/>
      <c r="J39" s="182">
        <f t="shared" si="2"/>
        <v>0</v>
      </c>
    </row>
    <row r="40" spans="2:10" ht="16.5" x14ac:dyDescent="0.3">
      <c r="B40" s="137"/>
      <c r="C40" s="84"/>
      <c r="D40" s="112"/>
      <c r="E40" s="181"/>
      <c r="F40" s="181"/>
      <c r="G40" s="133"/>
      <c r="H40" s="139">
        <f t="shared" si="1"/>
        <v>0</v>
      </c>
      <c r="I40" s="133"/>
      <c r="J40" s="182">
        <f t="shared" si="2"/>
        <v>0</v>
      </c>
    </row>
    <row r="41" spans="2:10" ht="16.5" x14ac:dyDescent="0.3">
      <c r="B41" s="137">
        <f>B39+0.01</f>
        <v>16.13000000000002</v>
      </c>
      <c r="C41" s="73"/>
      <c r="D41" s="158" t="s">
        <v>598</v>
      </c>
      <c r="E41" s="181">
        <v>1</v>
      </c>
      <c r="F41" s="181" t="s">
        <v>528</v>
      </c>
      <c r="G41" s="183"/>
      <c r="H41" s="139">
        <f t="shared" si="1"/>
        <v>0</v>
      </c>
      <c r="I41" s="133"/>
      <c r="J41" s="182">
        <f t="shared" si="2"/>
        <v>0</v>
      </c>
    </row>
    <row r="42" spans="2:10" ht="16.5" x14ac:dyDescent="0.3">
      <c r="B42" s="137"/>
      <c r="C42" s="73"/>
      <c r="D42" s="158"/>
      <c r="E42" s="181"/>
      <c r="F42" s="181"/>
      <c r="G42" s="183"/>
      <c r="H42" s="139">
        <f t="shared" si="1"/>
        <v>0</v>
      </c>
      <c r="I42" s="133"/>
      <c r="J42" s="182">
        <f t="shared" si="2"/>
        <v>0</v>
      </c>
    </row>
    <row r="43" spans="2:10" ht="16.5" x14ac:dyDescent="0.3">
      <c r="B43" s="137">
        <f>B41+0.01</f>
        <v>16.140000000000022</v>
      </c>
      <c r="C43" s="73"/>
      <c r="D43" s="82" t="s">
        <v>599</v>
      </c>
      <c r="E43" s="181">
        <v>1</v>
      </c>
      <c r="F43" s="181" t="s">
        <v>528</v>
      </c>
      <c r="G43" s="133"/>
      <c r="H43" s="139">
        <f t="shared" si="1"/>
        <v>0</v>
      </c>
      <c r="I43" s="133"/>
      <c r="J43" s="182">
        <f t="shared" si="2"/>
        <v>0</v>
      </c>
    </row>
    <row r="44" spans="2:10" ht="16.5" x14ac:dyDescent="0.3">
      <c r="B44" s="137"/>
      <c r="C44" s="73"/>
      <c r="D44" s="82"/>
      <c r="E44" s="181"/>
      <c r="F44" s="181"/>
      <c r="G44" s="133"/>
      <c r="H44" s="139">
        <f t="shared" si="1"/>
        <v>0</v>
      </c>
      <c r="I44" s="133"/>
      <c r="J44" s="182">
        <f t="shared" si="2"/>
        <v>0</v>
      </c>
    </row>
    <row r="45" spans="2:10" ht="165" x14ac:dyDescent="0.3">
      <c r="B45" s="198">
        <f>B43+0.01</f>
        <v>16.150000000000023</v>
      </c>
      <c r="C45" s="73"/>
      <c r="D45" s="82" t="s">
        <v>600</v>
      </c>
      <c r="E45" s="181">
        <v>1</v>
      </c>
      <c r="F45" s="181" t="s">
        <v>528</v>
      </c>
      <c r="G45" s="133"/>
      <c r="H45" s="139">
        <f t="shared" si="1"/>
        <v>0</v>
      </c>
      <c r="I45" s="133"/>
      <c r="J45" s="182">
        <f t="shared" si="2"/>
        <v>0</v>
      </c>
    </row>
    <row r="46" spans="2:10" ht="16.5" x14ac:dyDescent="0.3">
      <c r="B46" s="198"/>
      <c r="C46" s="73"/>
      <c r="D46" s="82"/>
      <c r="E46" s="181"/>
      <c r="F46" s="181"/>
      <c r="G46" s="133"/>
      <c r="H46" s="139">
        <f t="shared" si="1"/>
        <v>0</v>
      </c>
      <c r="I46" s="133"/>
      <c r="J46" s="182">
        <f t="shared" si="2"/>
        <v>0</v>
      </c>
    </row>
    <row r="47" spans="2:10" ht="16.5" x14ac:dyDescent="0.3">
      <c r="B47" s="198">
        <f>B45+0.01</f>
        <v>16.160000000000025</v>
      </c>
      <c r="C47" s="159"/>
      <c r="D47" s="112" t="s">
        <v>601</v>
      </c>
      <c r="E47" s="181">
        <v>1</v>
      </c>
      <c r="F47" s="181" t="s">
        <v>528</v>
      </c>
      <c r="G47" s="133"/>
      <c r="H47" s="196" t="s">
        <v>626</v>
      </c>
      <c r="I47" s="133"/>
      <c r="J47" s="196" t="s">
        <v>626</v>
      </c>
    </row>
    <row r="48" spans="2:10" ht="16.5" x14ac:dyDescent="0.3">
      <c r="B48" s="137"/>
      <c r="C48" s="73"/>
      <c r="D48" s="158"/>
      <c r="E48" s="181"/>
      <c r="F48" s="181"/>
      <c r="G48" s="183"/>
      <c r="H48" s="184"/>
      <c r="I48" s="183"/>
      <c r="J48" s="184"/>
    </row>
    <row r="49" spans="2:10" ht="16.5" x14ac:dyDescent="0.3">
      <c r="B49" s="137"/>
      <c r="C49" s="159"/>
      <c r="D49" s="232" t="s">
        <v>532</v>
      </c>
      <c r="E49" s="132"/>
      <c r="F49" s="132"/>
      <c r="G49" s="133"/>
      <c r="H49" s="182">
        <f>SUM(H14:H48)</f>
        <v>0</v>
      </c>
      <c r="I49" s="133"/>
      <c r="J49" s="182">
        <f>SUM(J14:J48)</f>
        <v>0</v>
      </c>
    </row>
    <row r="50" spans="2:10" ht="16.5" x14ac:dyDescent="0.3">
      <c r="B50" s="137"/>
      <c r="C50" s="73"/>
      <c r="D50" s="82"/>
      <c r="E50" s="132"/>
      <c r="F50" s="132"/>
      <c r="G50" s="133"/>
      <c r="H50" s="184"/>
      <c r="I50" s="133"/>
      <c r="J50" s="184"/>
    </row>
    <row r="51" spans="2:10" ht="16.5" x14ac:dyDescent="0.3">
      <c r="B51" s="137"/>
      <c r="C51" s="73"/>
      <c r="D51" s="158"/>
      <c r="E51" s="181"/>
      <c r="F51" s="181"/>
      <c r="G51" s="183"/>
      <c r="H51" s="182"/>
      <c r="I51" s="183"/>
      <c r="J51" s="182"/>
    </row>
    <row r="52" spans="2:10" ht="16.5" x14ac:dyDescent="0.3">
      <c r="B52" s="137"/>
      <c r="C52" s="84" t="s">
        <v>533</v>
      </c>
      <c r="D52" s="82"/>
      <c r="E52" s="132"/>
      <c r="F52" s="132"/>
      <c r="G52" s="133"/>
      <c r="H52" s="133"/>
      <c r="I52" s="133"/>
      <c r="J52" s="182">
        <f t="shared" ref="J52" si="4">E52*G52</f>
        <v>0</v>
      </c>
    </row>
    <row r="53" spans="2:10" ht="16.5" x14ac:dyDescent="0.3">
      <c r="B53" s="137"/>
      <c r="C53" s="74" t="s">
        <v>602</v>
      </c>
      <c r="D53" s="112"/>
      <c r="E53" s="132"/>
      <c r="F53" s="132"/>
      <c r="G53" s="133"/>
      <c r="H53" s="133"/>
      <c r="I53" s="133"/>
      <c r="J53" s="133"/>
    </row>
    <row r="54" spans="2:10" ht="16.5" x14ac:dyDescent="0.3">
      <c r="B54" s="137"/>
      <c r="C54" s="84"/>
      <c r="D54" s="112"/>
      <c r="E54" s="132"/>
      <c r="F54" s="132"/>
      <c r="G54" s="133"/>
      <c r="H54" s="133"/>
      <c r="I54" s="133"/>
      <c r="J54" s="133"/>
    </row>
    <row r="55" spans="2:10" ht="16.5" x14ac:dyDescent="0.3">
      <c r="B55" s="137">
        <f>B47+0.01</f>
        <v>16.170000000000027</v>
      </c>
      <c r="C55" s="422" t="s">
        <v>635</v>
      </c>
      <c r="D55" s="423"/>
      <c r="E55" s="181">
        <v>1</v>
      </c>
      <c r="F55" s="181" t="s">
        <v>528</v>
      </c>
      <c r="G55" s="133"/>
      <c r="H55" s="139">
        <f t="shared" ref="H55:H112" si="5">E55*G55</f>
        <v>0</v>
      </c>
      <c r="I55" s="133"/>
      <c r="J55" s="182">
        <f t="shared" ref="J55:J112" si="6">E55*I55</f>
        <v>0</v>
      </c>
    </row>
    <row r="56" spans="2:10" ht="16.5" x14ac:dyDescent="0.3">
      <c r="B56" s="137"/>
      <c r="C56" s="73"/>
      <c r="D56" s="158"/>
      <c r="E56" s="181"/>
      <c r="F56" s="181"/>
      <c r="G56" s="183"/>
      <c r="H56" s="139">
        <f t="shared" si="5"/>
        <v>0</v>
      </c>
      <c r="I56" s="133"/>
      <c r="J56" s="182">
        <f t="shared" si="6"/>
        <v>0</v>
      </c>
    </row>
    <row r="57" spans="2:10" ht="16.5" x14ac:dyDescent="0.3">
      <c r="B57" s="137">
        <f>B55+0.01</f>
        <v>16.180000000000028</v>
      </c>
      <c r="C57" s="422" t="s">
        <v>588</v>
      </c>
      <c r="D57" s="423"/>
      <c r="E57" s="181">
        <v>1</v>
      </c>
      <c r="F57" s="181" t="s">
        <v>528</v>
      </c>
      <c r="G57" s="133"/>
      <c r="H57" s="139">
        <f t="shared" si="5"/>
        <v>0</v>
      </c>
      <c r="I57" s="133"/>
      <c r="J57" s="182">
        <f t="shared" si="6"/>
        <v>0</v>
      </c>
    </row>
    <row r="58" spans="2:10" ht="16.5" x14ac:dyDescent="0.3">
      <c r="B58" s="137"/>
      <c r="C58" s="73"/>
      <c r="D58" s="158"/>
      <c r="E58" s="181"/>
      <c r="F58" s="181"/>
      <c r="G58" s="183"/>
      <c r="H58" s="139">
        <f t="shared" si="5"/>
        <v>0</v>
      </c>
      <c r="I58" s="133"/>
      <c r="J58" s="182">
        <f t="shared" si="6"/>
        <v>0</v>
      </c>
    </row>
    <row r="59" spans="2:10" ht="16.5" x14ac:dyDescent="0.3">
      <c r="B59" s="137"/>
      <c r="C59" s="422" t="s">
        <v>589</v>
      </c>
      <c r="D59" s="423"/>
      <c r="E59" s="132"/>
      <c r="F59" s="132"/>
      <c r="G59" s="133"/>
      <c r="H59" s="139">
        <f t="shared" si="5"/>
        <v>0</v>
      </c>
      <c r="I59" s="133"/>
      <c r="J59" s="182">
        <f t="shared" si="6"/>
        <v>0</v>
      </c>
    </row>
    <row r="60" spans="2:10" ht="16.5" x14ac:dyDescent="0.3">
      <c r="B60" s="137"/>
      <c r="C60" s="165"/>
      <c r="D60" s="167"/>
      <c r="E60" s="132"/>
      <c r="F60" s="132"/>
      <c r="G60" s="133"/>
      <c r="H60" s="139">
        <f t="shared" si="5"/>
        <v>0</v>
      </c>
      <c r="I60" s="133"/>
      <c r="J60" s="182">
        <f t="shared" si="6"/>
        <v>0</v>
      </c>
    </row>
    <row r="61" spans="2:10" ht="16.5" x14ac:dyDescent="0.3">
      <c r="B61" s="199">
        <f>B57+0.01</f>
        <v>16.19000000000003</v>
      </c>
      <c r="C61" s="73"/>
      <c r="D61" s="158" t="s">
        <v>590</v>
      </c>
      <c r="E61" s="181">
        <v>1</v>
      </c>
      <c r="F61" s="181" t="s">
        <v>528</v>
      </c>
      <c r="G61" s="183"/>
      <c r="H61" s="139">
        <f t="shared" si="5"/>
        <v>0</v>
      </c>
      <c r="I61" s="133"/>
      <c r="J61" s="182">
        <f t="shared" si="6"/>
        <v>0</v>
      </c>
    </row>
    <row r="62" spans="2:10" ht="16.5" x14ac:dyDescent="0.3">
      <c r="B62" s="199"/>
      <c r="C62" s="73"/>
      <c r="D62" s="158"/>
      <c r="E62" s="181"/>
      <c r="F62" s="181"/>
      <c r="G62" s="183"/>
      <c r="H62" s="139">
        <f t="shared" si="5"/>
        <v>0</v>
      </c>
      <c r="I62" s="133"/>
      <c r="J62" s="182">
        <f t="shared" si="6"/>
        <v>0</v>
      </c>
    </row>
    <row r="63" spans="2:10" ht="16.5" x14ac:dyDescent="0.3">
      <c r="B63" s="197">
        <f>B61+0.01</f>
        <v>16.200000000000031</v>
      </c>
      <c r="C63" s="84"/>
      <c r="D63" s="112" t="s">
        <v>591</v>
      </c>
      <c r="E63" s="181">
        <v>1</v>
      </c>
      <c r="F63" s="181" t="s">
        <v>528</v>
      </c>
      <c r="G63" s="133"/>
      <c r="H63" s="139">
        <f t="shared" si="5"/>
        <v>0</v>
      </c>
      <c r="I63" s="133"/>
      <c r="J63" s="182">
        <f t="shared" si="6"/>
        <v>0</v>
      </c>
    </row>
    <row r="64" spans="2:10" ht="16.5" x14ac:dyDescent="0.3">
      <c r="B64" s="137"/>
      <c r="C64" s="84"/>
      <c r="D64" s="112"/>
      <c r="E64" s="181"/>
      <c r="F64" s="181"/>
      <c r="G64" s="133"/>
      <c r="H64" s="139">
        <f t="shared" si="5"/>
        <v>0</v>
      </c>
      <c r="I64" s="133"/>
      <c r="J64" s="182">
        <f t="shared" si="6"/>
        <v>0</v>
      </c>
    </row>
    <row r="65" spans="2:10" ht="16.5" x14ac:dyDescent="0.3">
      <c r="B65" s="137">
        <f t="shared" ref="B65" si="7">B63+0.01</f>
        <v>16.210000000000033</v>
      </c>
      <c r="C65" s="73"/>
      <c r="D65" s="158" t="s">
        <v>592</v>
      </c>
      <c r="E65" s="181">
        <v>1</v>
      </c>
      <c r="F65" s="181" t="s">
        <v>528</v>
      </c>
      <c r="G65" s="183"/>
      <c r="H65" s="139">
        <f t="shared" si="5"/>
        <v>0</v>
      </c>
      <c r="I65" s="133"/>
      <c r="J65" s="182">
        <f t="shared" si="6"/>
        <v>0</v>
      </c>
    </row>
    <row r="66" spans="2:10" ht="16.5" x14ac:dyDescent="0.3">
      <c r="B66" s="137"/>
      <c r="C66" s="73"/>
      <c r="D66" s="158"/>
      <c r="E66" s="181"/>
      <c r="F66" s="181"/>
      <c r="G66" s="183"/>
      <c r="H66" s="139">
        <f t="shared" si="5"/>
        <v>0</v>
      </c>
      <c r="I66" s="133"/>
      <c r="J66" s="182">
        <f t="shared" si="6"/>
        <v>0</v>
      </c>
    </row>
    <row r="67" spans="2:10" ht="16.5" x14ac:dyDescent="0.3">
      <c r="B67" s="137">
        <f>B65+0.01</f>
        <v>16.220000000000034</v>
      </c>
      <c r="C67" s="84"/>
      <c r="D67" s="112" t="s">
        <v>593</v>
      </c>
      <c r="E67" s="181">
        <v>1</v>
      </c>
      <c r="F67" s="181" t="s">
        <v>528</v>
      </c>
      <c r="G67" s="133"/>
      <c r="H67" s="139">
        <f t="shared" si="5"/>
        <v>0</v>
      </c>
      <c r="I67" s="133"/>
      <c r="J67" s="182">
        <f t="shared" si="6"/>
        <v>0</v>
      </c>
    </row>
    <row r="68" spans="2:10" ht="16.5" x14ac:dyDescent="0.3">
      <c r="B68" s="137"/>
      <c r="C68" s="84"/>
      <c r="D68" s="112"/>
      <c r="E68" s="181"/>
      <c r="F68" s="181"/>
      <c r="G68" s="133"/>
      <c r="H68" s="139">
        <f t="shared" si="5"/>
        <v>0</v>
      </c>
      <c r="I68" s="133"/>
      <c r="J68" s="182">
        <f t="shared" si="6"/>
        <v>0</v>
      </c>
    </row>
    <row r="69" spans="2:10" ht="16.5" x14ac:dyDescent="0.3">
      <c r="B69" s="137">
        <f>B67+0.01</f>
        <v>16.230000000000036</v>
      </c>
      <c r="C69" s="84"/>
      <c r="D69" s="158" t="s">
        <v>594</v>
      </c>
      <c r="E69" s="181">
        <v>1</v>
      </c>
      <c r="F69" s="181" t="s">
        <v>528</v>
      </c>
      <c r="G69" s="183"/>
      <c r="H69" s="139">
        <f t="shared" si="5"/>
        <v>0</v>
      </c>
      <c r="I69" s="133"/>
      <c r="J69" s="182">
        <f t="shared" si="6"/>
        <v>0</v>
      </c>
    </row>
    <row r="70" spans="2:10" ht="16.5" x14ac:dyDescent="0.3">
      <c r="B70" s="137"/>
      <c r="C70" s="84"/>
      <c r="D70" s="158"/>
      <c r="E70" s="181"/>
      <c r="F70" s="181"/>
      <c r="G70" s="183"/>
      <c r="H70" s="139">
        <f t="shared" si="5"/>
        <v>0</v>
      </c>
      <c r="I70" s="133"/>
      <c r="J70" s="182">
        <f t="shared" si="6"/>
        <v>0</v>
      </c>
    </row>
    <row r="71" spans="2:10" ht="16.5" x14ac:dyDescent="0.3">
      <c r="B71" s="137">
        <f>B69+0.01</f>
        <v>16.240000000000038</v>
      </c>
      <c r="C71" s="84"/>
      <c r="D71" s="158" t="s">
        <v>603</v>
      </c>
      <c r="E71" s="181">
        <v>1</v>
      </c>
      <c r="F71" s="181" t="s">
        <v>528</v>
      </c>
      <c r="G71" s="183"/>
      <c r="H71" s="139">
        <f t="shared" si="5"/>
        <v>0</v>
      </c>
      <c r="I71" s="133"/>
      <c r="J71" s="182">
        <f t="shared" si="6"/>
        <v>0</v>
      </c>
    </row>
    <row r="72" spans="2:10" ht="16.5" x14ac:dyDescent="0.3">
      <c r="B72" s="137"/>
      <c r="C72" s="84"/>
      <c r="D72" s="158"/>
      <c r="E72" s="181"/>
      <c r="F72" s="181"/>
      <c r="G72" s="183"/>
      <c r="H72" s="139">
        <f t="shared" si="5"/>
        <v>0</v>
      </c>
      <c r="I72" s="133"/>
      <c r="J72" s="182">
        <f t="shared" si="6"/>
        <v>0</v>
      </c>
    </row>
    <row r="73" spans="2:10" ht="16.5" x14ac:dyDescent="0.3">
      <c r="B73" s="137">
        <f>B71+0.01</f>
        <v>16.250000000000039</v>
      </c>
      <c r="C73" s="84"/>
      <c r="D73" s="112" t="s">
        <v>604</v>
      </c>
      <c r="E73" s="181">
        <v>1</v>
      </c>
      <c r="F73" s="181" t="s">
        <v>528</v>
      </c>
      <c r="G73" s="133"/>
      <c r="H73" s="139">
        <f t="shared" si="5"/>
        <v>0</v>
      </c>
      <c r="I73" s="133"/>
      <c r="J73" s="182">
        <f t="shared" si="6"/>
        <v>0</v>
      </c>
    </row>
    <row r="74" spans="2:10" ht="16.5" x14ac:dyDescent="0.3">
      <c r="B74" s="137"/>
      <c r="C74" s="84"/>
      <c r="D74" s="112"/>
      <c r="E74" s="181"/>
      <c r="F74" s="181"/>
      <c r="G74" s="133"/>
      <c r="H74" s="139">
        <f t="shared" si="5"/>
        <v>0</v>
      </c>
      <c r="I74" s="133"/>
      <c r="J74" s="182">
        <f t="shared" si="6"/>
        <v>0</v>
      </c>
    </row>
    <row r="75" spans="2:10" ht="16.5" x14ac:dyDescent="0.3">
      <c r="B75" s="137">
        <f>B73+0.01</f>
        <v>16.260000000000041</v>
      </c>
      <c r="C75" s="73"/>
      <c r="D75" s="158" t="s">
        <v>605</v>
      </c>
      <c r="E75" s="181">
        <v>1</v>
      </c>
      <c r="F75" s="181" t="s">
        <v>528</v>
      </c>
      <c r="G75" s="183"/>
      <c r="H75" s="139">
        <f t="shared" si="5"/>
        <v>0</v>
      </c>
      <c r="I75" s="133"/>
      <c r="J75" s="182">
        <f t="shared" si="6"/>
        <v>0</v>
      </c>
    </row>
    <row r="76" spans="2:10" ht="16.5" x14ac:dyDescent="0.3">
      <c r="B76" s="137"/>
      <c r="C76" s="73"/>
      <c r="D76" s="158"/>
      <c r="E76" s="181"/>
      <c r="F76" s="181"/>
      <c r="G76" s="183"/>
      <c r="H76" s="139">
        <f t="shared" si="5"/>
        <v>0</v>
      </c>
      <c r="I76" s="133"/>
      <c r="J76" s="182">
        <f t="shared" si="6"/>
        <v>0</v>
      </c>
    </row>
    <row r="77" spans="2:10" ht="16.5" x14ac:dyDescent="0.3">
      <c r="B77" s="137">
        <f>B75+0.01</f>
        <v>16.270000000000042</v>
      </c>
      <c r="C77" s="73"/>
      <c r="D77" s="82" t="s">
        <v>606</v>
      </c>
      <c r="E77" s="181">
        <v>1</v>
      </c>
      <c r="F77" s="181" t="s">
        <v>528</v>
      </c>
      <c r="G77" s="133"/>
      <c r="H77" s="139">
        <f t="shared" si="5"/>
        <v>0</v>
      </c>
      <c r="I77" s="133"/>
      <c r="J77" s="182">
        <f t="shared" si="6"/>
        <v>0</v>
      </c>
    </row>
    <row r="78" spans="2:10" ht="16.5" x14ac:dyDescent="0.3">
      <c r="B78" s="137"/>
      <c r="C78" s="73"/>
      <c r="D78" s="82"/>
      <c r="E78" s="181"/>
      <c r="F78" s="181"/>
      <c r="G78" s="133"/>
      <c r="H78" s="139">
        <f t="shared" si="5"/>
        <v>0</v>
      </c>
      <c r="I78" s="133"/>
      <c r="J78" s="182">
        <f t="shared" si="6"/>
        <v>0</v>
      </c>
    </row>
    <row r="79" spans="2:10" ht="16.5" x14ac:dyDescent="0.3">
      <c r="B79" s="137">
        <f>B77+0.01</f>
        <v>16.280000000000044</v>
      </c>
      <c r="C79" s="159"/>
      <c r="D79" s="112" t="s">
        <v>607</v>
      </c>
      <c r="E79" s="181">
        <v>1</v>
      </c>
      <c r="F79" s="181" t="s">
        <v>528</v>
      </c>
      <c r="G79" s="133"/>
      <c r="H79" s="139">
        <f t="shared" si="5"/>
        <v>0</v>
      </c>
      <c r="I79" s="133"/>
      <c r="J79" s="182">
        <f t="shared" si="6"/>
        <v>0</v>
      </c>
    </row>
    <row r="80" spans="2:10" ht="16.5" x14ac:dyDescent="0.3">
      <c r="B80" s="137"/>
      <c r="C80" s="159"/>
      <c r="D80" s="112"/>
      <c r="E80" s="181"/>
      <c r="F80" s="181"/>
      <c r="G80" s="133"/>
      <c r="H80" s="139">
        <f t="shared" si="5"/>
        <v>0</v>
      </c>
      <c r="I80" s="133"/>
      <c r="J80" s="182">
        <f t="shared" si="6"/>
        <v>0</v>
      </c>
    </row>
    <row r="81" spans="2:10" ht="16.5" x14ac:dyDescent="0.3">
      <c r="B81" s="197">
        <f>B79+0.01</f>
        <v>16.290000000000045</v>
      </c>
      <c r="C81" s="84"/>
      <c r="D81" s="112" t="s">
        <v>608</v>
      </c>
      <c r="E81" s="181">
        <v>1</v>
      </c>
      <c r="F81" s="181" t="s">
        <v>528</v>
      </c>
      <c r="G81" s="133"/>
      <c r="H81" s="139">
        <f t="shared" si="5"/>
        <v>0</v>
      </c>
      <c r="I81" s="133"/>
      <c r="J81" s="182">
        <f t="shared" si="6"/>
        <v>0</v>
      </c>
    </row>
    <row r="82" spans="2:10" ht="16.5" x14ac:dyDescent="0.3">
      <c r="B82" s="197"/>
      <c r="C82" s="84"/>
      <c r="D82" s="112"/>
      <c r="E82" s="181"/>
      <c r="F82" s="181"/>
      <c r="G82" s="133"/>
      <c r="H82" s="139">
        <f t="shared" si="5"/>
        <v>0</v>
      </c>
      <c r="I82" s="133"/>
      <c r="J82" s="182">
        <f t="shared" si="6"/>
        <v>0</v>
      </c>
    </row>
    <row r="83" spans="2:10" ht="16.5" x14ac:dyDescent="0.3">
      <c r="B83" s="197">
        <f>B81+0.01</f>
        <v>16.300000000000047</v>
      </c>
      <c r="C83" s="73"/>
      <c r="D83" s="158" t="s">
        <v>609</v>
      </c>
      <c r="E83" s="181">
        <v>1</v>
      </c>
      <c r="F83" s="181" t="s">
        <v>528</v>
      </c>
      <c r="G83" s="183"/>
      <c r="H83" s="139">
        <f t="shared" si="5"/>
        <v>0</v>
      </c>
      <c r="I83" s="133"/>
      <c r="J83" s="182">
        <f t="shared" si="6"/>
        <v>0</v>
      </c>
    </row>
    <row r="84" spans="2:10" ht="16.5" x14ac:dyDescent="0.3">
      <c r="B84" s="137"/>
      <c r="C84" s="73"/>
      <c r="D84" s="158"/>
      <c r="E84" s="181"/>
      <c r="F84" s="181"/>
      <c r="G84" s="183"/>
      <c r="H84" s="139">
        <f t="shared" si="5"/>
        <v>0</v>
      </c>
      <c r="I84" s="133"/>
      <c r="J84" s="182">
        <f t="shared" si="6"/>
        <v>0</v>
      </c>
    </row>
    <row r="85" spans="2:10" ht="16.5" x14ac:dyDescent="0.3">
      <c r="B85" s="137">
        <f>B83+0.01</f>
        <v>16.310000000000048</v>
      </c>
      <c r="C85" s="73"/>
      <c r="D85" s="158" t="s">
        <v>610</v>
      </c>
      <c r="E85" s="181">
        <v>1</v>
      </c>
      <c r="F85" s="181" t="s">
        <v>528</v>
      </c>
      <c r="G85" s="183"/>
      <c r="H85" s="139">
        <f t="shared" si="5"/>
        <v>0</v>
      </c>
      <c r="I85" s="133"/>
      <c r="J85" s="182">
        <f t="shared" si="6"/>
        <v>0</v>
      </c>
    </row>
    <row r="86" spans="2:10" ht="16.5" x14ac:dyDescent="0.3">
      <c r="B86" s="137"/>
      <c r="C86" s="73"/>
      <c r="D86" s="158"/>
      <c r="E86" s="181"/>
      <c r="F86" s="181"/>
      <c r="G86" s="183"/>
      <c r="H86" s="139">
        <f t="shared" si="5"/>
        <v>0</v>
      </c>
      <c r="I86" s="133"/>
      <c r="J86" s="182">
        <f t="shared" si="6"/>
        <v>0</v>
      </c>
    </row>
    <row r="87" spans="2:10" ht="16.5" x14ac:dyDescent="0.3">
      <c r="B87" s="137">
        <f>B85+0.01</f>
        <v>16.32000000000005</v>
      </c>
      <c r="C87" s="73"/>
      <c r="D87" s="158" t="s">
        <v>611</v>
      </c>
      <c r="E87" s="181">
        <v>1</v>
      </c>
      <c r="F87" s="181" t="s">
        <v>528</v>
      </c>
      <c r="G87" s="183"/>
      <c r="H87" s="139">
        <f t="shared" si="5"/>
        <v>0</v>
      </c>
      <c r="I87" s="133"/>
      <c r="J87" s="182">
        <f t="shared" si="6"/>
        <v>0</v>
      </c>
    </row>
    <row r="88" spans="2:10" ht="16.5" x14ac:dyDescent="0.3">
      <c r="B88" s="137"/>
      <c r="C88" s="73"/>
      <c r="D88" s="158"/>
      <c r="E88" s="181"/>
      <c r="F88" s="181"/>
      <c r="G88" s="183"/>
      <c r="H88" s="139">
        <f t="shared" si="5"/>
        <v>0</v>
      </c>
      <c r="I88" s="133"/>
      <c r="J88" s="182">
        <f t="shared" si="6"/>
        <v>0</v>
      </c>
    </row>
    <row r="89" spans="2:10" ht="16.5" x14ac:dyDescent="0.3">
      <c r="B89" s="137">
        <f>B87+0.01</f>
        <v>16.330000000000052</v>
      </c>
      <c r="C89" s="73"/>
      <c r="D89" s="158" t="s">
        <v>612</v>
      </c>
      <c r="E89" s="181">
        <v>1</v>
      </c>
      <c r="F89" s="181" t="s">
        <v>528</v>
      </c>
      <c r="G89" s="183"/>
      <c r="H89" s="139">
        <f t="shared" si="5"/>
        <v>0</v>
      </c>
      <c r="I89" s="133"/>
      <c r="J89" s="182">
        <f t="shared" si="6"/>
        <v>0</v>
      </c>
    </row>
    <row r="90" spans="2:10" ht="16.5" x14ac:dyDescent="0.3">
      <c r="B90" s="137"/>
      <c r="C90" s="73"/>
      <c r="D90" s="158"/>
      <c r="E90" s="181"/>
      <c r="F90" s="181"/>
      <c r="G90" s="183"/>
      <c r="H90" s="139">
        <f t="shared" si="5"/>
        <v>0</v>
      </c>
      <c r="I90" s="133"/>
      <c r="J90" s="182">
        <f t="shared" si="6"/>
        <v>0</v>
      </c>
    </row>
    <row r="91" spans="2:10" ht="16.5" x14ac:dyDescent="0.3">
      <c r="B91" s="137">
        <f>B89+0.01</f>
        <v>16.340000000000053</v>
      </c>
      <c r="C91" s="73"/>
      <c r="D91" s="158" t="s">
        <v>613</v>
      </c>
      <c r="E91" s="181">
        <v>1</v>
      </c>
      <c r="F91" s="181" t="s">
        <v>528</v>
      </c>
      <c r="G91" s="183"/>
      <c r="H91" s="139">
        <f t="shared" si="5"/>
        <v>0</v>
      </c>
      <c r="I91" s="133"/>
      <c r="J91" s="182">
        <f t="shared" si="6"/>
        <v>0</v>
      </c>
    </row>
    <row r="92" spans="2:10" ht="16.5" x14ac:dyDescent="0.3">
      <c r="B92" s="137"/>
      <c r="C92" s="73"/>
      <c r="D92" s="158"/>
      <c r="E92" s="181"/>
      <c r="F92" s="181"/>
      <c r="G92" s="183"/>
      <c r="H92" s="139">
        <f t="shared" si="5"/>
        <v>0</v>
      </c>
      <c r="I92" s="133"/>
      <c r="J92" s="182">
        <f t="shared" si="6"/>
        <v>0</v>
      </c>
    </row>
    <row r="93" spans="2:10" ht="16.5" x14ac:dyDescent="0.3">
      <c r="B93" s="137">
        <f>B91+0.01</f>
        <v>16.350000000000055</v>
      </c>
      <c r="C93" s="73"/>
      <c r="D93" s="158" t="s">
        <v>534</v>
      </c>
      <c r="E93" s="181">
        <v>1</v>
      </c>
      <c r="F93" s="181" t="s">
        <v>528</v>
      </c>
      <c r="G93" s="183"/>
      <c r="H93" s="139">
        <f t="shared" si="5"/>
        <v>0</v>
      </c>
      <c r="I93" s="133"/>
      <c r="J93" s="182">
        <f t="shared" si="6"/>
        <v>0</v>
      </c>
    </row>
    <row r="94" spans="2:10" ht="16.5" x14ac:dyDescent="0.3">
      <c r="B94" s="137"/>
      <c r="C94" s="73"/>
      <c r="D94" s="158"/>
      <c r="E94" s="181"/>
      <c r="F94" s="181"/>
      <c r="G94" s="183"/>
      <c r="H94" s="139">
        <f t="shared" si="5"/>
        <v>0</v>
      </c>
      <c r="I94" s="133"/>
      <c r="J94" s="182">
        <f t="shared" si="6"/>
        <v>0</v>
      </c>
    </row>
    <row r="95" spans="2:10" ht="16.5" x14ac:dyDescent="0.3">
      <c r="B95" s="137">
        <f>B93+0.01</f>
        <v>16.360000000000056</v>
      </c>
      <c r="C95" s="73"/>
      <c r="D95" s="158" t="s">
        <v>614</v>
      </c>
      <c r="E95" s="181">
        <v>1</v>
      </c>
      <c r="F95" s="181" t="s">
        <v>528</v>
      </c>
      <c r="G95" s="183"/>
      <c r="H95" s="139">
        <f t="shared" si="5"/>
        <v>0</v>
      </c>
      <c r="I95" s="133"/>
      <c r="J95" s="182">
        <f t="shared" si="6"/>
        <v>0</v>
      </c>
    </row>
    <row r="96" spans="2:10" ht="16.5" x14ac:dyDescent="0.3">
      <c r="B96" s="137"/>
      <c r="C96" s="73"/>
      <c r="D96" s="158"/>
      <c r="E96" s="181"/>
      <c r="F96" s="181"/>
      <c r="G96" s="183"/>
      <c r="H96" s="139">
        <f t="shared" si="5"/>
        <v>0</v>
      </c>
      <c r="I96" s="133"/>
      <c r="J96" s="182">
        <f t="shared" si="6"/>
        <v>0</v>
      </c>
    </row>
    <row r="97" spans="2:10" ht="16.5" x14ac:dyDescent="0.3">
      <c r="B97" s="137">
        <f>B95+0.01</f>
        <v>16.370000000000058</v>
      </c>
      <c r="C97" s="73"/>
      <c r="D97" s="158" t="s">
        <v>615</v>
      </c>
      <c r="E97" s="181">
        <v>1</v>
      </c>
      <c r="F97" s="181" t="s">
        <v>528</v>
      </c>
      <c r="G97" s="183"/>
      <c r="H97" s="139">
        <f t="shared" si="5"/>
        <v>0</v>
      </c>
      <c r="I97" s="133"/>
      <c r="J97" s="182">
        <f t="shared" si="6"/>
        <v>0</v>
      </c>
    </row>
    <row r="98" spans="2:10" ht="16.5" x14ac:dyDescent="0.3">
      <c r="B98" s="137"/>
      <c r="C98" s="73"/>
      <c r="D98" s="158"/>
      <c r="E98" s="181"/>
      <c r="F98" s="181"/>
      <c r="G98" s="183"/>
      <c r="H98" s="139">
        <f t="shared" si="5"/>
        <v>0</v>
      </c>
      <c r="I98" s="133"/>
      <c r="J98" s="182">
        <f t="shared" si="6"/>
        <v>0</v>
      </c>
    </row>
    <row r="99" spans="2:10" ht="16.5" x14ac:dyDescent="0.3">
      <c r="B99" s="137">
        <f>B97+0.01</f>
        <v>16.380000000000059</v>
      </c>
      <c r="C99" s="73"/>
      <c r="D99" s="158" t="s">
        <v>616</v>
      </c>
      <c r="E99" s="181">
        <v>1</v>
      </c>
      <c r="F99" s="181" t="s">
        <v>528</v>
      </c>
      <c r="G99" s="183"/>
      <c r="H99" s="139">
        <f t="shared" si="5"/>
        <v>0</v>
      </c>
      <c r="I99" s="133"/>
      <c r="J99" s="182">
        <f t="shared" si="6"/>
        <v>0</v>
      </c>
    </row>
    <row r="100" spans="2:10" ht="16.5" x14ac:dyDescent="0.3">
      <c r="B100" s="137"/>
      <c r="C100" s="73"/>
      <c r="D100" s="158"/>
      <c r="E100" s="181"/>
      <c r="F100" s="181"/>
      <c r="G100" s="183"/>
      <c r="H100" s="139">
        <f t="shared" si="5"/>
        <v>0</v>
      </c>
      <c r="I100" s="133"/>
      <c r="J100" s="182">
        <f t="shared" si="6"/>
        <v>0</v>
      </c>
    </row>
    <row r="101" spans="2:10" ht="16.5" x14ac:dyDescent="0.3">
      <c r="B101" s="197">
        <f>B99+0.01</f>
        <v>16.390000000000061</v>
      </c>
      <c r="C101" s="73"/>
      <c r="D101" s="158" t="s">
        <v>617</v>
      </c>
      <c r="E101" s="181">
        <v>1</v>
      </c>
      <c r="F101" s="181" t="s">
        <v>528</v>
      </c>
      <c r="G101" s="183"/>
      <c r="H101" s="139">
        <f t="shared" si="5"/>
        <v>0</v>
      </c>
      <c r="I101" s="133"/>
      <c r="J101" s="182">
        <f t="shared" si="6"/>
        <v>0</v>
      </c>
    </row>
    <row r="102" spans="2:10" ht="16.5" x14ac:dyDescent="0.3">
      <c r="B102" s="197"/>
      <c r="C102" s="73"/>
      <c r="D102" s="158"/>
      <c r="E102" s="181"/>
      <c r="F102" s="181"/>
      <c r="G102" s="183"/>
      <c r="H102" s="139">
        <f t="shared" si="5"/>
        <v>0</v>
      </c>
      <c r="I102" s="133"/>
      <c r="J102" s="182">
        <f t="shared" si="6"/>
        <v>0</v>
      </c>
    </row>
    <row r="103" spans="2:10" ht="16.5" x14ac:dyDescent="0.3">
      <c r="B103" s="197">
        <f>B101+0.01</f>
        <v>16.400000000000063</v>
      </c>
      <c r="C103" s="73"/>
      <c r="D103" s="158" t="s">
        <v>618</v>
      </c>
      <c r="E103" s="181">
        <v>1</v>
      </c>
      <c r="F103" s="181" t="s">
        <v>528</v>
      </c>
      <c r="G103" s="183"/>
      <c r="H103" s="139">
        <f t="shared" si="5"/>
        <v>0</v>
      </c>
      <c r="I103" s="133"/>
      <c r="J103" s="182">
        <f t="shared" si="6"/>
        <v>0</v>
      </c>
    </row>
    <row r="104" spans="2:10" ht="16.5" x14ac:dyDescent="0.3">
      <c r="B104" s="137"/>
      <c r="C104" s="73"/>
      <c r="D104" s="158"/>
      <c r="E104" s="181"/>
      <c r="F104" s="181"/>
      <c r="G104" s="183"/>
      <c r="H104" s="139">
        <f t="shared" si="5"/>
        <v>0</v>
      </c>
      <c r="I104" s="133"/>
      <c r="J104" s="182">
        <f t="shared" si="6"/>
        <v>0</v>
      </c>
    </row>
    <row r="105" spans="2:10" ht="16.5" x14ac:dyDescent="0.3">
      <c r="B105" s="137">
        <f>B103+0.01</f>
        <v>16.410000000000064</v>
      </c>
      <c r="C105" s="73"/>
      <c r="D105" s="158" t="s">
        <v>619</v>
      </c>
      <c r="E105" s="181">
        <v>1</v>
      </c>
      <c r="F105" s="181" t="s">
        <v>528</v>
      </c>
      <c r="G105" s="183"/>
      <c r="H105" s="139">
        <f t="shared" si="5"/>
        <v>0</v>
      </c>
      <c r="I105" s="133"/>
      <c r="J105" s="182">
        <f t="shared" si="6"/>
        <v>0</v>
      </c>
    </row>
    <row r="106" spans="2:10" ht="16.5" x14ac:dyDescent="0.3">
      <c r="B106" s="137"/>
      <c r="C106" s="73"/>
      <c r="D106" s="158"/>
      <c r="E106" s="181"/>
      <c r="F106" s="181"/>
      <c r="G106" s="183"/>
      <c r="H106" s="139">
        <f t="shared" si="5"/>
        <v>0</v>
      </c>
      <c r="I106" s="133"/>
      <c r="J106" s="182">
        <f t="shared" si="6"/>
        <v>0</v>
      </c>
    </row>
    <row r="107" spans="2:10" ht="16.5" x14ac:dyDescent="0.3">
      <c r="B107" s="137">
        <f>B105+0.01</f>
        <v>16.420000000000066</v>
      </c>
      <c r="C107" s="73"/>
      <c r="D107" s="158" t="s">
        <v>620</v>
      </c>
      <c r="E107" s="181">
        <v>1</v>
      </c>
      <c r="F107" s="181" t="s">
        <v>528</v>
      </c>
      <c r="G107" s="183"/>
      <c r="H107" s="139">
        <f t="shared" si="5"/>
        <v>0</v>
      </c>
      <c r="I107" s="133"/>
      <c r="J107" s="182">
        <f t="shared" si="6"/>
        <v>0</v>
      </c>
    </row>
    <row r="108" spans="2:10" ht="16.5" x14ac:dyDescent="0.3">
      <c r="B108" s="137"/>
      <c r="C108" s="73"/>
      <c r="D108" s="158"/>
      <c r="E108" s="181"/>
      <c r="F108" s="181"/>
      <c r="G108" s="183"/>
      <c r="H108" s="139">
        <f t="shared" si="5"/>
        <v>0</v>
      </c>
      <c r="I108" s="133"/>
      <c r="J108" s="182">
        <f t="shared" si="6"/>
        <v>0</v>
      </c>
    </row>
    <row r="109" spans="2:10" ht="16.5" x14ac:dyDescent="0.3">
      <c r="B109" s="137">
        <f>B107+0.01</f>
        <v>16.430000000000067</v>
      </c>
      <c r="C109" s="73"/>
      <c r="D109" s="82" t="s">
        <v>599</v>
      </c>
      <c r="E109" s="181">
        <v>1</v>
      </c>
      <c r="F109" s="181" t="s">
        <v>528</v>
      </c>
      <c r="G109" s="133"/>
      <c r="H109" s="139">
        <f t="shared" si="5"/>
        <v>0</v>
      </c>
      <c r="I109" s="133"/>
      <c r="J109" s="182">
        <f t="shared" si="6"/>
        <v>0</v>
      </c>
    </row>
    <row r="110" spans="2:10" ht="16.5" x14ac:dyDescent="0.3">
      <c r="B110" s="137"/>
      <c r="C110" s="73"/>
      <c r="D110" s="82"/>
      <c r="E110" s="181"/>
      <c r="F110" s="181"/>
      <c r="G110" s="133"/>
      <c r="H110" s="139">
        <f t="shared" si="5"/>
        <v>0</v>
      </c>
      <c r="I110" s="133"/>
      <c r="J110" s="182">
        <f t="shared" si="6"/>
        <v>0</v>
      </c>
    </row>
    <row r="111" spans="2:10" ht="147" customHeight="1" x14ac:dyDescent="0.3">
      <c r="B111" s="200">
        <f>B109+0.01</f>
        <v>16.440000000000069</v>
      </c>
      <c r="C111" s="73"/>
      <c r="D111" s="158" t="s">
        <v>600</v>
      </c>
      <c r="E111" s="181">
        <v>1</v>
      </c>
      <c r="F111" s="181" t="s">
        <v>528</v>
      </c>
      <c r="G111" s="133"/>
      <c r="H111" s="139">
        <f t="shared" si="5"/>
        <v>0</v>
      </c>
      <c r="I111" s="133"/>
      <c r="J111" s="182">
        <f t="shared" si="6"/>
        <v>0</v>
      </c>
    </row>
    <row r="112" spans="2:10" ht="16.5" x14ac:dyDescent="0.3">
      <c r="B112" s="200"/>
      <c r="C112" s="73"/>
      <c r="D112" s="158"/>
      <c r="E112" s="181"/>
      <c r="F112" s="181"/>
      <c r="G112" s="133"/>
      <c r="H112" s="139">
        <f t="shared" si="5"/>
        <v>0</v>
      </c>
      <c r="I112" s="133"/>
      <c r="J112" s="182">
        <f t="shared" si="6"/>
        <v>0</v>
      </c>
    </row>
    <row r="113" spans="2:10" ht="16.5" x14ac:dyDescent="0.3">
      <c r="B113" s="137">
        <f>B111+0.01</f>
        <v>16.45000000000007</v>
      </c>
      <c r="C113" s="159"/>
      <c r="D113" s="112" t="s">
        <v>601</v>
      </c>
      <c r="E113" s="132"/>
      <c r="F113" s="132"/>
      <c r="G113" s="133"/>
      <c r="H113" s="196" t="s">
        <v>626</v>
      </c>
      <c r="I113" s="133"/>
      <c r="J113" s="196" t="s">
        <v>626</v>
      </c>
    </row>
    <row r="114" spans="2:10" ht="16.5" x14ac:dyDescent="0.3">
      <c r="B114" s="137"/>
      <c r="C114" s="73"/>
      <c r="D114" s="158"/>
      <c r="E114" s="181"/>
      <c r="F114" s="181"/>
      <c r="G114" s="183"/>
      <c r="H114" s="184"/>
      <c r="I114" s="183"/>
      <c r="J114" s="184"/>
    </row>
    <row r="115" spans="2:10" ht="16.5" x14ac:dyDescent="0.3">
      <c r="B115" s="137"/>
      <c r="C115" s="159"/>
      <c r="D115" s="232" t="s">
        <v>535</v>
      </c>
      <c r="E115" s="132"/>
      <c r="F115" s="132"/>
      <c r="G115" s="133"/>
      <c r="H115" s="182">
        <f>SUM(H55:H114)</f>
        <v>0</v>
      </c>
      <c r="I115" s="133"/>
      <c r="J115" s="182">
        <f>SUM(J55:J114)</f>
        <v>0</v>
      </c>
    </row>
    <row r="116" spans="2:10" ht="16.5" x14ac:dyDescent="0.3">
      <c r="B116" s="137"/>
      <c r="C116" s="81"/>
      <c r="E116" s="185"/>
      <c r="F116" s="132"/>
      <c r="G116" s="133"/>
      <c r="H116" s="182"/>
      <c r="I116" s="133"/>
      <c r="J116" s="182"/>
    </row>
    <row r="117" spans="2:10" ht="16.5" x14ac:dyDescent="0.3">
      <c r="B117" s="137"/>
      <c r="C117" s="81"/>
      <c r="D117" s="233" t="s">
        <v>1389</v>
      </c>
      <c r="E117" s="185"/>
      <c r="F117" s="132"/>
      <c r="G117" s="133"/>
      <c r="H117" s="182">
        <f>H49+H115</f>
        <v>0</v>
      </c>
      <c r="I117" s="133"/>
      <c r="J117" s="182">
        <f>J49+J115</f>
        <v>0</v>
      </c>
    </row>
    <row r="118" spans="2:10" ht="16.5" x14ac:dyDescent="0.3">
      <c r="B118" s="137"/>
      <c r="C118" s="81"/>
      <c r="E118" s="185"/>
      <c r="F118" s="132"/>
      <c r="G118" s="133"/>
      <c r="H118" s="133"/>
      <c r="I118" s="133"/>
      <c r="J118" s="182"/>
    </row>
    <row r="119" spans="2:10" ht="16.5" x14ac:dyDescent="0.3">
      <c r="B119" s="137"/>
      <c r="C119" s="74" t="s">
        <v>536</v>
      </c>
      <c r="E119" s="185"/>
      <c r="F119" s="132"/>
      <c r="G119" s="133"/>
      <c r="H119" s="133"/>
      <c r="I119" s="133"/>
      <c r="J119" s="182"/>
    </row>
    <row r="120" spans="2:10" ht="16.5" x14ac:dyDescent="0.3">
      <c r="B120" s="137"/>
      <c r="C120" s="74"/>
      <c r="E120" s="185"/>
      <c r="F120" s="132"/>
      <c r="G120" s="133"/>
      <c r="H120" s="133"/>
      <c r="I120" s="133"/>
      <c r="J120" s="182"/>
    </row>
    <row r="121" spans="2:10" ht="16.5" x14ac:dyDescent="0.3">
      <c r="B121" s="138">
        <f>B113+0.01</f>
        <v>16.460000000000072</v>
      </c>
      <c r="C121" s="81"/>
      <c r="D121" s="71" t="s">
        <v>537</v>
      </c>
      <c r="E121" s="185">
        <v>1</v>
      </c>
      <c r="F121" s="181" t="s">
        <v>528</v>
      </c>
      <c r="G121" s="133"/>
      <c r="H121" s="139">
        <f t="shared" ref="H121:H153" si="8">E121*G121</f>
        <v>0</v>
      </c>
      <c r="I121" s="133"/>
      <c r="J121" s="182">
        <f t="shared" ref="J121:J153" si="9">E121*I121</f>
        <v>0</v>
      </c>
    </row>
    <row r="122" spans="2:10" ht="16.5" x14ac:dyDescent="0.3">
      <c r="B122" s="137"/>
      <c r="C122" s="81"/>
      <c r="E122" s="185"/>
      <c r="F122" s="132"/>
      <c r="G122" s="133"/>
      <c r="H122" s="139">
        <f t="shared" si="8"/>
        <v>0</v>
      </c>
      <c r="I122" s="133"/>
      <c r="J122" s="182">
        <f t="shared" si="9"/>
        <v>0</v>
      </c>
    </row>
    <row r="123" spans="2:10" ht="16.5" x14ac:dyDescent="0.3">
      <c r="B123" s="137"/>
      <c r="C123" s="74" t="s">
        <v>538</v>
      </c>
      <c r="E123" s="185"/>
      <c r="F123" s="132"/>
      <c r="G123" s="133"/>
      <c r="H123" s="139">
        <f t="shared" si="8"/>
        <v>0</v>
      </c>
      <c r="I123" s="133"/>
      <c r="J123" s="182">
        <f t="shared" si="9"/>
        <v>0</v>
      </c>
    </row>
    <row r="124" spans="2:10" ht="16.5" x14ac:dyDescent="0.3">
      <c r="B124" s="137"/>
      <c r="C124" s="74"/>
      <c r="E124" s="185"/>
      <c r="F124" s="132"/>
      <c r="G124" s="133"/>
      <c r="H124" s="139">
        <f t="shared" si="8"/>
        <v>0</v>
      </c>
      <c r="I124" s="133"/>
      <c r="J124" s="182">
        <f t="shared" si="9"/>
        <v>0</v>
      </c>
    </row>
    <row r="125" spans="2:10" ht="30.75" x14ac:dyDescent="0.3">
      <c r="B125" s="138">
        <f>B121+0.01</f>
        <v>16.470000000000073</v>
      </c>
      <c r="C125" s="81"/>
      <c r="D125" s="163" t="s">
        <v>539</v>
      </c>
      <c r="E125" s="186">
        <v>1</v>
      </c>
      <c r="F125" s="181" t="s">
        <v>528</v>
      </c>
      <c r="G125" s="133"/>
      <c r="H125" s="139">
        <f t="shared" si="8"/>
        <v>0</v>
      </c>
      <c r="I125" s="133"/>
      <c r="J125" s="182">
        <f t="shared" si="9"/>
        <v>0</v>
      </c>
    </row>
    <row r="126" spans="2:10" ht="16.5" x14ac:dyDescent="0.3">
      <c r="B126" s="138"/>
      <c r="C126" s="81"/>
      <c r="D126" s="163"/>
      <c r="E126" s="186"/>
      <c r="F126" s="181"/>
      <c r="G126" s="133"/>
      <c r="H126" s="139">
        <f t="shared" si="8"/>
        <v>0</v>
      </c>
      <c r="I126" s="133"/>
      <c r="J126" s="182">
        <f t="shared" si="9"/>
        <v>0</v>
      </c>
    </row>
    <row r="127" spans="2:10" ht="33" customHeight="1" x14ac:dyDescent="0.3">
      <c r="B127" s="201">
        <f t="shared" ref="B127" si="10">B125+0.01</f>
        <v>16.480000000000075</v>
      </c>
      <c r="C127" s="81"/>
      <c r="D127" s="163" t="s">
        <v>540</v>
      </c>
      <c r="E127" s="186">
        <v>1</v>
      </c>
      <c r="F127" s="181" t="s">
        <v>528</v>
      </c>
      <c r="G127" s="133"/>
      <c r="H127" s="139">
        <f t="shared" si="8"/>
        <v>0</v>
      </c>
      <c r="I127" s="133"/>
      <c r="J127" s="182">
        <f t="shared" si="9"/>
        <v>0</v>
      </c>
    </row>
    <row r="128" spans="2:10" ht="13.5" customHeight="1" x14ac:dyDescent="0.3">
      <c r="B128" s="201"/>
      <c r="C128" s="81"/>
      <c r="D128" s="163"/>
      <c r="E128" s="186"/>
      <c r="F128" s="181"/>
      <c r="G128" s="133"/>
      <c r="H128" s="139">
        <f t="shared" si="8"/>
        <v>0</v>
      </c>
      <c r="I128" s="133"/>
      <c r="J128" s="182">
        <f t="shared" si="9"/>
        <v>0</v>
      </c>
    </row>
    <row r="129" spans="2:10" ht="16.5" x14ac:dyDescent="0.3">
      <c r="B129" s="202">
        <f>B127+0.01</f>
        <v>16.490000000000077</v>
      </c>
      <c r="C129" s="81"/>
      <c r="D129" s="71" t="s">
        <v>541</v>
      </c>
      <c r="E129" s="186">
        <v>1</v>
      </c>
      <c r="F129" s="181" t="s">
        <v>528</v>
      </c>
      <c r="G129" s="133"/>
      <c r="H129" s="139">
        <f t="shared" si="8"/>
        <v>0</v>
      </c>
      <c r="I129" s="133"/>
      <c r="J129" s="182">
        <f t="shared" si="9"/>
        <v>0</v>
      </c>
    </row>
    <row r="130" spans="2:10" ht="16.5" x14ac:dyDescent="0.3">
      <c r="B130" s="202"/>
      <c r="C130" s="81"/>
      <c r="E130" s="186"/>
      <c r="F130" s="181"/>
      <c r="G130" s="133"/>
      <c r="H130" s="139">
        <f t="shared" si="8"/>
        <v>0</v>
      </c>
      <c r="I130" s="133"/>
      <c r="J130" s="182">
        <f t="shared" si="9"/>
        <v>0</v>
      </c>
    </row>
    <row r="131" spans="2:10" ht="16.5" x14ac:dyDescent="0.3">
      <c r="B131" s="202">
        <f>B129+0.01</f>
        <v>16.500000000000078</v>
      </c>
      <c r="C131" s="81"/>
      <c r="D131" s="71" t="s">
        <v>542</v>
      </c>
      <c r="E131" s="185">
        <v>1</v>
      </c>
      <c r="F131" s="181" t="s">
        <v>528</v>
      </c>
      <c r="G131" s="133"/>
      <c r="H131" s="139">
        <f t="shared" si="8"/>
        <v>0</v>
      </c>
      <c r="I131" s="133"/>
      <c r="J131" s="182">
        <f t="shared" si="9"/>
        <v>0</v>
      </c>
    </row>
    <row r="132" spans="2:10" ht="16.5" x14ac:dyDescent="0.3">
      <c r="B132" s="202"/>
      <c r="C132" s="81"/>
      <c r="E132" s="185"/>
      <c r="F132" s="181"/>
      <c r="G132" s="133"/>
      <c r="H132" s="139">
        <f t="shared" si="8"/>
        <v>0</v>
      </c>
      <c r="I132" s="133"/>
      <c r="J132" s="182">
        <f t="shared" si="9"/>
        <v>0</v>
      </c>
    </row>
    <row r="133" spans="2:10" ht="30.75" x14ac:dyDescent="0.3">
      <c r="B133" s="202">
        <f>B131+0.01</f>
        <v>16.51000000000008</v>
      </c>
      <c r="C133" s="81"/>
      <c r="D133" s="163" t="s">
        <v>543</v>
      </c>
      <c r="E133" s="186">
        <v>1</v>
      </c>
      <c r="F133" s="181" t="s">
        <v>528</v>
      </c>
      <c r="G133" s="133"/>
      <c r="H133" s="139">
        <f t="shared" si="8"/>
        <v>0</v>
      </c>
      <c r="I133" s="133"/>
      <c r="J133" s="182">
        <f t="shared" si="9"/>
        <v>0</v>
      </c>
    </row>
    <row r="134" spans="2:10" ht="16.5" x14ac:dyDescent="0.3">
      <c r="B134" s="202"/>
      <c r="C134" s="81"/>
      <c r="D134" s="163"/>
      <c r="E134" s="186"/>
      <c r="F134" s="181"/>
      <c r="G134" s="133"/>
      <c r="H134" s="139">
        <f t="shared" si="8"/>
        <v>0</v>
      </c>
      <c r="I134" s="133"/>
      <c r="J134" s="182">
        <f t="shared" si="9"/>
        <v>0</v>
      </c>
    </row>
    <row r="135" spans="2:10" ht="16.5" x14ac:dyDescent="0.3">
      <c r="B135" s="199">
        <f>B133+0.01</f>
        <v>16.520000000000081</v>
      </c>
      <c r="C135" s="81"/>
      <c r="D135" s="71" t="s">
        <v>544</v>
      </c>
      <c r="E135" s="186">
        <v>1</v>
      </c>
      <c r="F135" s="181" t="s">
        <v>528</v>
      </c>
      <c r="G135" s="133"/>
      <c r="H135" s="139">
        <f t="shared" si="8"/>
        <v>0</v>
      </c>
      <c r="I135" s="133"/>
      <c r="J135" s="182">
        <f t="shared" si="9"/>
        <v>0</v>
      </c>
    </row>
    <row r="136" spans="2:10" ht="16.5" x14ac:dyDescent="0.3">
      <c r="B136" s="199"/>
      <c r="C136" s="81"/>
      <c r="E136" s="186"/>
      <c r="F136" s="181"/>
      <c r="G136" s="133"/>
      <c r="H136" s="139">
        <f t="shared" si="8"/>
        <v>0</v>
      </c>
      <c r="I136" s="133"/>
      <c r="J136" s="182">
        <f t="shared" si="9"/>
        <v>0</v>
      </c>
    </row>
    <row r="137" spans="2:10" ht="16.5" x14ac:dyDescent="0.3">
      <c r="B137" s="199">
        <f>B135+0.01</f>
        <v>16.530000000000083</v>
      </c>
      <c r="C137" s="81"/>
      <c r="D137" s="71" t="s">
        <v>545</v>
      </c>
      <c r="E137" s="186">
        <v>1</v>
      </c>
      <c r="F137" s="181" t="s">
        <v>528</v>
      </c>
      <c r="G137" s="133"/>
      <c r="H137" s="139">
        <f t="shared" si="8"/>
        <v>0</v>
      </c>
      <c r="I137" s="133"/>
      <c r="J137" s="182">
        <f t="shared" si="9"/>
        <v>0</v>
      </c>
    </row>
    <row r="138" spans="2:10" ht="16.5" x14ac:dyDescent="0.3">
      <c r="B138" s="137"/>
      <c r="C138" s="81"/>
      <c r="E138" s="185"/>
      <c r="F138" s="132"/>
      <c r="G138" s="133"/>
      <c r="H138" s="139">
        <f t="shared" si="8"/>
        <v>0</v>
      </c>
      <c r="I138" s="133"/>
      <c r="J138" s="182">
        <f t="shared" si="9"/>
        <v>0</v>
      </c>
    </row>
    <row r="139" spans="2:10" ht="16.5" x14ac:dyDescent="0.3">
      <c r="B139" s="137"/>
      <c r="C139" s="74" t="s">
        <v>621</v>
      </c>
      <c r="E139" s="185"/>
      <c r="F139" s="132"/>
      <c r="G139" s="133"/>
      <c r="H139" s="139">
        <f t="shared" si="8"/>
        <v>0</v>
      </c>
      <c r="I139" s="133"/>
      <c r="J139" s="182">
        <f t="shared" si="9"/>
        <v>0</v>
      </c>
    </row>
    <row r="140" spans="2:10" ht="16.5" x14ac:dyDescent="0.3">
      <c r="B140" s="137"/>
      <c r="C140" s="74"/>
      <c r="E140" s="185"/>
      <c r="F140" s="132"/>
      <c r="G140" s="133"/>
      <c r="H140" s="139">
        <f t="shared" si="8"/>
        <v>0</v>
      </c>
      <c r="I140" s="133"/>
      <c r="J140" s="182">
        <f t="shared" si="9"/>
        <v>0</v>
      </c>
    </row>
    <row r="141" spans="2:10" ht="147" customHeight="1" x14ac:dyDescent="0.3">
      <c r="B141" s="203">
        <f>B137+0.01</f>
        <v>16.540000000000084</v>
      </c>
      <c r="C141" s="74"/>
      <c r="D141" s="163" t="s">
        <v>622</v>
      </c>
      <c r="E141" s="186">
        <v>1</v>
      </c>
      <c r="F141" s="181" t="s">
        <v>528</v>
      </c>
      <c r="G141" s="133"/>
      <c r="H141" s="139">
        <f t="shared" si="8"/>
        <v>0</v>
      </c>
      <c r="I141" s="133"/>
      <c r="J141" s="182">
        <f t="shared" si="9"/>
        <v>0</v>
      </c>
    </row>
    <row r="142" spans="2:10" ht="12.6" customHeight="1" x14ac:dyDescent="0.3">
      <c r="B142" s="203"/>
      <c r="C142" s="74"/>
      <c r="D142" s="163"/>
      <c r="E142" s="185"/>
      <c r="F142" s="132"/>
      <c r="G142" s="133"/>
      <c r="H142" s="139">
        <f t="shared" si="8"/>
        <v>0</v>
      </c>
      <c r="I142" s="133"/>
      <c r="J142" s="182">
        <f t="shared" si="9"/>
        <v>0</v>
      </c>
    </row>
    <row r="143" spans="2:10" ht="27" customHeight="1" x14ac:dyDescent="0.3">
      <c r="B143" s="203">
        <f>B141+0.01</f>
        <v>16.550000000000086</v>
      </c>
      <c r="C143" s="74"/>
      <c r="D143" s="163" t="s">
        <v>623</v>
      </c>
      <c r="E143" s="186">
        <v>1</v>
      </c>
      <c r="F143" s="181" t="s">
        <v>528</v>
      </c>
      <c r="G143" s="133"/>
      <c r="H143" s="139">
        <f t="shared" si="8"/>
        <v>0</v>
      </c>
      <c r="I143" s="133"/>
      <c r="J143" s="182">
        <f t="shared" si="9"/>
        <v>0</v>
      </c>
    </row>
    <row r="144" spans="2:10" ht="12.6" customHeight="1" x14ac:dyDescent="0.3">
      <c r="B144" s="203"/>
      <c r="C144" s="74"/>
      <c r="D144" s="163"/>
      <c r="E144" s="185"/>
      <c r="F144" s="132"/>
      <c r="G144" s="133"/>
      <c r="H144" s="139">
        <f t="shared" si="8"/>
        <v>0</v>
      </c>
      <c r="I144" s="133"/>
      <c r="J144" s="182">
        <f t="shared" si="9"/>
        <v>0</v>
      </c>
    </row>
    <row r="145" spans="2:10" ht="16.5" x14ac:dyDescent="0.3">
      <c r="B145" s="199">
        <f>B143+0.01</f>
        <v>16.560000000000088</v>
      </c>
      <c r="C145" s="81"/>
      <c r="D145" s="71" t="s">
        <v>546</v>
      </c>
      <c r="E145" s="186">
        <v>1</v>
      </c>
      <c r="F145" s="181" t="s">
        <v>528</v>
      </c>
      <c r="G145" s="133"/>
      <c r="H145" s="139">
        <f t="shared" si="8"/>
        <v>0</v>
      </c>
      <c r="I145" s="133"/>
      <c r="J145" s="182">
        <f t="shared" si="9"/>
        <v>0</v>
      </c>
    </row>
    <row r="146" spans="2:10" ht="16.5" x14ac:dyDescent="0.3">
      <c r="B146" s="137"/>
      <c r="C146" s="81"/>
      <c r="E146" s="185"/>
      <c r="F146" s="132"/>
      <c r="G146" s="133"/>
      <c r="H146" s="139">
        <f t="shared" si="8"/>
        <v>0</v>
      </c>
      <c r="I146" s="133"/>
      <c r="J146" s="182">
        <f t="shared" si="9"/>
        <v>0</v>
      </c>
    </row>
    <row r="147" spans="2:10" ht="29.25" customHeight="1" x14ac:dyDescent="0.3">
      <c r="B147" s="137"/>
      <c r="C147" s="418" t="s">
        <v>547</v>
      </c>
      <c r="D147" s="419"/>
      <c r="E147" s="185"/>
      <c r="F147" s="132"/>
      <c r="G147" s="133"/>
      <c r="H147" s="139">
        <f t="shared" si="8"/>
        <v>0</v>
      </c>
      <c r="I147" s="133"/>
      <c r="J147" s="182">
        <f t="shared" si="9"/>
        <v>0</v>
      </c>
    </row>
    <row r="148" spans="2:10" ht="15" customHeight="1" x14ac:dyDescent="0.3">
      <c r="B148" s="137"/>
      <c r="C148" s="171"/>
      <c r="D148" s="174"/>
      <c r="E148" s="185"/>
      <c r="F148" s="132"/>
      <c r="G148" s="133"/>
      <c r="H148" s="139">
        <f t="shared" si="8"/>
        <v>0</v>
      </c>
      <c r="I148" s="133"/>
      <c r="J148" s="182">
        <f t="shared" si="9"/>
        <v>0</v>
      </c>
    </row>
    <row r="149" spans="2:10" ht="16.5" x14ac:dyDescent="0.3">
      <c r="B149" s="199">
        <f>B145+0.01</f>
        <v>16.570000000000089</v>
      </c>
      <c r="C149" s="81"/>
      <c r="D149" s="71" t="s">
        <v>527</v>
      </c>
      <c r="E149" s="185">
        <v>1</v>
      </c>
      <c r="F149" s="181" t="s">
        <v>528</v>
      </c>
      <c r="G149" s="133"/>
      <c r="H149" s="139">
        <f t="shared" si="8"/>
        <v>0</v>
      </c>
      <c r="I149" s="133"/>
      <c r="J149" s="182">
        <f t="shared" si="9"/>
        <v>0</v>
      </c>
    </row>
    <row r="150" spans="2:10" ht="16.5" x14ac:dyDescent="0.3">
      <c r="B150" s="137"/>
      <c r="C150" s="81"/>
      <c r="E150" s="185"/>
      <c r="F150" s="132"/>
      <c r="G150" s="133"/>
      <c r="H150" s="139">
        <f t="shared" si="8"/>
        <v>0</v>
      </c>
      <c r="I150" s="133"/>
      <c r="J150" s="182">
        <f t="shared" si="9"/>
        <v>0</v>
      </c>
    </row>
    <row r="151" spans="2:10" ht="30.75" customHeight="1" x14ac:dyDescent="0.3">
      <c r="B151" s="137"/>
      <c r="C151" s="418" t="s">
        <v>548</v>
      </c>
      <c r="D151" s="419"/>
      <c r="E151" s="185"/>
      <c r="F151" s="132"/>
      <c r="G151" s="133"/>
      <c r="H151" s="139">
        <f t="shared" si="8"/>
        <v>0</v>
      </c>
      <c r="I151" s="133"/>
      <c r="J151" s="182">
        <f t="shared" si="9"/>
        <v>0</v>
      </c>
    </row>
    <row r="152" spans="2:10" ht="14.45" customHeight="1" x14ac:dyDescent="0.3">
      <c r="B152" s="137"/>
      <c r="C152" s="171"/>
      <c r="D152" s="174"/>
      <c r="E152" s="185"/>
      <c r="F152" s="132"/>
      <c r="G152" s="133"/>
      <c r="H152" s="139">
        <f t="shared" si="8"/>
        <v>0</v>
      </c>
      <c r="I152" s="133"/>
      <c r="J152" s="182">
        <f t="shared" si="9"/>
        <v>0</v>
      </c>
    </row>
    <row r="153" spans="2:10" ht="16.5" x14ac:dyDescent="0.3">
      <c r="B153" s="199">
        <f>B149+0.01</f>
        <v>16.580000000000091</v>
      </c>
      <c r="C153" s="81"/>
      <c r="D153" s="71" t="s">
        <v>527</v>
      </c>
      <c r="E153" s="185">
        <v>1</v>
      </c>
      <c r="F153" s="181" t="s">
        <v>528</v>
      </c>
      <c r="G153" s="133"/>
      <c r="H153" s="139">
        <f t="shared" si="8"/>
        <v>0</v>
      </c>
      <c r="I153" s="133"/>
      <c r="J153" s="182">
        <f t="shared" si="9"/>
        <v>0</v>
      </c>
    </row>
    <row r="154" spans="2:10" ht="16.5" x14ac:dyDescent="0.3">
      <c r="B154" s="137"/>
      <c r="C154" s="81"/>
      <c r="D154" s="160"/>
      <c r="E154" s="187"/>
      <c r="F154" s="188"/>
      <c r="G154" s="189"/>
      <c r="H154" s="184">
        <f t="shared" ref="H154:J154" si="11">C154*E154</f>
        <v>0</v>
      </c>
      <c r="I154" s="189"/>
      <c r="J154" s="184">
        <f t="shared" si="11"/>
        <v>0</v>
      </c>
    </row>
    <row r="155" spans="2:10" ht="16.5" x14ac:dyDescent="0.3">
      <c r="B155" s="137"/>
      <c r="C155" s="81"/>
      <c r="D155" s="232"/>
      <c r="E155" s="187"/>
      <c r="F155" s="188"/>
      <c r="G155" s="189"/>
      <c r="H155" s="182">
        <f>SUM(H117:H154)</f>
        <v>0</v>
      </c>
      <c r="I155" s="189"/>
      <c r="J155" s="182">
        <f>SUM(J117:J154)</f>
        <v>0</v>
      </c>
    </row>
    <row r="156" spans="2:10" ht="16.5" x14ac:dyDescent="0.3">
      <c r="B156" s="137"/>
      <c r="C156" s="81"/>
      <c r="D156" s="160"/>
      <c r="E156" s="187"/>
      <c r="F156" s="188"/>
      <c r="G156" s="189"/>
      <c r="H156" s="190"/>
      <c r="I156" s="189"/>
      <c r="J156" s="190"/>
    </row>
    <row r="157" spans="2:10" ht="16.5" x14ac:dyDescent="0.3">
      <c r="B157" s="137"/>
      <c r="C157" s="81"/>
      <c r="D157" s="160"/>
      <c r="E157" s="187"/>
      <c r="F157" s="188"/>
      <c r="G157" s="189"/>
      <c r="H157" s="139"/>
      <c r="I157" s="189"/>
      <c r="J157" s="139"/>
    </row>
    <row r="158" spans="2:10" ht="16.5" x14ac:dyDescent="0.3">
      <c r="B158" s="137"/>
      <c r="C158" s="73" t="s">
        <v>549</v>
      </c>
      <c r="D158" s="160"/>
      <c r="E158" s="187"/>
      <c r="F158" s="188"/>
      <c r="G158" s="189"/>
      <c r="H158" s="189"/>
      <c r="I158" s="189"/>
      <c r="J158" s="139"/>
    </row>
    <row r="159" spans="2:10" ht="16.5" x14ac:dyDescent="0.3">
      <c r="B159" s="137"/>
      <c r="C159" s="74"/>
      <c r="D159" s="160"/>
      <c r="E159" s="187"/>
      <c r="F159" s="188"/>
      <c r="G159" s="189"/>
      <c r="H159" s="189"/>
      <c r="I159" s="189"/>
      <c r="J159" s="139"/>
    </row>
    <row r="160" spans="2:10" ht="16.5" x14ac:dyDescent="0.3">
      <c r="B160" s="137"/>
      <c r="C160" s="159" t="s">
        <v>550</v>
      </c>
      <c r="D160" s="160"/>
      <c r="E160" s="187"/>
      <c r="F160" s="188"/>
      <c r="G160" s="189"/>
      <c r="H160" s="189"/>
      <c r="I160" s="189"/>
      <c r="J160" s="139"/>
    </row>
    <row r="161" spans="2:10" ht="16.5" x14ac:dyDescent="0.3">
      <c r="B161" s="137"/>
      <c r="C161" s="74"/>
      <c r="D161" s="160"/>
      <c r="E161" s="187"/>
      <c r="F161" s="188"/>
      <c r="G161" s="189"/>
      <c r="H161" s="189"/>
      <c r="I161" s="189"/>
      <c r="J161" s="139"/>
    </row>
    <row r="162" spans="2:10" ht="16.5" x14ac:dyDescent="0.3">
      <c r="B162" s="137"/>
      <c r="C162" s="74" t="s">
        <v>551</v>
      </c>
      <c r="D162" s="160"/>
      <c r="E162" s="187"/>
      <c r="F162" s="188"/>
      <c r="G162" s="189"/>
      <c r="H162" s="189"/>
      <c r="I162" s="189"/>
      <c r="J162" s="139"/>
    </row>
    <row r="163" spans="2:10" ht="16.5" x14ac:dyDescent="0.3">
      <c r="B163" s="137"/>
      <c r="C163" s="74"/>
      <c r="D163" s="160"/>
      <c r="E163" s="187"/>
      <c r="F163" s="188"/>
      <c r="G163" s="189"/>
      <c r="H163" s="189"/>
      <c r="I163" s="189"/>
      <c r="J163" s="139"/>
    </row>
    <row r="164" spans="2:10" ht="16.5" x14ac:dyDescent="0.3">
      <c r="B164" s="199">
        <f>B153+0.01</f>
        <v>16.590000000000092</v>
      </c>
      <c r="C164" s="74"/>
      <c r="D164" s="112" t="s">
        <v>527</v>
      </c>
      <c r="E164" s="191">
        <v>1</v>
      </c>
      <c r="F164" s="132" t="s">
        <v>528</v>
      </c>
      <c r="G164" s="133"/>
      <c r="H164" s="139">
        <f t="shared" ref="H164:H201" si="12">E164*G164</f>
        <v>0</v>
      </c>
      <c r="I164" s="133"/>
      <c r="J164" s="182">
        <f t="shared" ref="J164:J201" si="13">E164*I164</f>
        <v>0</v>
      </c>
    </row>
    <row r="165" spans="2:10" ht="16.5" x14ac:dyDescent="0.3">
      <c r="B165" s="140"/>
      <c r="C165" s="74"/>
      <c r="D165" s="160"/>
      <c r="E165" s="187"/>
      <c r="F165" s="188"/>
      <c r="G165" s="189"/>
      <c r="H165" s="139">
        <f t="shared" si="12"/>
        <v>0</v>
      </c>
      <c r="I165" s="133"/>
      <c r="J165" s="182">
        <f t="shared" si="13"/>
        <v>0</v>
      </c>
    </row>
    <row r="166" spans="2:10" ht="16.5" x14ac:dyDescent="0.3">
      <c r="B166" s="77"/>
      <c r="C166" s="432" t="s">
        <v>634</v>
      </c>
      <c r="D166" s="433"/>
      <c r="E166" s="161"/>
      <c r="F166" s="78"/>
      <c r="G166" s="182"/>
      <c r="H166" s="139">
        <f t="shared" si="12"/>
        <v>0</v>
      </c>
      <c r="I166" s="133"/>
      <c r="J166" s="182">
        <f t="shared" si="13"/>
        <v>0</v>
      </c>
    </row>
    <row r="167" spans="2:10" ht="16.5" x14ac:dyDescent="0.3">
      <c r="B167" s="77"/>
      <c r="C167" s="74"/>
      <c r="D167" s="160"/>
      <c r="E167" s="161"/>
      <c r="F167" s="78"/>
      <c r="G167" s="182"/>
      <c r="H167" s="139">
        <f t="shared" si="12"/>
        <v>0</v>
      </c>
      <c r="I167" s="133"/>
      <c r="J167" s="182">
        <f t="shared" si="13"/>
        <v>0</v>
      </c>
    </row>
    <row r="168" spans="2:10" ht="27.95" customHeight="1" x14ac:dyDescent="0.3">
      <c r="B168" s="77"/>
      <c r="C168" s="418" t="s">
        <v>633</v>
      </c>
      <c r="D168" s="419"/>
      <c r="E168" s="161"/>
      <c r="F168" s="78"/>
      <c r="G168" s="182"/>
      <c r="H168" s="139">
        <f t="shared" si="12"/>
        <v>0</v>
      </c>
      <c r="I168" s="133"/>
      <c r="J168" s="182">
        <f t="shared" si="13"/>
        <v>0</v>
      </c>
    </row>
    <row r="169" spans="2:10" ht="16.5" x14ac:dyDescent="0.3">
      <c r="B169" s="77"/>
      <c r="C169" s="74"/>
      <c r="D169" s="160"/>
      <c r="E169" s="161"/>
      <c r="F169" s="78"/>
      <c r="G169" s="182"/>
      <c r="H169" s="139">
        <f t="shared" si="12"/>
        <v>0</v>
      </c>
      <c r="I169" s="133"/>
      <c r="J169" s="182">
        <f t="shared" si="13"/>
        <v>0</v>
      </c>
    </row>
    <row r="170" spans="2:10" ht="16.5" x14ac:dyDescent="0.3">
      <c r="B170" s="172">
        <f>B164+0.01</f>
        <v>16.600000000000094</v>
      </c>
      <c r="C170" s="74"/>
      <c r="D170" s="112" t="s">
        <v>527</v>
      </c>
      <c r="E170" s="162">
        <v>1</v>
      </c>
      <c r="F170" s="75" t="s">
        <v>528</v>
      </c>
      <c r="G170" s="182"/>
      <c r="H170" s="139">
        <f t="shared" si="12"/>
        <v>0</v>
      </c>
      <c r="I170" s="133"/>
      <c r="J170" s="182">
        <f t="shared" si="13"/>
        <v>0</v>
      </c>
    </row>
    <row r="171" spans="2:10" ht="16.5" x14ac:dyDescent="0.3">
      <c r="B171" s="140"/>
      <c r="C171" s="74"/>
      <c r="D171" s="160"/>
      <c r="E171" s="188"/>
      <c r="F171" s="189"/>
      <c r="G171" s="182"/>
      <c r="H171" s="139">
        <f t="shared" si="12"/>
        <v>0</v>
      </c>
      <c r="I171" s="133"/>
      <c r="J171" s="182">
        <f t="shared" si="13"/>
        <v>0</v>
      </c>
    </row>
    <row r="172" spans="2:10" ht="16.5" x14ac:dyDescent="0.3">
      <c r="B172" s="77"/>
      <c r="C172" s="159" t="s">
        <v>554</v>
      </c>
      <c r="D172" s="160"/>
      <c r="E172" s="161"/>
      <c r="F172" s="78"/>
      <c r="G172" s="182"/>
      <c r="H172" s="139">
        <f t="shared" si="12"/>
        <v>0</v>
      </c>
      <c r="I172" s="133"/>
      <c r="J172" s="182">
        <f t="shared" si="13"/>
        <v>0</v>
      </c>
    </row>
    <row r="173" spans="2:10" ht="16.5" x14ac:dyDescent="0.3">
      <c r="B173" s="77"/>
      <c r="C173" s="74"/>
      <c r="D173" s="160"/>
      <c r="E173" s="161"/>
      <c r="F173" s="78"/>
      <c r="G173" s="182"/>
      <c r="H173" s="139">
        <f t="shared" si="12"/>
        <v>0</v>
      </c>
      <c r="I173" s="133"/>
      <c r="J173" s="182">
        <f t="shared" si="13"/>
        <v>0</v>
      </c>
    </row>
    <row r="174" spans="2:10" ht="30.95" customHeight="1" x14ac:dyDescent="0.3">
      <c r="B174" s="166"/>
      <c r="C174" s="420" t="s">
        <v>558</v>
      </c>
      <c r="D174" s="421"/>
      <c r="E174" s="161"/>
      <c r="F174" s="78"/>
      <c r="G174" s="182"/>
      <c r="H174" s="139">
        <f t="shared" si="12"/>
        <v>0</v>
      </c>
      <c r="I174" s="133"/>
      <c r="J174" s="182">
        <f t="shared" si="13"/>
        <v>0</v>
      </c>
    </row>
    <row r="175" spans="2:10" ht="12.95" customHeight="1" x14ac:dyDescent="0.3">
      <c r="B175" s="166"/>
      <c r="C175" s="170"/>
      <c r="D175" s="158"/>
      <c r="E175" s="161"/>
      <c r="F175" s="78"/>
      <c r="G175" s="182"/>
      <c r="H175" s="139">
        <f t="shared" si="12"/>
        <v>0</v>
      </c>
      <c r="I175" s="133"/>
      <c r="J175" s="182">
        <f t="shared" si="13"/>
        <v>0</v>
      </c>
    </row>
    <row r="176" spans="2:10" ht="16.5" x14ac:dyDescent="0.3">
      <c r="B176" s="173">
        <f>B170+0.01</f>
        <v>16.610000000000095</v>
      </c>
      <c r="C176" s="74"/>
      <c r="D176" s="112" t="s">
        <v>527</v>
      </c>
      <c r="E176" s="162">
        <v>1</v>
      </c>
      <c r="F176" s="75" t="s">
        <v>528</v>
      </c>
      <c r="G176" s="182"/>
      <c r="H176" s="139">
        <f t="shared" si="12"/>
        <v>0</v>
      </c>
      <c r="I176" s="133"/>
      <c r="J176" s="182">
        <f t="shared" si="13"/>
        <v>0</v>
      </c>
    </row>
    <row r="177" spans="2:10" ht="16.5" x14ac:dyDescent="0.3">
      <c r="B177" s="140"/>
      <c r="C177" s="74"/>
      <c r="D177" s="160"/>
      <c r="E177" s="188"/>
      <c r="F177" s="189"/>
      <c r="G177" s="182"/>
      <c r="H177" s="139">
        <f t="shared" si="12"/>
        <v>0</v>
      </c>
      <c r="I177" s="133"/>
      <c r="J177" s="182">
        <f t="shared" si="13"/>
        <v>0</v>
      </c>
    </row>
    <row r="178" spans="2:10" ht="16.5" x14ac:dyDescent="0.3">
      <c r="B178" s="140"/>
      <c r="C178" s="159" t="s">
        <v>552</v>
      </c>
      <c r="D178" s="160"/>
      <c r="E178" s="188"/>
      <c r="F178" s="189"/>
      <c r="G178" s="182"/>
      <c r="H178" s="139">
        <f t="shared" si="12"/>
        <v>0</v>
      </c>
      <c r="I178" s="133"/>
      <c r="J178" s="182">
        <f t="shared" si="13"/>
        <v>0</v>
      </c>
    </row>
    <row r="179" spans="2:10" ht="16.5" x14ac:dyDescent="0.3">
      <c r="B179" s="140"/>
      <c r="C179" s="74"/>
      <c r="D179" s="160"/>
      <c r="E179" s="187"/>
      <c r="F179" s="188"/>
      <c r="G179" s="189"/>
      <c r="H179" s="139">
        <f t="shared" si="12"/>
        <v>0</v>
      </c>
      <c r="I179" s="133"/>
      <c r="J179" s="182">
        <f t="shared" si="13"/>
        <v>0</v>
      </c>
    </row>
    <row r="180" spans="2:10" ht="16.5" x14ac:dyDescent="0.3">
      <c r="B180" s="140"/>
      <c r="C180" s="74" t="s">
        <v>553</v>
      </c>
      <c r="D180" s="160"/>
      <c r="E180" s="187"/>
      <c r="F180" s="188"/>
      <c r="G180" s="189"/>
      <c r="H180" s="139">
        <f t="shared" si="12"/>
        <v>0</v>
      </c>
      <c r="I180" s="133"/>
      <c r="J180" s="182">
        <f t="shared" si="13"/>
        <v>0</v>
      </c>
    </row>
    <row r="181" spans="2:10" ht="16.5" x14ac:dyDescent="0.3">
      <c r="B181" s="140"/>
      <c r="C181" s="74"/>
      <c r="D181" s="160"/>
      <c r="E181" s="187"/>
      <c r="F181" s="188"/>
      <c r="G181" s="189"/>
      <c r="H181" s="139">
        <f t="shared" si="12"/>
        <v>0</v>
      </c>
      <c r="I181" s="133"/>
      <c r="J181" s="182">
        <f t="shared" si="13"/>
        <v>0</v>
      </c>
    </row>
    <row r="182" spans="2:10" ht="16.5" x14ac:dyDescent="0.3">
      <c r="B182" s="199">
        <f>B176+0.01</f>
        <v>16.620000000000097</v>
      </c>
      <c r="C182" s="74"/>
      <c r="D182" s="112" t="s">
        <v>527</v>
      </c>
      <c r="E182" s="191">
        <v>1</v>
      </c>
      <c r="F182" s="132" t="s">
        <v>528</v>
      </c>
      <c r="G182" s="189"/>
      <c r="H182" s="139">
        <f t="shared" si="12"/>
        <v>0</v>
      </c>
      <c r="I182" s="133"/>
      <c r="J182" s="182">
        <f t="shared" si="13"/>
        <v>0</v>
      </c>
    </row>
    <row r="183" spans="2:10" ht="16.5" x14ac:dyDescent="0.3">
      <c r="B183" s="140"/>
      <c r="C183" s="74"/>
      <c r="D183" s="160"/>
      <c r="E183" s="187"/>
      <c r="F183" s="188"/>
      <c r="G183" s="189"/>
      <c r="H183" s="139">
        <f t="shared" si="12"/>
        <v>0</v>
      </c>
      <c r="I183" s="133"/>
      <c r="J183" s="182">
        <f t="shared" si="13"/>
        <v>0</v>
      </c>
    </row>
    <row r="184" spans="2:10" ht="16.5" x14ac:dyDescent="0.3">
      <c r="B184" s="140"/>
      <c r="C184" s="159" t="s">
        <v>624</v>
      </c>
      <c r="D184" s="160"/>
      <c r="E184" s="187"/>
      <c r="F184" s="188"/>
      <c r="G184" s="189"/>
      <c r="H184" s="139">
        <f t="shared" si="12"/>
        <v>0</v>
      </c>
      <c r="I184" s="133"/>
      <c r="J184" s="182">
        <f t="shared" si="13"/>
        <v>0</v>
      </c>
    </row>
    <row r="185" spans="2:10" ht="16.5" x14ac:dyDescent="0.3">
      <c r="B185" s="140"/>
      <c r="C185" s="74"/>
      <c r="D185" s="160"/>
      <c r="E185" s="187"/>
      <c r="F185" s="188"/>
      <c r="G185" s="189"/>
      <c r="H185" s="139">
        <f t="shared" si="12"/>
        <v>0</v>
      </c>
      <c r="I185" s="133"/>
      <c r="J185" s="182">
        <f t="shared" si="13"/>
        <v>0</v>
      </c>
    </row>
    <row r="186" spans="2:10" ht="16.5" x14ac:dyDescent="0.3">
      <c r="B186" s="140"/>
      <c r="C186" s="74" t="s">
        <v>625</v>
      </c>
      <c r="D186" s="160"/>
      <c r="E186" s="187"/>
      <c r="F186" s="188"/>
      <c r="G186" s="189"/>
      <c r="H186" s="139">
        <f t="shared" si="12"/>
        <v>0</v>
      </c>
      <c r="I186" s="133"/>
      <c r="J186" s="182">
        <f t="shared" si="13"/>
        <v>0</v>
      </c>
    </row>
    <row r="187" spans="2:10" ht="16.5" x14ac:dyDescent="0.3">
      <c r="B187" s="140"/>
      <c r="C187" s="74"/>
      <c r="D187" s="160"/>
      <c r="E187" s="187"/>
      <c r="F187" s="188"/>
      <c r="G187" s="189"/>
      <c r="H187" s="139">
        <f t="shared" si="12"/>
        <v>0</v>
      </c>
      <c r="I187" s="133"/>
      <c r="J187" s="182">
        <f t="shared" si="13"/>
        <v>0</v>
      </c>
    </row>
    <row r="188" spans="2:10" ht="16.5" x14ac:dyDescent="0.3">
      <c r="B188" s="199">
        <f>B182+0.01</f>
        <v>16.630000000000098</v>
      </c>
      <c r="C188" s="74"/>
      <c r="D188" s="112" t="s">
        <v>527</v>
      </c>
      <c r="E188" s="191">
        <v>1</v>
      </c>
      <c r="F188" s="132" t="s">
        <v>528</v>
      </c>
      <c r="G188" s="189"/>
      <c r="H188" s="139">
        <f t="shared" si="12"/>
        <v>0</v>
      </c>
      <c r="I188" s="133"/>
      <c r="J188" s="182">
        <f t="shared" si="13"/>
        <v>0</v>
      </c>
    </row>
    <row r="189" spans="2:10" ht="16.5" x14ac:dyDescent="0.3">
      <c r="B189" s="140"/>
      <c r="C189" s="74"/>
      <c r="D189" s="160"/>
      <c r="E189" s="187"/>
      <c r="F189" s="188"/>
      <c r="G189" s="189"/>
      <c r="H189" s="139">
        <f t="shared" si="12"/>
        <v>0</v>
      </c>
      <c r="I189" s="133"/>
      <c r="J189" s="182">
        <f t="shared" si="13"/>
        <v>0</v>
      </c>
    </row>
    <row r="190" spans="2:10" ht="16.5" x14ac:dyDescent="0.3">
      <c r="B190" s="140"/>
      <c r="C190" s="159" t="s">
        <v>554</v>
      </c>
      <c r="D190" s="160"/>
      <c r="E190" s="187"/>
      <c r="F190" s="188"/>
      <c r="G190" s="189"/>
      <c r="H190" s="139">
        <f t="shared" si="12"/>
        <v>0</v>
      </c>
      <c r="I190" s="133"/>
      <c r="J190" s="182">
        <f t="shared" si="13"/>
        <v>0</v>
      </c>
    </row>
    <row r="191" spans="2:10" ht="16.5" x14ac:dyDescent="0.3">
      <c r="B191" s="140"/>
      <c r="C191" s="74"/>
      <c r="D191" s="160"/>
      <c r="E191" s="187"/>
      <c r="F191" s="188"/>
      <c r="G191" s="189"/>
      <c r="H191" s="139">
        <f t="shared" si="12"/>
        <v>0</v>
      </c>
      <c r="I191" s="133"/>
      <c r="J191" s="182">
        <f t="shared" si="13"/>
        <v>0</v>
      </c>
    </row>
    <row r="192" spans="2:10" ht="16.5" x14ac:dyDescent="0.3">
      <c r="B192" s="138"/>
      <c r="C192" s="74" t="s">
        <v>555</v>
      </c>
      <c r="D192" s="160"/>
      <c r="E192" s="187"/>
      <c r="F192" s="188"/>
      <c r="G192" s="189"/>
      <c r="H192" s="139">
        <f t="shared" si="12"/>
        <v>0</v>
      </c>
      <c r="I192" s="133"/>
      <c r="J192" s="182">
        <f t="shared" si="13"/>
        <v>0</v>
      </c>
    </row>
    <row r="193" spans="2:10" ht="16.5" x14ac:dyDescent="0.3">
      <c r="B193" s="138"/>
      <c r="C193" s="74"/>
      <c r="D193" s="160"/>
      <c r="E193" s="187"/>
      <c r="F193" s="188"/>
      <c r="G193" s="189"/>
      <c r="H193" s="139">
        <f t="shared" si="12"/>
        <v>0</v>
      </c>
      <c r="I193" s="133"/>
      <c r="J193" s="182">
        <f t="shared" si="13"/>
        <v>0</v>
      </c>
    </row>
    <row r="194" spans="2:10" ht="16.5" x14ac:dyDescent="0.3">
      <c r="B194" s="199">
        <f>B188+0.01</f>
        <v>16.6400000000001</v>
      </c>
      <c r="C194" s="74"/>
      <c r="D194" s="112" t="s">
        <v>527</v>
      </c>
      <c r="E194" s="191">
        <v>1</v>
      </c>
      <c r="F194" s="132" t="s">
        <v>528</v>
      </c>
      <c r="G194" s="189"/>
      <c r="H194" s="139">
        <f t="shared" si="12"/>
        <v>0</v>
      </c>
      <c r="I194" s="133"/>
      <c r="J194" s="182">
        <f t="shared" si="13"/>
        <v>0</v>
      </c>
    </row>
    <row r="195" spans="2:10" ht="16.5" x14ac:dyDescent="0.3">
      <c r="B195" s="140"/>
      <c r="C195" s="74"/>
      <c r="D195" s="160"/>
      <c r="E195" s="187"/>
      <c r="F195" s="188"/>
      <c r="G195" s="189"/>
      <c r="H195" s="139">
        <f t="shared" si="12"/>
        <v>0</v>
      </c>
      <c r="I195" s="133"/>
      <c r="J195" s="182">
        <f t="shared" si="13"/>
        <v>0</v>
      </c>
    </row>
    <row r="196" spans="2:10" ht="16.5" x14ac:dyDescent="0.3">
      <c r="B196" s="140"/>
      <c r="C196" s="159" t="s">
        <v>529</v>
      </c>
      <c r="D196" s="160"/>
      <c r="E196" s="187"/>
      <c r="F196" s="188"/>
      <c r="G196" s="189"/>
      <c r="H196" s="139">
        <f t="shared" si="12"/>
        <v>0</v>
      </c>
      <c r="I196" s="133"/>
      <c r="J196" s="182">
        <f t="shared" si="13"/>
        <v>0</v>
      </c>
    </row>
    <row r="197" spans="2:10" ht="16.5" x14ac:dyDescent="0.3">
      <c r="B197" s="140"/>
      <c r="C197" s="74"/>
      <c r="D197" s="160"/>
      <c r="E197" s="187"/>
      <c r="F197" s="188"/>
      <c r="G197" s="189"/>
      <c r="H197" s="139">
        <f t="shared" si="12"/>
        <v>0</v>
      </c>
      <c r="I197" s="133"/>
      <c r="J197" s="182">
        <f t="shared" si="13"/>
        <v>0</v>
      </c>
    </row>
    <row r="198" spans="2:10" ht="35.25" customHeight="1" x14ac:dyDescent="0.3">
      <c r="B198" s="140"/>
      <c r="C198" s="422" t="s">
        <v>629</v>
      </c>
      <c r="D198" s="423"/>
      <c r="E198" s="187"/>
      <c r="F198" s="188"/>
      <c r="G198" s="189"/>
      <c r="H198" s="139">
        <f t="shared" si="12"/>
        <v>0</v>
      </c>
      <c r="I198" s="133"/>
      <c r="J198" s="182">
        <f t="shared" si="13"/>
        <v>0</v>
      </c>
    </row>
    <row r="199" spans="2:10" ht="15.6" customHeight="1" x14ac:dyDescent="0.3">
      <c r="B199" s="140"/>
      <c r="C199" s="165"/>
      <c r="D199" s="167"/>
      <c r="E199" s="187"/>
      <c r="F199" s="188"/>
      <c r="G199" s="189"/>
      <c r="H199" s="139">
        <f t="shared" si="12"/>
        <v>0</v>
      </c>
      <c r="I199" s="133"/>
      <c r="J199" s="182">
        <f t="shared" si="13"/>
        <v>0</v>
      </c>
    </row>
    <row r="200" spans="2:10" ht="16.5" x14ac:dyDescent="0.3">
      <c r="B200" s="199">
        <f>B194+0.01</f>
        <v>16.650000000000102</v>
      </c>
      <c r="C200" s="74"/>
      <c r="D200" s="112" t="s">
        <v>527</v>
      </c>
      <c r="E200" s="191">
        <v>1</v>
      </c>
      <c r="F200" s="132" t="s">
        <v>528</v>
      </c>
      <c r="G200" s="133"/>
      <c r="H200" s="139">
        <f t="shared" si="12"/>
        <v>0</v>
      </c>
      <c r="I200" s="133"/>
      <c r="J200" s="182">
        <f t="shared" si="13"/>
        <v>0</v>
      </c>
    </row>
    <row r="201" spans="2:10" ht="16.5" x14ac:dyDescent="0.3">
      <c r="B201" s="137"/>
      <c r="C201" s="73"/>
      <c r="D201" s="112"/>
      <c r="E201" s="132"/>
      <c r="F201" s="132"/>
      <c r="G201" s="133"/>
      <c r="H201" s="139">
        <f t="shared" si="12"/>
        <v>0</v>
      </c>
      <c r="I201" s="133"/>
      <c r="J201" s="182">
        <f t="shared" si="13"/>
        <v>0</v>
      </c>
    </row>
    <row r="202" spans="2:10" ht="17.25" thickBot="1" x14ac:dyDescent="0.35">
      <c r="B202" s="141"/>
      <c r="C202" s="86"/>
      <c r="D202" s="87"/>
      <c r="E202" s="192"/>
      <c r="F202" s="192"/>
      <c r="G202" s="193"/>
      <c r="H202" s="139" t="str">
        <f>IF(E202="","",E202*C202)</f>
        <v/>
      </c>
      <c r="I202" s="133"/>
      <c r="J202" s="139" t="str">
        <f>IF(G202="","",G202*E202)</f>
        <v/>
      </c>
    </row>
    <row r="203" spans="2:10" ht="30.75" customHeight="1" thickBot="1" x14ac:dyDescent="0.35">
      <c r="B203" s="134"/>
      <c r="E203" s="142"/>
      <c r="F203" s="143"/>
      <c r="G203" s="194" t="s">
        <v>4</v>
      </c>
      <c r="H203" s="195">
        <f>SUM(H155:H202)</f>
        <v>0</v>
      </c>
      <c r="I203" s="194"/>
      <c r="J203" s="195">
        <f>SUM(J155:J202)</f>
        <v>0</v>
      </c>
    </row>
  </sheetData>
  <mergeCells count="15">
    <mergeCell ref="C19:D19"/>
    <mergeCell ref="C7:D7"/>
    <mergeCell ref="C8:D8"/>
    <mergeCell ref="C9:D9"/>
    <mergeCell ref="C15:D15"/>
    <mergeCell ref="C17:D17"/>
    <mergeCell ref="C198:D198"/>
    <mergeCell ref="C55:D55"/>
    <mergeCell ref="C57:D57"/>
    <mergeCell ref="C59:D59"/>
    <mergeCell ref="C147:D147"/>
    <mergeCell ref="C151:D151"/>
    <mergeCell ref="C174:D174"/>
    <mergeCell ref="C166:D166"/>
    <mergeCell ref="C168:D168"/>
  </mergeCells>
  <pageMargins left="0.70866141732283472" right="0.70866141732283472" top="0.74803149606299213" bottom="0.74803149606299213" header="0.31496062992125984" footer="0.31496062992125984"/>
  <pageSetup paperSize="9" scale="59"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D44C9-F384-45B4-8A47-CAFFE715144C}">
  <sheetPr>
    <pageSetUpPr fitToPage="1"/>
  </sheetPr>
  <dimension ref="B1:J95"/>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Summary!D41</f>
        <v>Sanitary Fittings</v>
      </c>
      <c r="I3" s="100">
        <f>+Summary!G3</f>
        <v>45614</v>
      </c>
    </row>
    <row r="4" spans="2:9" ht="13.5" customHeight="1" thickBot="1" x14ac:dyDescent="0.3">
      <c r="B4" s="86">
        <v>17</v>
      </c>
      <c r="C4" s="101"/>
      <c r="D4" s="101"/>
      <c r="E4" s="102"/>
      <c r="F4" s="102"/>
      <c r="G4" s="102"/>
      <c r="H4" s="101"/>
      <c r="I4" s="103"/>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 t="shared" ref="I6:I94" si="0">IF(H6="","",H6*E6)</f>
        <v/>
      </c>
    </row>
    <row r="7" spans="2:9" ht="77.25" customHeight="1" x14ac:dyDescent="0.25">
      <c r="B7" s="72"/>
      <c r="C7" s="422" t="s">
        <v>658</v>
      </c>
      <c r="D7" s="423"/>
      <c r="E7" s="75"/>
      <c r="F7" s="75"/>
      <c r="G7" s="75"/>
      <c r="H7" s="76"/>
      <c r="I7" s="76" t="str">
        <f t="shared" si="0"/>
        <v/>
      </c>
    </row>
    <row r="8" spans="2:9" ht="45" customHeight="1" x14ac:dyDescent="0.25">
      <c r="B8" s="72"/>
      <c r="C8" s="422" t="s">
        <v>575</v>
      </c>
      <c r="D8" s="423"/>
      <c r="E8" s="75"/>
      <c r="F8" s="75"/>
      <c r="G8" s="75"/>
      <c r="H8" s="76"/>
      <c r="I8" s="76"/>
    </row>
    <row r="9" spans="2:9" ht="15" customHeight="1" x14ac:dyDescent="0.25">
      <c r="B9" s="72"/>
      <c r="C9" s="422" t="s">
        <v>780</v>
      </c>
      <c r="D9" s="423"/>
      <c r="E9" s="75"/>
      <c r="F9" s="75"/>
      <c r="G9" s="75"/>
      <c r="H9" s="76"/>
      <c r="I9" s="76"/>
    </row>
    <row r="10" spans="2:9" ht="15.6" customHeight="1" x14ac:dyDescent="0.25">
      <c r="B10" s="72"/>
      <c r="C10" s="422" t="s">
        <v>1042</v>
      </c>
      <c r="D10" s="423"/>
      <c r="E10" s="75"/>
      <c r="F10" s="75"/>
      <c r="G10" s="75"/>
      <c r="H10" s="76"/>
      <c r="I10" s="76"/>
    </row>
    <row r="11" spans="2:9" ht="15.6" customHeight="1" x14ac:dyDescent="0.25">
      <c r="B11" s="72"/>
      <c r="C11" s="165"/>
      <c r="D11" s="167"/>
      <c r="E11" s="75"/>
      <c r="F11" s="75"/>
      <c r="G11" s="75"/>
      <c r="H11" s="76"/>
      <c r="I11" s="76"/>
    </row>
    <row r="12" spans="2:9" ht="15.6" customHeight="1" x14ac:dyDescent="0.25">
      <c r="B12" s="72"/>
      <c r="C12" s="350" t="s">
        <v>815</v>
      </c>
      <c r="D12" s="167"/>
      <c r="E12" s="75"/>
      <c r="F12" s="75"/>
      <c r="G12" s="75"/>
      <c r="H12" s="76"/>
      <c r="I12" s="76"/>
    </row>
    <row r="13" spans="2:9" x14ac:dyDescent="0.25">
      <c r="B13" s="72"/>
      <c r="C13" s="84"/>
      <c r="D13" s="82"/>
      <c r="E13" s="75"/>
      <c r="F13" s="75"/>
      <c r="G13" s="75"/>
      <c r="H13" s="76"/>
      <c r="I13" s="76"/>
    </row>
    <row r="14" spans="2:9" x14ac:dyDescent="0.25">
      <c r="B14" s="72"/>
      <c r="C14" s="175" t="s">
        <v>785</v>
      </c>
      <c r="D14" s="82"/>
      <c r="E14" s="109"/>
      <c r="F14" s="109"/>
      <c r="G14" s="75"/>
      <c r="H14" s="76"/>
      <c r="I14" s="76"/>
    </row>
    <row r="15" spans="2:9" x14ac:dyDescent="0.25">
      <c r="B15" s="72"/>
      <c r="C15" s="342"/>
      <c r="D15" s="82"/>
      <c r="E15" s="109"/>
      <c r="F15" s="109"/>
      <c r="G15" s="75"/>
      <c r="H15" s="76"/>
      <c r="I15" s="76"/>
    </row>
    <row r="16" spans="2:9" ht="77.25" customHeight="1" x14ac:dyDescent="0.25">
      <c r="B16" s="72"/>
      <c r="C16" s="422" t="s">
        <v>786</v>
      </c>
      <c r="D16" s="423"/>
      <c r="E16" s="109"/>
      <c r="F16" s="109"/>
      <c r="G16" s="75"/>
      <c r="H16" s="76"/>
      <c r="I16" s="76"/>
    </row>
    <row r="17" spans="2:9" x14ac:dyDescent="0.25">
      <c r="B17" s="72"/>
      <c r="C17" s="165"/>
      <c r="D17" s="167"/>
      <c r="E17" s="109"/>
      <c r="F17" s="109"/>
      <c r="G17" s="75"/>
      <c r="H17" s="76"/>
      <c r="I17" s="76"/>
    </row>
    <row r="18" spans="2:9" ht="36" customHeight="1" x14ac:dyDescent="0.25">
      <c r="B18" s="164">
        <f>B4+0.01</f>
        <v>17.010000000000002</v>
      </c>
      <c r="C18" s="73"/>
      <c r="D18" s="158" t="s">
        <v>787</v>
      </c>
      <c r="E18" s="343">
        <v>1</v>
      </c>
      <c r="F18" s="344">
        <v>1</v>
      </c>
      <c r="G18" s="128" t="s">
        <v>582</v>
      </c>
      <c r="H18" s="129"/>
      <c r="I18" s="130">
        <f>F18*H18</f>
        <v>0</v>
      </c>
    </row>
    <row r="19" spans="2:9" x14ac:dyDescent="0.25">
      <c r="B19" s="72"/>
      <c r="C19" s="84"/>
      <c r="D19" s="82"/>
      <c r="E19" s="75"/>
      <c r="F19" s="75"/>
      <c r="G19" s="75"/>
      <c r="H19" s="76"/>
      <c r="I19" s="76"/>
    </row>
    <row r="20" spans="2:9" x14ac:dyDescent="0.25">
      <c r="B20" s="72"/>
      <c r="C20" s="84"/>
      <c r="D20" s="82"/>
      <c r="E20" s="75"/>
      <c r="F20" s="75"/>
      <c r="G20" s="75"/>
      <c r="H20" s="76"/>
      <c r="I20" s="130">
        <f t="shared" ref="I20:I46" si="1">F20*H20</f>
        <v>0</v>
      </c>
    </row>
    <row r="21" spans="2:9" x14ac:dyDescent="0.25">
      <c r="B21" s="77"/>
      <c r="C21" s="73" t="s">
        <v>549</v>
      </c>
      <c r="D21" s="160"/>
      <c r="E21" s="161"/>
      <c r="F21" s="161"/>
      <c r="G21" s="78"/>
      <c r="H21" s="79"/>
      <c r="I21" s="130">
        <f t="shared" si="1"/>
        <v>0</v>
      </c>
    </row>
    <row r="22" spans="2:9" x14ac:dyDescent="0.25">
      <c r="B22" s="77"/>
      <c r="C22" s="74"/>
      <c r="D22" s="160"/>
      <c r="E22" s="161"/>
      <c r="F22" s="161"/>
      <c r="G22" s="78"/>
      <c r="H22" s="79"/>
      <c r="I22" s="130">
        <f t="shared" si="1"/>
        <v>0</v>
      </c>
    </row>
    <row r="23" spans="2:9" x14ac:dyDescent="0.25">
      <c r="B23" s="77"/>
      <c r="C23" s="159" t="s">
        <v>550</v>
      </c>
      <c r="D23" s="160"/>
      <c r="E23" s="161"/>
      <c r="F23" s="161"/>
      <c r="G23" s="78"/>
      <c r="H23" s="79"/>
      <c r="I23" s="130">
        <f t="shared" si="1"/>
        <v>0</v>
      </c>
    </row>
    <row r="24" spans="2:9" x14ac:dyDescent="0.25">
      <c r="B24" s="77"/>
      <c r="C24" s="74"/>
      <c r="D24" s="160"/>
      <c r="E24" s="161"/>
      <c r="F24" s="161"/>
      <c r="G24" s="78"/>
      <c r="H24" s="79"/>
      <c r="I24" s="130">
        <f t="shared" si="1"/>
        <v>0</v>
      </c>
    </row>
    <row r="25" spans="2:9" x14ac:dyDescent="0.25">
      <c r="B25" s="77"/>
      <c r="C25" s="74" t="s">
        <v>551</v>
      </c>
      <c r="D25" s="160"/>
      <c r="E25" s="161"/>
      <c r="F25" s="161"/>
      <c r="G25" s="78"/>
      <c r="H25" s="79"/>
      <c r="I25" s="130">
        <f t="shared" si="1"/>
        <v>0</v>
      </c>
    </row>
    <row r="26" spans="2:9" x14ac:dyDescent="0.25">
      <c r="B26" s="77"/>
      <c r="C26" s="74"/>
      <c r="D26" s="160"/>
      <c r="E26" s="161"/>
      <c r="F26" s="161"/>
      <c r="G26" s="78"/>
      <c r="H26" s="79"/>
      <c r="I26" s="130">
        <f t="shared" si="1"/>
        <v>0</v>
      </c>
    </row>
    <row r="27" spans="2:9" x14ac:dyDescent="0.25">
      <c r="B27" s="173">
        <f>B18+0.01</f>
        <v>17.020000000000003</v>
      </c>
      <c r="C27" s="74"/>
      <c r="D27" s="112" t="s">
        <v>527</v>
      </c>
      <c r="E27" s="162"/>
      <c r="F27" s="162">
        <v>1</v>
      </c>
      <c r="G27" s="75" t="s">
        <v>528</v>
      </c>
      <c r="H27" s="76"/>
      <c r="I27" s="130">
        <f t="shared" si="1"/>
        <v>0</v>
      </c>
    </row>
    <row r="28" spans="2:9" x14ac:dyDescent="0.25">
      <c r="B28" s="77"/>
      <c r="C28" s="74"/>
      <c r="D28" s="160"/>
      <c r="E28" s="161"/>
      <c r="F28" s="161"/>
      <c r="G28" s="78"/>
      <c r="H28" s="79"/>
      <c r="I28" s="130">
        <f t="shared" si="1"/>
        <v>0</v>
      </c>
    </row>
    <row r="29" spans="2:9" ht="15.75" x14ac:dyDescent="0.25">
      <c r="B29" s="77"/>
      <c r="C29" s="432" t="s">
        <v>634</v>
      </c>
      <c r="D29" s="433"/>
      <c r="E29" s="161"/>
      <c r="F29" s="161"/>
      <c r="G29" s="78"/>
      <c r="H29" s="79"/>
      <c r="I29" s="130">
        <f t="shared" si="1"/>
        <v>0</v>
      </c>
    </row>
    <row r="30" spans="2:9" x14ac:dyDescent="0.25">
      <c r="B30" s="77"/>
      <c r="C30" s="74"/>
      <c r="D30" s="160"/>
      <c r="E30" s="161"/>
      <c r="F30" s="161"/>
      <c r="G30" s="78"/>
      <c r="H30" s="79"/>
      <c r="I30" s="130">
        <f t="shared" si="1"/>
        <v>0</v>
      </c>
    </row>
    <row r="31" spans="2:9" ht="34.5" customHeight="1" x14ac:dyDescent="0.25">
      <c r="B31" s="77"/>
      <c r="C31" s="418" t="s">
        <v>650</v>
      </c>
      <c r="D31" s="419"/>
      <c r="E31" s="161"/>
      <c r="F31" s="161"/>
      <c r="G31" s="78"/>
      <c r="H31" s="79"/>
      <c r="I31" s="130">
        <f t="shared" si="1"/>
        <v>0</v>
      </c>
    </row>
    <row r="32" spans="2:9" ht="13.35" customHeight="1" x14ac:dyDescent="0.25">
      <c r="B32" s="77"/>
      <c r="C32" s="74"/>
      <c r="D32" s="160"/>
      <c r="E32" s="161"/>
      <c r="F32" s="161"/>
      <c r="G32" s="78"/>
      <c r="H32" s="79"/>
      <c r="I32" s="130">
        <f t="shared" si="1"/>
        <v>0</v>
      </c>
    </row>
    <row r="33" spans="2:10" x14ac:dyDescent="0.25">
      <c r="B33" s="172">
        <f>B27+0.01</f>
        <v>17.030000000000005</v>
      </c>
      <c r="C33" s="74"/>
      <c r="D33" s="112" t="s">
        <v>527</v>
      </c>
      <c r="E33" s="162"/>
      <c r="F33" s="162">
        <v>1</v>
      </c>
      <c r="G33" s="75" t="s">
        <v>528</v>
      </c>
      <c r="H33" s="76"/>
      <c r="I33" s="130">
        <f t="shared" si="1"/>
        <v>0</v>
      </c>
    </row>
    <row r="34" spans="2:10" x14ac:dyDescent="0.25">
      <c r="B34" s="77"/>
      <c r="C34" s="74"/>
      <c r="D34" s="160"/>
      <c r="E34" s="161"/>
      <c r="F34" s="161"/>
      <c r="G34" s="78"/>
      <c r="H34" s="79"/>
      <c r="I34" s="130">
        <f t="shared" si="1"/>
        <v>0</v>
      </c>
    </row>
    <row r="35" spans="2:10" x14ac:dyDescent="0.25">
      <c r="B35" s="77"/>
      <c r="C35" s="159" t="s">
        <v>556</v>
      </c>
      <c r="D35" s="160"/>
      <c r="E35" s="161"/>
      <c r="F35" s="161"/>
      <c r="G35" s="78"/>
      <c r="H35" s="79"/>
      <c r="I35" s="130">
        <f t="shared" si="1"/>
        <v>0</v>
      </c>
    </row>
    <row r="36" spans="2:10" x14ac:dyDescent="0.25">
      <c r="B36" s="77"/>
      <c r="C36" s="74"/>
      <c r="D36" s="160"/>
      <c r="E36" s="161"/>
      <c r="F36" s="161"/>
      <c r="G36" s="78"/>
      <c r="H36" s="79"/>
      <c r="I36" s="130">
        <f t="shared" si="1"/>
        <v>0</v>
      </c>
    </row>
    <row r="37" spans="2:10" ht="33.75" customHeight="1" x14ac:dyDescent="0.25">
      <c r="B37" s="77"/>
      <c r="C37" s="420" t="s">
        <v>557</v>
      </c>
      <c r="D37" s="421"/>
      <c r="E37" s="161"/>
      <c r="F37" s="161"/>
      <c r="G37" s="78"/>
      <c r="H37" s="79"/>
      <c r="I37" s="130">
        <f t="shared" si="1"/>
        <v>0</v>
      </c>
    </row>
    <row r="38" spans="2:10" ht="14.45" customHeight="1" x14ac:dyDescent="0.25">
      <c r="B38" s="77"/>
      <c r="C38" s="170"/>
      <c r="D38" s="158"/>
      <c r="E38" s="161"/>
      <c r="F38" s="161"/>
      <c r="G38" s="78"/>
      <c r="H38" s="79"/>
      <c r="I38" s="130">
        <f t="shared" si="1"/>
        <v>0</v>
      </c>
    </row>
    <row r="39" spans="2:10" x14ac:dyDescent="0.25">
      <c r="B39" s="173">
        <f>B33+0.01</f>
        <v>17.040000000000006</v>
      </c>
      <c r="C39" s="74"/>
      <c r="D39" s="112" t="s">
        <v>527</v>
      </c>
      <c r="E39" s="162"/>
      <c r="F39" s="162">
        <v>1</v>
      </c>
      <c r="G39" s="75" t="s">
        <v>528</v>
      </c>
      <c r="H39" s="76"/>
      <c r="I39" s="130">
        <f t="shared" si="1"/>
        <v>0</v>
      </c>
    </row>
    <row r="40" spans="2:10" x14ac:dyDescent="0.25">
      <c r="B40" s="77"/>
      <c r="C40" s="74"/>
      <c r="D40" s="160"/>
      <c r="E40" s="161"/>
      <c r="F40" s="161"/>
      <c r="G40" s="78"/>
      <c r="H40" s="79"/>
      <c r="I40" s="130">
        <f t="shared" si="1"/>
        <v>0</v>
      </c>
    </row>
    <row r="41" spans="2:10" x14ac:dyDescent="0.25">
      <c r="B41" s="72"/>
      <c r="C41" s="159" t="s">
        <v>529</v>
      </c>
      <c r="D41" s="82"/>
      <c r="E41" s="75"/>
      <c r="F41" s="75"/>
      <c r="G41" s="75"/>
      <c r="H41" s="122"/>
      <c r="I41" s="130">
        <f t="shared" si="1"/>
        <v>0</v>
      </c>
    </row>
    <row r="42" spans="2:10" x14ac:dyDescent="0.25">
      <c r="B42" s="72"/>
      <c r="C42" s="74"/>
      <c r="D42" s="82"/>
      <c r="E42" s="75"/>
      <c r="F42" s="75"/>
      <c r="G42" s="75"/>
      <c r="H42" s="122"/>
      <c r="I42" s="130">
        <f t="shared" si="1"/>
        <v>0</v>
      </c>
    </row>
    <row r="43" spans="2:10" ht="31.5" customHeight="1" x14ac:dyDescent="0.25">
      <c r="B43" s="72"/>
      <c r="C43" s="422" t="s">
        <v>629</v>
      </c>
      <c r="D43" s="423"/>
      <c r="E43" s="75"/>
      <c r="F43" s="75"/>
      <c r="G43" s="75"/>
      <c r="H43" s="122"/>
      <c r="I43" s="130">
        <f t="shared" si="1"/>
        <v>0</v>
      </c>
    </row>
    <row r="44" spans="2:10" ht="13.7" customHeight="1" x14ac:dyDescent="0.25">
      <c r="B44" s="72"/>
      <c r="C44" s="165"/>
      <c r="D44" s="82"/>
      <c r="E44" s="75"/>
      <c r="F44" s="75"/>
      <c r="G44" s="75"/>
      <c r="H44" s="122"/>
      <c r="I44" s="130">
        <f t="shared" si="1"/>
        <v>0</v>
      </c>
    </row>
    <row r="45" spans="2:10" x14ac:dyDescent="0.25">
      <c r="B45" s="172">
        <f>B39+0.01</f>
        <v>17.050000000000008</v>
      </c>
      <c r="C45" s="74"/>
      <c r="D45" s="155" t="s">
        <v>527</v>
      </c>
      <c r="E45" s="154"/>
      <c r="F45" s="154">
        <v>1</v>
      </c>
      <c r="G45" s="75" t="s">
        <v>528</v>
      </c>
      <c r="H45" s="122"/>
      <c r="I45" s="130">
        <f t="shared" si="1"/>
        <v>0</v>
      </c>
    </row>
    <row r="46" spans="2:10" ht="15.75" thickBot="1" x14ac:dyDescent="0.3">
      <c r="B46" s="72"/>
      <c r="C46" s="74"/>
      <c r="D46" s="111"/>
      <c r="E46" s="109"/>
      <c r="F46" s="109"/>
      <c r="G46" s="75"/>
      <c r="H46" s="76"/>
      <c r="I46" s="130">
        <f t="shared" si="1"/>
        <v>0</v>
      </c>
      <c r="J46" s="110"/>
    </row>
    <row r="47" spans="2:10" ht="15.75" thickBot="1" x14ac:dyDescent="0.3">
      <c r="B47" s="72"/>
      <c r="C47" s="74"/>
      <c r="D47" s="314" t="s">
        <v>1053</v>
      </c>
      <c r="E47" s="109"/>
      <c r="F47" s="162"/>
      <c r="G47" s="75"/>
      <c r="H47" s="382"/>
      <c r="I47" s="383">
        <f>SUM(I18:I46)</f>
        <v>0</v>
      </c>
      <c r="J47" s="110"/>
    </row>
    <row r="48" spans="2:10" x14ac:dyDescent="0.25">
      <c r="B48" s="72"/>
      <c r="C48" s="74"/>
      <c r="D48" s="111"/>
      <c r="E48" s="109"/>
      <c r="F48" s="162"/>
      <c r="G48" s="75"/>
      <c r="H48" s="76"/>
      <c r="I48" s="130"/>
      <c r="J48" s="110"/>
    </row>
    <row r="49" spans="2:10" ht="15" customHeight="1" x14ac:dyDescent="0.25">
      <c r="B49" s="72"/>
      <c r="C49" s="426" t="s">
        <v>816</v>
      </c>
      <c r="D49" s="427"/>
      <c r="E49" s="109"/>
      <c r="F49" s="162"/>
      <c r="G49" s="75"/>
      <c r="H49" s="76"/>
      <c r="I49" s="130"/>
      <c r="J49" s="110"/>
    </row>
    <row r="50" spans="2:10" x14ac:dyDescent="0.25">
      <c r="B50" s="72"/>
      <c r="C50" s="74"/>
      <c r="D50" s="111"/>
      <c r="E50" s="109"/>
      <c r="F50" s="109"/>
      <c r="G50" s="75"/>
      <c r="H50" s="76"/>
      <c r="I50" s="130"/>
      <c r="J50" s="110"/>
    </row>
    <row r="51" spans="2:10" x14ac:dyDescent="0.25">
      <c r="B51" s="72"/>
      <c r="C51" s="159" t="s">
        <v>1058</v>
      </c>
      <c r="D51" s="111"/>
      <c r="E51" s="109"/>
      <c r="F51" s="109"/>
      <c r="G51" s="75"/>
      <c r="H51" s="76"/>
      <c r="I51" s="130"/>
      <c r="J51" s="110"/>
    </row>
    <row r="52" spans="2:10" x14ac:dyDescent="0.25">
      <c r="B52" s="72"/>
      <c r="C52" s="74"/>
      <c r="D52" s="111"/>
      <c r="E52" s="109"/>
      <c r="F52" s="109"/>
      <c r="G52" s="75"/>
      <c r="H52" s="76"/>
      <c r="I52" s="130"/>
      <c r="J52" s="110"/>
    </row>
    <row r="53" spans="2:10" ht="60.75" customHeight="1" x14ac:dyDescent="0.25">
      <c r="B53" s="72"/>
      <c r="C53" s="418" t="s">
        <v>1060</v>
      </c>
      <c r="D53" s="419"/>
      <c r="E53" s="109"/>
      <c r="F53" s="109"/>
      <c r="G53" s="75"/>
      <c r="H53" s="76"/>
      <c r="I53" s="130"/>
      <c r="J53" s="110"/>
    </row>
    <row r="54" spans="2:10" x14ac:dyDescent="0.25">
      <c r="B54" s="72"/>
      <c r="C54" s="74"/>
      <c r="D54" s="111"/>
      <c r="E54" s="109"/>
      <c r="F54" s="109"/>
      <c r="G54" s="75"/>
      <c r="H54" s="76"/>
      <c r="I54" s="130"/>
      <c r="J54" s="110"/>
    </row>
    <row r="55" spans="2:10" x14ac:dyDescent="0.25">
      <c r="B55" s="172">
        <f>B45+0.01</f>
        <v>17.060000000000009</v>
      </c>
      <c r="C55" s="74"/>
      <c r="D55" s="82" t="s">
        <v>1059</v>
      </c>
      <c r="E55" s="343">
        <v>1</v>
      </c>
      <c r="F55" s="344">
        <v>1</v>
      </c>
      <c r="G55" s="128" t="s">
        <v>582</v>
      </c>
      <c r="H55" s="129"/>
      <c r="I55" s="130">
        <f t="shared" ref="I55:I93" si="2">F55*H55</f>
        <v>0</v>
      </c>
      <c r="J55" s="110"/>
    </row>
    <row r="56" spans="2:10" x14ac:dyDescent="0.25">
      <c r="B56" s="72"/>
      <c r="C56" s="74"/>
      <c r="D56" s="111"/>
      <c r="E56" s="109"/>
      <c r="F56" s="109"/>
      <c r="G56" s="75"/>
      <c r="H56" s="76"/>
      <c r="I56" s="130">
        <f t="shared" si="2"/>
        <v>0</v>
      </c>
      <c r="J56" s="110"/>
    </row>
    <row r="57" spans="2:10" ht="42.75" customHeight="1" x14ac:dyDescent="0.25">
      <c r="B57" s="72"/>
      <c r="C57" s="418" t="s">
        <v>1062</v>
      </c>
      <c r="D57" s="419"/>
      <c r="E57" s="109"/>
      <c r="F57" s="109"/>
      <c r="G57" s="75"/>
      <c r="H57" s="76"/>
      <c r="I57" s="130">
        <f t="shared" si="2"/>
        <v>0</v>
      </c>
      <c r="J57" s="110"/>
    </row>
    <row r="58" spans="2:10" x14ac:dyDescent="0.25">
      <c r="B58" s="72"/>
      <c r="C58" s="74"/>
      <c r="D58" s="111"/>
      <c r="E58" s="109"/>
      <c r="F58" s="109"/>
      <c r="G58" s="75"/>
      <c r="H58" s="76"/>
      <c r="I58" s="130">
        <f t="shared" si="2"/>
        <v>0</v>
      </c>
      <c r="J58" s="110"/>
    </row>
    <row r="59" spans="2:10" ht="30" x14ac:dyDescent="0.25">
      <c r="B59" s="72"/>
      <c r="C59" s="74"/>
      <c r="D59" s="82" t="s">
        <v>1061</v>
      </c>
      <c r="E59" s="343">
        <v>1</v>
      </c>
      <c r="F59" s="344">
        <v>1</v>
      </c>
      <c r="G59" s="128" t="s">
        <v>582</v>
      </c>
      <c r="H59" s="129"/>
      <c r="I59" s="130">
        <f t="shared" si="2"/>
        <v>0</v>
      </c>
      <c r="J59" s="110"/>
    </row>
    <row r="60" spans="2:10" x14ac:dyDescent="0.25">
      <c r="B60" s="72"/>
      <c r="C60" s="74"/>
      <c r="D60" s="111"/>
      <c r="E60" s="109"/>
      <c r="F60" s="109"/>
      <c r="G60" s="75"/>
      <c r="H60" s="76"/>
      <c r="I60" s="130">
        <f t="shared" si="2"/>
        <v>0</v>
      </c>
      <c r="J60" s="110"/>
    </row>
    <row r="61" spans="2:10" x14ac:dyDescent="0.25">
      <c r="B61" s="72"/>
      <c r="C61" s="175" t="s">
        <v>785</v>
      </c>
      <c r="D61" s="82"/>
      <c r="E61" s="109"/>
      <c r="F61" s="109"/>
      <c r="G61" s="75"/>
      <c r="H61" s="76"/>
      <c r="I61" s="130">
        <f t="shared" si="2"/>
        <v>0</v>
      </c>
      <c r="J61" s="110"/>
    </row>
    <row r="62" spans="2:10" x14ac:dyDescent="0.25">
      <c r="B62" s="72"/>
      <c r="C62" s="342"/>
      <c r="D62" s="82"/>
      <c r="E62" s="109"/>
      <c r="F62" s="109"/>
      <c r="G62" s="75"/>
      <c r="H62" s="76"/>
      <c r="I62" s="130">
        <f t="shared" si="2"/>
        <v>0</v>
      </c>
      <c r="J62" s="110"/>
    </row>
    <row r="63" spans="2:10" ht="78" customHeight="1" x14ac:dyDescent="0.25">
      <c r="B63" s="72"/>
      <c r="C63" s="422" t="s">
        <v>1063</v>
      </c>
      <c r="D63" s="423"/>
      <c r="E63" s="109"/>
      <c r="F63" s="109"/>
      <c r="G63" s="75"/>
      <c r="H63" s="76"/>
      <c r="I63" s="130">
        <f t="shared" si="2"/>
        <v>0</v>
      </c>
      <c r="J63" s="110"/>
    </row>
    <row r="64" spans="2:10" x14ac:dyDescent="0.25">
      <c r="B64" s="72"/>
      <c r="C64" s="165"/>
      <c r="D64" s="167"/>
      <c r="E64" s="109"/>
      <c r="F64" s="109"/>
      <c r="G64" s="75"/>
      <c r="H64" s="76"/>
      <c r="I64" s="130">
        <f t="shared" si="2"/>
        <v>0</v>
      </c>
      <c r="J64" s="110"/>
    </row>
    <row r="65" spans="2:10" ht="30" x14ac:dyDescent="0.25">
      <c r="B65" s="179">
        <f>B55+0.01</f>
        <v>17.070000000000011</v>
      </c>
      <c r="C65" s="73"/>
      <c r="D65" s="158" t="s">
        <v>787</v>
      </c>
      <c r="E65" s="343">
        <v>2</v>
      </c>
      <c r="F65" s="344">
        <v>2</v>
      </c>
      <c r="G65" s="128" t="s">
        <v>582</v>
      </c>
      <c r="H65" s="129"/>
      <c r="I65" s="130">
        <f t="shared" si="2"/>
        <v>0</v>
      </c>
      <c r="J65" s="110"/>
    </row>
    <row r="66" spans="2:10" x14ac:dyDescent="0.25">
      <c r="B66" s="72"/>
      <c r="C66" s="74"/>
      <c r="D66" s="111"/>
      <c r="E66" s="109"/>
      <c r="F66" s="109"/>
      <c r="G66" s="75"/>
      <c r="H66" s="76"/>
      <c r="I66" s="130">
        <f t="shared" si="2"/>
        <v>0</v>
      </c>
      <c r="J66" s="110"/>
    </row>
    <row r="67" spans="2:10" x14ac:dyDescent="0.25">
      <c r="B67" s="72"/>
      <c r="C67" s="74"/>
      <c r="D67" s="111"/>
      <c r="E67" s="109"/>
      <c r="F67" s="109"/>
      <c r="G67" s="75"/>
      <c r="H67" s="76"/>
      <c r="I67" s="130">
        <f t="shared" si="2"/>
        <v>0</v>
      </c>
      <c r="J67" s="110"/>
    </row>
    <row r="68" spans="2:10" x14ac:dyDescent="0.25">
      <c r="B68" s="77"/>
      <c r="C68" s="73" t="s">
        <v>549</v>
      </c>
      <c r="D68" s="160"/>
      <c r="E68" s="161"/>
      <c r="F68" s="161"/>
      <c r="G68" s="78"/>
      <c r="H68" s="79"/>
      <c r="I68" s="130">
        <f t="shared" si="2"/>
        <v>0</v>
      </c>
      <c r="J68" s="110"/>
    </row>
    <row r="69" spans="2:10" x14ac:dyDescent="0.25">
      <c r="B69" s="77"/>
      <c r="C69" s="74"/>
      <c r="D69" s="160"/>
      <c r="E69" s="161"/>
      <c r="F69" s="161"/>
      <c r="G69" s="78"/>
      <c r="H69" s="79"/>
      <c r="I69" s="130">
        <f t="shared" si="2"/>
        <v>0</v>
      </c>
      <c r="J69" s="110"/>
    </row>
    <row r="70" spans="2:10" x14ac:dyDescent="0.25">
      <c r="B70" s="77"/>
      <c r="C70" s="159" t="s">
        <v>550</v>
      </c>
      <c r="D70" s="160"/>
      <c r="E70" s="161"/>
      <c r="F70" s="161"/>
      <c r="G70" s="78"/>
      <c r="H70" s="79"/>
      <c r="I70" s="130">
        <f t="shared" si="2"/>
        <v>0</v>
      </c>
      <c r="J70" s="110"/>
    </row>
    <row r="71" spans="2:10" x14ac:dyDescent="0.25">
      <c r="B71" s="77"/>
      <c r="C71" s="74"/>
      <c r="D71" s="160"/>
      <c r="E71" s="161"/>
      <c r="F71" s="161"/>
      <c r="G71" s="78"/>
      <c r="H71" s="79"/>
      <c r="I71" s="130">
        <f t="shared" si="2"/>
        <v>0</v>
      </c>
      <c r="J71" s="110"/>
    </row>
    <row r="72" spans="2:10" x14ac:dyDescent="0.25">
      <c r="B72" s="77"/>
      <c r="C72" s="74" t="s">
        <v>551</v>
      </c>
      <c r="D72" s="160"/>
      <c r="E72" s="161"/>
      <c r="F72" s="161"/>
      <c r="G72" s="78"/>
      <c r="H72" s="79"/>
      <c r="I72" s="130">
        <f t="shared" si="2"/>
        <v>0</v>
      </c>
      <c r="J72" s="110"/>
    </row>
    <row r="73" spans="2:10" x14ac:dyDescent="0.25">
      <c r="B73" s="77"/>
      <c r="C73" s="74"/>
      <c r="D73" s="160"/>
      <c r="E73" s="161"/>
      <c r="F73" s="161"/>
      <c r="G73" s="78"/>
      <c r="H73" s="79"/>
      <c r="I73" s="130">
        <f t="shared" si="2"/>
        <v>0</v>
      </c>
      <c r="J73" s="110"/>
    </row>
    <row r="74" spans="2:10" x14ac:dyDescent="0.25">
      <c r="B74" s="173">
        <f>B65+0.01</f>
        <v>17.080000000000013</v>
      </c>
      <c r="C74" s="74"/>
      <c r="D74" s="112" t="s">
        <v>527</v>
      </c>
      <c r="E74" s="162"/>
      <c r="F74" s="162">
        <v>1</v>
      </c>
      <c r="G74" s="75" t="s">
        <v>528</v>
      </c>
      <c r="H74" s="76"/>
      <c r="I74" s="130">
        <f t="shared" si="2"/>
        <v>0</v>
      </c>
      <c r="J74" s="110"/>
    </row>
    <row r="75" spans="2:10" x14ac:dyDescent="0.25">
      <c r="B75" s="77"/>
      <c r="C75" s="74"/>
      <c r="D75" s="160"/>
      <c r="E75" s="161"/>
      <c r="F75" s="161"/>
      <c r="G75" s="78"/>
      <c r="H75" s="79"/>
      <c r="I75" s="130">
        <f t="shared" si="2"/>
        <v>0</v>
      </c>
      <c r="J75" s="110"/>
    </row>
    <row r="76" spans="2:10" ht="15.75" x14ac:dyDescent="0.25">
      <c r="B76" s="77"/>
      <c r="C76" s="432" t="s">
        <v>634</v>
      </c>
      <c r="D76" s="433"/>
      <c r="E76" s="161"/>
      <c r="F76" s="161"/>
      <c r="G76" s="78"/>
      <c r="H76" s="79"/>
      <c r="I76" s="130">
        <f t="shared" si="2"/>
        <v>0</v>
      </c>
      <c r="J76" s="110"/>
    </row>
    <row r="77" spans="2:10" x14ac:dyDescent="0.25">
      <c r="B77" s="77"/>
      <c r="C77" s="74"/>
      <c r="D77" s="160"/>
      <c r="E77" s="161"/>
      <c r="F77" s="161"/>
      <c r="G77" s="78"/>
      <c r="H77" s="79"/>
      <c r="I77" s="130">
        <f t="shared" si="2"/>
        <v>0</v>
      </c>
      <c r="J77" s="110"/>
    </row>
    <row r="78" spans="2:10" x14ac:dyDescent="0.25">
      <c r="B78" s="77"/>
      <c r="C78" s="418" t="s">
        <v>650</v>
      </c>
      <c r="D78" s="419"/>
      <c r="E78" s="161"/>
      <c r="F78" s="161"/>
      <c r="G78" s="78"/>
      <c r="H78" s="79"/>
      <c r="I78" s="130">
        <f t="shared" si="2"/>
        <v>0</v>
      </c>
      <c r="J78" s="110"/>
    </row>
    <row r="79" spans="2:10" x14ac:dyDescent="0.25">
      <c r="B79" s="77"/>
      <c r="C79" s="74"/>
      <c r="D79" s="160"/>
      <c r="E79" s="161"/>
      <c r="F79" s="161"/>
      <c r="G79" s="78"/>
      <c r="H79" s="79"/>
      <c r="I79" s="130">
        <f t="shared" si="2"/>
        <v>0</v>
      </c>
      <c r="J79" s="110"/>
    </row>
    <row r="80" spans="2:10" x14ac:dyDescent="0.25">
      <c r="B80" s="172">
        <f>B74+0.01</f>
        <v>17.090000000000014</v>
      </c>
      <c r="C80" s="74"/>
      <c r="D80" s="112" t="s">
        <v>527</v>
      </c>
      <c r="E80" s="162"/>
      <c r="F80" s="162">
        <v>1</v>
      </c>
      <c r="G80" s="75" t="s">
        <v>528</v>
      </c>
      <c r="H80" s="76"/>
      <c r="I80" s="130">
        <f t="shared" si="2"/>
        <v>0</v>
      </c>
      <c r="J80" s="110"/>
    </row>
    <row r="81" spans="2:10" x14ac:dyDescent="0.25">
      <c r="B81" s="77"/>
      <c r="C81" s="74"/>
      <c r="D81" s="160"/>
      <c r="E81" s="161"/>
      <c r="F81" s="161"/>
      <c r="G81" s="78"/>
      <c r="H81" s="79"/>
      <c r="I81" s="130">
        <f t="shared" si="2"/>
        <v>0</v>
      </c>
      <c r="J81" s="110"/>
    </row>
    <row r="82" spans="2:10" x14ac:dyDescent="0.25">
      <c r="B82" s="77"/>
      <c r="C82" s="159" t="s">
        <v>556</v>
      </c>
      <c r="D82" s="160"/>
      <c r="E82" s="161"/>
      <c r="F82" s="161"/>
      <c r="G82" s="78"/>
      <c r="H82" s="79"/>
      <c r="I82" s="130">
        <f t="shared" si="2"/>
        <v>0</v>
      </c>
      <c r="J82" s="110"/>
    </row>
    <row r="83" spans="2:10" x14ac:dyDescent="0.25">
      <c r="B83" s="77"/>
      <c r="C83" s="74"/>
      <c r="D83" s="160"/>
      <c r="E83" s="161"/>
      <c r="F83" s="161"/>
      <c r="G83" s="78"/>
      <c r="H83" s="79"/>
      <c r="I83" s="130">
        <f t="shared" si="2"/>
        <v>0</v>
      </c>
      <c r="J83" s="110"/>
    </row>
    <row r="84" spans="2:10" x14ac:dyDescent="0.25">
      <c r="B84" s="77"/>
      <c r="C84" s="420" t="s">
        <v>557</v>
      </c>
      <c r="D84" s="421"/>
      <c r="E84" s="161"/>
      <c r="F84" s="161"/>
      <c r="G84" s="78"/>
      <c r="H84" s="79"/>
      <c r="I84" s="130">
        <f t="shared" si="2"/>
        <v>0</v>
      </c>
      <c r="J84" s="110"/>
    </row>
    <row r="85" spans="2:10" x14ac:dyDescent="0.25">
      <c r="B85" s="77"/>
      <c r="C85" s="170"/>
      <c r="D85" s="158"/>
      <c r="E85" s="161"/>
      <c r="F85" s="161"/>
      <c r="G85" s="78"/>
      <c r="H85" s="79"/>
      <c r="I85" s="130">
        <f t="shared" si="2"/>
        <v>0</v>
      </c>
      <c r="J85" s="110"/>
    </row>
    <row r="86" spans="2:10" x14ac:dyDescent="0.25">
      <c r="B86" s="173">
        <f>B80+0.01</f>
        <v>17.100000000000016</v>
      </c>
      <c r="C86" s="74"/>
      <c r="D86" s="112" t="s">
        <v>527</v>
      </c>
      <c r="E86" s="162"/>
      <c r="F86" s="162">
        <v>1</v>
      </c>
      <c r="G86" s="75" t="s">
        <v>528</v>
      </c>
      <c r="H86" s="76"/>
      <c r="I86" s="130">
        <f t="shared" si="2"/>
        <v>0</v>
      </c>
      <c r="J86" s="110"/>
    </row>
    <row r="87" spans="2:10" x14ac:dyDescent="0.25">
      <c r="B87" s="77"/>
      <c r="C87" s="74"/>
      <c r="D87" s="160"/>
      <c r="E87" s="161"/>
      <c r="F87" s="161"/>
      <c r="G87" s="78"/>
      <c r="H87" s="79"/>
      <c r="I87" s="130">
        <f t="shared" si="2"/>
        <v>0</v>
      </c>
      <c r="J87" s="110"/>
    </row>
    <row r="88" spans="2:10" x14ac:dyDescent="0.25">
      <c r="B88" s="72"/>
      <c r="C88" s="159" t="s">
        <v>529</v>
      </c>
      <c r="D88" s="82"/>
      <c r="E88" s="75"/>
      <c r="F88" s="75"/>
      <c r="G88" s="75"/>
      <c r="H88" s="122"/>
      <c r="I88" s="130">
        <f t="shared" si="2"/>
        <v>0</v>
      </c>
      <c r="J88" s="110"/>
    </row>
    <row r="89" spans="2:10" x14ac:dyDescent="0.25">
      <c r="B89" s="72"/>
      <c r="C89" s="74"/>
      <c r="D89" s="82"/>
      <c r="E89" s="75"/>
      <c r="F89" s="75"/>
      <c r="G89" s="75"/>
      <c r="H89" s="122"/>
      <c r="I89" s="130">
        <f t="shared" si="2"/>
        <v>0</v>
      </c>
      <c r="J89" s="110"/>
    </row>
    <row r="90" spans="2:10" x14ac:dyDescent="0.25">
      <c r="B90" s="72"/>
      <c r="C90" s="422" t="s">
        <v>629</v>
      </c>
      <c r="D90" s="423"/>
      <c r="E90" s="75"/>
      <c r="F90" s="75"/>
      <c r="G90" s="75"/>
      <c r="H90" s="122"/>
      <c r="I90" s="130">
        <f t="shared" si="2"/>
        <v>0</v>
      </c>
      <c r="J90" s="110"/>
    </row>
    <row r="91" spans="2:10" x14ac:dyDescent="0.25">
      <c r="B91" s="72"/>
      <c r="C91" s="165"/>
      <c r="D91" s="82"/>
      <c r="E91" s="75"/>
      <c r="F91" s="75"/>
      <c r="G91" s="75"/>
      <c r="H91" s="122"/>
      <c r="I91" s="130">
        <f t="shared" si="2"/>
        <v>0</v>
      </c>
      <c r="J91" s="110"/>
    </row>
    <row r="92" spans="2:10" x14ac:dyDescent="0.25">
      <c r="B92" s="172">
        <f>B86+0.01</f>
        <v>17.110000000000017</v>
      </c>
      <c r="C92" s="74"/>
      <c r="D92" s="155" t="s">
        <v>527</v>
      </c>
      <c r="E92" s="154"/>
      <c r="F92" s="154">
        <v>1</v>
      </c>
      <c r="G92" s="75" t="s">
        <v>528</v>
      </c>
      <c r="H92" s="122"/>
      <c r="I92" s="130">
        <f t="shared" si="2"/>
        <v>0</v>
      </c>
      <c r="J92" s="110"/>
    </row>
    <row r="93" spans="2:10" x14ac:dyDescent="0.25">
      <c r="B93" s="72"/>
      <c r="C93" s="74"/>
      <c r="D93" s="111"/>
      <c r="E93" s="109"/>
      <c r="F93" s="109"/>
      <c r="G93" s="75"/>
      <c r="H93" s="76"/>
      <c r="I93" s="130">
        <f t="shared" si="2"/>
        <v>0</v>
      </c>
      <c r="J93" s="110"/>
    </row>
    <row r="94" spans="2:10" ht="15.75" thickBot="1" x14ac:dyDescent="0.3">
      <c r="B94" s="85"/>
      <c r="C94" s="86"/>
      <c r="D94" s="87"/>
      <c r="E94" s="88"/>
      <c r="F94" s="88"/>
      <c r="G94" s="88"/>
      <c r="H94" s="89"/>
      <c r="I94" s="76" t="str">
        <f t="shared" si="0"/>
        <v/>
      </c>
    </row>
    <row r="95" spans="2:10" ht="30.75" customHeight="1" thickBot="1" x14ac:dyDescent="0.3">
      <c r="D95" s="367" t="s">
        <v>1168</v>
      </c>
      <c r="E95" s="109"/>
      <c r="F95" s="109"/>
      <c r="G95" s="75"/>
      <c r="H95" s="382"/>
      <c r="I95" s="124">
        <f>SUM(I51:I94)</f>
        <v>0</v>
      </c>
    </row>
  </sheetData>
  <mergeCells count="18">
    <mergeCell ref="C29:D29"/>
    <mergeCell ref="C31:D31"/>
    <mergeCell ref="C37:D37"/>
    <mergeCell ref="C43:D43"/>
    <mergeCell ref="C6:D6"/>
    <mergeCell ref="C7:D7"/>
    <mergeCell ref="C8:D8"/>
    <mergeCell ref="C9:D9"/>
    <mergeCell ref="C16:D16"/>
    <mergeCell ref="C10:D10"/>
    <mergeCell ref="C76:D76"/>
    <mergeCell ref="C78:D78"/>
    <mergeCell ref="C84:D84"/>
    <mergeCell ref="C90:D90"/>
    <mergeCell ref="C49:D49"/>
    <mergeCell ref="C63:D63"/>
    <mergeCell ref="C53:D53"/>
    <mergeCell ref="C57:D57"/>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5C85-F710-4107-9055-6F5CF332681E}">
  <sheetPr>
    <pageSetUpPr fitToPage="1"/>
  </sheetPr>
  <dimension ref="B1:M94"/>
  <sheetViews>
    <sheetView topLeftCell="A84" zoomScale="80" zoomScaleNormal="80" workbookViewId="0">
      <selection activeCell="B2" sqref="B2:H3"/>
    </sheetView>
  </sheetViews>
  <sheetFormatPr defaultColWidth="9.140625" defaultRowHeight="15" x14ac:dyDescent="0.25"/>
  <cols>
    <col min="1" max="1" width="3" style="71" customWidth="1"/>
    <col min="2" max="2" width="7.42578125" style="71" customWidth="1"/>
    <col min="3" max="3" width="4.5703125" style="71" customWidth="1"/>
    <col min="4" max="4" width="65.140625" style="71" customWidth="1"/>
    <col min="5" max="5" width="9.5703125" style="90" customWidth="1"/>
    <col min="6" max="6" width="9.140625" style="91"/>
    <col min="7" max="7" width="10.85546875" style="71" customWidth="1"/>
    <col min="8" max="8" width="16.140625" style="71" customWidth="1"/>
    <col min="9" max="9" width="10.140625" style="71" bestFit="1" customWidth="1"/>
    <col min="10" max="11" width="9.140625" style="71" hidden="1" customWidth="1"/>
    <col min="12" max="13" width="0" style="71" hidden="1" customWidth="1"/>
    <col min="14" max="16384" width="9.140625" style="71"/>
  </cols>
  <sheetData>
    <row r="1" spans="2:8" ht="15.75" thickBot="1" x14ac:dyDescent="0.3"/>
    <row r="2" spans="2:8" ht="34.5" customHeight="1" x14ac:dyDescent="0.25">
      <c r="B2" s="94" t="str">
        <f>'Sanitary Fittings'!B2</f>
        <v>Todmorden Bandstand Refurbishment &amp; Bowls Pavilion New Build</v>
      </c>
      <c r="C2" s="95"/>
      <c r="D2" s="95"/>
      <c r="E2" s="96"/>
      <c r="F2" s="96"/>
      <c r="G2" s="95"/>
      <c r="H2" s="97"/>
    </row>
    <row r="3" spans="2:8" ht="30" customHeight="1" x14ac:dyDescent="0.25">
      <c r="B3" s="73" t="str">
        <f>+[1]Summary!B3</f>
        <v>Tender Document</v>
      </c>
      <c r="C3" s="83"/>
      <c r="D3" s="83"/>
      <c r="E3" s="91"/>
      <c r="F3" s="98"/>
      <c r="G3" s="99" t="s">
        <v>1143</v>
      </c>
      <c r="H3" s="401">
        <f>'Sanitary Fittings'!I3</f>
        <v>45614</v>
      </c>
    </row>
    <row r="4" spans="2:8" ht="13.5" customHeight="1" thickBot="1" x14ac:dyDescent="0.3">
      <c r="B4" s="86">
        <v>18</v>
      </c>
      <c r="C4" s="101"/>
      <c r="D4" s="101"/>
      <c r="E4" s="102"/>
      <c r="F4" s="102"/>
      <c r="G4" s="101"/>
      <c r="H4" s="103"/>
    </row>
    <row r="5" spans="2:8" ht="23.25" customHeight="1" thickBot="1" x14ac:dyDescent="0.3">
      <c r="B5" s="106" t="s">
        <v>528</v>
      </c>
      <c r="C5" s="106"/>
      <c r="D5" s="106" t="s">
        <v>530</v>
      </c>
      <c r="E5" s="106" t="s">
        <v>1</v>
      </c>
      <c r="F5" s="107" t="s">
        <v>2</v>
      </c>
      <c r="G5" s="104" t="s">
        <v>3</v>
      </c>
      <c r="H5" s="105" t="s">
        <v>5</v>
      </c>
    </row>
    <row r="6" spans="2:8" x14ac:dyDescent="0.25">
      <c r="B6" s="72"/>
      <c r="C6" s="73"/>
      <c r="D6" s="82"/>
      <c r="E6" s="75"/>
      <c r="F6" s="75"/>
      <c r="G6" s="76"/>
      <c r="H6" s="76" t="str">
        <f t="shared" ref="H6" si="0">IF(G6="","",G6*E6)</f>
        <v/>
      </c>
    </row>
    <row r="7" spans="2:8" ht="37.5" customHeight="1" x14ac:dyDescent="0.25">
      <c r="B7" s="72"/>
      <c r="C7" s="420" t="s">
        <v>560</v>
      </c>
      <c r="D7" s="421"/>
      <c r="E7" s="75"/>
      <c r="F7" s="75"/>
      <c r="G7" s="76"/>
      <c r="H7" s="76"/>
    </row>
    <row r="8" spans="2:8" ht="79.5" customHeight="1" x14ac:dyDescent="0.25">
      <c r="B8" s="72"/>
      <c r="C8" s="422" t="s">
        <v>658</v>
      </c>
      <c r="D8" s="423"/>
      <c r="E8" s="75"/>
      <c r="F8" s="75"/>
      <c r="G8" s="76"/>
      <c r="H8" s="76"/>
    </row>
    <row r="9" spans="2:8" ht="48.75" customHeight="1" x14ac:dyDescent="0.25">
      <c r="B9" s="72"/>
      <c r="C9" s="422" t="s">
        <v>575</v>
      </c>
      <c r="D9" s="423"/>
      <c r="E9" s="75"/>
      <c r="F9" s="75"/>
      <c r="G9" s="76"/>
      <c r="H9" s="76"/>
    </row>
    <row r="10" spans="2:8" x14ac:dyDescent="0.25">
      <c r="B10" s="72"/>
      <c r="C10" s="422" t="s">
        <v>1162</v>
      </c>
      <c r="D10" s="423"/>
      <c r="E10" s="75"/>
      <c r="F10" s="75"/>
      <c r="G10" s="76"/>
      <c r="H10" s="76"/>
    </row>
    <row r="11" spans="2:8" x14ac:dyDescent="0.25">
      <c r="B11" s="72"/>
      <c r="C11" s="73"/>
      <c r="D11" s="82"/>
      <c r="E11" s="75"/>
      <c r="F11" s="75"/>
      <c r="G11" s="76"/>
      <c r="H11" s="76"/>
    </row>
    <row r="12" spans="2:8" x14ac:dyDescent="0.25">
      <c r="B12" s="72"/>
      <c r="C12" s="424" t="s">
        <v>815</v>
      </c>
      <c r="D12" s="425"/>
      <c r="E12" s="75"/>
      <c r="F12" s="75"/>
      <c r="G12" s="76"/>
      <c r="H12" s="76"/>
    </row>
    <row r="13" spans="2:8" x14ac:dyDescent="0.25">
      <c r="B13" s="72"/>
      <c r="C13" s="73"/>
      <c r="D13" s="82"/>
      <c r="E13" s="75"/>
      <c r="F13" s="75"/>
      <c r="G13" s="76"/>
      <c r="H13" s="76"/>
    </row>
    <row r="14" spans="2:8" x14ac:dyDescent="0.25">
      <c r="B14" s="72"/>
      <c r="C14" s="434" t="s">
        <v>1166</v>
      </c>
      <c r="D14" s="435"/>
      <c r="E14" s="75"/>
      <c r="F14" s="75"/>
      <c r="G14" s="76"/>
      <c r="H14" s="76"/>
    </row>
    <row r="15" spans="2:8" ht="15.75" thickBot="1" x14ac:dyDescent="0.3">
      <c r="B15" s="72"/>
      <c r="C15" s="73"/>
      <c r="D15" s="82"/>
      <c r="E15" s="75"/>
      <c r="F15" s="75"/>
      <c r="G15" s="76"/>
      <c r="H15" s="76"/>
    </row>
    <row r="16" spans="2:8" ht="15.75" thickBot="1" x14ac:dyDescent="0.3">
      <c r="B16" s="72"/>
      <c r="C16" s="74"/>
      <c r="D16" s="314" t="s">
        <v>1167</v>
      </c>
      <c r="E16" s="75"/>
      <c r="F16" s="75"/>
      <c r="G16" s="382"/>
      <c r="H16" s="403">
        <v>0</v>
      </c>
    </row>
    <row r="17" spans="2:11" x14ac:dyDescent="0.25">
      <c r="B17" s="72"/>
      <c r="C17" s="74"/>
      <c r="D17" s="111"/>
      <c r="E17" s="75"/>
      <c r="F17" s="75"/>
      <c r="G17" s="76"/>
      <c r="H17" s="76"/>
    </row>
    <row r="18" spans="2:11" ht="15" customHeight="1" x14ac:dyDescent="0.25">
      <c r="B18" s="72"/>
      <c r="C18" s="426" t="s">
        <v>816</v>
      </c>
      <c r="D18" s="427"/>
      <c r="E18" s="75"/>
      <c r="F18" s="75"/>
      <c r="G18" s="76"/>
      <c r="H18" s="76"/>
    </row>
    <row r="19" spans="2:11" x14ac:dyDescent="0.25">
      <c r="B19" s="72"/>
      <c r="C19" s="73"/>
      <c r="D19" s="82"/>
      <c r="E19" s="75"/>
      <c r="F19" s="75"/>
      <c r="G19" s="76"/>
      <c r="H19" s="76"/>
    </row>
    <row r="20" spans="2:11" x14ac:dyDescent="0.25">
      <c r="B20" s="72"/>
      <c r="C20" s="439" t="s">
        <v>1144</v>
      </c>
      <c r="D20" s="440"/>
      <c r="E20" s="75"/>
      <c r="F20" s="75"/>
      <c r="G20" s="76"/>
      <c r="H20" s="76"/>
    </row>
    <row r="21" spans="2:11" x14ac:dyDescent="0.25">
      <c r="B21" s="72"/>
      <c r="C21" s="73"/>
      <c r="D21" s="82"/>
      <c r="E21" s="75"/>
      <c r="F21" s="75"/>
      <c r="G21" s="76"/>
      <c r="H21" s="76"/>
    </row>
    <row r="22" spans="2:11" ht="18.75" customHeight="1" x14ac:dyDescent="0.25">
      <c r="B22" s="72"/>
      <c r="C22" s="441" t="s">
        <v>1145</v>
      </c>
      <c r="D22" s="442"/>
      <c r="E22" s="75"/>
      <c r="F22" s="75"/>
      <c r="G22" s="76"/>
      <c r="H22" s="76"/>
    </row>
    <row r="23" spans="2:11" x14ac:dyDescent="0.25">
      <c r="B23" s="72"/>
      <c r="C23" s="73"/>
      <c r="D23" s="82"/>
      <c r="E23" s="75"/>
      <c r="F23" s="75"/>
      <c r="G23" s="76"/>
      <c r="H23" s="130"/>
    </row>
    <row r="24" spans="2:11" ht="51" customHeight="1" x14ac:dyDescent="0.25">
      <c r="B24" s="72"/>
      <c r="C24" s="422" t="s">
        <v>1163</v>
      </c>
      <c r="D24" s="423"/>
      <c r="E24" s="162"/>
      <c r="F24" s="75"/>
      <c r="G24" s="79"/>
      <c r="H24" s="130">
        <f t="shared" ref="H24:H59" si="1">E24*G24</f>
        <v>0</v>
      </c>
    </row>
    <row r="25" spans="2:11" ht="12" customHeight="1" x14ac:dyDescent="0.25">
      <c r="B25" s="72"/>
      <c r="C25" s="165"/>
      <c r="D25" s="167"/>
      <c r="E25" s="162"/>
      <c r="F25" s="75"/>
      <c r="G25" s="79"/>
      <c r="H25" s="130">
        <f t="shared" si="1"/>
        <v>0</v>
      </c>
    </row>
    <row r="26" spans="2:11" x14ac:dyDescent="0.25">
      <c r="B26" s="72">
        <f>B4+0.01</f>
        <v>18.010000000000002</v>
      </c>
      <c r="C26" s="74"/>
      <c r="D26" s="167" t="s">
        <v>527</v>
      </c>
      <c r="E26" s="162">
        <v>20</v>
      </c>
      <c r="F26" s="75" t="s">
        <v>660</v>
      </c>
      <c r="G26" s="79"/>
      <c r="H26" s="130">
        <f t="shared" si="1"/>
        <v>0</v>
      </c>
      <c r="J26" s="71">
        <v>50</v>
      </c>
      <c r="K26" s="71">
        <f>(65+27)</f>
        <v>92</v>
      </c>
    </row>
    <row r="27" spans="2:11" x14ac:dyDescent="0.25">
      <c r="B27" s="72"/>
      <c r="C27" s="73"/>
      <c r="D27" s="82"/>
      <c r="E27" s="75"/>
      <c r="F27" s="75"/>
      <c r="G27" s="76"/>
      <c r="H27" s="130">
        <f t="shared" si="1"/>
        <v>0</v>
      </c>
    </row>
    <row r="28" spans="2:11" x14ac:dyDescent="0.25">
      <c r="B28" s="72"/>
      <c r="C28" s="74" t="s">
        <v>1146</v>
      </c>
      <c r="D28" s="160"/>
      <c r="E28" s="161"/>
      <c r="F28" s="78"/>
      <c r="G28" s="79"/>
      <c r="H28" s="130">
        <f t="shared" si="1"/>
        <v>0</v>
      </c>
    </row>
    <row r="29" spans="2:11" x14ac:dyDescent="0.25">
      <c r="B29" s="72"/>
      <c r="C29" s="74"/>
      <c r="D29" s="160"/>
      <c r="E29" s="161"/>
      <c r="F29" s="78"/>
      <c r="G29" s="79"/>
      <c r="H29" s="130">
        <f t="shared" si="1"/>
        <v>0</v>
      </c>
    </row>
    <row r="30" spans="2:11" x14ac:dyDescent="0.25">
      <c r="B30" s="72">
        <f>B26+0.01</f>
        <v>18.020000000000003</v>
      </c>
      <c r="C30" s="74"/>
      <c r="D30" s="112" t="s">
        <v>1147</v>
      </c>
      <c r="E30" s="344">
        <v>20</v>
      </c>
      <c r="F30" s="128" t="s">
        <v>660</v>
      </c>
      <c r="G30" s="402"/>
      <c r="H30" s="130">
        <f t="shared" si="1"/>
        <v>0</v>
      </c>
    </row>
    <row r="31" spans="2:11" x14ac:dyDescent="0.25">
      <c r="B31" s="72"/>
      <c r="C31" s="73"/>
      <c r="D31" s="82"/>
      <c r="E31" s="75"/>
      <c r="F31" s="75"/>
      <c r="G31" s="76"/>
      <c r="H31" s="130">
        <f t="shared" si="1"/>
        <v>0</v>
      </c>
    </row>
    <row r="32" spans="2:11" x14ac:dyDescent="0.25">
      <c r="B32" s="72"/>
      <c r="C32" s="74" t="s">
        <v>1148</v>
      </c>
      <c r="D32" s="160"/>
      <c r="E32" s="161"/>
      <c r="F32" s="78"/>
      <c r="G32" s="79"/>
      <c r="H32" s="130">
        <f t="shared" si="1"/>
        <v>0</v>
      </c>
    </row>
    <row r="33" spans="2:11" x14ac:dyDescent="0.25">
      <c r="B33" s="72"/>
      <c r="C33" s="74"/>
      <c r="D33" s="160"/>
      <c r="E33" s="161"/>
      <c r="F33" s="78"/>
      <c r="G33" s="79"/>
      <c r="H33" s="130">
        <f t="shared" si="1"/>
        <v>0</v>
      </c>
    </row>
    <row r="34" spans="2:11" x14ac:dyDescent="0.25">
      <c r="B34" s="72">
        <f>B30+0.01</f>
        <v>18.030000000000005</v>
      </c>
      <c r="C34" s="74"/>
      <c r="D34" s="167" t="s">
        <v>1149</v>
      </c>
      <c r="E34" s="344">
        <v>20</v>
      </c>
      <c r="F34" s="128" t="s">
        <v>660</v>
      </c>
      <c r="G34" s="129"/>
      <c r="H34" s="130">
        <f t="shared" si="1"/>
        <v>0</v>
      </c>
      <c r="K34" s="71">
        <f>(65+27)*2</f>
        <v>184</v>
      </c>
    </row>
    <row r="35" spans="2:11" x14ac:dyDescent="0.25">
      <c r="B35" s="72"/>
      <c r="C35" s="74"/>
      <c r="D35" s="167"/>
      <c r="E35" s="344"/>
      <c r="F35" s="128"/>
      <c r="G35" s="129"/>
      <c r="H35" s="130">
        <f t="shared" si="1"/>
        <v>0</v>
      </c>
    </row>
    <row r="36" spans="2:11" ht="30" x14ac:dyDescent="0.25">
      <c r="B36" s="72">
        <f>B34+0.01</f>
        <v>18.040000000000006</v>
      </c>
      <c r="C36" s="74"/>
      <c r="D36" s="150" t="s">
        <v>1150</v>
      </c>
      <c r="E36" s="344">
        <v>1</v>
      </c>
      <c r="F36" s="128" t="s">
        <v>582</v>
      </c>
      <c r="G36" s="402"/>
      <c r="H36" s="130">
        <f t="shared" si="1"/>
        <v>0</v>
      </c>
    </row>
    <row r="37" spans="2:11" x14ac:dyDescent="0.25">
      <c r="B37" s="72"/>
      <c r="C37" s="74"/>
      <c r="D37" s="150"/>
      <c r="E37" s="344"/>
      <c r="F37" s="128"/>
      <c r="G37" s="402"/>
      <c r="H37" s="130">
        <f t="shared" si="1"/>
        <v>0</v>
      </c>
    </row>
    <row r="38" spans="2:11" x14ac:dyDescent="0.25">
      <c r="B38" s="72">
        <f>B36+0.01</f>
        <v>18.050000000000008</v>
      </c>
      <c r="C38" s="74"/>
      <c r="D38" s="150" t="s">
        <v>1151</v>
      </c>
      <c r="E38" s="344">
        <v>1</v>
      </c>
      <c r="F38" s="128" t="s">
        <v>582</v>
      </c>
      <c r="G38" s="402"/>
      <c r="H38" s="130">
        <f t="shared" si="1"/>
        <v>0</v>
      </c>
    </row>
    <row r="39" spans="2:11" x14ac:dyDescent="0.25">
      <c r="B39" s="72"/>
      <c r="C39" s="74"/>
      <c r="D39" s="160"/>
      <c r="E39" s="161"/>
      <c r="F39" s="78"/>
      <c r="G39" s="79"/>
      <c r="H39" s="130">
        <f t="shared" si="1"/>
        <v>0</v>
      </c>
    </row>
    <row r="40" spans="2:11" ht="14.25" customHeight="1" x14ac:dyDescent="0.25">
      <c r="B40" s="72"/>
      <c r="C40" s="441" t="s">
        <v>1153</v>
      </c>
      <c r="D40" s="442"/>
      <c r="E40" s="161"/>
      <c r="F40" s="78"/>
      <c r="G40" s="79"/>
      <c r="H40" s="130">
        <f t="shared" si="1"/>
        <v>0</v>
      </c>
    </row>
    <row r="41" spans="2:11" x14ac:dyDescent="0.25">
      <c r="B41" s="72"/>
      <c r="C41" s="74"/>
      <c r="D41" s="160"/>
      <c r="E41" s="161"/>
      <c r="F41" s="78"/>
      <c r="G41" s="79"/>
      <c r="H41" s="130">
        <f t="shared" si="1"/>
        <v>0</v>
      </c>
    </row>
    <row r="42" spans="2:11" ht="45.75" customHeight="1" x14ac:dyDescent="0.25">
      <c r="B42" s="72"/>
      <c r="C42" s="422" t="s">
        <v>1154</v>
      </c>
      <c r="D42" s="423"/>
      <c r="E42" s="162"/>
      <c r="F42" s="75"/>
      <c r="G42" s="79"/>
      <c r="H42" s="130">
        <f t="shared" si="1"/>
        <v>0</v>
      </c>
    </row>
    <row r="43" spans="2:11" ht="15" customHeight="1" x14ac:dyDescent="0.25">
      <c r="B43" s="72"/>
      <c r="C43" s="165"/>
      <c r="D43" s="167"/>
      <c r="E43" s="162"/>
      <c r="F43" s="75"/>
      <c r="G43" s="79"/>
      <c r="H43" s="130">
        <f t="shared" si="1"/>
        <v>0</v>
      </c>
    </row>
    <row r="44" spans="2:11" x14ac:dyDescent="0.25">
      <c r="B44" s="72">
        <f>B38+0.01</f>
        <v>18.060000000000009</v>
      </c>
      <c r="C44" s="74"/>
      <c r="D44" s="167" t="s">
        <v>527</v>
      </c>
      <c r="E44" s="162">
        <v>15</v>
      </c>
      <c r="F44" s="75" t="s">
        <v>660</v>
      </c>
      <c r="G44" s="79"/>
      <c r="H44" s="130">
        <f t="shared" si="1"/>
        <v>0</v>
      </c>
      <c r="J44" s="71">
        <f>18+34+13+7</f>
        <v>72</v>
      </c>
      <c r="K44" s="71">
        <f>18+34+13+7</f>
        <v>72</v>
      </c>
    </row>
    <row r="45" spans="2:11" x14ac:dyDescent="0.25">
      <c r="B45" s="72"/>
      <c r="C45" s="73"/>
      <c r="D45" s="82"/>
      <c r="E45" s="75"/>
      <c r="F45" s="75"/>
      <c r="G45" s="76"/>
      <c r="H45" s="130">
        <f t="shared" si="1"/>
        <v>0</v>
      </c>
    </row>
    <row r="46" spans="2:11" x14ac:dyDescent="0.25">
      <c r="B46" s="72"/>
      <c r="C46" s="74" t="s">
        <v>1146</v>
      </c>
      <c r="D46" s="160"/>
      <c r="E46" s="161"/>
      <c r="F46" s="78"/>
      <c r="G46" s="79"/>
      <c r="H46" s="130">
        <f t="shared" si="1"/>
        <v>0</v>
      </c>
    </row>
    <row r="47" spans="2:11" x14ac:dyDescent="0.25">
      <c r="B47" s="72"/>
      <c r="C47" s="74"/>
      <c r="D47" s="160"/>
      <c r="E47" s="161"/>
      <c r="F47" s="78"/>
      <c r="G47" s="79"/>
      <c r="H47" s="130">
        <f t="shared" si="1"/>
        <v>0</v>
      </c>
    </row>
    <row r="48" spans="2:11" x14ac:dyDescent="0.25">
      <c r="B48" s="72">
        <f>B44+0.01</f>
        <v>18.070000000000011</v>
      </c>
      <c r="C48" s="74"/>
      <c r="D48" s="112" t="s">
        <v>1155</v>
      </c>
      <c r="E48" s="344">
        <v>15</v>
      </c>
      <c r="F48" s="128" t="s">
        <v>660</v>
      </c>
      <c r="G48" s="402"/>
      <c r="H48" s="130">
        <f t="shared" si="1"/>
        <v>0</v>
      </c>
    </row>
    <row r="49" spans="2:13" x14ac:dyDescent="0.25">
      <c r="B49" s="72"/>
      <c r="C49" s="73"/>
      <c r="D49" s="82"/>
      <c r="E49" s="75"/>
      <c r="F49" s="75"/>
      <c r="G49" s="76"/>
      <c r="H49" s="130">
        <f t="shared" si="1"/>
        <v>0</v>
      </c>
    </row>
    <row r="50" spans="2:13" x14ac:dyDescent="0.25">
      <c r="B50" s="72"/>
      <c r="C50" s="74" t="s">
        <v>1152</v>
      </c>
      <c r="D50" s="160"/>
      <c r="E50" s="161"/>
      <c r="F50" s="78"/>
      <c r="G50" s="79"/>
      <c r="H50" s="130">
        <f t="shared" si="1"/>
        <v>0</v>
      </c>
    </row>
    <row r="51" spans="2:13" x14ac:dyDescent="0.25">
      <c r="B51" s="72"/>
      <c r="C51" s="74"/>
      <c r="D51" s="160"/>
      <c r="E51" s="161"/>
      <c r="F51" s="78"/>
      <c r="G51" s="79"/>
      <c r="H51" s="130">
        <f t="shared" si="1"/>
        <v>0</v>
      </c>
    </row>
    <row r="52" spans="2:13" x14ac:dyDescent="0.25">
      <c r="B52" s="72">
        <f>B48+0.01</f>
        <v>18.080000000000013</v>
      </c>
      <c r="C52" s="74"/>
      <c r="D52" s="167" t="s">
        <v>1149</v>
      </c>
      <c r="E52" s="344">
        <v>15</v>
      </c>
      <c r="F52" s="128" t="s">
        <v>660</v>
      </c>
      <c r="G52" s="129"/>
      <c r="H52" s="130">
        <f t="shared" si="1"/>
        <v>0</v>
      </c>
      <c r="J52" s="71">
        <f>18+34+13+7</f>
        <v>72</v>
      </c>
      <c r="K52" s="71">
        <f>18+34+13+7</f>
        <v>72</v>
      </c>
      <c r="M52" s="71">
        <f>(10+21)+(2+20)+(1*5*2)</f>
        <v>63</v>
      </c>
    </row>
    <row r="53" spans="2:13" x14ac:dyDescent="0.25">
      <c r="B53" s="72"/>
      <c r="C53" s="74"/>
      <c r="D53" s="167"/>
      <c r="E53" s="344"/>
      <c r="F53" s="128"/>
      <c r="G53" s="129"/>
      <c r="H53" s="130">
        <f t="shared" si="1"/>
        <v>0</v>
      </c>
    </row>
    <row r="54" spans="2:13" ht="30" x14ac:dyDescent="0.25">
      <c r="B54" s="72">
        <f>B52+0.01</f>
        <v>18.090000000000014</v>
      </c>
      <c r="C54" s="74"/>
      <c r="D54" s="150" t="s">
        <v>1150</v>
      </c>
      <c r="E54" s="344">
        <v>1</v>
      </c>
      <c r="F54" s="128" t="s">
        <v>582</v>
      </c>
      <c r="G54" s="402"/>
      <c r="H54" s="130">
        <f t="shared" si="1"/>
        <v>0</v>
      </c>
      <c r="J54" s="71">
        <v>1</v>
      </c>
      <c r="K54" s="71">
        <v>1</v>
      </c>
    </row>
    <row r="55" spans="2:13" x14ac:dyDescent="0.25">
      <c r="B55" s="72"/>
      <c r="C55" s="74"/>
      <c r="D55" s="150"/>
      <c r="E55" s="344"/>
      <c r="F55" s="128"/>
      <c r="G55" s="402"/>
      <c r="H55" s="130">
        <f t="shared" si="1"/>
        <v>0</v>
      </c>
    </row>
    <row r="56" spans="2:13" x14ac:dyDescent="0.25">
      <c r="B56" s="172">
        <f>B54+0.01</f>
        <v>18.100000000000016</v>
      </c>
      <c r="C56" s="74"/>
      <c r="D56" s="150" t="s">
        <v>1151</v>
      </c>
      <c r="E56" s="344">
        <v>1</v>
      </c>
      <c r="F56" s="128" t="s">
        <v>582</v>
      </c>
      <c r="G56" s="402"/>
      <c r="H56" s="130">
        <f t="shared" si="1"/>
        <v>0</v>
      </c>
      <c r="J56" s="71">
        <v>1</v>
      </c>
      <c r="K56" s="71">
        <v>1</v>
      </c>
    </row>
    <row r="57" spans="2:13" x14ac:dyDescent="0.25">
      <c r="B57" s="72"/>
      <c r="C57" s="74"/>
      <c r="D57" s="160"/>
      <c r="E57" s="161"/>
      <c r="F57" s="78"/>
      <c r="G57" s="79"/>
      <c r="H57" s="130">
        <f t="shared" si="1"/>
        <v>0</v>
      </c>
    </row>
    <row r="58" spans="2:13" x14ac:dyDescent="0.25">
      <c r="B58" s="72"/>
      <c r="C58" s="74" t="s">
        <v>1156</v>
      </c>
      <c r="D58" s="160"/>
      <c r="E58" s="161"/>
      <c r="F58" s="78"/>
      <c r="G58" s="79"/>
      <c r="H58" s="130">
        <f t="shared" si="1"/>
        <v>0</v>
      </c>
    </row>
    <row r="59" spans="2:13" x14ac:dyDescent="0.25">
      <c r="B59" s="72"/>
      <c r="C59" s="74"/>
      <c r="D59" s="160"/>
      <c r="E59" s="161"/>
      <c r="F59" s="78"/>
      <c r="G59" s="79"/>
      <c r="H59" s="130">
        <f t="shared" si="1"/>
        <v>0</v>
      </c>
    </row>
    <row r="60" spans="2:13" x14ac:dyDescent="0.25">
      <c r="B60" s="72">
        <f>B56+0.01</f>
        <v>18.110000000000017</v>
      </c>
      <c r="C60" s="74"/>
      <c r="D60" s="112" t="s">
        <v>1157</v>
      </c>
      <c r="E60" s="162">
        <v>2</v>
      </c>
      <c r="F60" s="128" t="s">
        <v>582</v>
      </c>
      <c r="G60" s="79"/>
      <c r="H60" s="130">
        <f t="shared" ref="H60:H92" si="2">E60*G60</f>
        <v>0</v>
      </c>
      <c r="J60" s="71">
        <v>3</v>
      </c>
      <c r="K60" s="71">
        <v>3</v>
      </c>
    </row>
    <row r="61" spans="2:13" x14ac:dyDescent="0.25">
      <c r="B61" s="72"/>
      <c r="C61" s="74"/>
      <c r="D61" s="160"/>
      <c r="E61" s="161"/>
      <c r="F61" s="78"/>
      <c r="G61" s="79"/>
      <c r="H61" s="130">
        <f t="shared" si="2"/>
        <v>0</v>
      </c>
    </row>
    <row r="62" spans="2:13" ht="29.1" customHeight="1" x14ac:dyDescent="0.25">
      <c r="B62" s="72"/>
      <c r="C62" s="437" t="s">
        <v>1158</v>
      </c>
      <c r="D62" s="438"/>
      <c r="E62" s="161"/>
      <c r="F62" s="78"/>
      <c r="G62" s="79"/>
      <c r="H62" s="130">
        <f t="shared" si="2"/>
        <v>0</v>
      </c>
    </row>
    <row r="63" spans="2:13" x14ac:dyDescent="0.25">
      <c r="B63" s="72"/>
      <c r="C63" s="74"/>
      <c r="D63" s="160"/>
      <c r="E63" s="161"/>
      <c r="F63" s="78"/>
      <c r="G63" s="79"/>
      <c r="H63" s="130">
        <f t="shared" si="2"/>
        <v>0</v>
      </c>
    </row>
    <row r="64" spans="2:13" ht="46.5" customHeight="1" x14ac:dyDescent="0.25">
      <c r="B64" s="72"/>
      <c r="C64" s="422" t="s">
        <v>1164</v>
      </c>
      <c r="D64" s="423"/>
      <c r="E64" s="161"/>
      <c r="F64" s="78"/>
      <c r="G64" s="79"/>
      <c r="H64" s="130">
        <f t="shared" si="2"/>
        <v>0</v>
      </c>
    </row>
    <row r="65" spans="2:13" ht="10.7" customHeight="1" x14ac:dyDescent="0.25">
      <c r="B65" s="72"/>
      <c r="C65" s="165"/>
      <c r="D65" s="167"/>
      <c r="E65" s="161"/>
      <c r="F65" s="78"/>
      <c r="G65" s="79"/>
      <c r="H65" s="130">
        <f t="shared" si="2"/>
        <v>0</v>
      </c>
    </row>
    <row r="66" spans="2:13" x14ac:dyDescent="0.25">
      <c r="B66" s="172">
        <f>B60+0.01</f>
        <v>18.120000000000019</v>
      </c>
      <c r="C66" s="74"/>
      <c r="D66" s="167" t="s">
        <v>527</v>
      </c>
      <c r="E66" s="162">
        <v>20</v>
      </c>
      <c r="F66" s="75" t="s">
        <v>660</v>
      </c>
      <c r="G66" s="79"/>
      <c r="H66" s="130">
        <f t="shared" si="2"/>
        <v>0</v>
      </c>
      <c r="J66" s="71">
        <f>30+3+10+6+3</f>
        <v>52</v>
      </c>
      <c r="K66" s="71">
        <f>30+3+10+6+3</f>
        <v>52</v>
      </c>
      <c r="M66" s="71">
        <f>10+8+17+7</f>
        <v>42</v>
      </c>
    </row>
    <row r="67" spans="2:13" x14ac:dyDescent="0.25">
      <c r="B67" s="72"/>
      <c r="C67" s="74"/>
      <c r="D67" s="167"/>
      <c r="E67" s="162"/>
      <c r="F67" s="75"/>
      <c r="G67" s="79"/>
      <c r="H67" s="130">
        <f t="shared" si="2"/>
        <v>0</v>
      </c>
    </row>
    <row r="68" spans="2:13" x14ac:dyDescent="0.25">
      <c r="B68" s="72"/>
      <c r="C68" s="74" t="s">
        <v>1146</v>
      </c>
      <c r="D68" s="160"/>
      <c r="E68" s="161"/>
      <c r="F68" s="78"/>
      <c r="G68" s="79"/>
      <c r="H68" s="130">
        <f t="shared" si="2"/>
        <v>0</v>
      </c>
    </row>
    <row r="69" spans="2:13" x14ac:dyDescent="0.25">
      <c r="B69" s="72"/>
      <c r="C69" s="74"/>
      <c r="D69" s="160"/>
      <c r="E69" s="161"/>
      <c r="F69" s="78"/>
      <c r="G69" s="79"/>
      <c r="H69" s="130">
        <f t="shared" si="2"/>
        <v>0</v>
      </c>
    </row>
    <row r="70" spans="2:13" x14ac:dyDescent="0.25">
      <c r="B70" s="172">
        <f>B66+0.01</f>
        <v>18.13000000000002</v>
      </c>
      <c r="C70" s="74"/>
      <c r="D70" s="112" t="s">
        <v>1165</v>
      </c>
      <c r="E70" s="162">
        <v>20</v>
      </c>
      <c r="F70" s="75" t="s">
        <v>660</v>
      </c>
      <c r="G70" s="79"/>
      <c r="H70" s="130">
        <f t="shared" si="2"/>
        <v>0</v>
      </c>
      <c r="J70" s="71">
        <f>30+3+10+6+3</f>
        <v>52</v>
      </c>
      <c r="K70" s="71">
        <f>30+3+10+6+3</f>
        <v>52</v>
      </c>
    </row>
    <row r="71" spans="2:13" x14ac:dyDescent="0.25">
      <c r="B71" s="72"/>
      <c r="C71" s="74"/>
      <c r="D71" s="160"/>
      <c r="E71" s="161"/>
      <c r="F71" s="78"/>
      <c r="G71" s="79"/>
      <c r="H71" s="130">
        <f t="shared" si="2"/>
        <v>0</v>
      </c>
    </row>
    <row r="72" spans="2:13" x14ac:dyDescent="0.25">
      <c r="B72" s="72"/>
      <c r="C72" s="74" t="s">
        <v>1148</v>
      </c>
      <c r="D72" s="160"/>
      <c r="E72" s="161"/>
      <c r="F72" s="78"/>
      <c r="G72" s="79"/>
      <c r="H72" s="130">
        <f t="shared" si="2"/>
        <v>0</v>
      </c>
    </row>
    <row r="73" spans="2:13" x14ac:dyDescent="0.25">
      <c r="B73" s="72"/>
      <c r="C73" s="74"/>
      <c r="D73" s="160"/>
      <c r="E73" s="161"/>
      <c r="F73" s="78"/>
      <c r="G73" s="79"/>
      <c r="H73" s="130">
        <f t="shared" si="2"/>
        <v>0</v>
      </c>
    </row>
    <row r="74" spans="2:13" x14ac:dyDescent="0.25">
      <c r="B74" s="172">
        <f>B70+0.01</f>
        <v>18.140000000000022</v>
      </c>
      <c r="C74" s="74"/>
      <c r="D74" s="112" t="s">
        <v>1159</v>
      </c>
      <c r="E74" s="162">
        <v>20</v>
      </c>
      <c r="F74" s="75" t="s">
        <v>660</v>
      </c>
      <c r="G74" s="79"/>
      <c r="H74" s="130">
        <f t="shared" si="2"/>
        <v>0</v>
      </c>
      <c r="J74" s="71">
        <f>2</f>
        <v>2</v>
      </c>
      <c r="K74" s="71">
        <f>2</f>
        <v>2</v>
      </c>
      <c r="M74" s="71">
        <f>1.5*6</f>
        <v>9</v>
      </c>
    </row>
    <row r="75" spans="2:13" x14ac:dyDescent="0.25">
      <c r="B75" s="72"/>
      <c r="C75" s="74"/>
      <c r="D75" s="112"/>
      <c r="E75" s="162"/>
      <c r="F75" s="75"/>
      <c r="G75" s="79"/>
      <c r="H75" s="130">
        <f t="shared" si="2"/>
        <v>0</v>
      </c>
    </row>
    <row r="76" spans="2:13" ht="30" x14ac:dyDescent="0.25">
      <c r="B76" s="179">
        <f>B74+0.01</f>
        <v>18.150000000000023</v>
      </c>
      <c r="C76" s="74"/>
      <c r="D76" s="150" t="s">
        <v>1150</v>
      </c>
      <c r="E76" s="344">
        <v>2</v>
      </c>
      <c r="F76" s="128" t="s">
        <v>582</v>
      </c>
      <c r="G76" s="402"/>
      <c r="H76" s="130">
        <f t="shared" si="2"/>
        <v>0</v>
      </c>
    </row>
    <row r="77" spans="2:13" x14ac:dyDescent="0.25">
      <c r="B77" s="72"/>
      <c r="C77" s="74"/>
      <c r="D77" s="150"/>
      <c r="E77" s="344"/>
      <c r="F77" s="128"/>
      <c r="G77" s="402"/>
      <c r="H77" s="130">
        <f t="shared" si="2"/>
        <v>0</v>
      </c>
    </row>
    <row r="78" spans="2:13" x14ac:dyDescent="0.25">
      <c r="B78" s="172">
        <f>B76+0.01</f>
        <v>18.160000000000025</v>
      </c>
      <c r="C78" s="74"/>
      <c r="D78" s="150" t="s">
        <v>1151</v>
      </c>
      <c r="E78" s="344">
        <v>2</v>
      </c>
      <c r="F78" s="128" t="s">
        <v>582</v>
      </c>
      <c r="G78" s="129"/>
      <c r="H78" s="130">
        <f t="shared" si="2"/>
        <v>0</v>
      </c>
    </row>
    <row r="79" spans="2:13" x14ac:dyDescent="0.25">
      <c r="B79" s="72"/>
      <c r="C79" s="74"/>
      <c r="D79" s="150"/>
      <c r="E79" s="344"/>
      <c r="F79" s="128"/>
      <c r="G79" s="129"/>
      <c r="H79" s="130">
        <f t="shared" si="2"/>
        <v>0</v>
      </c>
    </row>
    <row r="80" spans="2:13" x14ac:dyDescent="0.25">
      <c r="B80" s="72"/>
      <c r="C80" s="74" t="s">
        <v>1160</v>
      </c>
      <c r="D80" s="150"/>
      <c r="E80" s="344"/>
      <c r="F80" s="128"/>
      <c r="G80" s="129"/>
      <c r="H80" s="130">
        <f t="shared" si="2"/>
        <v>0</v>
      </c>
    </row>
    <row r="81" spans="2:11" x14ac:dyDescent="0.25">
      <c r="B81" s="72"/>
      <c r="C81" s="74"/>
      <c r="D81" s="150"/>
      <c r="E81" s="344"/>
      <c r="F81" s="128"/>
      <c r="G81" s="129"/>
      <c r="H81" s="130">
        <f t="shared" si="2"/>
        <v>0</v>
      </c>
    </row>
    <row r="82" spans="2:11" x14ac:dyDescent="0.25">
      <c r="B82" s="172">
        <f>B78+0.01</f>
        <v>18.170000000000027</v>
      </c>
      <c r="C82" s="74"/>
      <c r="D82" s="158" t="s">
        <v>527</v>
      </c>
      <c r="E82" s="344">
        <v>1</v>
      </c>
      <c r="F82" s="128" t="s">
        <v>582</v>
      </c>
      <c r="G82" s="129"/>
      <c r="H82" s="130">
        <f t="shared" si="2"/>
        <v>0</v>
      </c>
      <c r="J82" s="71">
        <v>3</v>
      </c>
      <c r="K82" s="71">
        <v>3</v>
      </c>
    </row>
    <row r="83" spans="2:11" x14ac:dyDescent="0.25">
      <c r="B83" s="72"/>
      <c r="C83" s="74"/>
      <c r="D83" s="158"/>
      <c r="E83" s="344"/>
      <c r="F83" s="128"/>
      <c r="G83" s="129"/>
      <c r="H83" s="130">
        <f t="shared" si="2"/>
        <v>0</v>
      </c>
    </row>
    <row r="84" spans="2:11" x14ac:dyDescent="0.25">
      <c r="B84" s="72"/>
      <c r="C84" s="74"/>
      <c r="D84" s="160"/>
      <c r="E84" s="161"/>
      <c r="F84" s="78"/>
      <c r="G84" s="79"/>
      <c r="H84" s="130">
        <f t="shared" si="2"/>
        <v>0</v>
      </c>
    </row>
    <row r="85" spans="2:11" x14ac:dyDescent="0.25">
      <c r="B85" s="72"/>
      <c r="C85" s="73" t="s">
        <v>549</v>
      </c>
      <c r="D85" s="160"/>
      <c r="E85" s="161"/>
      <c r="F85" s="78"/>
      <c r="G85" s="79"/>
      <c r="H85" s="130">
        <f t="shared" si="2"/>
        <v>0</v>
      </c>
    </row>
    <row r="86" spans="2:11" x14ac:dyDescent="0.25">
      <c r="B86" s="72"/>
      <c r="C86" s="74"/>
      <c r="D86" s="160"/>
      <c r="E86" s="161"/>
      <c r="F86" s="78"/>
      <c r="G86" s="79"/>
      <c r="H86" s="130">
        <f t="shared" si="2"/>
        <v>0</v>
      </c>
    </row>
    <row r="87" spans="2:11" x14ac:dyDescent="0.25">
      <c r="B87" s="72"/>
      <c r="C87" s="159" t="s">
        <v>529</v>
      </c>
      <c r="D87" s="160"/>
      <c r="E87" s="161"/>
      <c r="F87" s="78"/>
      <c r="G87" s="79"/>
      <c r="H87" s="130">
        <f t="shared" si="2"/>
        <v>0</v>
      </c>
    </row>
    <row r="88" spans="2:11" x14ac:dyDescent="0.25">
      <c r="B88" s="72"/>
      <c r="C88" s="74"/>
      <c r="D88" s="160"/>
      <c r="E88" s="161"/>
      <c r="F88" s="78"/>
      <c r="G88" s="79"/>
      <c r="H88" s="130">
        <f t="shared" si="2"/>
        <v>0</v>
      </c>
    </row>
    <row r="89" spans="2:11" ht="30" customHeight="1" x14ac:dyDescent="0.25">
      <c r="B89" s="72"/>
      <c r="C89" s="422" t="s">
        <v>1161</v>
      </c>
      <c r="D89" s="423"/>
      <c r="E89" s="161"/>
      <c r="F89" s="78"/>
      <c r="G89" s="79"/>
      <c r="H89" s="130">
        <f t="shared" si="2"/>
        <v>0</v>
      </c>
    </row>
    <row r="90" spans="2:11" ht="13.35" customHeight="1" x14ac:dyDescent="0.25">
      <c r="B90" s="72"/>
      <c r="C90" s="165"/>
      <c r="D90" s="167"/>
      <c r="E90" s="161"/>
      <c r="F90" s="78"/>
      <c r="G90" s="79"/>
      <c r="H90" s="130">
        <f t="shared" si="2"/>
        <v>0</v>
      </c>
    </row>
    <row r="91" spans="2:11" x14ac:dyDescent="0.25">
      <c r="B91" s="172">
        <f>B82+0.01</f>
        <v>18.180000000000028</v>
      </c>
      <c r="C91" s="74"/>
      <c r="D91" s="112" t="s">
        <v>527</v>
      </c>
      <c r="E91" s="162">
        <v>1</v>
      </c>
      <c r="F91" s="75" t="s">
        <v>528</v>
      </c>
      <c r="G91" s="76"/>
      <c r="H91" s="130">
        <f t="shared" si="2"/>
        <v>0</v>
      </c>
    </row>
    <row r="92" spans="2:11" x14ac:dyDescent="0.25">
      <c r="B92" s="72"/>
      <c r="C92" s="73"/>
      <c r="D92" s="112"/>
      <c r="E92" s="75"/>
      <c r="F92" s="75"/>
      <c r="G92" s="76"/>
      <c r="H92" s="130">
        <f t="shared" si="2"/>
        <v>0</v>
      </c>
    </row>
    <row r="93" spans="2:11" ht="15.75" thickBot="1" x14ac:dyDescent="0.3">
      <c r="B93" s="85"/>
      <c r="C93" s="86"/>
      <c r="D93" s="87"/>
      <c r="E93" s="88"/>
      <c r="F93" s="88"/>
      <c r="G93" s="89"/>
      <c r="H93" s="76" t="str">
        <f>IF(G93="","",G93*E93)</f>
        <v/>
      </c>
    </row>
    <row r="94" spans="2:11" ht="30.75" customHeight="1" thickBot="1" x14ac:dyDescent="0.3">
      <c r="D94" s="367" t="s">
        <v>1169</v>
      </c>
      <c r="E94" s="109"/>
      <c r="F94" s="109"/>
      <c r="G94" s="75"/>
      <c r="H94" s="124">
        <f>SUM(H23:H93)</f>
        <v>0</v>
      </c>
    </row>
  </sheetData>
  <mergeCells count="15">
    <mergeCell ref="C89:D89"/>
    <mergeCell ref="C9:D9"/>
    <mergeCell ref="C10:D10"/>
    <mergeCell ref="C12:D12"/>
    <mergeCell ref="C14:D14"/>
    <mergeCell ref="C18:D18"/>
    <mergeCell ref="C40:D40"/>
    <mergeCell ref="C42:D42"/>
    <mergeCell ref="C62:D62"/>
    <mergeCell ref="C64:D64"/>
    <mergeCell ref="C7:D7"/>
    <mergeCell ref="C8:D8"/>
    <mergeCell ref="C20:D20"/>
    <mergeCell ref="C22:D22"/>
    <mergeCell ref="C24:D24"/>
  </mergeCells>
  <pageMargins left="0.70866141732283472" right="0.70866141732283472" top="0.74803149606299213" bottom="0.74803149606299213" header="0.31496062992125984" footer="0.31496062992125984"/>
  <pageSetup paperSize="9" scale="72"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898"/>
  <sheetViews>
    <sheetView zoomScale="80" zoomScaleNormal="80" workbookViewId="0">
      <selection activeCell="B2" sqref="B2:G866"/>
    </sheetView>
  </sheetViews>
  <sheetFormatPr defaultRowHeight="15" x14ac:dyDescent="0.25"/>
  <cols>
    <col min="1" max="1" width="3" customWidth="1"/>
    <col min="3" max="3" width="4.5703125" customWidth="1"/>
    <col min="4" max="4" width="65.5703125" customWidth="1"/>
    <col min="5" max="5" width="14.42578125" customWidth="1"/>
    <col min="6" max="7" width="15.5703125" customWidth="1"/>
    <col min="8" max="8" width="10.140625" bestFit="1" customWidth="1"/>
    <col min="10" max="10" width="49.5703125" customWidth="1"/>
  </cols>
  <sheetData>
    <row r="1" spans="2:10" ht="15.75" thickBot="1" x14ac:dyDescent="0.3"/>
    <row r="2" spans="2:10" ht="34.5" customHeight="1" x14ac:dyDescent="0.25">
      <c r="B2" s="12" t="str">
        <f>+Summary!B2</f>
        <v>Todmorden Bandstand Refurbishment &amp; Bowls Pavilion New Build</v>
      </c>
      <c r="C2" s="13"/>
      <c r="D2" s="13"/>
      <c r="E2" s="13"/>
      <c r="F2" s="13"/>
      <c r="G2" s="29"/>
    </row>
    <row r="3" spans="2:10" ht="30" customHeight="1" x14ac:dyDescent="0.25">
      <c r="B3" s="9" t="str">
        <f>+Summary!B3</f>
        <v>Tender Document</v>
      </c>
      <c r="C3" s="15"/>
      <c r="D3" s="15"/>
      <c r="E3" s="15"/>
      <c r="F3" s="16" t="str">
        <f>+Summary!D9</f>
        <v>Preliminaries</v>
      </c>
      <c r="G3" s="31">
        <f>+Summary!G3</f>
        <v>45614</v>
      </c>
    </row>
    <row r="4" spans="2:10" ht="13.5" customHeight="1" thickBot="1" x14ac:dyDescent="0.3">
      <c r="B4" s="18"/>
      <c r="C4" s="19"/>
      <c r="D4" s="19"/>
      <c r="E4" s="19"/>
      <c r="F4" s="19"/>
      <c r="G4" s="30"/>
    </row>
    <row r="5" spans="2:10" ht="47.25" customHeight="1" thickBot="1" x14ac:dyDescent="0.3">
      <c r="B5" s="11"/>
      <c r="C5" s="9"/>
      <c r="D5" s="6"/>
      <c r="E5" s="42" t="s">
        <v>674</v>
      </c>
      <c r="F5" s="42" t="s">
        <v>673</v>
      </c>
      <c r="G5" s="42" t="s">
        <v>5</v>
      </c>
    </row>
    <row r="6" spans="2:10" x14ac:dyDescent="0.25">
      <c r="B6" s="11"/>
      <c r="C6" s="9"/>
      <c r="D6" s="6"/>
      <c r="E6" s="8"/>
      <c r="F6" s="8"/>
      <c r="G6" s="8" t="str">
        <f>IF(F6="","",F6*#REF!)</f>
        <v/>
      </c>
    </row>
    <row r="7" spans="2:10" x14ac:dyDescent="0.25">
      <c r="B7" s="11"/>
      <c r="C7" s="32"/>
      <c r="D7" s="6"/>
      <c r="E7" s="8"/>
      <c r="F7" s="8"/>
      <c r="G7" s="8" t="str">
        <f>IF(F7="","",F7*#REF!)</f>
        <v/>
      </c>
    </row>
    <row r="8" spans="2:10" x14ac:dyDescent="0.25">
      <c r="B8" s="47"/>
      <c r="C8" s="1"/>
      <c r="D8" s="43" t="s">
        <v>9</v>
      </c>
      <c r="E8" s="51"/>
      <c r="F8" s="51"/>
      <c r="G8" s="8" t="str">
        <f>IF(F8="","",F8*#REF!)</f>
        <v/>
      </c>
    </row>
    <row r="9" spans="2:10" x14ac:dyDescent="0.25">
      <c r="B9" s="47"/>
      <c r="C9" s="9"/>
      <c r="D9" s="44"/>
      <c r="E9" s="51"/>
      <c r="F9" s="51"/>
      <c r="G9" s="8"/>
    </row>
    <row r="10" spans="2:10" x14ac:dyDescent="0.25">
      <c r="B10" s="48"/>
      <c r="C10" s="1"/>
      <c r="D10" s="44" t="s">
        <v>10</v>
      </c>
      <c r="E10" s="51"/>
      <c r="F10" s="51"/>
      <c r="G10" s="8" t="str">
        <f>IF(F10="","",F10*#REF!)</f>
        <v/>
      </c>
    </row>
    <row r="11" spans="2:10" x14ac:dyDescent="0.25">
      <c r="B11" s="47"/>
      <c r="C11" s="9"/>
      <c r="D11" s="44"/>
      <c r="E11" s="51"/>
      <c r="F11" s="51"/>
      <c r="G11" s="8" t="str">
        <f>IF(F11="","",F11*#REF!)</f>
        <v/>
      </c>
    </row>
    <row r="12" spans="2:10" ht="30" x14ac:dyDescent="0.25">
      <c r="B12" s="47"/>
      <c r="C12" s="1"/>
      <c r="D12" s="44" t="s">
        <v>670</v>
      </c>
      <c r="E12" s="51"/>
      <c r="F12" s="51"/>
      <c r="G12" s="8" t="str">
        <f>IF(F12="","",F12*#REF!)</f>
        <v/>
      </c>
      <c r="J12" s="69"/>
    </row>
    <row r="13" spans="2:10" ht="18.75" x14ac:dyDescent="0.25">
      <c r="B13" s="47"/>
      <c r="C13" s="4"/>
      <c r="D13" s="44"/>
      <c r="E13" s="51"/>
      <c r="F13" s="51"/>
      <c r="G13" s="8"/>
      <c r="J13" s="69"/>
    </row>
    <row r="14" spans="2:10" x14ac:dyDescent="0.25">
      <c r="B14" s="47"/>
      <c r="C14" s="4"/>
      <c r="D14" s="44" t="s">
        <v>11</v>
      </c>
      <c r="E14" s="51"/>
      <c r="F14" s="51"/>
      <c r="G14" s="8"/>
    </row>
    <row r="15" spans="2:10" x14ac:dyDescent="0.25">
      <c r="B15" s="47"/>
      <c r="C15" s="4"/>
      <c r="D15" s="44"/>
      <c r="E15" s="51"/>
      <c r="F15" s="51"/>
      <c r="G15" s="8"/>
    </row>
    <row r="16" spans="2:10" x14ac:dyDescent="0.25">
      <c r="B16" s="47"/>
      <c r="C16" s="4"/>
      <c r="D16" s="44" t="s">
        <v>1484</v>
      </c>
      <c r="E16" s="51"/>
      <c r="F16" s="51"/>
      <c r="G16" s="8"/>
    </row>
    <row r="17" spans="2:7" x14ac:dyDescent="0.25">
      <c r="B17" s="47"/>
      <c r="C17" s="4"/>
      <c r="D17" s="417" t="s">
        <v>1485</v>
      </c>
      <c r="E17" s="51"/>
      <c r="F17" s="51"/>
      <c r="G17" s="8"/>
    </row>
    <row r="18" spans="2:7" x14ac:dyDescent="0.25">
      <c r="B18" s="47"/>
      <c r="C18" s="4"/>
      <c r="D18" s="417" t="s">
        <v>1486</v>
      </c>
      <c r="E18" s="51"/>
      <c r="F18" s="51"/>
      <c r="G18" s="8"/>
    </row>
    <row r="19" spans="2:7" x14ac:dyDescent="0.25">
      <c r="B19" s="47"/>
      <c r="C19" s="4"/>
      <c r="D19" s="417" t="s">
        <v>1206</v>
      </c>
      <c r="E19" s="51"/>
      <c r="F19" s="51"/>
      <c r="G19" s="8"/>
    </row>
    <row r="20" spans="2:7" x14ac:dyDescent="0.25">
      <c r="B20" s="47"/>
      <c r="C20" s="4"/>
      <c r="D20" s="417" t="s">
        <v>1487</v>
      </c>
      <c r="E20" s="51"/>
      <c r="F20" s="51"/>
      <c r="G20" s="8"/>
    </row>
    <row r="21" spans="2:7" x14ac:dyDescent="0.25">
      <c r="B21" s="47"/>
      <c r="C21" s="4"/>
      <c r="D21" s="44"/>
      <c r="E21" s="51"/>
      <c r="F21" s="51"/>
      <c r="G21" s="8"/>
    </row>
    <row r="22" spans="2:7" x14ac:dyDescent="0.25">
      <c r="B22" s="47"/>
      <c r="C22" s="4"/>
      <c r="D22" s="44" t="s">
        <v>12</v>
      </c>
      <c r="E22" s="51"/>
      <c r="F22" s="51"/>
      <c r="G22" s="8"/>
    </row>
    <row r="23" spans="2:7" x14ac:dyDescent="0.25">
      <c r="B23" s="48"/>
      <c r="C23" s="4"/>
      <c r="D23" s="44"/>
      <c r="E23" s="51"/>
      <c r="F23" s="51"/>
      <c r="G23" s="8"/>
    </row>
    <row r="24" spans="2:7" x14ac:dyDescent="0.25">
      <c r="B24" s="47"/>
      <c r="C24" s="4"/>
      <c r="D24" s="44" t="s">
        <v>13</v>
      </c>
      <c r="E24" s="51"/>
      <c r="F24" s="51"/>
      <c r="G24" s="8"/>
    </row>
    <row r="25" spans="2:7" x14ac:dyDescent="0.25">
      <c r="B25" s="47"/>
      <c r="C25" s="4"/>
      <c r="D25" s="163" t="s">
        <v>636</v>
      </c>
      <c r="E25" s="51"/>
      <c r="F25" s="51"/>
      <c r="G25" s="8"/>
    </row>
    <row r="26" spans="2:7" x14ac:dyDescent="0.25">
      <c r="B26" s="47"/>
      <c r="C26" s="4"/>
      <c r="D26" s="163" t="s">
        <v>637</v>
      </c>
      <c r="E26" s="51"/>
      <c r="F26" s="51"/>
      <c r="G26" s="8"/>
    </row>
    <row r="27" spans="2:7" x14ac:dyDescent="0.25">
      <c r="B27" s="47"/>
      <c r="C27" s="4"/>
      <c r="D27" s="163" t="s">
        <v>638</v>
      </c>
      <c r="E27" s="51"/>
      <c r="F27" s="51"/>
      <c r="G27" s="8"/>
    </row>
    <row r="28" spans="2:7" x14ac:dyDescent="0.25">
      <c r="B28" s="47"/>
      <c r="C28" s="4"/>
      <c r="D28" s="163" t="s">
        <v>639</v>
      </c>
      <c r="E28" s="51"/>
      <c r="F28" s="51"/>
      <c r="G28" s="8"/>
    </row>
    <row r="29" spans="2:7" x14ac:dyDescent="0.25">
      <c r="B29" s="47"/>
      <c r="C29" s="4"/>
      <c r="D29" s="163" t="s">
        <v>640</v>
      </c>
      <c r="E29" s="51"/>
      <c r="F29" s="51"/>
      <c r="G29" s="8"/>
    </row>
    <row r="30" spans="2:7" x14ac:dyDescent="0.25">
      <c r="B30" s="47"/>
      <c r="C30" s="4"/>
      <c r="D30" s="44"/>
      <c r="E30" s="51"/>
      <c r="F30" s="51"/>
      <c r="G30" s="8"/>
    </row>
    <row r="31" spans="2:7" x14ac:dyDescent="0.25">
      <c r="B31" s="47"/>
      <c r="C31" s="4"/>
      <c r="D31" s="44" t="s">
        <v>642</v>
      </c>
      <c r="E31" s="51"/>
      <c r="F31" s="51"/>
      <c r="G31" s="8"/>
    </row>
    <row r="32" spans="2:7" x14ac:dyDescent="0.25">
      <c r="B32" s="47"/>
      <c r="C32" s="4"/>
      <c r="D32" s="163" t="s">
        <v>636</v>
      </c>
      <c r="E32" s="51"/>
      <c r="F32" s="51"/>
      <c r="G32" s="8"/>
    </row>
    <row r="33" spans="2:7" x14ac:dyDescent="0.25">
      <c r="B33" s="47"/>
      <c r="C33" s="4"/>
      <c r="D33" s="163" t="s">
        <v>637</v>
      </c>
      <c r="E33" s="51"/>
      <c r="F33" s="51"/>
      <c r="G33" s="8"/>
    </row>
    <row r="34" spans="2:7" x14ac:dyDescent="0.25">
      <c r="B34" s="47"/>
      <c r="C34" s="4"/>
      <c r="D34" s="163" t="s">
        <v>638</v>
      </c>
      <c r="E34" s="51"/>
      <c r="F34" s="51"/>
      <c r="G34" s="8"/>
    </row>
    <row r="35" spans="2:7" x14ac:dyDescent="0.25">
      <c r="B35" s="47"/>
      <c r="C35" s="4"/>
      <c r="D35" s="163" t="s">
        <v>639</v>
      </c>
      <c r="E35" s="51"/>
      <c r="F35" s="51"/>
      <c r="G35" s="8"/>
    </row>
    <row r="36" spans="2:7" x14ac:dyDescent="0.25">
      <c r="B36" s="47"/>
      <c r="C36" s="4"/>
      <c r="D36" s="163" t="s">
        <v>640</v>
      </c>
      <c r="E36" s="51"/>
      <c r="F36" s="51"/>
      <c r="G36" s="8"/>
    </row>
    <row r="37" spans="2:7" x14ac:dyDescent="0.25">
      <c r="B37" s="47"/>
      <c r="C37" s="4"/>
      <c r="D37" s="44"/>
      <c r="E37" s="51"/>
      <c r="F37" s="51"/>
      <c r="G37" s="8"/>
    </row>
    <row r="38" spans="2:7" x14ac:dyDescent="0.25">
      <c r="B38" s="47"/>
      <c r="C38" s="4"/>
      <c r="D38" s="44" t="s">
        <v>21</v>
      </c>
      <c r="E38" s="51"/>
      <c r="F38" s="51"/>
      <c r="G38" s="8"/>
    </row>
    <row r="39" spans="2:7" x14ac:dyDescent="0.25">
      <c r="B39" s="47"/>
      <c r="C39" s="4"/>
      <c r="D39" s="44" t="s">
        <v>14</v>
      </c>
      <c r="E39" s="51"/>
      <c r="F39" s="51"/>
      <c r="G39" s="8"/>
    </row>
    <row r="40" spans="2:7" x14ac:dyDescent="0.25">
      <c r="B40" s="47"/>
      <c r="C40" s="4"/>
      <c r="D40" s="44" t="s">
        <v>15</v>
      </c>
      <c r="E40" s="51"/>
      <c r="F40" s="51"/>
      <c r="G40" s="8"/>
    </row>
    <row r="41" spans="2:7" x14ac:dyDescent="0.25">
      <c r="B41" s="47"/>
      <c r="C41" s="4"/>
      <c r="D41" s="44" t="s">
        <v>16</v>
      </c>
      <c r="E41" s="51"/>
      <c r="F41" s="51"/>
      <c r="G41" s="8"/>
    </row>
    <row r="42" spans="2:7" x14ac:dyDescent="0.25">
      <c r="B42" s="47"/>
      <c r="C42" s="4"/>
      <c r="D42" s="44" t="s">
        <v>17</v>
      </c>
      <c r="E42" s="51"/>
      <c r="F42" s="51"/>
      <c r="G42" s="8"/>
    </row>
    <row r="43" spans="2:7" x14ac:dyDescent="0.25">
      <c r="B43" s="47"/>
      <c r="C43" s="4"/>
      <c r="D43" s="44" t="s">
        <v>18</v>
      </c>
      <c r="E43" s="51"/>
      <c r="F43" s="51"/>
      <c r="G43" s="8"/>
    </row>
    <row r="44" spans="2:7" x14ac:dyDescent="0.25">
      <c r="B44" s="47"/>
      <c r="C44" s="4"/>
      <c r="D44" s="44" t="s">
        <v>19</v>
      </c>
      <c r="E44" s="51"/>
      <c r="F44" s="51"/>
      <c r="G44" s="8"/>
    </row>
    <row r="45" spans="2:7" x14ac:dyDescent="0.25">
      <c r="B45" s="47"/>
      <c r="C45" s="4"/>
      <c r="D45" s="44" t="s">
        <v>20</v>
      </c>
      <c r="E45" s="51"/>
      <c r="F45" s="51"/>
      <c r="G45" s="8"/>
    </row>
    <row r="46" spans="2:7" x14ac:dyDescent="0.25">
      <c r="B46" s="47"/>
      <c r="C46" s="4"/>
      <c r="D46" s="44"/>
      <c r="E46" s="51"/>
      <c r="F46" s="51"/>
      <c r="G46" s="8"/>
    </row>
    <row r="47" spans="2:7" x14ac:dyDescent="0.25">
      <c r="B47" s="47"/>
      <c r="C47" s="4"/>
      <c r="D47" s="44" t="s">
        <v>22</v>
      </c>
      <c r="E47" s="51"/>
      <c r="F47" s="51"/>
      <c r="G47" s="8"/>
    </row>
    <row r="48" spans="2:7" x14ac:dyDescent="0.25">
      <c r="B48" s="47"/>
      <c r="C48" s="4"/>
      <c r="D48" s="44" t="s">
        <v>641</v>
      </c>
      <c r="E48" s="51"/>
      <c r="F48" s="51"/>
      <c r="G48" s="8"/>
    </row>
    <row r="49" spans="2:7" x14ac:dyDescent="0.25">
      <c r="B49" s="47"/>
      <c r="C49" s="4"/>
      <c r="D49" s="44"/>
      <c r="E49" s="51"/>
      <c r="F49" s="51"/>
      <c r="G49" s="8"/>
    </row>
    <row r="50" spans="2:7" x14ac:dyDescent="0.25">
      <c r="B50" s="47"/>
      <c r="C50" s="4"/>
      <c r="D50" s="44" t="s">
        <v>23</v>
      </c>
      <c r="E50" s="51"/>
      <c r="F50" s="51"/>
      <c r="G50" s="8"/>
    </row>
    <row r="51" spans="2:7" x14ac:dyDescent="0.25">
      <c r="B51" s="47"/>
      <c r="C51" s="4"/>
      <c r="D51" s="44" t="s">
        <v>641</v>
      </c>
      <c r="E51" s="51"/>
      <c r="F51" s="51"/>
      <c r="G51" s="8"/>
    </row>
    <row r="52" spans="2:7" x14ac:dyDescent="0.25">
      <c r="B52" s="47"/>
      <c r="C52" s="4"/>
      <c r="D52" s="44"/>
      <c r="E52" s="51"/>
      <c r="F52" s="51"/>
      <c r="G52" s="8"/>
    </row>
    <row r="53" spans="2:7" x14ac:dyDescent="0.25">
      <c r="B53" s="47"/>
      <c r="C53" s="4"/>
      <c r="D53" s="44" t="s">
        <v>24</v>
      </c>
      <c r="E53" s="51"/>
      <c r="F53" s="51"/>
      <c r="G53" s="8"/>
    </row>
    <row r="54" spans="2:7" x14ac:dyDescent="0.25">
      <c r="B54" s="47"/>
      <c r="C54" s="4"/>
      <c r="D54" s="44" t="s">
        <v>628</v>
      </c>
      <c r="E54" s="51"/>
      <c r="F54" s="51"/>
      <c r="G54" s="8"/>
    </row>
    <row r="55" spans="2:7" x14ac:dyDescent="0.25">
      <c r="B55" s="47"/>
      <c r="C55" s="4"/>
      <c r="D55" s="44"/>
      <c r="E55" s="51"/>
      <c r="F55" s="51"/>
      <c r="G55" s="8"/>
    </row>
    <row r="56" spans="2:7" x14ac:dyDescent="0.25">
      <c r="B56" s="47"/>
      <c r="C56" s="4"/>
      <c r="D56" s="45" t="s">
        <v>25</v>
      </c>
      <c r="E56" s="51"/>
      <c r="F56" s="51"/>
      <c r="G56" s="8"/>
    </row>
    <row r="57" spans="2:7" x14ac:dyDescent="0.25">
      <c r="B57" s="47"/>
      <c r="C57" s="4"/>
      <c r="D57" s="44"/>
      <c r="E57" s="51"/>
      <c r="F57" s="51"/>
      <c r="G57" s="8"/>
    </row>
    <row r="58" spans="2:7" x14ac:dyDescent="0.25">
      <c r="B58" s="47"/>
      <c r="C58" s="4"/>
      <c r="D58" s="44" t="s">
        <v>500</v>
      </c>
      <c r="E58" s="51"/>
      <c r="F58" s="51"/>
      <c r="G58" s="8"/>
    </row>
    <row r="59" spans="2:7" x14ac:dyDescent="0.25">
      <c r="B59" s="47"/>
      <c r="C59" s="4"/>
      <c r="D59" s="44" t="s">
        <v>501</v>
      </c>
      <c r="E59" s="51"/>
      <c r="F59" s="51"/>
      <c r="G59" s="8"/>
    </row>
    <row r="60" spans="2:7" x14ac:dyDescent="0.25">
      <c r="B60" s="47"/>
      <c r="C60" s="4"/>
      <c r="D60" s="44"/>
      <c r="E60" s="51"/>
      <c r="F60" s="51"/>
      <c r="G60" s="8"/>
    </row>
    <row r="61" spans="2:7" x14ac:dyDescent="0.25">
      <c r="B61" s="47"/>
      <c r="C61" s="4"/>
      <c r="D61" s="44" t="s">
        <v>26</v>
      </c>
      <c r="E61" s="51"/>
      <c r="F61" s="51"/>
      <c r="G61" s="8"/>
    </row>
    <row r="62" spans="2:7" ht="45" x14ac:dyDescent="0.25">
      <c r="B62" s="47"/>
      <c r="C62" s="4"/>
      <c r="D62" s="44" t="s">
        <v>502</v>
      </c>
      <c r="E62" s="51"/>
      <c r="F62" s="51"/>
      <c r="G62" s="8"/>
    </row>
    <row r="63" spans="2:7" x14ac:dyDescent="0.25">
      <c r="B63" s="47"/>
      <c r="C63" s="4"/>
      <c r="D63" s="44"/>
      <c r="E63" s="51"/>
      <c r="F63" s="51"/>
      <c r="G63" s="8"/>
    </row>
    <row r="64" spans="2:7" x14ac:dyDescent="0.25">
      <c r="B64" s="47"/>
      <c r="C64" s="4"/>
      <c r="D64" s="45" t="s">
        <v>27</v>
      </c>
      <c r="E64" s="51"/>
      <c r="F64" s="51"/>
      <c r="G64" s="8"/>
    </row>
    <row r="65" spans="2:7" x14ac:dyDescent="0.25">
      <c r="B65" s="47"/>
      <c r="C65" s="4"/>
      <c r="D65" s="44"/>
      <c r="E65" s="51"/>
      <c r="F65" s="51"/>
      <c r="G65" s="8"/>
    </row>
    <row r="66" spans="2:7" x14ac:dyDescent="0.25">
      <c r="B66" s="47"/>
      <c r="C66" s="4"/>
      <c r="D66" s="44" t="s">
        <v>28</v>
      </c>
      <c r="E66" s="51"/>
      <c r="F66" s="51"/>
      <c r="G66" s="8"/>
    </row>
    <row r="67" spans="2:7" x14ac:dyDescent="0.25">
      <c r="B67" s="49"/>
      <c r="C67" s="4"/>
      <c r="D67" s="44" t="s">
        <v>1401</v>
      </c>
      <c r="E67" s="51"/>
      <c r="F67" s="51"/>
      <c r="G67" s="8"/>
    </row>
    <row r="68" spans="2:7" x14ac:dyDescent="0.25">
      <c r="B68" s="47"/>
      <c r="C68" s="4"/>
      <c r="D68" s="44"/>
      <c r="E68" s="51"/>
      <c r="F68" s="51"/>
      <c r="G68" s="8"/>
    </row>
    <row r="69" spans="2:7" x14ac:dyDescent="0.25">
      <c r="B69" s="47"/>
      <c r="C69" s="4"/>
      <c r="D69" s="44" t="s">
        <v>29</v>
      </c>
      <c r="E69" s="51"/>
      <c r="F69" s="51"/>
      <c r="G69" s="8"/>
    </row>
    <row r="70" spans="2:7" ht="30" x14ac:dyDescent="0.25">
      <c r="B70" s="47"/>
      <c r="C70" s="4"/>
      <c r="D70" s="44" t="s">
        <v>1402</v>
      </c>
      <c r="E70" s="51"/>
      <c r="F70" s="51"/>
      <c r="G70" s="8"/>
    </row>
    <row r="71" spans="2:7" x14ac:dyDescent="0.25">
      <c r="B71" s="47"/>
      <c r="C71" s="4"/>
      <c r="D71" s="44"/>
      <c r="E71" s="51"/>
      <c r="F71" s="51"/>
      <c r="G71" s="8"/>
    </row>
    <row r="72" spans="2:7" x14ac:dyDescent="0.25">
      <c r="B72" s="47"/>
      <c r="C72" s="4"/>
      <c r="D72" s="44" t="s">
        <v>30</v>
      </c>
      <c r="E72" s="51"/>
      <c r="F72" s="51"/>
      <c r="G72" s="8"/>
    </row>
    <row r="73" spans="2:7" x14ac:dyDescent="0.25">
      <c r="B73" s="47"/>
      <c r="C73" s="4"/>
      <c r="D73" s="44"/>
      <c r="E73" s="51"/>
      <c r="F73" s="51"/>
      <c r="G73" s="8"/>
    </row>
    <row r="74" spans="2:7" x14ac:dyDescent="0.25">
      <c r="B74" s="47"/>
      <c r="C74" s="4"/>
      <c r="D74" s="44"/>
      <c r="E74" s="51"/>
      <c r="F74" s="51"/>
      <c r="G74" s="8"/>
    </row>
    <row r="75" spans="2:7" x14ac:dyDescent="0.25">
      <c r="B75" s="47"/>
      <c r="C75" s="4"/>
      <c r="D75" s="44" t="s">
        <v>31</v>
      </c>
      <c r="E75" s="51"/>
      <c r="F75" s="51"/>
      <c r="G75" s="8"/>
    </row>
    <row r="76" spans="2:7" ht="60" x14ac:dyDescent="0.25">
      <c r="B76" s="47"/>
      <c r="C76" s="4"/>
      <c r="D76" s="44" t="s">
        <v>32</v>
      </c>
      <c r="E76" s="51"/>
      <c r="F76" s="51"/>
      <c r="G76" s="8"/>
    </row>
    <row r="77" spans="2:7" x14ac:dyDescent="0.25">
      <c r="B77" s="47"/>
      <c r="C77" s="4"/>
      <c r="D77" s="44"/>
      <c r="E77" s="51"/>
      <c r="F77" s="51"/>
      <c r="G77" s="8"/>
    </row>
    <row r="78" spans="2:7" x14ac:dyDescent="0.25">
      <c r="B78" s="47"/>
      <c r="C78" s="4"/>
      <c r="D78" s="44" t="s">
        <v>33</v>
      </c>
      <c r="E78" s="51"/>
      <c r="F78" s="51"/>
      <c r="G78" s="8"/>
    </row>
    <row r="79" spans="2:7" ht="45" x14ac:dyDescent="0.25">
      <c r="B79" s="47"/>
      <c r="C79" s="4"/>
      <c r="D79" s="44" t="s">
        <v>34</v>
      </c>
      <c r="E79" s="51"/>
      <c r="F79" s="51"/>
      <c r="G79" s="8"/>
    </row>
    <row r="80" spans="2:7" x14ac:dyDescent="0.25">
      <c r="B80" s="47"/>
      <c r="C80" s="4"/>
      <c r="D80" s="44"/>
      <c r="E80" s="51"/>
      <c r="F80" s="51"/>
      <c r="G80" s="8"/>
    </row>
    <row r="81" spans="2:7" x14ac:dyDescent="0.25">
      <c r="B81" s="47"/>
      <c r="C81" s="4"/>
      <c r="D81" s="44" t="s">
        <v>35</v>
      </c>
      <c r="E81" s="51"/>
      <c r="F81" s="51"/>
      <c r="G81" s="8"/>
    </row>
    <row r="82" spans="2:7" ht="75" x14ac:dyDescent="0.25">
      <c r="B82" s="47"/>
      <c r="C82" s="4"/>
      <c r="D82" s="44" t="s">
        <v>503</v>
      </c>
      <c r="E82" s="51"/>
      <c r="F82" s="51"/>
      <c r="G82" s="8"/>
    </row>
    <row r="83" spans="2:7" x14ac:dyDescent="0.25">
      <c r="B83" s="47"/>
      <c r="C83" s="4"/>
      <c r="D83" s="44"/>
      <c r="E83" s="51"/>
      <c r="F83" s="51"/>
      <c r="G83" s="8"/>
    </row>
    <row r="84" spans="2:7" x14ac:dyDescent="0.25">
      <c r="B84" s="47"/>
      <c r="C84" s="4"/>
      <c r="D84" s="44" t="s">
        <v>36</v>
      </c>
      <c r="E84" s="51"/>
      <c r="F84" s="51"/>
      <c r="G84" s="8"/>
    </row>
    <row r="85" spans="2:7" ht="165" x14ac:dyDescent="0.25">
      <c r="B85" s="47"/>
      <c r="C85" s="4"/>
      <c r="D85" s="44" t="s">
        <v>504</v>
      </c>
      <c r="E85" s="51"/>
      <c r="F85" s="51"/>
      <c r="G85" s="8"/>
    </row>
    <row r="86" spans="2:7" x14ac:dyDescent="0.25">
      <c r="B86" s="47"/>
      <c r="C86" s="4"/>
      <c r="D86" s="44"/>
      <c r="E86" s="51"/>
      <c r="F86" s="51"/>
      <c r="G86" s="8"/>
    </row>
    <row r="87" spans="2:7" x14ac:dyDescent="0.25">
      <c r="B87" s="47"/>
      <c r="C87" s="4"/>
      <c r="D87" s="44" t="s">
        <v>37</v>
      </c>
      <c r="E87" s="51"/>
      <c r="F87" s="51"/>
      <c r="G87" s="8"/>
    </row>
    <row r="88" spans="2:7" x14ac:dyDescent="0.25">
      <c r="B88" s="47"/>
      <c r="C88" s="4"/>
      <c r="D88" s="44"/>
      <c r="E88" s="51"/>
      <c r="F88" s="51"/>
      <c r="G88" s="8"/>
    </row>
    <row r="89" spans="2:7" x14ac:dyDescent="0.25">
      <c r="B89" s="47"/>
      <c r="C89" s="4"/>
      <c r="D89" s="44" t="s">
        <v>38</v>
      </c>
      <c r="E89" s="51"/>
      <c r="F89" s="51"/>
      <c r="G89" s="8"/>
    </row>
    <row r="90" spans="2:7" ht="45" x14ac:dyDescent="0.25">
      <c r="B90" s="47"/>
      <c r="C90" s="4"/>
      <c r="D90" s="44" t="s">
        <v>1406</v>
      </c>
      <c r="E90" s="51"/>
      <c r="F90" s="51"/>
      <c r="G90" s="8"/>
    </row>
    <row r="91" spans="2:7" x14ac:dyDescent="0.25">
      <c r="B91" s="47"/>
      <c r="C91" s="4"/>
      <c r="D91" s="44" t="s">
        <v>631</v>
      </c>
      <c r="E91" s="51"/>
      <c r="F91" s="51"/>
      <c r="G91" s="8"/>
    </row>
    <row r="92" spans="2:7" x14ac:dyDescent="0.25">
      <c r="B92" s="47"/>
      <c r="C92" s="4"/>
      <c r="D92" s="44" t="s">
        <v>1403</v>
      </c>
      <c r="E92" s="51"/>
      <c r="F92" s="51"/>
      <c r="G92" s="8"/>
    </row>
    <row r="93" spans="2:7" x14ac:dyDescent="0.25">
      <c r="B93" s="47"/>
      <c r="C93" s="4"/>
      <c r="D93" s="44" t="s">
        <v>1404</v>
      </c>
      <c r="E93" s="51"/>
      <c r="F93" s="51"/>
      <c r="G93" s="8"/>
    </row>
    <row r="94" spans="2:7" ht="30" x14ac:dyDescent="0.25">
      <c r="B94" s="47"/>
      <c r="C94" s="4"/>
      <c r="D94" s="44" t="s">
        <v>643</v>
      </c>
      <c r="E94" s="51"/>
      <c r="F94" s="51"/>
      <c r="G94" s="8"/>
    </row>
    <row r="95" spans="2:7" ht="30" x14ac:dyDescent="0.25">
      <c r="B95" s="47"/>
      <c r="C95" s="4"/>
      <c r="D95" s="44" t="s">
        <v>1405</v>
      </c>
      <c r="E95" s="51"/>
      <c r="F95" s="51"/>
      <c r="G95" s="8"/>
    </row>
    <row r="96" spans="2:7" x14ac:dyDescent="0.25">
      <c r="B96" s="47"/>
      <c r="C96" s="4"/>
      <c r="D96" s="44" t="s">
        <v>644</v>
      </c>
      <c r="E96" s="51"/>
      <c r="F96" s="51"/>
      <c r="G96" s="8"/>
    </row>
    <row r="97" spans="2:7" x14ac:dyDescent="0.25">
      <c r="B97" s="47"/>
      <c r="C97" s="4"/>
      <c r="D97" s="44" t="s">
        <v>645</v>
      </c>
      <c r="E97" s="51"/>
      <c r="F97" s="51"/>
      <c r="G97" s="8"/>
    </row>
    <row r="98" spans="2:7" x14ac:dyDescent="0.25">
      <c r="B98" s="47"/>
      <c r="C98" s="4"/>
      <c r="D98" s="44"/>
      <c r="E98" s="51"/>
      <c r="F98" s="51"/>
      <c r="G98" s="8"/>
    </row>
    <row r="99" spans="2:7" x14ac:dyDescent="0.25">
      <c r="B99" s="47"/>
      <c r="C99" s="4"/>
      <c r="D99" s="44" t="s">
        <v>39</v>
      </c>
      <c r="E99" s="51"/>
      <c r="F99" s="51"/>
      <c r="G99" s="8"/>
    </row>
    <row r="100" spans="2:7" x14ac:dyDescent="0.25">
      <c r="B100" s="47"/>
      <c r="C100" s="4"/>
      <c r="D100" s="44" t="s">
        <v>40</v>
      </c>
      <c r="E100" s="51"/>
      <c r="F100" s="51"/>
      <c r="G100" s="8"/>
    </row>
    <row r="101" spans="2:7" x14ac:dyDescent="0.25">
      <c r="B101" s="47"/>
      <c r="C101" s="4"/>
      <c r="D101" s="44"/>
      <c r="E101" s="51"/>
      <c r="F101" s="51"/>
      <c r="G101" s="8"/>
    </row>
    <row r="102" spans="2:7" x14ac:dyDescent="0.25">
      <c r="B102" s="47"/>
      <c r="C102" s="4"/>
      <c r="D102" s="44"/>
      <c r="E102" s="51"/>
      <c r="F102" s="51"/>
      <c r="G102" s="8"/>
    </row>
    <row r="103" spans="2:7" x14ac:dyDescent="0.25">
      <c r="B103" s="50"/>
      <c r="C103" s="4"/>
      <c r="D103" s="45" t="s">
        <v>41</v>
      </c>
      <c r="E103" s="51"/>
      <c r="F103" s="51"/>
      <c r="G103" s="8"/>
    </row>
    <row r="104" spans="2:7" x14ac:dyDescent="0.25">
      <c r="B104" s="47"/>
      <c r="C104" s="4"/>
      <c r="D104" s="44"/>
      <c r="E104" s="51"/>
      <c r="F104" s="51"/>
      <c r="G104" s="8"/>
    </row>
    <row r="105" spans="2:7" ht="75" x14ac:dyDescent="0.25">
      <c r="B105" s="47"/>
      <c r="C105" s="4"/>
      <c r="D105" s="44" t="s">
        <v>1450</v>
      </c>
      <c r="E105" s="51"/>
      <c r="F105" s="51"/>
      <c r="G105" s="8"/>
    </row>
    <row r="106" spans="2:7" x14ac:dyDescent="0.25">
      <c r="B106" s="47"/>
      <c r="C106" s="4"/>
      <c r="D106" s="44"/>
      <c r="E106" s="51"/>
      <c r="F106" s="51"/>
      <c r="G106" s="8"/>
    </row>
    <row r="107" spans="2:7" x14ac:dyDescent="0.25">
      <c r="B107" s="47"/>
      <c r="C107" s="4"/>
      <c r="D107" s="44"/>
      <c r="E107" s="51"/>
      <c r="F107" s="51"/>
      <c r="G107" s="8"/>
    </row>
    <row r="108" spans="2:7" x14ac:dyDescent="0.25">
      <c r="B108" s="47"/>
      <c r="C108" s="4"/>
      <c r="D108" s="44" t="s">
        <v>42</v>
      </c>
      <c r="E108" s="51"/>
      <c r="F108" s="51"/>
      <c r="G108" s="8"/>
    </row>
    <row r="109" spans="2:7" x14ac:dyDescent="0.25">
      <c r="B109" s="47"/>
      <c r="C109" s="4"/>
      <c r="D109" s="44"/>
      <c r="E109" s="51"/>
      <c r="F109" s="51"/>
      <c r="G109" s="8"/>
    </row>
    <row r="110" spans="2:7" ht="30" x14ac:dyDescent="0.25">
      <c r="B110" s="47"/>
      <c r="C110" s="4"/>
      <c r="D110" s="44" t="s">
        <v>1451</v>
      </c>
      <c r="E110" s="51"/>
      <c r="F110" s="51"/>
      <c r="G110" s="8"/>
    </row>
    <row r="111" spans="2:7" x14ac:dyDescent="0.25">
      <c r="B111" s="47"/>
      <c r="C111" s="4"/>
      <c r="D111" s="44"/>
      <c r="E111" s="51"/>
      <c r="F111" s="51"/>
      <c r="G111" s="8"/>
    </row>
    <row r="112" spans="2:7" x14ac:dyDescent="0.25">
      <c r="B112" s="47"/>
      <c r="C112" s="4"/>
      <c r="D112" s="44" t="s">
        <v>505</v>
      </c>
      <c r="E112" s="51"/>
      <c r="F112" s="51"/>
      <c r="G112" s="8"/>
    </row>
    <row r="113" spans="2:7" x14ac:dyDescent="0.25">
      <c r="B113" s="47"/>
      <c r="C113" s="4"/>
      <c r="D113" s="44"/>
      <c r="E113" s="51"/>
      <c r="F113" s="51"/>
      <c r="G113" s="8"/>
    </row>
    <row r="114" spans="2:7" ht="30" x14ac:dyDescent="0.25">
      <c r="B114" s="47"/>
      <c r="C114" s="4"/>
      <c r="D114" s="44" t="s">
        <v>43</v>
      </c>
      <c r="E114" s="51"/>
      <c r="F114" s="51"/>
      <c r="G114" s="8"/>
    </row>
    <row r="115" spans="2:7" x14ac:dyDescent="0.25">
      <c r="B115" s="47"/>
      <c r="C115" s="4"/>
      <c r="D115" s="44"/>
      <c r="E115" s="51"/>
      <c r="F115" s="51"/>
      <c r="G115" s="8"/>
    </row>
    <row r="116" spans="2:7" x14ac:dyDescent="0.25">
      <c r="B116" s="47"/>
      <c r="C116" s="4"/>
      <c r="D116" s="44" t="s">
        <v>1452</v>
      </c>
      <c r="E116" s="51"/>
      <c r="F116" s="51"/>
      <c r="G116" s="8"/>
    </row>
    <row r="117" spans="2:7" x14ac:dyDescent="0.25">
      <c r="B117" s="47"/>
      <c r="C117" s="4"/>
      <c r="D117" s="44"/>
      <c r="E117" s="51"/>
      <c r="F117" s="51"/>
      <c r="G117" s="8"/>
    </row>
    <row r="118" spans="2:7" x14ac:dyDescent="0.25">
      <c r="B118" s="47"/>
      <c r="C118" s="4"/>
      <c r="D118" s="44" t="s">
        <v>44</v>
      </c>
      <c r="E118" s="51"/>
      <c r="F118" s="51"/>
      <c r="G118" s="8"/>
    </row>
    <row r="119" spans="2:7" x14ac:dyDescent="0.25">
      <c r="B119" s="47"/>
      <c r="C119" s="4"/>
      <c r="D119" s="44"/>
      <c r="E119" s="51"/>
      <c r="F119" s="51"/>
      <c r="G119" s="8"/>
    </row>
    <row r="120" spans="2:7" x14ac:dyDescent="0.25">
      <c r="B120" s="47"/>
      <c r="C120" s="4"/>
      <c r="D120" s="44" t="s">
        <v>45</v>
      </c>
      <c r="E120" s="51"/>
      <c r="F120" s="51"/>
      <c r="G120" s="8"/>
    </row>
    <row r="121" spans="2:7" x14ac:dyDescent="0.25">
      <c r="B121" s="47"/>
      <c r="C121" s="4"/>
      <c r="D121" s="44"/>
      <c r="E121" s="51"/>
      <c r="F121" s="51"/>
      <c r="G121" s="8"/>
    </row>
    <row r="122" spans="2:7" x14ac:dyDescent="0.25">
      <c r="B122" s="47"/>
      <c r="C122" s="4"/>
      <c r="D122" s="44" t="s">
        <v>46</v>
      </c>
      <c r="E122" s="51"/>
      <c r="F122" s="51"/>
      <c r="G122" s="8"/>
    </row>
    <row r="123" spans="2:7" x14ac:dyDescent="0.25">
      <c r="B123" s="47"/>
      <c r="C123" s="4"/>
      <c r="D123" s="44"/>
      <c r="E123" s="51"/>
      <c r="F123" s="51"/>
      <c r="G123" s="8"/>
    </row>
    <row r="124" spans="2:7" x14ac:dyDescent="0.25">
      <c r="B124" s="47"/>
      <c r="C124" s="4"/>
      <c r="D124" s="44" t="s">
        <v>1453</v>
      </c>
      <c r="E124" s="51"/>
      <c r="F124" s="51"/>
      <c r="G124" s="8"/>
    </row>
    <row r="125" spans="2:7" x14ac:dyDescent="0.25">
      <c r="B125" s="47"/>
      <c r="C125" s="4"/>
      <c r="D125" s="44"/>
      <c r="E125" s="51"/>
      <c r="F125" s="51"/>
      <c r="G125" s="8"/>
    </row>
    <row r="126" spans="2:7" x14ac:dyDescent="0.25">
      <c r="B126" s="47"/>
      <c r="C126" s="4"/>
      <c r="D126" s="44" t="s">
        <v>1455</v>
      </c>
      <c r="E126" s="51"/>
      <c r="F126" s="51"/>
      <c r="G126" s="8"/>
    </row>
    <row r="127" spans="2:7" x14ac:dyDescent="0.25">
      <c r="B127" s="47"/>
      <c r="C127" s="4"/>
      <c r="D127" s="44"/>
      <c r="E127" s="51"/>
      <c r="F127" s="51"/>
      <c r="G127" s="8"/>
    </row>
    <row r="128" spans="2:7" x14ac:dyDescent="0.25">
      <c r="B128" s="47"/>
      <c r="C128" s="4"/>
      <c r="D128" s="44" t="s">
        <v>1454</v>
      </c>
      <c r="E128" s="51"/>
      <c r="F128" s="51"/>
      <c r="G128" s="8"/>
    </row>
    <row r="129" spans="2:7" x14ac:dyDescent="0.25">
      <c r="B129" s="47"/>
      <c r="C129" s="4"/>
      <c r="D129" s="44"/>
      <c r="E129" s="51"/>
      <c r="F129" s="51"/>
      <c r="G129" s="8"/>
    </row>
    <row r="130" spans="2:7" x14ac:dyDescent="0.25">
      <c r="B130" s="47"/>
      <c r="C130" s="4"/>
      <c r="D130" s="44" t="s">
        <v>1456</v>
      </c>
      <c r="E130" s="51"/>
      <c r="F130" s="51"/>
      <c r="G130" s="8"/>
    </row>
    <row r="131" spans="2:7" x14ac:dyDescent="0.25">
      <c r="B131" s="47"/>
      <c r="C131" s="4"/>
      <c r="D131" s="44"/>
      <c r="E131" s="51"/>
      <c r="F131" s="51"/>
      <c r="G131" s="8"/>
    </row>
    <row r="132" spans="2:7" x14ac:dyDescent="0.25">
      <c r="B132" s="47"/>
      <c r="C132" s="4"/>
      <c r="D132" s="44" t="s">
        <v>1457</v>
      </c>
      <c r="E132" s="51"/>
      <c r="F132" s="51"/>
      <c r="G132" s="8"/>
    </row>
    <row r="133" spans="2:7" x14ac:dyDescent="0.25">
      <c r="B133" s="47"/>
      <c r="C133" s="4"/>
      <c r="D133" s="44"/>
      <c r="E133" s="51"/>
      <c r="F133" s="51"/>
      <c r="G133" s="8"/>
    </row>
    <row r="134" spans="2:7" x14ac:dyDescent="0.25">
      <c r="B134" s="47"/>
      <c r="C134" s="4"/>
      <c r="D134" s="44" t="s">
        <v>47</v>
      </c>
      <c r="E134" s="51"/>
      <c r="F134" s="51"/>
      <c r="G134" s="8"/>
    </row>
    <row r="135" spans="2:7" x14ac:dyDescent="0.25">
      <c r="B135" s="47"/>
      <c r="C135" s="4"/>
      <c r="D135" s="44"/>
      <c r="E135" s="51"/>
      <c r="F135" s="51"/>
      <c r="G135" s="8"/>
    </row>
    <row r="136" spans="2:7" x14ac:dyDescent="0.25">
      <c r="B136" s="47"/>
      <c r="C136" s="4"/>
      <c r="D136" s="44" t="s">
        <v>48</v>
      </c>
      <c r="E136" s="51"/>
      <c r="F136" s="51"/>
      <c r="G136" s="8"/>
    </row>
    <row r="137" spans="2:7" x14ac:dyDescent="0.25">
      <c r="B137" s="47"/>
      <c r="C137" s="4"/>
      <c r="D137" s="44"/>
      <c r="E137" s="51"/>
      <c r="F137" s="51"/>
      <c r="G137" s="8"/>
    </row>
    <row r="138" spans="2:7" x14ac:dyDescent="0.25">
      <c r="B138" s="47"/>
      <c r="C138" s="4"/>
      <c r="D138" s="44" t="s">
        <v>49</v>
      </c>
      <c r="E138" s="51"/>
      <c r="F138" s="51"/>
      <c r="G138" s="8"/>
    </row>
    <row r="139" spans="2:7" x14ac:dyDescent="0.25">
      <c r="B139" s="47"/>
      <c r="C139" s="4"/>
      <c r="D139" s="44" t="s">
        <v>506</v>
      </c>
      <c r="E139" s="51"/>
      <c r="F139" s="51"/>
      <c r="G139" s="8"/>
    </row>
    <row r="140" spans="2:7" x14ac:dyDescent="0.25">
      <c r="B140" s="47"/>
      <c r="C140" s="4"/>
      <c r="D140" s="44"/>
      <c r="E140" s="51"/>
      <c r="F140" s="51"/>
      <c r="G140" s="8"/>
    </row>
    <row r="141" spans="2:7" x14ac:dyDescent="0.25">
      <c r="B141" s="47"/>
      <c r="C141" s="4"/>
      <c r="D141" s="44" t="s">
        <v>50</v>
      </c>
      <c r="E141" s="51"/>
      <c r="F141" s="51"/>
      <c r="G141" s="8"/>
    </row>
    <row r="142" spans="2:7" x14ac:dyDescent="0.25">
      <c r="B142" s="47"/>
      <c r="C142" s="4"/>
      <c r="D142" s="44" t="s">
        <v>51</v>
      </c>
      <c r="E142" s="51"/>
      <c r="F142" s="51"/>
      <c r="G142" s="8"/>
    </row>
    <row r="143" spans="2:7" x14ac:dyDescent="0.25">
      <c r="B143" s="47"/>
      <c r="C143" s="4"/>
      <c r="D143" s="44"/>
      <c r="E143" s="51"/>
      <c r="F143" s="51"/>
      <c r="G143" s="8"/>
    </row>
    <row r="144" spans="2:7" x14ac:dyDescent="0.25">
      <c r="B144" s="47"/>
      <c r="C144" s="4"/>
      <c r="D144" s="44" t="s">
        <v>52</v>
      </c>
      <c r="E144" s="51"/>
      <c r="F144" s="51"/>
      <c r="G144" s="8"/>
    </row>
    <row r="145" spans="2:7" x14ac:dyDescent="0.25">
      <c r="B145" s="47"/>
      <c r="C145" s="4"/>
      <c r="D145" s="44" t="s">
        <v>1447</v>
      </c>
      <c r="E145" s="51"/>
      <c r="F145" s="51"/>
      <c r="G145" s="8"/>
    </row>
    <row r="146" spans="2:7" x14ac:dyDescent="0.25">
      <c r="B146" s="47"/>
      <c r="C146" s="4"/>
      <c r="D146" s="44"/>
      <c r="E146" s="51"/>
      <c r="F146" s="51"/>
      <c r="G146" s="8"/>
    </row>
    <row r="147" spans="2:7" x14ac:dyDescent="0.25">
      <c r="B147" s="47"/>
      <c r="C147" s="4"/>
      <c r="D147" s="44" t="s">
        <v>1458</v>
      </c>
      <c r="E147" s="51"/>
      <c r="F147" s="51"/>
      <c r="G147" s="8"/>
    </row>
    <row r="148" spans="2:7" ht="30" x14ac:dyDescent="0.25">
      <c r="B148" s="47"/>
      <c r="C148" s="4"/>
      <c r="D148" s="44" t="s">
        <v>53</v>
      </c>
      <c r="E148" s="51"/>
      <c r="F148" s="51"/>
      <c r="G148" s="8"/>
    </row>
    <row r="149" spans="2:7" x14ac:dyDescent="0.25">
      <c r="B149" s="47"/>
      <c r="C149" s="4"/>
      <c r="D149" s="44"/>
      <c r="E149" s="51"/>
      <c r="F149" s="51"/>
      <c r="G149" s="8"/>
    </row>
    <row r="150" spans="2:7" x14ac:dyDescent="0.25">
      <c r="B150" s="47"/>
      <c r="C150" s="4"/>
      <c r="D150" s="44" t="s">
        <v>54</v>
      </c>
      <c r="E150" s="51"/>
      <c r="F150" s="51"/>
      <c r="G150" s="8"/>
    </row>
    <row r="151" spans="2:7" x14ac:dyDescent="0.25">
      <c r="B151" s="47"/>
      <c r="C151" s="4"/>
      <c r="D151" s="44" t="s">
        <v>55</v>
      </c>
      <c r="E151" s="51"/>
      <c r="F151" s="51"/>
      <c r="G151" s="8"/>
    </row>
    <row r="152" spans="2:7" x14ac:dyDescent="0.25">
      <c r="B152" s="47"/>
      <c r="C152" s="4"/>
      <c r="D152" s="44"/>
      <c r="E152" s="51"/>
      <c r="F152" s="51"/>
      <c r="G152" s="8"/>
    </row>
    <row r="153" spans="2:7" x14ac:dyDescent="0.25">
      <c r="B153" s="47"/>
      <c r="C153" s="4"/>
      <c r="D153" s="44" t="s">
        <v>56</v>
      </c>
      <c r="E153" s="51"/>
      <c r="F153" s="51"/>
      <c r="G153" s="8"/>
    </row>
    <row r="154" spans="2:7" x14ac:dyDescent="0.25">
      <c r="B154" s="47"/>
      <c r="C154" s="4"/>
      <c r="D154" s="44" t="s">
        <v>57</v>
      </c>
      <c r="E154" s="51"/>
      <c r="F154" s="51"/>
      <c r="G154" s="8"/>
    </row>
    <row r="155" spans="2:7" x14ac:dyDescent="0.25">
      <c r="B155" s="47"/>
      <c r="C155" s="4"/>
      <c r="D155" s="44"/>
      <c r="E155" s="51"/>
      <c r="F155" s="51"/>
      <c r="G155" s="8"/>
    </row>
    <row r="156" spans="2:7" x14ac:dyDescent="0.25">
      <c r="B156" s="47"/>
      <c r="C156" s="4"/>
      <c r="D156" s="44" t="s">
        <v>58</v>
      </c>
      <c r="E156" s="51"/>
      <c r="F156" s="51"/>
      <c r="G156" s="8"/>
    </row>
    <row r="157" spans="2:7" x14ac:dyDescent="0.25">
      <c r="B157" s="47"/>
      <c r="C157" s="4"/>
      <c r="D157" s="44" t="s">
        <v>59</v>
      </c>
      <c r="E157" s="51"/>
      <c r="F157" s="51"/>
      <c r="G157" s="8"/>
    </row>
    <row r="158" spans="2:7" x14ac:dyDescent="0.25">
      <c r="B158" s="47"/>
      <c r="C158" s="4"/>
      <c r="D158" s="44"/>
      <c r="E158" s="51"/>
      <c r="F158" s="51"/>
      <c r="G158" s="8"/>
    </row>
    <row r="159" spans="2:7" x14ac:dyDescent="0.25">
      <c r="B159" s="47"/>
      <c r="C159" s="4"/>
      <c r="D159" s="44" t="s">
        <v>60</v>
      </c>
      <c r="E159" s="51"/>
      <c r="F159" s="51"/>
      <c r="G159" s="8"/>
    </row>
    <row r="160" spans="2:7" x14ac:dyDescent="0.25">
      <c r="B160" s="47"/>
      <c r="C160" s="4"/>
      <c r="D160" s="44" t="s">
        <v>61</v>
      </c>
      <c r="E160" s="51"/>
      <c r="F160" s="51"/>
      <c r="G160" s="8"/>
    </row>
    <row r="161" spans="2:7" x14ac:dyDescent="0.25">
      <c r="B161" s="47"/>
      <c r="C161" s="4"/>
      <c r="D161" s="44"/>
      <c r="E161" s="51"/>
      <c r="F161" s="51"/>
      <c r="G161" s="8"/>
    </row>
    <row r="162" spans="2:7" x14ac:dyDescent="0.25">
      <c r="B162" s="47"/>
      <c r="C162" s="4"/>
      <c r="D162" s="44" t="s">
        <v>1459</v>
      </c>
      <c r="E162" s="51"/>
      <c r="F162" s="51"/>
      <c r="G162" s="8"/>
    </row>
    <row r="163" spans="2:7" x14ac:dyDescent="0.25">
      <c r="B163" s="47"/>
      <c r="C163" s="4"/>
      <c r="D163" s="44" t="s">
        <v>1460</v>
      </c>
      <c r="E163" s="51"/>
      <c r="F163" s="51"/>
      <c r="G163" s="8"/>
    </row>
    <row r="164" spans="2:7" x14ac:dyDescent="0.25">
      <c r="B164" s="47"/>
      <c r="C164" s="4"/>
      <c r="D164" s="44"/>
      <c r="E164" s="51"/>
      <c r="F164" s="51"/>
      <c r="G164" s="8"/>
    </row>
    <row r="165" spans="2:7" x14ac:dyDescent="0.25">
      <c r="B165" s="47"/>
      <c r="C165" s="4"/>
      <c r="D165" s="44" t="s">
        <v>62</v>
      </c>
      <c r="E165" s="51"/>
      <c r="F165" s="51"/>
      <c r="G165" s="8"/>
    </row>
    <row r="166" spans="2:7" x14ac:dyDescent="0.25">
      <c r="B166" s="47"/>
      <c r="C166" s="4"/>
      <c r="D166" s="44" t="s">
        <v>507</v>
      </c>
      <c r="E166" s="51"/>
      <c r="F166" s="51"/>
      <c r="G166" s="8"/>
    </row>
    <row r="167" spans="2:7" x14ac:dyDescent="0.25">
      <c r="B167" s="47"/>
      <c r="C167" s="4"/>
      <c r="D167" s="44"/>
      <c r="E167" s="51"/>
      <c r="F167" s="51"/>
      <c r="G167" s="8"/>
    </row>
    <row r="168" spans="2:7" x14ac:dyDescent="0.25">
      <c r="B168" s="47"/>
      <c r="C168" s="4"/>
      <c r="D168" s="44" t="s">
        <v>1461</v>
      </c>
      <c r="E168" s="51"/>
      <c r="F168" s="51"/>
      <c r="G168" s="8"/>
    </row>
    <row r="169" spans="2:7" x14ac:dyDescent="0.25">
      <c r="B169" s="47"/>
      <c r="C169" s="4"/>
      <c r="D169" s="44" t="s">
        <v>1462</v>
      </c>
      <c r="E169" s="51"/>
      <c r="F169" s="51"/>
      <c r="G169" s="8"/>
    </row>
    <row r="170" spans="2:7" x14ac:dyDescent="0.25">
      <c r="B170" s="47"/>
      <c r="C170" s="4"/>
      <c r="D170" s="44"/>
      <c r="E170" s="51"/>
      <c r="F170" s="51"/>
      <c r="G170" s="8"/>
    </row>
    <row r="171" spans="2:7" x14ac:dyDescent="0.25">
      <c r="B171" s="47"/>
      <c r="C171" s="4"/>
      <c r="D171" s="44" t="s">
        <v>1463</v>
      </c>
      <c r="E171" s="51"/>
      <c r="F171" s="51"/>
      <c r="G171" s="8"/>
    </row>
    <row r="172" spans="2:7" x14ac:dyDescent="0.25">
      <c r="B172" s="47"/>
      <c r="C172" s="4"/>
      <c r="D172" s="44" t="s">
        <v>1466</v>
      </c>
      <c r="E172" s="51"/>
      <c r="F172" s="51"/>
      <c r="G172" s="8"/>
    </row>
    <row r="173" spans="2:7" x14ac:dyDescent="0.25">
      <c r="B173" s="47"/>
      <c r="C173" s="4"/>
      <c r="D173" s="44" t="s">
        <v>1467</v>
      </c>
      <c r="E173" s="51"/>
      <c r="F173" s="51"/>
      <c r="G173" s="8"/>
    </row>
    <row r="174" spans="2:7" x14ac:dyDescent="0.25">
      <c r="B174" s="47"/>
      <c r="C174" s="4"/>
      <c r="D174" s="44" t="s">
        <v>1464</v>
      </c>
      <c r="E174" s="51"/>
      <c r="F174" s="51"/>
      <c r="G174" s="8"/>
    </row>
    <row r="175" spans="2:7" x14ac:dyDescent="0.25">
      <c r="B175" s="47"/>
      <c r="C175" s="4"/>
      <c r="D175" s="44" t="s">
        <v>1465</v>
      </c>
      <c r="E175" s="51"/>
      <c r="F175" s="51"/>
      <c r="G175" s="8"/>
    </row>
    <row r="176" spans="2:7" x14ac:dyDescent="0.25">
      <c r="B176" s="47"/>
      <c r="C176" s="4"/>
      <c r="D176" s="44" t="s">
        <v>63</v>
      </c>
      <c r="E176" s="51"/>
      <c r="F176" s="51"/>
      <c r="G176" s="8"/>
    </row>
    <row r="177" spans="2:7" x14ac:dyDescent="0.25">
      <c r="B177" s="47"/>
      <c r="C177" s="4"/>
      <c r="D177" s="44" t="s">
        <v>64</v>
      </c>
      <c r="E177" s="51"/>
      <c r="F177" s="51"/>
      <c r="G177" s="8"/>
    </row>
    <row r="178" spans="2:7" x14ac:dyDescent="0.25">
      <c r="B178" s="47"/>
      <c r="C178" s="4"/>
      <c r="D178" s="44"/>
      <c r="E178" s="51"/>
      <c r="F178" s="51"/>
      <c r="G178" s="8"/>
    </row>
    <row r="179" spans="2:7" x14ac:dyDescent="0.25">
      <c r="B179" s="47"/>
      <c r="C179" s="4"/>
      <c r="D179" s="44" t="s">
        <v>65</v>
      </c>
      <c r="E179" s="51"/>
      <c r="F179" s="51"/>
      <c r="G179" s="8"/>
    </row>
    <row r="180" spans="2:7" x14ac:dyDescent="0.25">
      <c r="B180" s="47"/>
      <c r="C180" s="4"/>
      <c r="D180" s="44" t="s">
        <v>1466</v>
      </c>
      <c r="E180" s="51"/>
      <c r="F180" s="51"/>
      <c r="G180" s="8"/>
    </row>
    <row r="181" spans="2:7" x14ac:dyDescent="0.25">
      <c r="B181" s="47"/>
      <c r="C181" s="4"/>
      <c r="D181" s="44" t="s">
        <v>1467</v>
      </c>
      <c r="E181" s="51"/>
      <c r="F181" s="51"/>
      <c r="G181" s="8"/>
    </row>
    <row r="182" spans="2:7" x14ac:dyDescent="0.25">
      <c r="B182" s="47"/>
      <c r="C182" s="4"/>
      <c r="D182" s="44"/>
      <c r="E182" s="51"/>
      <c r="F182" s="51"/>
      <c r="G182" s="8"/>
    </row>
    <row r="183" spans="2:7" x14ac:dyDescent="0.25">
      <c r="B183" s="47"/>
      <c r="C183" s="4"/>
      <c r="D183" s="44" t="s">
        <v>66</v>
      </c>
      <c r="E183" s="51"/>
      <c r="F183" s="51"/>
      <c r="G183" s="8"/>
    </row>
    <row r="184" spans="2:7" x14ac:dyDescent="0.25">
      <c r="B184" s="47"/>
      <c r="C184" s="4"/>
      <c r="D184" s="44" t="s">
        <v>67</v>
      </c>
      <c r="E184" s="51"/>
      <c r="F184" s="51"/>
      <c r="G184" s="8"/>
    </row>
    <row r="185" spans="2:7" x14ac:dyDescent="0.25">
      <c r="B185" s="47"/>
      <c r="C185" s="4"/>
      <c r="D185" s="44"/>
      <c r="E185" s="51"/>
      <c r="F185" s="51"/>
      <c r="G185" s="8"/>
    </row>
    <row r="186" spans="2:7" x14ac:dyDescent="0.25">
      <c r="B186" s="47"/>
      <c r="C186" s="4"/>
      <c r="D186" s="44" t="s">
        <v>68</v>
      </c>
      <c r="E186" s="51"/>
      <c r="F186" s="51"/>
      <c r="G186" s="8"/>
    </row>
    <row r="187" spans="2:7" x14ac:dyDescent="0.25">
      <c r="B187" s="47"/>
      <c r="C187" s="4"/>
      <c r="D187" s="44" t="s">
        <v>1448</v>
      </c>
      <c r="E187" s="51"/>
      <c r="F187" s="51"/>
      <c r="G187" s="8"/>
    </row>
    <row r="188" spans="2:7" x14ac:dyDescent="0.25">
      <c r="B188" s="47"/>
      <c r="C188" s="4"/>
      <c r="D188" s="44" t="s">
        <v>1468</v>
      </c>
      <c r="E188" s="51"/>
      <c r="F188" s="51"/>
      <c r="G188" s="8"/>
    </row>
    <row r="189" spans="2:7" x14ac:dyDescent="0.25">
      <c r="B189" s="47"/>
      <c r="C189" s="4"/>
      <c r="D189" s="44"/>
      <c r="E189" s="51"/>
      <c r="F189" s="51"/>
      <c r="G189" s="8"/>
    </row>
    <row r="190" spans="2:7" x14ac:dyDescent="0.25">
      <c r="B190" s="47"/>
      <c r="C190" s="4"/>
      <c r="D190" s="44" t="s">
        <v>69</v>
      </c>
      <c r="E190" s="51"/>
      <c r="F190" s="51"/>
      <c r="G190" s="8"/>
    </row>
    <row r="191" spans="2:7" x14ac:dyDescent="0.25">
      <c r="B191" s="47"/>
      <c r="C191" s="4"/>
      <c r="D191" s="44" t="s">
        <v>70</v>
      </c>
      <c r="E191" s="51"/>
      <c r="F191" s="51"/>
      <c r="G191" s="8"/>
    </row>
    <row r="192" spans="2:7" x14ac:dyDescent="0.25">
      <c r="B192" s="47"/>
      <c r="C192" s="4"/>
      <c r="D192" s="44"/>
      <c r="E192" s="51"/>
      <c r="F192" s="51"/>
      <c r="G192" s="8"/>
    </row>
    <row r="193" spans="2:7" x14ac:dyDescent="0.25">
      <c r="B193" s="47"/>
      <c r="C193" s="4"/>
      <c r="D193" s="44" t="s">
        <v>71</v>
      </c>
      <c r="E193" s="51"/>
      <c r="F193" s="51"/>
      <c r="G193" s="8"/>
    </row>
    <row r="194" spans="2:7" x14ac:dyDescent="0.25">
      <c r="B194" s="47"/>
      <c r="C194" s="4"/>
      <c r="D194" s="44" t="s">
        <v>72</v>
      </c>
      <c r="E194" s="51"/>
      <c r="F194" s="51"/>
      <c r="G194" s="8"/>
    </row>
    <row r="195" spans="2:7" x14ac:dyDescent="0.25">
      <c r="B195" s="47"/>
      <c r="C195" s="4"/>
      <c r="D195" s="44"/>
      <c r="E195" s="51"/>
      <c r="F195" s="51"/>
      <c r="G195" s="8"/>
    </row>
    <row r="196" spans="2:7" ht="30" x14ac:dyDescent="0.25">
      <c r="B196" s="47"/>
      <c r="C196" s="4"/>
      <c r="D196" s="44" t="s">
        <v>576</v>
      </c>
      <c r="E196" s="51"/>
      <c r="F196" s="51"/>
      <c r="G196" s="8"/>
    </row>
    <row r="197" spans="2:7" x14ac:dyDescent="0.25">
      <c r="B197" s="47"/>
      <c r="C197" s="4"/>
      <c r="D197" s="44" t="s">
        <v>73</v>
      </c>
      <c r="E197" s="51"/>
      <c r="F197" s="51"/>
      <c r="G197" s="8"/>
    </row>
    <row r="198" spans="2:7" x14ac:dyDescent="0.25">
      <c r="B198" s="47"/>
      <c r="C198" s="4"/>
      <c r="D198" s="44"/>
      <c r="E198" s="51"/>
      <c r="F198" s="51"/>
      <c r="G198" s="8"/>
    </row>
    <row r="199" spans="2:7" x14ac:dyDescent="0.25">
      <c r="B199" s="47"/>
      <c r="C199" s="4"/>
      <c r="D199" s="44" t="s">
        <v>1469</v>
      </c>
      <c r="E199" s="51"/>
      <c r="F199" s="51"/>
      <c r="G199" s="8"/>
    </row>
    <row r="200" spans="2:7" x14ac:dyDescent="0.25">
      <c r="B200" s="47"/>
      <c r="C200" s="4"/>
      <c r="D200" s="44" t="s">
        <v>1470</v>
      </c>
      <c r="E200" s="51"/>
      <c r="F200" s="51"/>
      <c r="G200" s="8"/>
    </row>
    <row r="201" spans="2:7" x14ac:dyDescent="0.25">
      <c r="B201" s="47"/>
      <c r="C201" s="4"/>
      <c r="D201" s="44"/>
      <c r="E201" s="51"/>
      <c r="F201" s="51"/>
      <c r="G201" s="8"/>
    </row>
    <row r="202" spans="2:7" x14ac:dyDescent="0.25">
      <c r="B202" s="47"/>
      <c r="C202" s="4"/>
      <c r="D202" s="44" t="s">
        <v>1471</v>
      </c>
      <c r="E202" s="51"/>
      <c r="F202" s="51"/>
      <c r="G202" s="8"/>
    </row>
    <row r="203" spans="2:7" x14ac:dyDescent="0.25">
      <c r="B203" s="47"/>
      <c r="C203" s="4"/>
      <c r="D203" s="44" t="s">
        <v>74</v>
      </c>
      <c r="E203" s="51"/>
      <c r="F203" s="51"/>
      <c r="G203" s="8"/>
    </row>
    <row r="204" spans="2:7" x14ac:dyDescent="0.25">
      <c r="B204" s="47"/>
      <c r="C204" s="4"/>
      <c r="D204" s="44"/>
      <c r="E204" s="51"/>
      <c r="F204" s="51"/>
      <c r="G204" s="8"/>
    </row>
    <row r="205" spans="2:7" x14ac:dyDescent="0.25">
      <c r="B205" s="47"/>
      <c r="C205" s="4"/>
      <c r="D205" s="44" t="s">
        <v>1472</v>
      </c>
      <c r="E205" s="51"/>
      <c r="F205" s="51"/>
      <c r="G205" s="8"/>
    </row>
    <row r="206" spans="2:7" x14ac:dyDescent="0.25">
      <c r="B206" s="47"/>
      <c r="C206" s="4"/>
      <c r="D206" s="44" t="s">
        <v>75</v>
      </c>
      <c r="E206" s="51"/>
      <c r="F206" s="51"/>
      <c r="G206" s="8"/>
    </row>
    <row r="207" spans="2:7" x14ac:dyDescent="0.25">
      <c r="B207" s="47"/>
      <c r="C207" s="4"/>
      <c r="D207" s="44" t="s">
        <v>76</v>
      </c>
      <c r="E207" s="51"/>
      <c r="F207" s="51"/>
      <c r="G207" s="8"/>
    </row>
    <row r="208" spans="2:7" x14ac:dyDescent="0.25">
      <c r="B208" s="47"/>
      <c r="C208" s="4"/>
      <c r="D208" s="44"/>
      <c r="E208" s="51"/>
      <c r="F208" s="51"/>
      <c r="G208" s="8"/>
    </row>
    <row r="209" spans="2:7" x14ac:dyDescent="0.25">
      <c r="B209" s="47"/>
      <c r="C209" s="4"/>
      <c r="D209" s="44" t="s">
        <v>1473</v>
      </c>
      <c r="E209" s="51"/>
      <c r="F209" s="51"/>
      <c r="G209" s="8"/>
    </row>
    <row r="210" spans="2:7" ht="30" x14ac:dyDescent="0.25">
      <c r="B210" s="47"/>
      <c r="C210" s="4"/>
      <c r="D210" s="44" t="s">
        <v>1474</v>
      </c>
      <c r="E210" s="51"/>
      <c r="F210" s="51"/>
      <c r="G210" s="8"/>
    </row>
    <row r="211" spans="2:7" x14ac:dyDescent="0.25">
      <c r="B211" s="47"/>
      <c r="C211" s="4"/>
      <c r="D211" s="44"/>
      <c r="E211" s="51"/>
      <c r="F211" s="51"/>
      <c r="G211" s="8"/>
    </row>
    <row r="212" spans="2:7" x14ac:dyDescent="0.25">
      <c r="B212" s="47"/>
      <c r="C212" s="4"/>
      <c r="D212" s="44" t="s">
        <v>1475</v>
      </c>
      <c r="E212" s="51"/>
      <c r="F212" s="51"/>
      <c r="G212" s="8"/>
    </row>
    <row r="213" spans="2:7" ht="30" x14ac:dyDescent="0.25">
      <c r="B213" s="47"/>
      <c r="C213" s="4"/>
      <c r="D213" s="44" t="s">
        <v>77</v>
      </c>
      <c r="E213" s="51"/>
      <c r="F213" s="51"/>
      <c r="G213" s="8"/>
    </row>
    <row r="214" spans="2:7" x14ac:dyDescent="0.25">
      <c r="B214" s="47"/>
      <c r="C214" s="4"/>
      <c r="D214" s="44"/>
      <c r="E214" s="51"/>
      <c r="F214" s="51"/>
      <c r="G214" s="8"/>
    </row>
    <row r="215" spans="2:7" x14ac:dyDescent="0.25">
      <c r="B215" s="47"/>
      <c r="C215" s="4"/>
      <c r="D215" s="44" t="s">
        <v>78</v>
      </c>
      <c r="E215" s="51"/>
      <c r="F215" s="51"/>
      <c r="G215" s="8"/>
    </row>
    <row r="216" spans="2:7" x14ac:dyDescent="0.25">
      <c r="B216" s="47"/>
      <c r="C216" s="4"/>
      <c r="D216" s="44" t="s">
        <v>1476</v>
      </c>
      <c r="E216" s="51"/>
      <c r="F216" s="51"/>
      <c r="G216" s="8"/>
    </row>
    <row r="217" spans="2:7" x14ac:dyDescent="0.25">
      <c r="B217" s="47"/>
      <c r="C217" s="4"/>
      <c r="D217" s="44"/>
      <c r="E217" s="51"/>
      <c r="F217" s="51"/>
      <c r="G217" s="8"/>
    </row>
    <row r="218" spans="2:7" x14ac:dyDescent="0.25">
      <c r="B218" s="47"/>
      <c r="C218" s="4"/>
      <c r="D218" s="44" t="s">
        <v>79</v>
      </c>
      <c r="E218" s="51"/>
      <c r="F218" s="51"/>
      <c r="G218" s="8"/>
    </row>
    <row r="219" spans="2:7" ht="45" x14ac:dyDescent="0.25">
      <c r="B219" s="47"/>
      <c r="C219" s="4"/>
      <c r="D219" s="44" t="s">
        <v>1449</v>
      </c>
      <c r="E219" s="51"/>
      <c r="F219" s="51"/>
      <c r="G219" s="8"/>
    </row>
    <row r="220" spans="2:7" x14ac:dyDescent="0.25">
      <c r="B220" s="47"/>
      <c r="C220" s="4"/>
      <c r="D220" s="44"/>
      <c r="E220" s="51"/>
      <c r="F220" s="51"/>
      <c r="G220" s="8"/>
    </row>
    <row r="221" spans="2:7" ht="30" x14ac:dyDescent="0.25">
      <c r="B221" s="47"/>
      <c r="C221" s="4"/>
      <c r="D221" s="44" t="s">
        <v>80</v>
      </c>
      <c r="E221" s="51"/>
      <c r="F221" s="51"/>
      <c r="G221" s="8"/>
    </row>
    <row r="222" spans="2:7" x14ac:dyDescent="0.25">
      <c r="B222" s="47"/>
      <c r="C222" s="4"/>
      <c r="D222" s="44" t="s">
        <v>81</v>
      </c>
      <c r="E222" s="51"/>
      <c r="F222" s="51"/>
      <c r="G222" s="8"/>
    </row>
    <row r="223" spans="2:7" x14ac:dyDescent="0.25">
      <c r="B223" s="47"/>
      <c r="C223" s="4"/>
      <c r="D223" s="44"/>
      <c r="E223" s="51"/>
      <c r="F223" s="51"/>
      <c r="G223" s="8"/>
    </row>
    <row r="224" spans="2:7" x14ac:dyDescent="0.25">
      <c r="B224" s="47"/>
      <c r="C224" s="4"/>
      <c r="D224" s="44" t="s">
        <v>82</v>
      </c>
      <c r="E224" s="51"/>
      <c r="F224" s="51"/>
      <c r="G224" s="8"/>
    </row>
    <row r="225" spans="2:7" x14ac:dyDescent="0.25">
      <c r="B225" s="47"/>
      <c r="C225" s="4"/>
      <c r="D225" s="44" t="s">
        <v>83</v>
      </c>
      <c r="E225" s="51"/>
      <c r="F225" s="51"/>
      <c r="G225" s="8"/>
    </row>
    <row r="226" spans="2:7" x14ac:dyDescent="0.25">
      <c r="B226" s="47"/>
      <c r="C226" s="4"/>
      <c r="D226" s="44"/>
      <c r="E226" s="51"/>
      <c r="F226" s="51"/>
      <c r="G226" s="8"/>
    </row>
    <row r="227" spans="2:7" x14ac:dyDescent="0.25">
      <c r="B227" s="47"/>
      <c r="C227" s="4"/>
      <c r="D227" s="44" t="s">
        <v>84</v>
      </c>
      <c r="E227" s="51"/>
      <c r="F227" s="51"/>
      <c r="G227" s="8"/>
    </row>
    <row r="228" spans="2:7" x14ac:dyDescent="0.25">
      <c r="B228" s="47"/>
      <c r="C228" s="4"/>
      <c r="D228" s="44" t="s">
        <v>85</v>
      </c>
      <c r="E228" s="51"/>
      <c r="F228" s="51"/>
      <c r="G228" s="8"/>
    </row>
    <row r="229" spans="2:7" x14ac:dyDescent="0.25">
      <c r="B229" s="47"/>
      <c r="C229" s="4"/>
      <c r="D229" s="44" t="s">
        <v>86</v>
      </c>
      <c r="E229" s="51"/>
      <c r="F229" s="51"/>
      <c r="G229" s="8"/>
    </row>
    <row r="230" spans="2:7" x14ac:dyDescent="0.25">
      <c r="B230" s="47"/>
      <c r="C230" s="4"/>
      <c r="D230" s="44"/>
      <c r="E230" s="51"/>
      <c r="F230" s="51"/>
      <c r="G230" s="8"/>
    </row>
    <row r="231" spans="2:7" x14ac:dyDescent="0.25">
      <c r="B231" s="47"/>
      <c r="C231" s="4"/>
      <c r="D231" s="44" t="s">
        <v>87</v>
      </c>
      <c r="E231" s="51"/>
      <c r="F231" s="51"/>
      <c r="G231" s="8"/>
    </row>
    <row r="232" spans="2:7" ht="30" x14ac:dyDescent="0.25">
      <c r="B232" s="47"/>
      <c r="C232" s="4"/>
      <c r="D232" s="44" t="s">
        <v>508</v>
      </c>
      <c r="E232" s="51"/>
      <c r="F232" s="51"/>
      <c r="G232" s="8"/>
    </row>
    <row r="233" spans="2:7" x14ac:dyDescent="0.25">
      <c r="B233" s="47"/>
      <c r="C233" s="4"/>
      <c r="D233" s="44"/>
      <c r="E233" s="51"/>
      <c r="F233" s="51"/>
      <c r="G233" s="8"/>
    </row>
    <row r="234" spans="2:7" ht="30" x14ac:dyDescent="0.25">
      <c r="B234" s="47"/>
      <c r="C234" s="4"/>
      <c r="D234" s="44" t="s">
        <v>1477</v>
      </c>
      <c r="E234" s="51"/>
      <c r="F234" s="51"/>
      <c r="G234" s="8"/>
    </row>
    <row r="235" spans="2:7" ht="30" x14ac:dyDescent="0.25">
      <c r="B235" s="47"/>
      <c r="C235" s="4"/>
      <c r="D235" s="44" t="s">
        <v>88</v>
      </c>
      <c r="E235" s="51"/>
      <c r="F235" s="51"/>
      <c r="G235" s="8"/>
    </row>
    <row r="236" spans="2:7" ht="30" x14ac:dyDescent="0.25">
      <c r="B236" s="47"/>
      <c r="C236" s="4"/>
      <c r="D236" s="44" t="s">
        <v>89</v>
      </c>
      <c r="E236" s="51"/>
      <c r="F236" s="51"/>
      <c r="G236" s="8"/>
    </row>
    <row r="237" spans="2:7" x14ac:dyDescent="0.25">
      <c r="B237" s="47"/>
      <c r="C237" s="4"/>
      <c r="D237" s="44" t="s">
        <v>90</v>
      </c>
      <c r="E237" s="51"/>
      <c r="F237" s="51"/>
      <c r="G237" s="8"/>
    </row>
    <row r="238" spans="2:7" x14ac:dyDescent="0.25">
      <c r="B238" s="47"/>
      <c r="C238" s="4"/>
      <c r="D238" s="44"/>
      <c r="E238" s="51"/>
      <c r="F238" s="51"/>
      <c r="G238" s="8"/>
    </row>
    <row r="239" spans="2:7" x14ac:dyDescent="0.25">
      <c r="B239" s="47"/>
      <c r="C239" s="4"/>
      <c r="D239" s="44" t="s">
        <v>91</v>
      </c>
      <c r="E239" s="51"/>
      <c r="F239" s="51"/>
      <c r="G239" s="8"/>
    </row>
    <row r="240" spans="2:7" x14ac:dyDescent="0.25">
      <c r="B240" s="47"/>
      <c r="C240" s="4"/>
      <c r="D240" s="44" t="s">
        <v>92</v>
      </c>
      <c r="E240" s="51"/>
      <c r="F240" s="51"/>
      <c r="G240" s="8"/>
    </row>
    <row r="241" spans="2:7" x14ac:dyDescent="0.25">
      <c r="B241" s="47"/>
      <c r="C241" s="4"/>
      <c r="D241" s="44"/>
      <c r="E241" s="51"/>
      <c r="F241" s="51"/>
      <c r="G241" s="8"/>
    </row>
    <row r="242" spans="2:7" x14ac:dyDescent="0.25">
      <c r="B242" s="47"/>
      <c r="C242" s="4"/>
      <c r="D242" s="44" t="s">
        <v>1478</v>
      </c>
      <c r="E242" s="51"/>
      <c r="F242" s="51"/>
      <c r="G242" s="8"/>
    </row>
    <row r="243" spans="2:7" x14ac:dyDescent="0.25">
      <c r="B243" s="47"/>
      <c r="C243" s="4"/>
      <c r="D243" s="44" t="s">
        <v>92</v>
      </c>
      <c r="E243" s="51"/>
      <c r="F243" s="51"/>
      <c r="G243" s="8"/>
    </row>
    <row r="244" spans="2:7" x14ac:dyDescent="0.25">
      <c r="B244" s="47"/>
      <c r="C244" s="4"/>
      <c r="D244" s="44"/>
      <c r="E244" s="51"/>
      <c r="F244" s="51"/>
      <c r="G244" s="8"/>
    </row>
    <row r="245" spans="2:7" x14ac:dyDescent="0.25">
      <c r="B245" s="47"/>
      <c r="C245" s="4"/>
      <c r="D245" s="44" t="s">
        <v>1479</v>
      </c>
      <c r="E245" s="51"/>
      <c r="F245" s="51"/>
      <c r="G245" s="8"/>
    </row>
    <row r="246" spans="2:7" ht="30" x14ac:dyDescent="0.25">
      <c r="B246" s="47"/>
      <c r="C246" s="4"/>
      <c r="D246" s="44" t="s">
        <v>93</v>
      </c>
      <c r="E246" s="51"/>
      <c r="F246" s="51"/>
      <c r="G246" s="8"/>
    </row>
    <row r="247" spans="2:7" x14ac:dyDescent="0.25">
      <c r="B247" s="47"/>
      <c r="C247" s="4"/>
      <c r="D247" s="44"/>
      <c r="E247" s="51"/>
      <c r="F247" s="51"/>
      <c r="G247" s="8"/>
    </row>
    <row r="248" spans="2:7" x14ac:dyDescent="0.25">
      <c r="B248" s="47"/>
      <c r="C248" s="4"/>
      <c r="D248" s="44" t="s">
        <v>1480</v>
      </c>
      <c r="E248" s="51"/>
      <c r="F248" s="51"/>
      <c r="G248" s="8"/>
    </row>
    <row r="249" spans="2:7" x14ac:dyDescent="0.25">
      <c r="B249" s="47"/>
      <c r="C249" s="4"/>
      <c r="D249" s="44" t="s">
        <v>94</v>
      </c>
      <c r="E249" s="51"/>
      <c r="F249" s="51"/>
      <c r="G249" s="8"/>
    </row>
    <row r="250" spans="2:7" x14ac:dyDescent="0.25">
      <c r="B250" s="47"/>
      <c r="C250" s="4"/>
      <c r="D250" s="44"/>
      <c r="E250" s="51"/>
      <c r="F250" s="51"/>
      <c r="G250" s="8"/>
    </row>
    <row r="251" spans="2:7" x14ac:dyDescent="0.25">
      <c r="B251" s="47"/>
      <c r="C251" s="4"/>
      <c r="D251" s="44" t="s">
        <v>47</v>
      </c>
      <c r="E251" s="51"/>
      <c r="F251" s="51"/>
      <c r="G251" s="8"/>
    </row>
    <row r="252" spans="2:7" x14ac:dyDescent="0.25">
      <c r="B252" s="47"/>
      <c r="C252" s="4"/>
      <c r="D252" s="44" t="s">
        <v>95</v>
      </c>
      <c r="E252" s="51"/>
      <c r="F252" s="51"/>
      <c r="G252" s="8"/>
    </row>
    <row r="253" spans="2:7" x14ac:dyDescent="0.25">
      <c r="B253" s="47"/>
      <c r="C253" s="4"/>
      <c r="D253" s="44"/>
      <c r="E253" s="51"/>
      <c r="F253" s="51"/>
      <c r="G253" s="8"/>
    </row>
    <row r="254" spans="2:7" x14ac:dyDescent="0.25">
      <c r="B254" s="47"/>
      <c r="C254" s="4"/>
      <c r="D254" s="44" t="s">
        <v>96</v>
      </c>
      <c r="E254" s="51"/>
      <c r="F254" s="51"/>
      <c r="G254" s="8"/>
    </row>
    <row r="255" spans="2:7" x14ac:dyDescent="0.25">
      <c r="B255" s="47"/>
      <c r="C255" s="4"/>
      <c r="D255" s="44" t="s">
        <v>97</v>
      </c>
      <c r="E255" s="51"/>
      <c r="F255" s="51"/>
      <c r="G255" s="8"/>
    </row>
    <row r="256" spans="2:7" ht="45" x14ac:dyDescent="0.25">
      <c r="B256" s="47"/>
      <c r="C256" s="4"/>
      <c r="D256" s="44" t="s">
        <v>98</v>
      </c>
      <c r="E256" s="51"/>
      <c r="F256" s="51"/>
      <c r="G256" s="8"/>
    </row>
    <row r="257" spans="2:7" x14ac:dyDescent="0.25">
      <c r="B257" s="47"/>
      <c r="C257" s="4"/>
      <c r="D257" s="44"/>
      <c r="E257" s="51"/>
      <c r="F257" s="51"/>
      <c r="G257" s="8"/>
    </row>
    <row r="258" spans="2:7" x14ac:dyDescent="0.25">
      <c r="B258" s="47"/>
      <c r="C258" s="4"/>
      <c r="D258" s="44" t="s">
        <v>99</v>
      </c>
      <c r="E258" s="51"/>
      <c r="F258" s="51"/>
      <c r="G258" s="8"/>
    </row>
    <row r="259" spans="2:7" x14ac:dyDescent="0.25">
      <c r="B259" s="47"/>
      <c r="C259" s="4"/>
      <c r="D259" s="44"/>
      <c r="E259" s="51"/>
      <c r="F259" s="51"/>
      <c r="G259" s="8"/>
    </row>
    <row r="260" spans="2:7" x14ac:dyDescent="0.25">
      <c r="B260" s="47"/>
      <c r="C260" s="4"/>
      <c r="D260" s="44" t="s">
        <v>100</v>
      </c>
      <c r="E260" s="51"/>
      <c r="F260" s="51"/>
      <c r="G260" s="8"/>
    </row>
    <row r="261" spans="2:7" x14ac:dyDescent="0.25">
      <c r="B261" s="47"/>
      <c r="C261" s="4"/>
      <c r="D261" s="44"/>
      <c r="E261" s="51"/>
      <c r="F261" s="51"/>
      <c r="G261" s="8"/>
    </row>
    <row r="262" spans="2:7" x14ac:dyDescent="0.25">
      <c r="B262" s="47"/>
      <c r="C262" s="4"/>
      <c r="D262" s="44" t="s">
        <v>101</v>
      </c>
      <c r="E262" s="51"/>
      <c r="F262" s="51"/>
      <c r="G262" s="8"/>
    </row>
    <row r="263" spans="2:7" x14ac:dyDescent="0.25">
      <c r="B263" s="47"/>
      <c r="C263" s="4"/>
      <c r="D263" s="44"/>
      <c r="E263" s="51"/>
      <c r="F263" s="51"/>
      <c r="G263" s="8"/>
    </row>
    <row r="264" spans="2:7" x14ac:dyDescent="0.25">
      <c r="B264" s="47"/>
      <c r="C264" s="4"/>
      <c r="D264" s="44" t="s">
        <v>102</v>
      </c>
      <c r="E264" s="51"/>
      <c r="F264" s="51"/>
      <c r="G264" s="8"/>
    </row>
    <row r="265" spans="2:7" x14ac:dyDescent="0.25">
      <c r="B265" s="47"/>
      <c r="C265" s="4"/>
      <c r="D265" s="44"/>
      <c r="E265" s="51"/>
      <c r="F265" s="51"/>
      <c r="G265" s="8"/>
    </row>
    <row r="266" spans="2:7" x14ac:dyDescent="0.25">
      <c r="B266" s="47"/>
      <c r="C266" s="4"/>
      <c r="D266" s="44" t="s">
        <v>103</v>
      </c>
      <c r="E266" s="51"/>
      <c r="F266" s="51"/>
      <c r="G266" s="8"/>
    </row>
    <row r="267" spans="2:7" x14ac:dyDescent="0.25">
      <c r="B267" s="47"/>
      <c r="C267" s="4"/>
      <c r="D267" s="44"/>
      <c r="E267" s="51"/>
      <c r="F267" s="51"/>
      <c r="G267" s="8"/>
    </row>
    <row r="268" spans="2:7" x14ac:dyDescent="0.25">
      <c r="B268" s="47"/>
      <c r="C268" s="4"/>
      <c r="D268" s="44" t="s">
        <v>104</v>
      </c>
      <c r="E268" s="51"/>
      <c r="F268" s="51"/>
      <c r="G268" s="8"/>
    </row>
    <row r="269" spans="2:7" x14ac:dyDescent="0.25">
      <c r="B269" s="47"/>
      <c r="C269" s="4"/>
      <c r="D269" s="44"/>
      <c r="E269" s="51"/>
      <c r="F269" s="51"/>
      <c r="G269" s="8"/>
    </row>
    <row r="270" spans="2:7" x14ac:dyDescent="0.25">
      <c r="B270" s="47"/>
      <c r="C270" s="4"/>
      <c r="D270" s="44" t="s">
        <v>105</v>
      </c>
      <c r="E270" s="51"/>
      <c r="F270" s="51"/>
      <c r="G270" s="8"/>
    </row>
    <row r="271" spans="2:7" ht="30" x14ac:dyDescent="0.25">
      <c r="B271" s="47"/>
      <c r="C271" s="4"/>
      <c r="D271" s="44" t="s">
        <v>1481</v>
      </c>
      <c r="E271" s="51"/>
      <c r="F271" s="51"/>
      <c r="G271" s="8"/>
    </row>
    <row r="272" spans="2:7" x14ac:dyDescent="0.25">
      <c r="B272" s="47"/>
      <c r="C272" s="4"/>
      <c r="D272" s="44"/>
      <c r="E272" s="51"/>
      <c r="F272" s="51"/>
      <c r="G272" s="8"/>
    </row>
    <row r="273" spans="2:7" x14ac:dyDescent="0.25">
      <c r="B273" s="47"/>
      <c r="C273" s="4"/>
      <c r="D273" s="44" t="s">
        <v>106</v>
      </c>
      <c r="E273" s="51"/>
      <c r="F273" s="51"/>
      <c r="G273" s="8"/>
    </row>
    <row r="274" spans="2:7" x14ac:dyDescent="0.25">
      <c r="B274" s="47"/>
      <c r="C274" s="4"/>
      <c r="D274" s="44"/>
      <c r="E274" s="51"/>
      <c r="F274" s="51"/>
      <c r="G274" s="8"/>
    </row>
    <row r="275" spans="2:7" x14ac:dyDescent="0.25">
      <c r="B275" s="47"/>
      <c r="C275" s="4"/>
      <c r="D275" s="44" t="s">
        <v>107</v>
      </c>
      <c r="E275" s="51"/>
      <c r="F275" s="51"/>
      <c r="G275" s="8"/>
    </row>
    <row r="276" spans="2:7" x14ac:dyDescent="0.25">
      <c r="B276" s="47"/>
      <c r="C276" s="4"/>
      <c r="D276" s="44"/>
      <c r="E276" s="51"/>
      <c r="F276" s="51"/>
      <c r="G276" s="8"/>
    </row>
    <row r="277" spans="2:7" x14ac:dyDescent="0.25">
      <c r="B277" s="47"/>
      <c r="C277" s="4"/>
      <c r="D277" s="44" t="s">
        <v>108</v>
      </c>
      <c r="E277" s="51"/>
      <c r="F277" s="51"/>
      <c r="G277" s="8"/>
    </row>
    <row r="278" spans="2:7" x14ac:dyDescent="0.25">
      <c r="B278" s="47"/>
      <c r="C278" s="4"/>
      <c r="D278" s="44"/>
      <c r="E278" s="51"/>
      <c r="F278" s="51"/>
      <c r="G278" s="8"/>
    </row>
    <row r="279" spans="2:7" x14ac:dyDescent="0.25">
      <c r="B279" s="47"/>
      <c r="C279" s="4"/>
      <c r="D279" s="44" t="s">
        <v>109</v>
      </c>
      <c r="E279" s="51"/>
      <c r="F279" s="51"/>
      <c r="G279" s="8"/>
    </row>
    <row r="280" spans="2:7" x14ac:dyDescent="0.25">
      <c r="B280" s="47"/>
      <c r="C280" s="4"/>
      <c r="D280" s="44"/>
      <c r="E280" s="51"/>
      <c r="F280" s="51"/>
      <c r="G280" s="8"/>
    </row>
    <row r="281" spans="2:7" x14ac:dyDescent="0.25">
      <c r="B281" s="47"/>
      <c r="C281" s="4"/>
      <c r="D281" s="44" t="s">
        <v>110</v>
      </c>
      <c r="E281" s="51"/>
      <c r="F281" s="51"/>
      <c r="G281" s="8"/>
    </row>
    <row r="282" spans="2:7" x14ac:dyDescent="0.25">
      <c r="B282" s="47"/>
      <c r="C282" s="4"/>
      <c r="D282" s="44"/>
      <c r="E282" s="51"/>
      <c r="F282" s="51"/>
      <c r="G282" s="8"/>
    </row>
    <row r="283" spans="2:7" x14ac:dyDescent="0.25">
      <c r="B283" s="47"/>
      <c r="C283" s="4"/>
      <c r="D283" s="44" t="s">
        <v>111</v>
      </c>
      <c r="E283" s="51"/>
      <c r="F283" s="51"/>
      <c r="G283" s="8"/>
    </row>
    <row r="284" spans="2:7" x14ac:dyDescent="0.25">
      <c r="B284" s="47"/>
      <c r="C284" s="4"/>
      <c r="D284" s="44"/>
      <c r="E284" s="51"/>
      <c r="F284" s="51"/>
      <c r="G284" s="8"/>
    </row>
    <row r="285" spans="2:7" ht="30" x14ac:dyDescent="0.25">
      <c r="B285" s="47"/>
      <c r="C285" s="4"/>
      <c r="D285" s="44" t="s">
        <v>112</v>
      </c>
      <c r="E285" s="51"/>
      <c r="F285" s="51"/>
      <c r="G285" s="8"/>
    </row>
    <row r="286" spans="2:7" x14ac:dyDescent="0.25">
      <c r="B286" s="47"/>
      <c r="C286" s="4"/>
      <c r="D286" s="44"/>
      <c r="E286" s="51"/>
      <c r="F286" s="51"/>
      <c r="G286" s="8"/>
    </row>
    <row r="287" spans="2:7" x14ac:dyDescent="0.25">
      <c r="B287" s="47"/>
      <c r="C287" s="4"/>
      <c r="D287" s="44" t="s">
        <v>113</v>
      </c>
      <c r="E287" s="51"/>
      <c r="F287" s="51"/>
      <c r="G287" s="8"/>
    </row>
    <row r="288" spans="2:7" x14ac:dyDescent="0.25">
      <c r="B288" s="47"/>
      <c r="C288" s="4"/>
      <c r="D288" s="44"/>
      <c r="E288" s="51"/>
      <c r="F288" s="51"/>
      <c r="G288" s="8"/>
    </row>
    <row r="289" spans="2:7" x14ac:dyDescent="0.25">
      <c r="B289" s="47"/>
      <c r="C289" s="4"/>
      <c r="D289" s="44" t="s">
        <v>114</v>
      </c>
      <c r="E289" s="51"/>
      <c r="F289" s="51"/>
      <c r="G289" s="8"/>
    </row>
    <row r="290" spans="2:7" x14ac:dyDescent="0.25">
      <c r="B290" s="47"/>
      <c r="C290" s="4"/>
      <c r="D290" s="44"/>
      <c r="E290" s="51"/>
      <c r="F290" s="51"/>
      <c r="G290" s="8"/>
    </row>
    <row r="291" spans="2:7" x14ac:dyDescent="0.25">
      <c r="B291" s="47"/>
      <c r="C291" s="4"/>
      <c r="D291" s="44" t="s">
        <v>1482</v>
      </c>
      <c r="E291" s="51"/>
      <c r="F291" s="51"/>
      <c r="G291" s="8"/>
    </row>
    <row r="292" spans="2:7" x14ac:dyDescent="0.25">
      <c r="B292" s="47"/>
      <c r="C292" s="4"/>
      <c r="D292" s="44"/>
      <c r="E292" s="51"/>
      <c r="F292" s="51"/>
      <c r="G292" s="8"/>
    </row>
    <row r="293" spans="2:7" x14ac:dyDescent="0.25">
      <c r="B293" s="47"/>
      <c r="C293" s="4"/>
      <c r="D293" s="44" t="s">
        <v>1483</v>
      </c>
      <c r="E293" s="51"/>
      <c r="F293" s="51"/>
      <c r="G293" s="8"/>
    </row>
    <row r="294" spans="2:7" x14ac:dyDescent="0.25">
      <c r="B294" s="47"/>
      <c r="C294" s="4"/>
      <c r="D294" s="44"/>
      <c r="E294" s="51"/>
      <c r="F294" s="51"/>
      <c r="G294" s="8"/>
    </row>
    <row r="295" spans="2:7" x14ac:dyDescent="0.25">
      <c r="B295" s="47"/>
      <c r="C295" s="4"/>
      <c r="D295" s="44" t="s">
        <v>115</v>
      </c>
      <c r="E295" s="51"/>
      <c r="F295" s="51"/>
      <c r="G295" s="8"/>
    </row>
    <row r="296" spans="2:7" ht="45" x14ac:dyDescent="0.25">
      <c r="B296" s="47"/>
      <c r="C296" s="4"/>
      <c r="D296" s="44" t="s">
        <v>116</v>
      </c>
      <c r="E296" s="51"/>
      <c r="F296" s="51"/>
      <c r="G296" s="8"/>
    </row>
    <row r="297" spans="2:7" x14ac:dyDescent="0.25">
      <c r="B297" s="47"/>
      <c r="C297" s="4"/>
      <c r="D297" s="44"/>
      <c r="E297" s="51"/>
      <c r="F297" s="51"/>
      <c r="G297" s="8"/>
    </row>
    <row r="298" spans="2:7" x14ac:dyDescent="0.25">
      <c r="B298" s="47"/>
      <c r="C298" s="4"/>
      <c r="D298" s="44" t="s">
        <v>117</v>
      </c>
      <c r="E298" s="51"/>
      <c r="F298" s="51"/>
      <c r="G298" s="8"/>
    </row>
    <row r="299" spans="2:7" x14ac:dyDescent="0.25">
      <c r="B299" s="47"/>
      <c r="C299" s="4"/>
      <c r="D299" s="44"/>
      <c r="E299" s="51"/>
      <c r="F299" s="51"/>
      <c r="G299" s="8"/>
    </row>
    <row r="300" spans="2:7" x14ac:dyDescent="0.25">
      <c r="B300" s="47"/>
      <c r="C300" s="4"/>
      <c r="D300" s="44" t="s">
        <v>118</v>
      </c>
      <c r="E300" s="51"/>
      <c r="F300" s="51"/>
      <c r="G300" s="8"/>
    </row>
    <row r="301" spans="2:7" x14ac:dyDescent="0.25">
      <c r="B301" s="47"/>
      <c r="C301" s="4"/>
      <c r="D301" s="44"/>
      <c r="E301" s="51"/>
      <c r="F301" s="51"/>
      <c r="G301" s="8"/>
    </row>
    <row r="302" spans="2:7" x14ac:dyDescent="0.25">
      <c r="B302" s="47"/>
      <c r="C302" s="4"/>
      <c r="D302" s="44" t="s">
        <v>119</v>
      </c>
      <c r="E302" s="51"/>
      <c r="F302" s="51"/>
      <c r="G302" s="8"/>
    </row>
    <row r="303" spans="2:7" ht="30" x14ac:dyDescent="0.25">
      <c r="B303" s="47"/>
      <c r="C303" s="4"/>
      <c r="D303" s="44" t="s">
        <v>120</v>
      </c>
      <c r="E303" s="51"/>
      <c r="F303" s="51"/>
      <c r="G303" s="8"/>
    </row>
    <row r="304" spans="2:7" x14ac:dyDescent="0.25">
      <c r="B304" s="47"/>
      <c r="C304" s="4"/>
      <c r="D304" s="44"/>
      <c r="E304" s="51"/>
      <c r="F304" s="51"/>
      <c r="G304" s="8"/>
    </row>
    <row r="305" spans="2:7" x14ac:dyDescent="0.25">
      <c r="B305" s="47"/>
      <c r="C305" s="4"/>
      <c r="D305" s="44"/>
      <c r="E305" s="51"/>
      <c r="F305" s="51"/>
      <c r="G305" s="8"/>
    </row>
    <row r="306" spans="2:7" x14ac:dyDescent="0.25">
      <c r="B306" s="47"/>
      <c r="C306" s="4"/>
      <c r="D306" s="44" t="s">
        <v>121</v>
      </c>
      <c r="E306" s="51"/>
      <c r="F306" s="51"/>
      <c r="G306" s="8"/>
    </row>
    <row r="307" spans="2:7" ht="30" x14ac:dyDescent="0.25">
      <c r="B307" s="47"/>
      <c r="C307" s="4"/>
      <c r="D307" s="44" t="s">
        <v>122</v>
      </c>
      <c r="E307" s="51"/>
      <c r="F307" s="51"/>
      <c r="G307" s="8"/>
    </row>
    <row r="308" spans="2:7" x14ac:dyDescent="0.25">
      <c r="B308" s="47"/>
      <c r="C308" s="4"/>
      <c r="D308" s="44"/>
      <c r="E308" s="51"/>
      <c r="F308" s="51"/>
      <c r="G308" s="8"/>
    </row>
    <row r="309" spans="2:7" x14ac:dyDescent="0.25">
      <c r="B309" s="47"/>
      <c r="C309" s="4"/>
      <c r="D309" s="44" t="s">
        <v>123</v>
      </c>
      <c r="E309" s="51"/>
      <c r="F309" s="51"/>
      <c r="G309" s="8"/>
    </row>
    <row r="310" spans="2:7" x14ac:dyDescent="0.25">
      <c r="B310" s="47"/>
      <c r="C310" s="4"/>
      <c r="D310" s="44" t="s">
        <v>124</v>
      </c>
      <c r="E310" s="51"/>
      <c r="F310" s="51"/>
      <c r="G310" s="8"/>
    </row>
    <row r="311" spans="2:7" ht="30" x14ac:dyDescent="0.25">
      <c r="B311" s="47"/>
      <c r="C311" s="4"/>
      <c r="D311" s="44" t="s">
        <v>125</v>
      </c>
      <c r="E311" s="51"/>
      <c r="F311" s="51"/>
      <c r="G311" s="8"/>
    </row>
    <row r="312" spans="2:7" ht="30" x14ac:dyDescent="0.25">
      <c r="B312" s="47"/>
      <c r="C312" s="4"/>
      <c r="D312" s="44" t="s">
        <v>126</v>
      </c>
      <c r="E312" s="51"/>
      <c r="F312" s="51"/>
      <c r="G312" s="8"/>
    </row>
    <row r="313" spans="2:7" ht="30" x14ac:dyDescent="0.25">
      <c r="B313" s="47"/>
      <c r="C313" s="4"/>
      <c r="D313" s="44" t="s">
        <v>127</v>
      </c>
      <c r="E313" s="51"/>
      <c r="F313" s="51"/>
      <c r="G313" s="8"/>
    </row>
    <row r="314" spans="2:7" x14ac:dyDescent="0.25">
      <c r="B314" s="47"/>
      <c r="C314" s="4"/>
      <c r="D314" s="44"/>
      <c r="E314" s="51"/>
      <c r="F314" s="51"/>
      <c r="G314" s="8"/>
    </row>
    <row r="315" spans="2:7" x14ac:dyDescent="0.25">
      <c r="B315" s="47"/>
      <c r="C315" s="4"/>
      <c r="D315" s="44" t="s">
        <v>128</v>
      </c>
      <c r="E315" s="51"/>
      <c r="F315" s="51"/>
      <c r="G315" s="8"/>
    </row>
    <row r="316" spans="2:7" ht="45" x14ac:dyDescent="0.25">
      <c r="B316" s="47"/>
      <c r="C316" s="4"/>
      <c r="D316" s="44" t="s">
        <v>129</v>
      </c>
      <c r="E316" s="51"/>
      <c r="F316" s="51"/>
      <c r="G316" s="8"/>
    </row>
    <row r="317" spans="2:7" x14ac:dyDescent="0.25">
      <c r="B317" s="47"/>
      <c r="C317" s="4"/>
      <c r="D317" s="44"/>
      <c r="E317" s="51"/>
      <c r="F317" s="51"/>
      <c r="G317" s="8"/>
    </row>
    <row r="318" spans="2:7" x14ac:dyDescent="0.25">
      <c r="B318" s="47"/>
      <c r="C318" s="4"/>
      <c r="D318" s="44" t="s">
        <v>130</v>
      </c>
      <c r="E318" s="51"/>
      <c r="F318" s="51"/>
      <c r="G318" s="8"/>
    </row>
    <row r="319" spans="2:7" x14ac:dyDescent="0.25">
      <c r="B319" s="47"/>
      <c r="C319" s="4"/>
      <c r="D319" s="44"/>
      <c r="E319" s="51"/>
      <c r="F319" s="51"/>
      <c r="G319" s="8"/>
    </row>
    <row r="320" spans="2:7" x14ac:dyDescent="0.25">
      <c r="B320" s="47"/>
      <c r="C320" s="4"/>
      <c r="D320" s="44" t="s">
        <v>131</v>
      </c>
      <c r="E320" s="51"/>
      <c r="F320" s="51"/>
      <c r="G320" s="8"/>
    </row>
    <row r="321" spans="2:7" ht="45" x14ac:dyDescent="0.25">
      <c r="B321" s="47"/>
      <c r="C321" s="4"/>
      <c r="D321" s="44" t="s">
        <v>132</v>
      </c>
      <c r="E321" s="51"/>
      <c r="F321" s="51"/>
      <c r="G321" s="8"/>
    </row>
    <row r="322" spans="2:7" x14ac:dyDescent="0.25">
      <c r="B322" s="47"/>
      <c r="C322" s="4"/>
      <c r="D322" s="44"/>
      <c r="E322" s="51"/>
      <c r="F322" s="51"/>
      <c r="G322" s="8"/>
    </row>
    <row r="323" spans="2:7" x14ac:dyDescent="0.25">
      <c r="B323" s="47"/>
      <c r="C323" s="4"/>
      <c r="D323" s="44" t="s">
        <v>133</v>
      </c>
      <c r="E323" s="51"/>
      <c r="F323" s="51"/>
      <c r="G323" s="8"/>
    </row>
    <row r="324" spans="2:7" ht="45" x14ac:dyDescent="0.25">
      <c r="B324" s="47"/>
      <c r="C324" s="4"/>
      <c r="D324" s="44" t="s">
        <v>509</v>
      </c>
      <c r="E324" s="51"/>
      <c r="F324" s="51"/>
      <c r="G324" s="8"/>
    </row>
    <row r="325" spans="2:7" x14ac:dyDescent="0.25">
      <c r="B325" s="47"/>
      <c r="C325" s="4"/>
      <c r="D325" s="44"/>
      <c r="E325" s="51"/>
      <c r="F325" s="51"/>
      <c r="G325" s="8"/>
    </row>
    <row r="326" spans="2:7" x14ac:dyDescent="0.25">
      <c r="B326" s="47"/>
      <c r="C326" s="4"/>
      <c r="D326" s="44" t="s">
        <v>134</v>
      </c>
      <c r="E326" s="51"/>
      <c r="F326" s="51"/>
      <c r="G326" s="8"/>
    </row>
    <row r="327" spans="2:7" ht="45" x14ac:dyDescent="0.25">
      <c r="B327" s="47"/>
      <c r="C327" s="4"/>
      <c r="D327" s="44" t="s">
        <v>135</v>
      </c>
      <c r="E327" s="51"/>
      <c r="F327" s="51"/>
      <c r="G327" s="8"/>
    </row>
    <row r="328" spans="2:7" x14ac:dyDescent="0.25">
      <c r="B328" s="47"/>
      <c r="C328" s="4"/>
      <c r="D328" s="44"/>
      <c r="E328" s="51"/>
      <c r="F328" s="51"/>
      <c r="G328" s="8"/>
    </row>
    <row r="329" spans="2:7" x14ac:dyDescent="0.25">
      <c r="B329" s="47"/>
      <c r="C329" s="4"/>
      <c r="D329" s="44"/>
      <c r="E329" s="51"/>
      <c r="F329" s="51"/>
      <c r="G329" s="8"/>
    </row>
    <row r="330" spans="2:7" ht="32.25" customHeight="1" x14ac:dyDescent="0.25">
      <c r="B330" s="47"/>
      <c r="C330" s="4"/>
      <c r="D330" s="44" t="s">
        <v>136</v>
      </c>
      <c r="E330" s="51"/>
      <c r="F330" s="51"/>
      <c r="G330" s="8"/>
    </row>
    <row r="331" spans="2:7" x14ac:dyDescent="0.25">
      <c r="B331" s="47"/>
      <c r="C331" s="4"/>
      <c r="D331" s="44"/>
      <c r="E331" s="51"/>
      <c r="F331" s="51"/>
      <c r="G331" s="8"/>
    </row>
    <row r="332" spans="2:7" ht="45" x14ac:dyDescent="0.25">
      <c r="B332" s="47"/>
      <c r="C332" s="4"/>
      <c r="D332" s="44" t="s">
        <v>512</v>
      </c>
      <c r="E332" s="51"/>
      <c r="F332" s="51"/>
      <c r="G332" s="8"/>
    </row>
    <row r="333" spans="2:7" x14ac:dyDescent="0.25">
      <c r="B333" s="47"/>
      <c r="C333" s="4"/>
      <c r="D333" s="44"/>
      <c r="E333" s="51"/>
      <c r="F333" s="51"/>
      <c r="G333" s="8"/>
    </row>
    <row r="334" spans="2:7" ht="50.25" customHeight="1" x14ac:dyDescent="0.25">
      <c r="B334" s="47"/>
      <c r="C334" s="4"/>
      <c r="D334" s="44" t="s">
        <v>510</v>
      </c>
      <c r="E334" s="51"/>
      <c r="F334" s="51"/>
      <c r="G334" s="8"/>
    </row>
    <row r="335" spans="2:7" x14ac:dyDescent="0.25">
      <c r="B335" s="47"/>
      <c r="C335" s="4"/>
      <c r="D335" s="44"/>
      <c r="E335" s="51"/>
      <c r="F335" s="51"/>
      <c r="G335" s="8"/>
    </row>
    <row r="336" spans="2:7" ht="30" x14ac:dyDescent="0.25">
      <c r="B336" s="47"/>
      <c r="C336" s="4"/>
      <c r="D336" s="44" t="s">
        <v>511</v>
      </c>
      <c r="E336" s="51"/>
      <c r="F336" s="51"/>
      <c r="G336" s="8"/>
    </row>
    <row r="337" spans="2:7" x14ac:dyDescent="0.25">
      <c r="B337" s="47"/>
      <c r="C337" s="4"/>
      <c r="D337" s="44"/>
      <c r="E337" s="51"/>
      <c r="F337" s="51"/>
      <c r="G337" s="8"/>
    </row>
    <row r="338" spans="2:7" x14ac:dyDescent="0.25">
      <c r="B338" s="47"/>
      <c r="C338" s="4"/>
      <c r="D338" s="44" t="s">
        <v>137</v>
      </c>
      <c r="E338" s="51"/>
      <c r="F338" s="51"/>
      <c r="G338" s="8"/>
    </row>
    <row r="339" spans="2:7" x14ac:dyDescent="0.25">
      <c r="B339" s="47"/>
      <c r="C339" s="4"/>
      <c r="D339" s="44"/>
      <c r="E339" s="51"/>
      <c r="F339" s="51"/>
      <c r="G339" s="8"/>
    </row>
    <row r="340" spans="2:7" x14ac:dyDescent="0.25">
      <c r="B340" s="47"/>
      <c r="C340" s="4"/>
      <c r="D340" s="44" t="s">
        <v>138</v>
      </c>
      <c r="E340" s="51"/>
      <c r="F340" s="51"/>
      <c r="G340" s="8"/>
    </row>
    <row r="341" spans="2:7" x14ac:dyDescent="0.25">
      <c r="B341" s="47"/>
      <c r="C341" s="4"/>
      <c r="D341" s="44"/>
      <c r="E341" s="51"/>
      <c r="F341" s="51"/>
      <c r="G341" s="8"/>
    </row>
    <row r="342" spans="2:7" x14ac:dyDescent="0.25">
      <c r="B342" s="47"/>
      <c r="C342" s="4"/>
      <c r="D342" s="44" t="s">
        <v>513</v>
      </c>
      <c r="E342" s="51"/>
      <c r="F342" s="51"/>
      <c r="G342" s="8"/>
    </row>
    <row r="343" spans="2:7" x14ac:dyDescent="0.25">
      <c r="B343" s="47"/>
      <c r="C343" s="4"/>
      <c r="D343" s="44"/>
      <c r="E343" s="51"/>
      <c r="F343" s="51"/>
      <c r="G343" s="8"/>
    </row>
    <row r="344" spans="2:7" ht="30" x14ac:dyDescent="0.25">
      <c r="B344" s="47"/>
      <c r="C344" s="4"/>
      <c r="D344" s="44" t="s">
        <v>646</v>
      </c>
      <c r="E344" s="51"/>
      <c r="F344" s="51"/>
      <c r="G344" s="8"/>
    </row>
    <row r="345" spans="2:7" x14ac:dyDescent="0.25">
      <c r="B345" s="47"/>
      <c r="C345" s="4"/>
      <c r="D345" s="44"/>
      <c r="E345" s="51"/>
      <c r="F345" s="51"/>
      <c r="G345" s="8"/>
    </row>
    <row r="346" spans="2:7" x14ac:dyDescent="0.25">
      <c r="B346" s="47"/>
      <c r="C346" s="4"/>
      <c r="D346" s="44" t="s">
        <v>139</v>
      </c>
      <c r="E346" s="51"/>
      <c r="F346" s="51"/>
      <c r="G346" s="8"/>
    </row>
    <row r="347" spans="2:7" x14ac:dyDescent="0.25">
      <c r="B347" s="47"/>
      <c r="C347" s="4"/>
      <c r="D347" s="44"/>
      <c r="E347" s="51"/>
      <c r="F347" s="51"/>
      <c r="G347" s="8"/>
    </row>
    <row r="348" spans="2:7" ht="45" x14ac:dyDescent="0.25">
      <c r="B348" s="47"/>
      <c r="C348" s="4"/>
      <c r="D348" s="44" t="s">
        <v>140</v>
      </c>
      <c r="E348" s="51"/>
      <c r="F348" s="51"/>
      <c r="G348" s="8"/>
    </row>
    <row r="349" spans="2:7" x14ac:dyDescent="0.25">
      <c r="B349" s="47"/>
      <c r="C349" s="4"/>
      <c r="D349" s="44"/>
      <c r="E349" s="51"/>
      <c r="F349" s="51"/>
      <c r="G349" s="8"/>
    </row>
    <row r="350" spans="2:7" x14ac:dyDescent="0.25">
      <c r="B350" s="47"/>
      <c r="C350" s="4"/>
      <c r="D350" s="44" t="s">
        <v>141</v>
      </c>
      <c r="E350" s="51"/>
      <c r="F350" s="51"/>
      <c r="G350" s="8"/>
    </row>
    <row r="351" spans="2:7" ht="30" x14ac:dyDescent="0.25">
      <c r="B351" s="47"/>
      <c r="C351" s="4"/>
      <c r="D351" s="44" t="s">
        <v>142</v>
      </c>
      <c r="E351" s="51"/>
      <c r="F351" s="51"/>
      <c r="G351" s="8"/>
    </row>
    <row r="352" spans="2:7" x14ac:dyDescent="0.25">
      <c r="B352" s="47"/>
      <c r="C352" s="4"/>
      <c r="D352" s="44"/>
      <c r="E352" s="51"/>
      <c r="F352" s="51"/>
      <c r="G352" s="8"/>
    </row>
    <row r="353" spans="2:7" x14ac:dyDescent="0.25">
      <c r="B353" s="47"/>
      <c r="C353" s="4"/>
      <c r="D353" s="44" t="s">
        <v>143</v>
      </c>
      <c r="E353" s="51"/>
      <c r="F353" s="51"/>
      <c r="G353" s="8"/>
    </row>
    <row r="354" spans="2:7" ht="30" x14ac:dyDescent="0.25">
      <c r="B354" s="47"/>
      <c r="C354" s="4"/>
      <c r="D354" s="44" t="s">
        <v>144</v>
      </c>
      <c r="E354" s="51"/>
      <c r="F354" s="51"/>
      <c r="G354" s="8"/>
    </row>
    <row r="355" spans="2:7" x14ac:dyDescent="0.25">
      <c r="B355" s="47"/>
      <c r="C355" s="4"/>
      <c r="D355" s="44"/>
      <c r="E355" s="51"/>
      <c r="F355" s="51"/>
      <c r="G355" s="8"/>
    </row>
    <row r="356" spans="2:7" x14ac:dyDescent="0.25">
      <c r="B356" s="47"/>
      <c r="C356" s="4"/>
      <c r="D356" s="44" t="s">
        <v>145</v>
      </c>
      <c r="E356" s="51"/>
      <c r="F356" s="51"/>
      <c r="G356" s="8"/>
    </row>
    <row r="357" spans="2:7" x14ac:dyDescent="0.25">
      <c r="B357" s="47"/>
      <c r="C357" s="4"/>
      <c r="D357" s="44" t="s">
        <v>146</v>
      </c>
      <c r="E357" s="51"/>
      <c r="F357" s="51"/>
      <c r="G357" s="8"/>
    </row>
    <row r="358" spans="2:7" x14ac:dyDescent="0.25">
      <c r="B358" s="47"/>
      <c r="C358" s="4"/>
      <c r="D358" s="44"/>
      <c r="E358" s="51"/>
      <c r="F358" s="51"/>
      <c r="G358" s="8"/>
    </row>
    <row r="359" spans="2:7" x14ac:dyDescent="0.25">
      <c r="B359" s="47"/>
      <c r="C359" s="4"/>
      <c r="D359" s="44" t="s">
        <v>147</v>
      </c>
      <c r="E359" s="51"/>
      <c r="F359" s="51"/>
      <c r="G359" s="8"/>
    </row>
    <row r="360" spans="2:7" x14ac:dyDescent="0.25">
      <c r="B360" s="47"/>
      <c r="C360" s="4"/>
      <c r="D360" s="44" t="s">
        <v>148</v>
      </c>
      <c r="E360" s="51"/>
      <c r="F360" s="51"/>
      <c r="G360" s="8"/>
    </row>
    <row r="361" spans="2:7" x14ac:dyDescent="0.25">
      <c r="B361" s="47"/>
      <c r="C361" s="4"/>
      <c r="D361" s="44"/>
      <c r="E361" s="51"/>
      <c r="F361" s="51"/>
      <c r="G361" s="8"/>
    </row>
    <row r="362" spans="2:7" x14ac:dyDescent="0.25">
      <c r="B362" s="47"/>
      <c r="C362" s="4"/>
      <c r="D362" s="44" t="s">
        <v>149</v>
      </c>
      <c r="E362" s="51"/>
      <c r="F362" s="51"/>
      <c r="G362" s="8"/>
    </row>
    <row r="363" spans="2:7" ht="45" x14ac:dyDescent="0.25">
      <c r="B363" s="47"/>
      <c r="C363" s="4"/>
      <c r="D363" s="44" t="s">
        <v>150</v>
      </c>
      <c r="E363" s="51"/>
      <c r="F363" s="51"/>
      <c r="G363" s="8"/>
    </row>
    <row r="364" spans="2:7" x14ac:dyDescent="0.25">
      <c r="B364" s="47"/>
      <c r="C364" s="4"/>
      <c r="D364" s="44"/>
      <c r="E364" s="51"/>
      <c r="F364" s="51"/>
      <c r="G364" s="8"/>
    </row>
    <row r="365" spans="2:7" x14ac:dyDescent="0.25">
      <c r="B365" s="47"/>
      <c r="C365" s="4"/>
      <c r="D365" s="44" t="s">
        <v>151</v>
      </c>
      <c r="E365" s="51"/>
      <c r="F365" s="51"/>
      <c r="G365" s="8"/>
    </row>
    <row r="366" spans="2:7" ht="61.5" customHeight="1" x14ac:dyDescent="0.25">
      <c r="B366" s="47"/>
      <c r="C366" s="4"/>
      <c r="D366" s="44" t="s">
        <v>152</v>
      </c>
      <c r="E366" s="51"/>
      <c r="F366" s="51"/>
      <c r="G366" s="8"/>
    </row>
    <row r="367" spans="2:7" ht="45" x14ac:dyDescent="0.25">
      <c r="B367" s="47"/>
      <c r="C367" s="4"/>
      <c r="D367" s="44" t="s">
        <v>153</v>
      </c>
      <c r="E367" s="51"/>
      <c r="F367" s="51"/>
      <c r="G367" s="8"/>
    </row>
    <row r="368" spans="2:7" ht="60" x14ac:dyDescent="0.25">
      <c r="B368" s="47"/>
      <c r="C368" s="4"/>
      <c r="D368" s="44" t="s">
        <v>154</v>
      </c>
      <c r="E368" s="51"/>
      <c r="F368" s="51"/>
      <c r="G368" s="8"/>
    </row>
    <row r="369" spans="2:7" ht="45" x14ac:dyDescent="0.25">
      <c r="B369" s="47"/>
      <c r="C369" s="4"/>
      <c r="D369" s="44" t="s">
        <v>155</v>
      </c>
      <c r="E369" s="51"/>
      <c r="F369" s="51"/>
      <c r="G369" s="8"/>
    </row>
    <row r="370" spans="2:7" x14ac:dyDescent="0.25">
      <c r="B370" s="47"/>
      <c r="C370" s="4"/>
      <c r="D370" s="44"/>
      <c r="E370" s="51"/>
      <c r="F370" s="51"/>
      <c r="G370" s="8"/>
    </row>
    <row r="371" spans="2:7" x14ac:dyDescent="0.25">
      <c r="B371" s="47"/>
      <c r="C371" s="4"/>
      <c r="D371" s="44" t="s">
        <v>156</v>
      </c>
      <c r="E371" s="51"/>
      <c r="F371" s="51"/>
      <c r="G371" s="8"/>
    </row>
    <row r="372" spans="2:7" ht="120" x14ac:dyDescent="0.25">
      <c r="B372" s="47"/>
      <c r="C372" s="4"/>
      <c r="D372" s="44" t="s">
        <v>157</v>
      </c>
      <c r="E372" s="51"/>
      <c r="F372" s="51"/>
      <c r="G372" s="8"/>
    </row>
    <row r="373" spans="2:7" ht="105" x14ac:dyDescent="0.25">
      <c r="B373" s="47"/>
      <c r="C373" s="4"/>
      <c r="D373" s="44" t="s">
        <v>158</v>
      </c>
      <c r="E373" s="51"/>
      <c r="F373" s="51"/>
      <c r="G373" s="8"/>
    </row>
    <row r="374" spans="2:7" x14ac:dyDescent="0.25">
      <c r="B374" s="47"/>
      <c r="C374" s="4"/>
      <c r="D374" s="44"/>
      <c r="E374" s="51"/>
      <c r="F374" s="51"/>
      <c r="G374" s="8"/>
    </row>
    <row r="375" spans="2:7" x14ac:dyDescent="0.25">
      <c r="B375" s="47"/>
      <c r="C375" s="4"/>
      <c r="D375" s="44" t="s">
        <v>159</v>
      </c>
      <c r="E375" s="51"/>
      <c r="F375" s="51"/>
      <c r="G375" s="8"/>
    </row>
    <row r="376" spans="2:7" ht="195" x14ac:dyDescent="0.25">
      <c r="B376" s="47"/>
      <c r="C376" s="4"/>
      <c r="D376" s="44" t="s">
        <v>160</v>
      </c>
      <c r="E376" s="51"/>
      <c r="F376" s="51"/>
      <c r="G376" s="8"/>
    </row>
    <row r="377" spans="2:7" x14ac:dyDescent="0.25">
      <c r="B377" s="47"/>
      <c r="C377" s="4"/>
      <c r="D377" s="44"/>
      <c r="E377" s="51"/>
      <c r="F377" s="51"/>
      <c r="G377" s="8"/>
    </row>
    <row r="378" spans="2:7" x14ac:dyDescent="0.25">
      <c r="B378" s="47"/>
      <c r="C378" s="4"/>
      <c r="D378" s="44" t="s">
        <v>161</v>
      </c>
      <c r="E378" s="51"/>
      <c r="F378" s="51"/>
      <c r="G378" s="8"/>
    </row>
    <row r="379" spans="2:7" ht="30" x14ac:dyDescent="0.25">
      <c r="B379" s="47"/>
      <c r="C379" s="4"/>
      <c r="D379" s="44" t="s">
        <v>162</v>
      </c>
      <c r="E379" s="51"/>
      <c r="F379" s="51"/>
      <c r="G379" s="8"/>
    </row>
    <row r="380" spans="2:7" x14ac:dyDescent="0.25">
      <c r="B380" s="47"/>
      <c r="C380" s="4"/>
      <c r="D380" s="44"/>
      <c r="E380" s="51"/>
      <c r="F380" s="51"/>
      <c r="G380" s="8"/>
    </row>
    <row r="381" spans="2:7" x14ac:dyDescent="0.25">
      <c r="B381" s="47"/>
      <c r="C381" s="4"/>
      <c r="D381" s="44" t="s">
        <v>163</v>
      </c>
      <c r="E381" s="51"/>
      <c r="F381" s="51"/>
      <c r="G381" s="8"/>
    </row>
    <row r="382" spans="2:7" x14ac:dyDescent="0.25">
      <c r="B382" s="47"/>
      <c r="C382" s="4"/>
      <c r="D382" s="44" t="s">
        <v>164</v>
      </c>
      <c r="E382" s="51"/>
      <c r="F382" s="51"/>
      <c r="G382" s="8"/>
    </row>
    <row r="383" spans="2:7" x14ac:dyDescent="0.25">
      <c r="B383" s="47"/>
      <c r="C383" s="4"/>
      <c r="D383" s="44" t="s">
        <v>165</v>
      </c>
      <c r="E383" s="51"/>
      <c r="F383" s="51"/>
      <c r="G383" s="8"/>
    </row>
    <row r="384" spans="2:7" x14ac:dyDescent="0.25">
      <c r="B384" s="47"/>
      <c r="C384" s="4"/>
      <c r="D384" s="44" t="s">
        <v>166</v>
      </c>
      <c r="E384" s="51"/>
      <c r="F384" s="51"/>
      <c r="G384" s="8"/>
    </row>
    <row r="385" spans="2:7" x14ac:dyDescent="0.25">
      <c r="B385" s="47"/>
      <c r="C385" s="4"/>
      <c r="D385" s="44"/>
      <c r="E385" s="51"/>
      <c r="F385" s="51"/>
      <c r="G385" s="8"/>
    </row>
    <row r="386" spans="2:7" x14ac:dyDescent="0.25">
      <c r="B386" s="47"/>
      <c r="C386" s="4"/>
      <c r="D386" s="44" t="s">
        <v>167</v>
      </c>
      <c r="E386" s="51"/>
      <c r="F386" s="51"/>
      <c r="G386" s="8"/>
    </row>
    <row r="387" spans="2:7" ht="30" x14ac:dyDescent="0.25">
      <c r="B387" s="47"/>
      <c r="C387" s="4"/>
      <c r="D387" s="44" t="s">
        <v>168</v>
      </c>
      <c r="E387" s="51"/>
      <c r="F387" s="51"/>
      <c r="G387" s="8"/>
    </row>
    <row r="388" spans="2:7" x14ac:dyDescent="0.25">
      <c r="B388" s="47"/>
      <c r="C388" s="4"/>
      <c r="D388" s="44"/>
      <c r="E388" s="51"/>
      <c r="F388" s="51"/>
      <c r="G388" s="8"/>
    </row>
    <row r="389" spans="2:7" x14ac:dyDescent="0.25">
      <c r="B389" s="47"/>
      <c r="C389" s="4"/>
      <c r="D389" s="44" t="s">
        <v>169</v>
      </c>
      <c r="E389" s="51"/>
      <c r="F389" s="51"/>
      <c r="G389" s="8"/>
    </row>
    <row r="390" spans="2:7" ht="30" x14ac:dyDescent="0.25">
      <c r="B390" s="47"/>
      <c r="C390" s="4"/>
      <c r="D390" s="44" t="s">
        <v>170</v>
      </c>
      <c r="E390" s="51"/>
      <c r="F390" s="51"/>
      <c r="G390" s="8"/>
    </row>
    <row r="391" spans="2:7" x14ac:dyDescent="0.25">
      <c r="B391" s="47"/>
      <c r="C391" s="4"/>
      <c r="D391" s="44"/>
      <c r="E391" s="51"/>
      <c r="F391" s="51"/>
      <c r="G391" s="8"/>
    </row>
    <row r="392" spans="2:7" x14ac:dyDescent="0.25">
      <c r="B392" s="47"/>
      <c r="C392" s="4"/>
      <c r="D392" s="44" t="s">
        <v>171</v>
      </c>
      <c r="E392" s="51"/>
      <c r="F392" s="51"/>
      <c r="G392" s="8"/>
    </row>
    <row r="393" spans="2:7" ht="45" x14ac:dyDescent="0.25">
      <c r="B393" s="47"/>
      <c r="C393" s="4"/>
      <c r="D393" s="44" t="s">
        <v>172</v>
      </c>
      <c r="E393" s="51"/>
      <c r="F393" s="51"/>
      <c r="G393" s="8"/>
    </row>
    <row r="394" spans="2:7" x14ac:dyDescent="0.25">
      <c r="B394" s="47"/>
      <c r="C394" s="4"/>
      <c r="D394" s="44" t="s">
        <v>173</v>
      </c>
      <c r="E394" s="51"/>
      <c r="F394" s="51"/>
      <c r="G394" s="8"/>
    </row>
    <row r="395" spans="2:7" x14ac:dyDescent="0.25">
      <c r="B395" s="47"/>
      <c r="C395" s="4"/>
      <c r="D395" s="44" t="s">
        <v>174</v>
      </c>
      <c r="E395" s="51"/>
      <c r="F395" s="51"/>
      <c r="G395" s="8"/>
    </row>
    <row r="396" spans="2:7" ht="30" x14ac:dyDescent="0.25">
      <c r="B396" s="47"/>
      <c r="C396" s="4"/>
      <c r="D396" s="44" t="s">
        <v>175</v>
      </c>
      <c r="E396" s="51"/>
      <c r="F396" s="51"/>
      <c r="G396" s="8"/>
    </row>
    <row r="397" spans="2:7" x14ac:dyDescent="0.25">
      <c r="B397" s="47"/>
      <c r="C397" s="4"/>
      <c r="D397" s="44"/>
      <c r="E397" s="51"/>
      <c r="F397" s="51"/>
      <c r="G397" s="8"/>
    </row>
    <row r="398" spans="2:7" x14ac:dyDescent="0.25">
      <c r="B398" s="47"/>
      <c r="C398" s="4"/>
      <c r="D398" s="44" t="s">
        <v>176</v>
      </c>
      <c r="E398" s="51"/>
      <c r="F398" s="51"/>
      <c r="G398" s="8"/>
    </row>
    <row r="399" spans="2:7" ht="60" x14ac:dyDescent="0.25">
      <c r="B399" s="47"/>
      <c r="C399" s="4"/>
      <c r="D399" s="44" t="s">
        <v>177</v>
      </c>
      <c r="E399" s="51"/>
      <c r="F399" s="51"/>
      <c r="G399" s="8"/>
    </row>
    <row r="400" spans="2:7" x14ac:dyDescent="0.25">
      <c r="B400" s="47"/>
      <c r="C400" s="4"/>
      <c r="D400" s="44"/>
      <c r="E400" s="51"/>
      <c r="F400" s="51"/>
      <c r="G400" s="8"/>
    </row>
    <row r="401" spans="2:7" x14ac:dyDescent="0.25">
      <c r="B401" s="47"/>
      <c r="C401" s="4"/>
      <c r="D401" s="44" t="s">
        <v>178</v>
      </c>
      <c r="E401" s="51"/>
      <c r="F401" s="51"/>
      <c r="G401" s="8"/>
    </row>
    <row r="402" spans="2:7" ht="60" x14ac:dyDescent="0.25">
      <c r="B402" s="47"/>
      <c r="C402" s="4"/>
      <c r="D402" s="44" t="s">
        <v>179</v>
      </c>
      <c r="E402" s="51"/>
      <c r="F402" s="51"/>
      <c r="G402" s="8"/>
    </row>
    <row r="403" spans="2:7" x14ac:dyDescent="0.25">
      <c r="B403" s="47"/>
      <c r="C403" s="4"/>
      <c r="D403" s="44"/>
      <c r="E403" s="51"/>
      <c r="F403" s="51"/>
      <c r="G403" s="8"/>
    </row>
    <row r="404" spans="2:7" x14ac:dyDescent="0.25">
      <c r="B404" s="47"/>
      <c r="C404" s="4"/>
      <c r="D404" s="44" t="s">
        <v>180</v>
      </c>
      <c r="E404" s="51"/>
      <c r="F404" s="51"/>
      <c r="G404" s="8"/>
    </row>
    <row r="405" spans="2:7" x14ac:dyDescent="0.25">
      <c r="B405" s="47"/>
      <c r="C405" s="4"/>
      <c r="D405" s="44"/>
      <c r="E405" s="51"/>
      <c r="F405" s="51"/>
      <c r="G405" s="8"/>
    </row>
    <row r="406" spans="2:7" x14ac:dyDescent="0.25">
      <c r="B406" s="47"/>
      <c r="C406" s="4"/>
      <c r="D406" s="44" t="s">
        <v>181</v>
      </c>
      <c r="E406" s="51"/>
      <c r="F406" s="51"/>
      <c r="G406" s="8"/>
    </row>
    <row r="407" spans="2:7" ht="45" x14ac:dyDescent="0.25">
      <c r="B407" s="47"/>
      <c r="C407" s="4"/>
      <c r="D407" s="44" t="s">
        <v>182</v>
      </c>
      <c r="E407" s="51"/>
      <c r="F407" s="51"/>
      <c r="G407" s="8"/>
    </row>
    <row r="408" spans="2:7" x14ac:dyDescent="0.25">
      <c r="B408" s="47"/>
      <c r="C408" s="4"/>
      <c r="D408" s="44"/>
      <c r="E408" s="51"/>
      <c r="F408" s="51"/>
      <c r="G408" s="8"/>
    </row>
    <row r="409" spans="2:7" x14ac:dyDescent="0.25">
      <c r="B409" s="47"/>
      <c r="C409" s="4"/>
      <c r="D409" s="44" t="s">
        <v>183</v>
      </c>
      <c r="E409" s="51"/>
      <c r="F409" s="51"/>
      <c r="G409" s="8"/>
    </row>
    <row r="410" spans="2:7" x14ac:dyDescent="0.25">
      <c r="B410" s="47"/>
      <c r="C410" s="4"/>
      <c r="D410" s="44" t="s">
        <v>184</v>
      </c>
      <c r="E410" s="51"/>
      <c r="F410" s="51"/>
      <c r="G410" s="8"/>
    </row>
    <row r="411" spans="2:7" ht="30" x14ac:dyDescent="0.25">
      <c r="B411" s="47"/>
      <c r="C411" s="4"/>
      <c r="D411" s="44" t="s">
        <v>185</v>
      </c>
      <c r="E411" s="51"/>
      <c r="F411" s="51"/>
      <c r="G411" s="8"/>
    </row>
    <row r="412" spans="2:7" ht="30" x14ac:dyDescent="0.25">
      <c r="B412" s="47"/>
      <c r="C412" s="4"/>
      <c r="D412" s="44" t="s">
        <v>186</v>
      </c>
      <c r="E412" s="51"/>
      <c r="F412" s="51"/>
      <c r="G412" s="8"/>
    </row>
    <row r="413" spans="2:7" x14ac:dyDescent="0.25">
      <c r="B413" s="47"/>
      <c r="C413" s="4"/>
      <c r="D413" s="44"/>
      <c r="E413" s="51"/>
      <c r="F413" s="51"/>
      <c r="G413" s="8"/>
    </row>
    <row r="414" spans="2:7" x14ac:dyDescent="0.25">
      <c r="B414" s="47"/>
      <c r="C414" s="4"/>
      <c r="D414" s="44" t="s">
        <v>187</v>
      </c>
      <c r="E414" s="51"/>
      <c r="F414" s="51"/>
      <c r="G414" s="8"/>
    </row>
    <row r="415" spans="2:7" ht="30" x14ac:dyDescent="0.25">
      <c r="B415" s="47"/>
      <c r="C415" s="4"/>
      <c r="D415" s="44" t="s">
        <v>188</v>
      </c>
      <c r="E415" s="51"/>
      <c r="F415" s="51"/>
      <c r="G415" s="8"/>
    </row>
    <row r="416" spans="2:7" x14ac:dyDescent="0.25">
      <c r="B416" s="47"/>
      <c r="C416" s="4"/>
      <c r="D416" s="44"/>
      <c r="E416" s="51"/>
      <c r="F416" s="51"/>
      <c r="G416" s="8"/>
    </row>
    <row r="417" spans="2:7" x14ac:dyDescent="0.25">
      <c r="B417" s="47"/>
      <c r="C417" s="4"/>
      <c r="D417" s="44" t="s">
        <v>189</v>
      </c>
      <c r="E417" s="51"/>
      <c r="F417" s="51"/>
      <c r="G417" s="8"/>
    </row>
    <row r="418" spans="2:7" ht="30" x14ac:dyDescent="0.25">
      <c r="B418" s="47"/>
      <c r="C418" s="4"/>
      <c r="D418" s="44" t="s">
        <v>190</v>
      </c>
      <c r="E418" s="51"/>
      <c r="F418" s="51"/>
      <c r="G418" s="8"/>
    </row>
    <row r="419" spans="2:7" x14ac:dyDescent="0.25">
      <c r="B419" s="47"/>
      <c r="C419" s="4"/>
      <c r="D419" s="44"/>
      <c r="E419" s="51"/>
      <c r="F419" s="51"/>
      <c r="G419" s="8"/>
    </row>
    <row r="420" spans="2:7" x14ac:dyDescent="0.25">
      <c r="B420" s="47"/>
      <c r="C420" s="4"/>
      <c r="D420" s="44" t="s">
        <v>191</v>
      </c>
      <c r="E420" s="51"/>
      <c r="F420" s="51"/>
      <c r="G420" s="8"/>
    </row>
    <row r="421" spans="2:7" ht="30" x14ac:dyDescent="0.25">
      <c r="B421" s="47"/>
      <c r="C421" s="4"/>
      <c r="D421" s="44" t="s">
        <v>192</v>
      </c>
      <c r="E421" s="51"/>
      <c r="F421" s="51"/>
      <c r="G421" s="8"/>
    </row>
    <row r="422" spans="2:7" ht="30" x14ac:dyDescent="0.25">
      <c r="B422" s="47"/>
      <c r="C422" s="4"/>
      <c r="D422" s="44" t="s">
        <v>193</v>
      </c>
      <c r="E422" s="51"/>
      <c r="F422" s="51"/>
      <c r="G422" s="8"/>
    </row>
    <row r="423" spans="2:7" x14ac:dyDescent="0.25">
      <c r="B423" s="47"/>
      <c r="C423" s="4"/>
      <c r="D423" s="44" t="s">
        <v>194</v>
      </c>
      <c r="E423" s="51"/>
      <c r="F423" s="51"/>
      <c r="G423" s="8"/>
    </row>
    <row r="424" spans="2:7" x14ac:dyDescent="0.25">
      <c r="B424" s="47"/>
      <c r="C424" s="4"/>
      <c r="D424" s="44"/>
      <c r="E424" s="51"/>
      <c r="F424" s="51"/>
      <c r="G424" s="8"/>
    </row>
    <row r="425" spans="2:7" x14ac:dyDescent="0.25">
      <c r="B425" s="47"/>
      <c r="C425" s="4"/>
      <c r="D425" s="44" t="s">
        <v>195</v>
      </c>
      <c r="E425" s="51"/>
      <c r="F425" s="51"/>
      <c r="G425" s="8"/>
    </row>
    <row r="426" spans="2:7" x14ac:dyDescent="0.25">
      <c r="B426" s="47"/>
      <c r="C426" s="4"/>
      <c r="D426" s="44"/>
      <c r="E426" s="51"/>
      <c r="F426" s="51"/>
      <c r="G426" s="8"/>
    </row>
    <row r="427" spans="2:7" x14ac:dyDescent="0.25">
      <c r="B427" s="47"/>
      <c r="C427" s="4"/>
      <c r="D427" s="44" t="s">
        <v>196</v>
      </c>
      <c r="E427" s="51"/>
      <c r="F427" s="51"/>
      <c r="G427" s="8"/>
    </row>
    <row r="428" spans="2:7" ht="75" x14ac:dyDescent="0.25">
      <c r="B428" s="47"/>
      <c r="C428" s="4"/>
      <c r="D428" s="44" t="s">
        <v>197</v>
      </c>
      <c r="E428" s="51"/>
      <c r="F428" s="51"/>
      <c r="G428" s="8"/>
    </row>
    <row r="429" spans="2:7" x14ac:dyDescent="0.25">
      <c r="B429" s="47"/>
      <c r="C429" s="4"/>
      <c r="D429" s="44"/>
      <c r="E429" s="51"/>
      <c r="F429" s="51"/>
      <c r="G429" s="8"/>
    </row>
    <row r="430" spans="2:7" x14ac:dyDescent="0.25">
      <c r="B430" s="47"/>
      <c r="C430" s="4"/>
      <c r="D430" s="44" t="s">
        <v>198</v>
      </c>
      <c r="E430" s="51"/>
      <c r="F430" s="51"/>
      <c r="G430" s="8"/>
    </row>
    <row r="431" spans="2:7" ht="45" x14ac:dyDescent="0.25">
      <c r="B431" s="47"/>
      <c r="C431" s="4"/>
      <c r="D431" s="44" t="s">
        <v>199</v>
      </c>
      <c r="E431" s="51"/>
      <c r="F431" s="51"/>
      <c r="G431" s="8"/>
    </row>
    <row r="432" spans="2:7" x14ac:dyDescent="0.25">
      <c r="B432" s="47"/>
      <c r="C432" s="4"/>
      <c r="D432" s="44"/>
      <c r="E432" s="51"/>
      <c r="F432" s="51"/>
      <c r="G432" s="8"/>
    </row>
    <row r="433" spans="2:7" x14ac:dyDescent="0.25">
      <c r="B433" s="47"/>
      <c r="C433" s="4"/>
      <c r="D433" s="44" t="s">
        <v>200</v>
      </c>
      <c r="E433" s="51"/>
      <c r="F433" s="51"/>
      <c r="G433" s="8"/>
    </row>
    <row r="434" spans="2:7" ht="45" x14ac:dyDescent="0.25">
      <c r="B434" s="47"/>
      <c r="C434" s="4"/>
      <c r="D434" s="44" t="s">
        <v>201</v>
      </c>
      <c r="E434" s="51"/>
      <c r="F434" s="51"/>
      <c r="G434" s="8"/>
    </row>
    <row r="435" spans="2:7" x14ac:dyDescent="0.25">
      <c r="B435" s="47"/>
      <c r="C435" s="4"/>
      <c r="D435" s="44"/>
      <c r="E435" s="51"/>
      <c r="F435" s="51"/>
      <c r="G435" s="8"/>
    </row>
    <row r="436" spans="2:7" x14ac:dyDescent="0.25">
      <c r="B436" s="47"/>
      <c r="C436" s="4"/>
      <c r="D436" s="44" t="s">
        <v>202</v>
      </c>
      <c r="E436" s="51"/>
      <c r="F436" s="51"/>
      <c r="G436" s="8"/>
    </row>
    <row r="437" spans="2:7" x14ac:dyDescent="0.25">
      <c r="B437" s="47"/>
      <c r="C437" s="4"/>
      <c r="D437" s="44"/>
      <c r="E437" s="51"/>
      <c r="F437" s="51"/>
      <c r="G437" s="8"/>
    </row>
    <row r="438" spans="2:7" x14ac:dyDescent="0.25">
      <c r="B438" s="47"/>
      <c r="C438" s="4"/>
      <c r="D438" s="44" t="s">
        <v>203</v>
      </c>
      <c r="E438" s="51"/>
      <c r="F438" s="51"/>
      <c r="G438" s="8"/>
    </row>
    <row r="439" spans="2:7" ht="45" x14ac:dyDescent="0.25">
      <c r="B439" s="47"/>
      <c r="C439" s="4"/>
      <c r="D439" s="44" t="s">
        <v>514</v>
      </c>
      <c r="E439" s="51"/>
      <c r="F439" s="51"/>
      <c r="G439" s="8"/>
    </row>
    <row r="440" spans="2:7" ht="30" x14ac:dyDescent="0.25">
      <c r="B440" s="47"/>
      <c r="C440" s="4"/>
      <c r="D440" s="44" t="s">
        <v>204</v>
      </c>
      <c r="E440" s="51"/>
      <c r="F440" s="51"/>
      <c r="G440" s="8"/>
    </row>
    <row r="441" spans="2:7" x14ac:dyDescent="0.25">
      <c r="B441" s="47"/>
      <c r="C441" s="4"/>
      <c r="D441" s="44"/>
      <c r="E441" s="51"/>
      <c r="F441" s="51"/>
      <c r="G441" s="8"/>
    </row>
    <row r="442" spans="2:7" x14ac:dyDescent="0.25">
      <c r="B442" s="47"/>
      <c r="C442" s="4"/>
      <c r="D442" s="44" t="s">
        <v>205</v>
      </c>
      <c r="E442" s="51"/>
      <c r="F442" s="51"/>
      <c r="G442" s="8"/>
    </row>
    <row r="443" spans="2:7" ht="30" x14ac:dyDescent="0.25">
      <c r="B443" s="47"/>
      <c r="C443" s="4"/>
      <c r="D443" s="44" t="s">
        <v>206</v>
      </c>
      <c r="E443" s="51"/>
      <c r="F443" s="51"/>
      <c r="G443" s="8"/>
    </row>
    <row r="444" spans="2:7" x14ac:dyDescent="0.25">
      <c r="B444" s="47"/>
      <c r="C444" s="4"/>
      <c r="D444" s="44"/>
      <c r="E444" s="51"/>
      <c r="F444" s="51"/>
      <c r="G444" s="8"/>
    </row>
    <row r="445" spans="2:7" x14ac:dyDescent="0.25">
      <c r="B445" s="47"/>
      <c r="C445" s="4"/>
      <c r="D445" s="44" t="s">
        <v>207</v>
      </c>
      <c r="E445" s="51"/>
      <c r="F445" s="51"/>
      <c r="G445" s="8"/>
    </row>
    <row r="446" spans="2:7" ht="60" x14ac:dyDescent="0.25">
      <c r="B446" s="47"/>
      <c r="C446" s="4"/>
      <c r="D446" s="44" t="s">
        <v>208</v>
      </c>
      <c r="E446" s="51"/>
      <c r="F446" s="51"/>
      <c r="G446" s="8"/>
    </row>
    <row r="447" spans="2:7" x14ac:dyDescent="0.25">
      <c r="B447" s="47"/>
      <c r="C447" s="4"/>
      <c r="D447" s="44"/>
      <c r="E447" s="51"/>
      <c r="F447" s="51"/>
      <c r="G447" s="8"/>
    </row>
    <row r="448" spans="2:7" x14ac:dyDescent="0.25">
      <c r="B448" s="47"/>
      <c r="C448" s="4"/>
      <c r="D448" s="44" t="s">
        <v>209</v>
      </c>
      <c r="E448" s="51"/>
      <c r="F448" s="51"/>
      <c r="G448" s="8"/>
    </row>
    <row r="449" spans="2:7" ht="45" x14ac:dyDescent="0.25">
      <c r="B449" s="47"/>
      <c r="C449" s="4"/>
      <c r="D449" s="44" t="s">
        <v>210</v>
      </c>
      <c r="E449" s="51"/>
      <c r="F449" s="51"/>
      <c r="G449" s="8"/>
    </row>
    <row r="450" spans="2:7" x14ac:dyDescent="0.25">
      <c r="B450" s="47"/>
      <c r="C450" s="4"/>
      <c r="D450" s="44"/>
      <c r="E450" s="51"/>
      <c r="F450" s="51"/>
      <c r="G450" s="8"/>
    </row>
    <row r="451" spans="2:7" ht="45" x14ac:dyDescent="0.25">
      <c r="B451" s="47"/>
      <c r="C451" s="4"/>
      <c r="D451" s="44" t="s">
        <v>211</v>
      </c>
      <c r="E451" s="51"/>
      <c r="F451" s="51"/>
      <c r="G451" s="8"/>
    </row>
    <row r="452" spans="2:7" x14ac:dyDescent="0.25">
      <c r="B452" s="47"/>
      <c r="C452" s="4"/>
      <c r="D452" s="44"/>
      <c r="E452" s="51"/>
      <c r="F452" s="51"/>
      <c r="G452" s="8"/>
    </row>
    <row r="453" spans="2:7" ht="45" x14ac:dyDescent="0.25">
      <c r="B453" s="47"/>
      <c r="C453" s="4"/>
      <c r="D453" s="44" t="s">
        <v>212</v>
      </c>
      <c r="E453" s="51"/>
      <c r="F453" s="51"/>
      <c r="G453" s="8"/>
    </row>
    <row r="454" spans="2:7" x14ac:dyDescent="0.25">
      <c r="B454" s="47"/>
      <c r="C454" s="4"/>
      <c r="D454" s="44"/>
      <c r="E454" s="51"/>
      <c r="F454" s="51"/>
      <c r="G454" s="8"/>
    </row>
    <row r="455" spans="2:7" x14ac:dyDescent="0.25">
      <c r="B455" s="47"/>
      <c r="C455" s="4"/>
      <c r="D455" s="44" t="s">
        <v>213</v>
      </c>
      <c r="E455" s="51"/>
      <c r="F455" s="51"/>
      <c r="G455" s="8"/>
    </row>
    <row r="456" spans="2:7" ht="45" x14ac:dyDescent="0.25">
      <c r="B456" s="47"/>
      <c r="C456" s="4"/>
      <c r="D456" s="44" t="s">
        <v>214</v>
      </c>
      <c r="E456" s="51"/>
      <c r="F456" s="51"/>
      <c r="G456" s="8"/>
    </row>
    <row r="457" spans="2:7" ht="30" x14ac:dyDescent="0.25">
      <c r="B457" s="47"/>
      <c r="C457" s="4"/>
      <c r="D457" s="44" t="s">
        <v>215</v>
      </c>
      <c r="E457" s="51"/>
      <c r="F457" s="51"/>
      <c r="G457" s="8"/>
    </row>
    <row r="458" spans="2:7" ht="30" x14ac:dyDescent="0.25">
      <c r="B458" s="47"/>
      <c r="C458" s="4"/>
      <c r="D458" s="44" t="s">
        <v>216</v>
      </c>
      <c r="E458" s="51"/>
      <c r="F458" s="51"/>
      <c r="G458" s="8"/>
    </row>
    <row r="459" spans="2:7" ht="30" x14ac:dyDescent="0.25">
      <c r="B459" s="47"/>
      <c r="C459" s="4"/>
      <c r="D459" s="44" t="s">
        <v>217</v>
      </c>
      <c r="E459" s="51"/>
      <c r="F459" s="51"/>
      <c r="G459" s="8"/>
    </row>
    <row r="460" spans="2:7" x14ac:dyDescent="0.25">
      <c r="B460" s="47"/>
      <c r="C460" s="4"/>
      <c r="D460" s="44"/>
      <c r="E460" s="51"/>
      <c r="F460" s="51"/>
      <c r="G460" s="8"/>
    </row>
    <row r="461" spans="2:7" x14ac:dyDescent="0.25">
      <c r="B461" s="47"/>
      <c r="C461" s="4"/>
      <c r="D461" s="44" t="s">
        <v>218</v>
      </c>
      <c r="E461" s="51"/>
      <c r="F461" s="51"/>
      <c r="G461" s="8"/>
    </row>
    <row r="462" spans="2:7" ht="30" x14ac:dyDescent="0.25">
      <c r="B462" s="47"/>
      <c r="C462" s="4"/>
      <c r="D462" s="44" t="s">
        <v>219</v>
      </c>
      <c r="E462" s="51"/>
      <c r="F462" s="51"/>
      <c r="G462" s="8"/>
    </row>
    <row r="463" spans="2:7" x14ac:dyDescent="0.25">
      <c r="B463" s="47"/>
      <c r="C463" s="4"/>
      <c r="D463" s="44"/>
      <c r="E463" s="51"/>
      <c r="F463" s="51"/>
      <c r="G463" s="8"/>
    </row>
    <row r="464" spans="2:7" x14ac:dyDescent="0.25">
      <c r="B464" s="47"/>
      <c r="C464" s="4"/>
      <c r="D464" s="44" t="s">
        <v>220</v>
      </c>
      <c r="E464" s="51"/>
      <c r="F464" s="51"/>
      <c r="G464" s="8"/>
    </row>
    <row r="465" spans="2:7" x14ac:dyDescent="0.25">
      <c r="B465" s="47"/>
      <c r="C465" s="4"/>
      <c r="D465" s="44"/>
      <c r="E465" s="51"/>
      <c r="F465" s="51"/>
      <c r="G465" s="8"/>
    </row>
    <row r="466" spans="2:7" x14ac:dyDescent="0.25">
      <c r="B466" s="47"/>
      <c r="C466" s="4"/>
      <c r="D466" s="44" t="s">
        <v>221</v>
      </c>
      <c r="E466" s="51"/>
      <c r="F466" s="51"/>
      <c r="G466" s="8"/>
    </row>
    <row r="467" spans="2:7" ht="60" x14ac:dyDescent="0.25">
      <c r="B467" s="47"/>
      <c r="C467" s="4"/>
      <c r="D467" s="44" t="s">
        <v>222</v>
      </c>
      <c r="E467" s="51"/>
      <c r="F467" s="51"/>
      <c r="G467" s="8"/>
    </row>
    <row r="468" spans="2:7" x14ac:dyDescent="0.25">
      <c r="B468" s="47"/>
      <c r="C468" s="4"/>
      <c r="D468" s="44"/>
      <c r="E468" s="51"/>
      <c r="F468" s="51"/>
      <c r="G468" s="8"/>
    </row>
    <row r="469" spans="2:7" x14ac:dyDescent="0.25">
      <c r="B469" s="47"/>
      <c r="C469" s="4"/>
      <c r="D469" s="44" t="s">
        <v>223</v>
      </c>
      <c r="E469" s="51"/>
      <c r="F469" s="51"/>
      <c r="G469" s="8"/>
    </row>
    <row r="470" spans="2:7" ht="30" x14ac:dyDescent="0.25">
      <c r="B470" s="47"/>
      <c r="C470" s="4"/>
      <c r="D470" s="44" t="s">
        <v>224</v>
      </c>
      <c r="E470" s="51"/>
      <c r="F470" s="51"/>
      <c r="G470" s="8"/>
    </row>
    <row r="471" spans="2:7" x14ac:dyDescent="0.25">
      <c r="B471" s="47"/>
      <c r="C471" s="4"/>
      <c r="D471" s="44"/>
      <c r="E471" s="51"/>
      <c r="F471" s="51"/>
      <c r="G471" s="8"/>
    </row>
    <row r="472" spans="2:7" x14ac:dyDescent="0.25">
      <c r="B472" s="47"/>
      <c r="C472" s="4"/>
      <c r="D472" s="44" t="s">
        <v>225</v>
      </c>
      <c r="E472" s="51"/>
      <c r="F472" s="51"/>
      <c r="G472" s="8"/>
    </row>
    <row r="473" spans="2:7" ht="45" x14ac:dyDescent="0.25">
      <c r="B473" s="47"/>
      <c r="C473" s="4"/>
      <c r="D473" s="44" t="s">
        <v>226</v>
      </c>
      <c r="E473" s="51"/>
      <c r="F473" s="51"/>
      <c r="G473" s="8"/>
    </row>
    <row r="474" spans="2:7" ht="30" x14ac:dyDescent="0.25">
      <c r="B474" s="47"/>
      <c r="C474" s="4"/>
      <c r="D474" s="44" t="s">
        <v>227</v>
      </c>
      <c r="E474" s="51"/>
      <c r="F474" s="51"/>
      <c r="G474" s="8"/>
    </row>
    <row r="475" spans="2:7" ht="45" x14ac:dyDescent="0.25">
      <c r="B475" s="47"/>
      <c r="C475" s="4"/>
      <c r="D475" s="44" t="s">
        <v>228</v>
      </c>
      <c r="E475" s="51"/>
      <c r="F475" s="51"/>
      <c r="G475" s="8"/>
    </row>
    <row r="476" spans="2:7" x14ac:dyDescent="0.25">
      <c r="B476" s="47"/>
      <c r="C476" s="4"/>
      <c r="D476" s="44"/>
      <c r="E476" s="51"/>
      <c r="F476" s="51"/>
      <c r="G476" s="8"/>
    </row>
    <row r="477" spans="2:7" x14ac:dyDescent="0.25">
      <c r="B477" s="47"/>
      <c r="C477" s="4"/>
      <c r="D477" s="44" t="s">
        <v>229</v>
      </c>
      <c r="E477" s="51"/>
      <c r="F477" s="51"/>
      <c r="G477" s="8"/>
    </row>
    <row r="478" spans="2:7" ht="30" x14ac:dyDescent="0.25">
      <c r="B478" s="47"/>
      <c r="C478" s="4"/>
      <c r="D478" s="44" t="s">
        <v>230</v>
      </c>
      <c r="E478" s="51"/>
      <c r="F478" s="51"/>
      <c r="G478" s="8"/>
    </row>
    <row r="479" spans="2:7" ht="45" x14ac:dyDescent="0.25">
      <c r="B479" s="47"/>
      <c r="C479" s="4"/>
      <c r="D479" s="44" t="s">
        <v>231</v>
      </c>
      <c r="E479" s="51"/>
      <c r="F479" s="51"/>
      <c r="G479" s="8"/>
    </row>
    <row r="480" spans="2:7" ht="30" x14ac:dyDescent="0.25">
      <c r="B480" s="47"/>
      <c r="C480" s="4"/>
      <c r="D480" s="44" t="s">
        <v>232</v>
      </c>
      <c r="E480" s="51"/>
      <c r="F480" s="51"/>
      <c r="G480" s="8"/>
    </row>
    <row r="481" spans="2:7" x14ac:dyDescent="0.25">
      <c r="B481" s="47"/>
      <c r="C481" s="4"/>
      <c r="D481" s="44"/>
      <c r="E481" s="51"/>
      <c r="F481" s="51"/>
      <c r="G481" s="8"/>
    </row>
    <row r="482" spans="2:7" x14ac:dyDescent="0.25">
      <c r="B482" s="47"/>
      <c r="C482" s="4"/>
      <c r="D482" s="44" t="s">
        <v>233</v>
      </c>
      <c r="E482" s="51"/>
      <c r="F482" s="51"/>
      <c r="G482" s="8"/>
    </row>
    <row r="483" spans="2:7" x14ac:dyDescent="0.25">
      <c r="B483" s="47"/>
      <c r="C483" s="4"/>
      <c r="D483" s="44"/>
      <c r="E483" s="51"/>
      <c r="F483" s="51"/>
      <c r="G483" s="8"/>
    </row>
    <row r="484" spans="2:7" x14ac:dyDescent="0.25">
      <c r="B484" s="47"/>
      <c r="C484" s="4"/>
      <c r="D484" s="44" t="s">
        <v>234</v>
      </c>
      <c r="E484" s="51"/>
      <c r="F484" s="51"/>
      <c r="G484" s="8"/>
    </row>
    <row r="485" spans="2:7" x14ac:dyDescent="0.25">
      <c r="B485" s="47"/>
      <c r="C485" s="4"/>
      <c r="D485" s="44"/>
      <c r="E485" s="51"/>
      <c r="F485" s="51"/>
      <c r="G485" s="8"/>
    </row>
    <row r="486" spans="2:7" x14ac:dyDescent="0.25">
      <c r="B486" s="47"/>
      <c r="C486" s="4"/>
      <c r="D486" s="44" t="s">
        <v>235</v>
      </c>
      <c r="E486" s="51"/>
      <c r="F486" s="51"/>
      <c r="G486" s="8"/>
    </row>
    <row r="487" spans="2:7" ht="30" x14ac:dyDescent="0.25">
      <c r="B487" s="47"/>
      <c r="C487" s="4"/>
      <c r="D487" s="44" t="s">
        <v>236</v>
      </c>
      <c r="E487" s="51"/>
      <c r="F487" s="51"/>
      <c r="G487" s="8"/>
    </row>
    <row r="488" spans="2:7" x14ac:dyDescent="0.25">
      <c r="B488" s="47"/>
      <c r="C488" s="4"/>
      <c r="D488" s="44"/>
      <c r="E488" s="51"/>
      <c r="F488" s="51"/>
      <c r="G488" s="8"/>
    </row>
    <row r="489" spans="2:7" x14ac:dyDescent="0.25">
      <c r="B489" s="47"/>
      <c r="C489" s="4"/>
      <c r="D489" s="44" t="s">
        <v>237</v>
      </c>
      <c r="E489" s="51"/>
      <c r="F489" s="51"/>
      <c r="G489" s="8"/>
    </row>
    <row r="490" spans="2:7" ht="30" x14ac:dyDescent="0.25">
      <c r="B490" s="47"/>
      <c r="C490" s="4"/>
      <c r="D490" s="44" t="s">
        <v>238</v>
      </c>
      <c r="E490" s="51"/>
      <c r="F490" s="51"/>
      <c r="G490" s="8"/>
    </row>
    <row r="491" spans="2:7" x14ac:dyDescent="0.25">
      <c r="B491" s="47"/>
      <c r="C491" s="4"/>
      <c r="D491" s="44"/>
      <c r="E491" s="51"/>
      <c r="F491" s="51"/>
      <c r="G491" s="8"/>
    </row>
    <row r="492" spans="2:7" x14ac:dyDescent="0.25">
      <c r="B492" s="47"/>
      <c r="C492" s="4"/>
      <c r="D492" s="44" t="s">
        <v>239</v>
      </c>
      <c r="E492" s="51"/>
      <c r="F492" s="51"/>
      <c r="G492" s="8"/>
    </row>
    <row r="493" spans="2:7" ht="60" x14ac:dyDescent="0.25">
      <c r="B493" s="47"/>
      <c r="C493" s="4"/>
      <c r="D493" s="44" t="s">
        <v>525</v>
      </c>
      <c r="E493" s="51"/>
      <c r="F493" s="51"/>
      <c r="G493" s="8"/>
    </row>
    <row r="494" spans="2:7" x14ac:dyDescent="0.25">
      <c r="B494" s="47"/>
      <c r="C494" s="4"/>
      <c r="D494" s="44"/>
      <c r="E494" s="51"/>
      <c r="F494" s="51"/>
      <c r="G494" s="8"/>
    </row>
    <row r="495" spans="2:7" x14ac:dyDescent="0.25">
      <c r="B495" s="47"/>
      <c r="C495" s="4"/>
      <c r="D495" s="44" t="s">
        <v>239</v>
      </c>
      <c r="E495" s="51"/>
      <c r="F495" s="51"/>
      <c r="G495" s="8"/>
    </row>
    <row r="496" spans="2:7" ht="30" x14ac:dyDescent="0.25">
      <c r="B496" s="47"/>
      <c r="C496" s="4"/>
      <c r="D496" s="44" t="s">
        <v>240</v>
      </c>
      <c r="E496" s="51"/>
      <c r="F496" s="51"/>
      <c r="G496" s="8"/>
    </row>
    <row r="497" spans="2:7" x14ac:dyDescent="0.25">
      <c r="B497" s="47"/>
      <c r="C497" s="4"/>
      <c r="D497" s="44"/>
      <c r="E497" s="51"/>
      <c r="F497" s="51"/>
      <c r="G497" s="8"/>
    </row>
    <row r="498" spans="2:7" x14ac:dyDescent="0.25">
      <c r="B498" s="47"/>
      <c r="C498" s="4"/>
      <c r="D498" s="44" t="s">
        <v>241</v>
      </c>
      <c r="E498" s="51"/>
      <c r="F498" s="51"/>
      <c r="G498" s="8"/>
    </row>
    <row r="499" spans="2:7" ht="45" x14ac:dyDescent="0.25">
      <c r="B499" s="47"/>
      <c r="C499" s="4"/>
      <c r="D499" s="44" t="s">
        <v>242</v>
      </c>
      <c r="E499" s="51"/>
      <c r="F499" s="51"/>
      <c r="G499" s="8"/>
    </row>
    <row r="500" spans="2:7" x14ac:dyDescent="0.25">
      <c r="B500" s="47"/>
      <c r="C500" s="4"/>
      <c r="D500" s="44"/>
      <c r="E500" s="51"/>
      <c r="F500" s="51"/>
      <c r="G500" s="8"/>
    </row>
    <row r="501" spans="2:7" x14ac:dyDescent="0.25">
      <c r="B501" s="47"/>
      <c r="C501" s="4"/>
      <c r="D501" s="44" t="s">
        <v>522</v>
      </c>
      <c r="E501" s="51"/>
      <c r="F501" s="51"/>
      <c r="G501" s="8"/>
    </row>
    <row r="502" spans="2:7" ht="30" x14ac:dyDescent="0.25">
      <c r="B502" s="47"/>
      <c r="C502" s="4"/>
      <c r="D502" s="44" t="s">
        <v>523</v>
      </c>
      <c r="E502" s="51"/>
      <c r="F502" s="51"/>
      <c r="G502" s="8"/>
    </row>
    <row r="503" spans="2:7" x14ac:dyDescent="0.25">
      <c r="B503" s="47"/>
      <c r="C503" s="4"/>
      <c r="D503" s="44"/>
      <c r="E503" s="51"/>
      <c r="F503" s="51"/>
      <c r="G503" s="8"/>
    </row>
    <row r="504" spans="2:7" x14ac:dyDescent="0.25">
      <c r="B504" s="47"/>
      <c r="C504" s="4"/>
      <c r="D504" s="44" t="s">
        <v>243</v>
      </c>
      <c r="E504" s="51"/>
      <c r="F504" s="51"/>
      <c r="G504" s="8"/>
    </row>
    <row r="505" spans="2:7" ht="30" x14ac:dyDescent="0.25">
      <c r="B505" s="47"/>
      <c r="C505" s="4"/>
      <c r="D505" s="44" t="s">
        <v>244</v>
      </c>
      <c r="E505" s="51"/>
      <c r="F505" s="51"/>
      <c r="G505" s="8"/>
    </row>
    <row r="506" spans="2:7" x14ac:dyDescent="0.25">
      <c r="B506" s="47"/>
      <c r="C506" s="4"/>
      <c r="D506" s="44"/>
      <c r="E506" s="51"/>
      <c r="F506" s="51"/>
      <c r="G506" s="8"/>
    </row>
    <row r="507" spans="2:7" x14ac:dyDescent="0.25">
      <c r="B507" s="47"/>
      <c r="C507" s="4"/>
      <c r="D507" s="44" t="s">
        <v>196</v>
      </c>
      <c r="E507" s="51"/>
      <c r="F507" s="51"/>
      <c r="G507" s="8"/>
    </row>
    <row r="508" spans="2:7" ht="60" x14ac:dyDescent="0.25">
      <c r="B508" s="47"/>
      <c r="C508" s="4"/>
      <c r="D508" s="44" t="s">
        <v>245</v>
      </c>
      <c r="E508" s="51"/>
      <c r="F508" s="51"/>
      <c r="G508" s="8"/>
    </row>
    <row r="509" spans="2:7" x14ac:dyDescent="0.25">
      <c r="B509" s="47"/>
      <c r="C509" s="4"/>
      <c r="D509" s="44"/>
      <c r="E509" s="51"/>
      <c r="F509" s="51"/>
      <c r="G509" s="8"/>
    </row>
    <row r="510" spans="2:7" x14ac:dyDescent="0.25">
      <c r="B510" s="47"/>
      <c r="C510" s="4"/>
      <c r="D510" s="44" t="s">
        <v>246</v>
      </c>
      <c r="E510" s="51"/>
      <c r="F510" s="51"/>
      <c r="G510" s="8"/>
    </row>
    <row r="511" spans="2:7" ht="30" x14ac:dyDescent="0.25">
      <c r="B511" s="47"/>
      <c r="C511" s="4"/>
      <c r="D511" s="44" t="s">
        <v>247</v>
      </c>
      <c r="E511" s="51"/>
      <c r="F511" s="51"/>
      <c r="G511" s="8"/>
    </row>
    <row r="512" spans="2:7" x14ac:dyDescent="0.25">
      <c r="B512" s="47"/>
      <c r="C512" s="4"/>
      <c r="D512" s="44"/>
      <c r="E512" s="51"/>
      <c r="F512" s="51"/>
      <c r="G512" s="8"/>
    </row>
    <row r="513" spans="2:7" x14ac:dyDescent="0.25">
      <c r="B513" s="47"/>
      <c r="C513" s="4"/>
      <c r="D513" s="44" t="s">
        <v>248</v>
      </c>
      <c r="E513" s="51"/>
      <c r="F513" s="51"/>
      <c r="G513" s="8"/>
    </row>
    <row r="514" spans="2:7" ht="75" x14ac:dyDescent="0.25">
      <c r="B514" s="47"/>
      <c r="C514" s="4"/>
      <c r="D514" s="44" t="s">
        <v>249</v>
      </c>
      <c r="E514" s="51"/>
      <c r="F514" s="51"/>
      <c r="G514" s="8"/>
    </row>
    <row r="515" spans="2:7" x14ac:dyDescent="0.25">
      <c r="B515" s="47"/>
      <c r="C515" s="4"/>
      <c r="D515" s="44"/>
      <c r="E515" s="51"/>
      <c r="F515" s="51"/>
      <c r="G515" s="8"/>
    </row>
    <row r="516" spans="2:7" x14ac:dyDescent="0.25">
      <c r="B516" s="47"/>
      <c r="C516" s="4"/>
      <c r="D516" s="44" t="s">
        <v>250</v>
      </c>
      <c r="E516" s="51"/>
      <c r="F516" s="51"/>
      <c r="G516" s="8"/>
    </row>
    <row r="517" spans="2:7" ht="30" x14ac:dyDescent="0.25">
      <c r="B517" s="47"/>
      <c r="C517" s="4"/>
      <c r="D517" s="44" t="s">
        <v>251</v>
      </c>
      <c r="E517" s="51"/>
      <c r="F517" s="51"/>
      <c r="G517" s="8"/>
    </row>
    <row r="518" spans="2:7" x14ac:dyDescent="0.25">
      <c r="B518" s="47"/>
      <c r="C518" s="4"/>
      <c r="D518" s="44" t="s">
        <v>252</v>
      </c>
      <c r="E518" s="51"/>
      <c r="F518" s="51"/>
      <c r="G518" s="8"/>
    </row>
    <row r="519" spans="2:7" x14ac:dyDescent="0.25">
      <c r="B519" s="47"/>
      <c r="C519" s="4"/>
      <c r="D519" s="44" t="s">
        <v>253</v>
      </c>
      <c r="E519" s="51"/>
      <c r="F519" s="51"/>
      <c r="G519" s="8"/>
    </row>
    <row r="520" spans="2:7" x14ac:dyDescent="0.25">
      <c r="B520" s="47"/>
      <c r="C520" s="4"/>
      <c r="D520" s="44"/>
      <c r="E520" s="51"/>
      <c r="F520" s="51"/>
      <c r="G520" s="8"/>
    </row>
    <row r="521" spans="2:7" x14ac:dyDescent="0.25">
      <c r="B521" s="47"/>
      <c r="C521" s="4"/>
      <c r="D521" s="44" t="s">
        <v>254</v>
      </c>
      <c r="E521" s="51"/>
      <c r="F521" s="51"/>
      <c r="G521" s="8"/>
    </row>
    <row r="522" spans="2:7" ht="30" x14ac:dyDescent="0.25">
      <c r="B522" s="47"/>
      <c r="C522" s="4"/>
      <c r="D522" s="44" t="s">
        <v>255</v>
      </c>
      <c r="E522" s="51"/>
      <c r="F522" s="51"/>
      <c r="G522" s="8"/>
    </row>
    <row r="523" spans="2:7" x14ac:dyDescent="0.25">
      <c r="B523" s="47"/>
      <c r="C523" s="4"/>
      <c r="D523" s="44"/>
      <c r="E523" s="51"/>
      <c r="F523" s="51"/>
      <c r="G523" s="8"/>
    </row>
    <row r="524" spans="2:7" x14ac:dyDescent="0.25">
      <c r="B524" s="47"/>
      <c r="C524" s="4"/>
      <c r="D524" s="44" t="s">
        <v>256</v>
      </c>
      <c r="E524" s="51"/>
      <c r="F524" s="51"/>
      <c r="G524" s="8"/>
    </row>
    <row r="525" spans="2:7" ht="75" x14ac:dyDescent="0.25">
      <c r="B525" s="47"/>
      <c r="C525" s="4"/>
      <c r="D525" s="44" t="s">
        <v>257</v>
      </c>
      <c r="E525" s="51"/>
      <c r="F525" s="51"/>
      <c r="G525" s="8"/>
    </row>
    <row r="526" spans="2:7" x14ac:dyDescent="0.25">
      <c r="B526" s="47"/>
      <c r="C526" s="4"/>
      <c r="D526" s="44"/>
      <c r="E526" s="51"/>
      <c r="F526" s="51"/>
      <c r="G526" s="8"/>
    </row>
    <row r="527" spans="2:7" x14ac:dyDescent="0.25">
      <c r="B527" s="47"/>
      <c r="C527" s="4"/>
      <c r="D527" s="44" t="s">
        <v>258</v>
      </c>
      <c r="E527" s="51"/>
      <c r="F527" s="51"/>
      <c r="G527" s="8"/>
    </row>
    <row r="528" spans="2:7" ht="30" x14ac:dyDescent="0.25">
      <c r="B528" s="47"/>
      <c r="C528" s="4"/>
      <c r="D528" s="44" t="s">
        <v>259</v>
      </c>
      <c r="E528" s="51"/>
      <c r="F528" s="51"/>
      <c r="G528" s="8"/>
    </row>
    <row r="529" spans="2:7" x14ac:dyDescent="0.25">
      <c r="B529" s="47"/>
      <c r="C529" s="4"/>
      <c r="D529" s="44"/>
      <c r="E529" s="51"/>
      <c r="F529" s="51"/>
      <c r="G529" s="8"/>
    </row>
    <row r="530" spans="2:7" x14ac:dyDescent="0.25">
      <c r="B530" s="47"/>
      <c r="C530" s="4"/>
      <c r="D530" s="44" t="s">
        <v>260</v>
      </c>
      <c r="E530" s="51"/>
      <c r="F530" s="51"/>
      <c r="G530" s="8"/>
    </row>
    <row r="531" spans="2:7" ht="30" x14ac:dyDescent="0.25">
      <c r="B531" s="47"/>
      <c r="C531" s="4"/>
      <c r="D531" s="44" t="s">
        <v>261</v>
      </c>
      <c r="E531" s="51"/>
      <c r="F531" s="51"/>
      <c r="G531" s="8"/>
    </row>
    <row r="532" spans="2:7" ht="45" x14ac:dyDescent="0.25">
      <c r="B532" s="47"/>
      <c r="C532" s="4"/>
      <c r="D532" s="44" t="s">
        <v>262</v>
      </c>
      <c r="E532" s="51"/>
      <c r="F532" s="51"/>
      <c r="G532" s="8"/>
    </row>
    <row r="533" spans="2:7" ht="30" x14ac:dyDescent="0.25">
      <c r="B533" s="47"/>
      <c r="C533" s="4"/>
      <c r="D533" s="44" t="s">
        <v>263</v>
      </c>
      <c r="E533" s="51"/>
      <c r="F533" s="51"/>
      <c r="G533" s="8"/>
    </row>
    <row r="534" spans="2:7" ht="30" x14ac:dyDescent="0.25">
      <c r="B534" s="47"/>
      <c r="C534" s="4"/>
      <c r="D534" s="44" t="s">
        <v>264</v>
      </c>
      <c r="E534" s="51"/>
      <c r="F534" s="51"/>
      <c r="G534" s="8"/>
    </row>
    <row r="535" spans="2:7" x14ac:dyDescent="0.25">
      <c r="B535" s="47"/>
      <c r="C535" s="4"/>
      <c r="D535" s="44" t="s">
        <v>265</v>
      </c>
      <c r="E535" s="51"/>
      <c r="F535" s="51"/>
      <c r="G535" s="8"/>
    </row>
    <row r="536" spans="2:7" x14ac:dyDescent="0.25">
      <c r="B536" s="47"/>
      <c r="C536" s="4"/>
      <c r="D536" s="44" t="s">
        <v>266</v>
      </c>
      <c r="E536" s="51"/>
      <c r="F536" s="51"/>
      <c r="G536" s="8"/>
    </row>
    <row r="537" spans="2:7" x14ac:dyDescent="0.25">
      <c r="B537" s="47"/>
      <c r="C537" s="4"/>
      <c r="D537" s="44"/>
      <c r="E537" s="51"/>
      <c r="F537" s="51"/>
      <c r="G537" s="8"/>
    </row>
    <row r="538" spans="2:7" x14ac:dyDescent="0.25">
      <c r="B538" s="47"/>
      <c r="C538" s="4"/>
      <c r="D538" s="44" t="s">
        <v>267</v>
      </c>
      <c r="E538" s="51"/>
      <c r="F538" s="51"/>
      <c r="G538" s="8"/>
    </row>
    <row r="539" spans="2:7" ht="30" x14ac:dyDescent="0.25">
      <c r="B539" s="47"/>
      <c r="C539" s="4"/>
      <c r="D539" s="44" t="s">
        <v>268</v>
      </c>
      <c r="E539" s="51"/>
      <c r="F539" s="51"/>
      <c r="G539" s="8"/>
    </row>
    <row r="540" spans="2:7" x14ac:dyDescent="0.25">
      <c r="B540" s="47"/>
      <c r="C540" s="4"/>
      <c r="D540" s="44"/>
      <c r="E540" s="51"/>
      <c r="F540" s="51"/>
      <c r="G540" s="8"/>
    </row>
    <row r="541" spans="2:7" x14ac:dyDescent="0.25">
      <c r="B541" s="47"/>
      <c r="C541" s="4"/>
      <c r="D541" s="44"/>
      <c r="E541" s="51"/>
      <c r="F541" s="51"/>
      <c r="G541" s="8"/>
    </row>
    <row r="542" spans="2:7" x14ac:dyDescent="0.25">
      <c r="B542" s="47"/>
      <c r="C542" s="4"/>
      <c r="D542" s="44" t="s">
        <v>269</v>
      </c>
      <c r="E542" s="51"/>
      <c r="F542" s="51"/>
      <c r="G542" s="8"/>
    </row>
    <row r="543" spans="2:7" x14ac:dyDescent="0.25">
      <c r="B543" s="47"/>
      <c r="C543" s="4"/>
      <c r="D543" s="44"/>
      <c r="E543" s="51"/>
      <c r="F543" s="51"/>
      <c r="G543" s="8"/>
    </row>
    <row r="544" spans="2:7" x14ac:dyDescent="0.25">
      <c r="B544" s="47"/>
      <c r="C544" s="4"/>
      <c r="D544" s="44" t="s">
        <v>270</v>
      </c>
      <c r="E544" s="51"/>
      <c r="F544" s="51"/>
      <c r="G544" s="8"/>
    </row>
    <row r="545" spans="2:7" x14ac:dyDescent="0.25">
      <c r="B545" s="47"/>
      <c r="C545" s="4"/>
      <c r="D545" s="44" t="s">
        <v>271</v>
      </c>
      <c r="E545" s="51"/>
      <c r="F545" s="51"/>
      <c r="G545" s="8"/>
    </row>
    <row r="546" spans="2:7" ht="30" x14ac:dyDescent="0.25">
      <c r="B546" s="47"/>
      <c r="C546" s="4"/>
      <c r="D546" s="44" t="s">
        <v>272</v>
      </c>
      <c r="E546" s="51"/>
      <c r="F546" s="51"/>
      <c r="G546" s="8"/>
    </row>
    <row r="547" spans="2:7" ht="45" x14ac:dyDescent="0.25">
      <c r="B547" s="47"/>
      <c r="C547" s="4"/>
      <c r="D547" s="44" t="s">
        <v>273</v>
      </c>
      <c r="E547" s="51"/>
      <c r="F547" s="51"/>
      <c r="G547" s="8"/>
    </row>
    <row r="548" spans="2:7" ht="45" x14ac:dyDescent="0.25">
      <c r="B548" s="47"/>
      <c r="C548" s="4"/>
      <c r="D548" s="44" t="s">
        <v>274</v>
      </c>
      <c r="E548" s="51"/>
      <c r="F548" s="51"/>
      <c r="G548" s="8"/>
    </row>
    <row r="549" spans="2:7" ht="30" x14ac:dyDescent="0.25">
      <c r="B549" s="47"/>
      <c r="C549" s="4"/>
      <c r="D549" s="44" t="s">
        <v>275</v>
      </c>
      <c r="E549" s="51"/>
      <c r="F549" s="51"/>
      <c r="G549" s="8"/>
    </row>
    <row r="550" spans="2:7" ht="45" x14ac:dyDescent="0.25">
      <c r="B550" s="47"/>
      <c r="C550" s="4"/>
      <c r="D550" s="44" t="s">
        <v>276</v>
      </c>
      <c r="E550" s="51"/>
      <c r="F550" s="51"/>
      <c r="G550" s="8"/>
    </row>
    <row r="551" spans="2:7" ht="45" x14ac:dyDescent="0.25">
      <c r="B551" s="47"/>
      <c r="C551" s="4"/>
      <c r="D551" s="44" t="s">
        <v>277</v>
      </c>
      <c r="E551" s="51"/>
      <c r="F551" s="51"/>
      <c r="G551" s="8"/>
    </row>
    <row r="552" spans="2:7" x14ac:dyDescent="0.25">
      <c r="B552" s="47"/>
      <c r="C552" s="4"/>
      <c r="D552" s="44"/>
      <c r="E552" s="51"/>
      <c r="F552" s="51"/>
      <c r="G552" s="8"/>
    </row>
    <row r="553" spans="2:7" x14ac:dyDescent="0.25">
      <c r="B553" s="47"/>
      <c r="C553" s="4"/>
      <c r="D553" s="44" t="s">
        <v>278</v>
      </c>
      <c r="E553" s="51"/>
      <c r="F553" s="51"/>
      <c r="G553" s="8"/>
    </row>
    <row r="554" spans="2:7" ht="45" x14ac:dyDescent="0.25">
      <c r="B554" s="47"/>
      <c r="C554" s="4"/>
      <c r="D554" s="44" t="s">
        <v>279</v>
      </c>
      <c r="E554" s="51"/>
      <c r="F554" s="51"/>
      <c r="G554" s="8"/>
    </row>
    <row r="555" spans="2:7" x14ac:dyDescent="0.25">
      <c r="B555" s="47"/>
      <c r="C555" s="4"/>
      <c r="D555" s="44"/>
      <c r="E555" s="51"/>
      <c r="F555" s="51"/>
      <c r="G555" s="8"/>
    </row>
    <row r="556" spans="2:7" x14ac:dyDescent="0.25">
      <c r="B556" s="47"/>
      <c r="C556" s="4"/>
      <c r="D556" s="44" t="s">
        <v>280</v>
      </c>
      <c r="E556" s="51"/>
      <c r="F556" s="51"/>
      <c r="G556" s="8"/>
    </row>
    <row r="557" spans="2:7" x14ac:dyDescent="0.25">
      <c r="B557" s="47"/>
      <c r="C557" s="4"/>
      <c r="D557" s="44"/>
      <c r="E557" s="51"/>
      <c r="F557" s="51"/>
      <c r="G557" s="8"/>
    </row>
    <row r="558" spans="2:7" x14ac:dyDescent="0.25">
      <c r="B558" s="47"/>
      <c r="C558" s="4"/>
      <c r="D558" s="44" t="s">
        <v>195</v>
      </c>
      <c r="E558" s="51"/>
      <c r="F558" s="51"/>
      <c r="G558" s="8"/>
    </row>
    <row r="559" spans="2:7" x14ac:dyDescent="0.25">
      <c r="B559" s="47"/>
      <c r="C559" s="4"/>
      <c r="D559" s="44"/>
      <c r="E559" s="51"/>
      <c r="F559" s="51"/>
      <c r="G559" s="8"/>
    </row>
    <row r="560" spans="2:7" x14ac:dyDescent="0.25">
      <c r="B560" s="47"/>
      <c r="C560" s="4"/>
      <c r="D560" s="44" t="s">
        <v>524</v>
      </c>
      <c r="E560" s="51"/>
      <c r="F560" s="51"/>
      <c r="G560" s="8"/>
    </row>
    <row r="561" spans="2:7" ht="45" x14ac:dyDescent="0.25">
      <c r="B561" s="47"/>
      <c r="C561" s="4"/>
      <c r="D561" s="44" t="s">
        <v>1446</v>
      </c>
      <c r="E561" s="51"/>
      <c r="F561" s="51"/>
      <c r="G561" s="8"/>
    </row>
    <row r="562" spans="2:7" x14ac:dyDescent="0.25">
      <c r="B562" s="47"/>
      <c r="C562" s="4"/>
      <c r="D562" s="44"/>
      <c r="E562" s="51"/>
      <c r="F562" s="51"/>
      <c r="G562" s="8"/>
    </row>
    <row r="563" spans="2:7" x14ac:dyDescent="0.25">
      <c r="B563" s="47"/>
      <c r="C563" s="4"/>
      <c r="D563" s="44" t="s">
        <v>281</v>
      </c>
      <c r="E563" s="51"/>
      <c r="F563" s="51"/>
      <c r="G563" s="8"/>
    </row>
    <row r="564" spans="2:7" ht="75" x14ac:dyDescent="0.25">
      <c r="B564" s="47"/>
      <c r="C564" s="4"/>
      <c r="D564" s="44" t="s">
        <v>282</v>
      </c>
      <c r="E564" s="51"/>
      <c r="F564" s="51"/>
      <c r="G564" s="8"/>
    </row>
    <row r="565" spans="2:7" x14ac:dyDescent="0.25">
      <c r="B565" s="47"/>
      <c r="C565" s="4"/>
      <c r="D565" s="44"/>
      <c r="E565" s="51"/>
      <c r="F565" s="51"/>
      <c r="G565" s="8"/>
    </row>
    <row r="566" spans="2:7" x14ac:dyDescent="0.25">
      <c r="B566" s="47"/>
      <c r="C566" s="4"/>
      <c r="D566" s="44" t="s">
        <v>283</v>
      </c>
      <c r="E566" s="51"/>
      <c r="F566" s="51"/>
      <c r="G566" s="8"/>
    </row>
    <row r="567" spans="2:7" ht="60" x14ac:dyDescent="0.25">
      <c r="B567" s="47"/>
      <c r="C567" s="4"/>
      <c r="D567" s="44" t="s">
        <v>284</v>
      </c>
      <c r="E567" s="51"/>
      <c r="F567" s="51"/>
      <c r="G567" s="8"/>
    </row>
    <row r="568" spans="2:7" x14ac:dyDescent="0.25">
      <c r="B568" s="47"/>
      <c r="C568" s="4"/>
      <c r="D568" s="44"/>
      <c r="E568" s="51"/>
      <c r="F568" s="51"/>
      <c r="G568" s="8"/>
    </row>
    <row r="569" spans="2:7" ht="30" x14ac:dyDescent="0.25">
      <c r="B569" s="47"/>
      <c r="C569" s="4"/>
      <c r="D569" s="44" t="s">
        <v>285</v>
      </c>
      <c r="E569" s="51"/>
      <c r="F569" s="51"/>
      <c r="G569" s="8"/>
    </row>
    <row r="570" spans="2:7" x14ac:dyDescent="0.25">
      <c r="B570" s="47"/>
      <c r="C570" s="4"/>
      <c r="D570" s="44"/>
      <c r="E570" s="51"/>
      <c r="F570" s="51"/>
      <c r="G570" s="8"/>
    </row>
    <row r="571" spans="2:7" x14ac:dyDescent="0.25">
      <c r="B571" s="47"/>
      <c r="C571" s="4"/>
      <c r="D571" s="44" t="s">
        <v>286</v>
      </c>
      <c r="E571" s="51"/>
      <c r="F571" s="51"/>
      <c r="G571" s="8"/>
    </row>
    <row r="572" spans="2:7" ht="75" x14ac:dyDescent="0.25">
      <c r="B572" s="47"/>
      <c r="C572" s="4"/>
      <c r="D572" s="44" t="s">
        <v>287</v>
      </c>
      <c r="E572" s="51"/>
      <c r="F572" s="51"/>
      <c r="G572" s="8"/>
    </row>
    <row r="573" spans="2:7" x14ac:dyDescent="0.25">
      <c r="B573" s="47"/>
      <c r="C573" s="4"/>
      <c r="D573" s="44"/>
      <c r="E573" s="51"/>
      <c r="F573" s="51"/>
      <c r="G573" s="8"/>
    </row>
    <row r="574" spans="2:7" x14ac:dyDescent="0.25">
      <c r="B574" s="47"/>
      <c r="C574" s="4"/>
      <c r="D574" s="44" t="s">
        <v>288</v>
      </c>
      <c r="E574" s="51"/>
      <c r="F574" s="51"/>
      <c r="G574" s="8"/>
    </row>
    <row r="575" spans="2:7" ht="90" x14ac:dyDescent="0.25">
      <c r="B575" s="47"/>
      <c r="C575" s="4"/>
      <c r="D575" s="44" t="s">
        <v>289</v>
      </c>
      <c r="E575" s="51"/>
      <c r="F575" s="51"/>
      <c r="G575" s="8"/>
    </row>
    <row r="576" spans="2:7" x14ac:dyDescent="0.25">
      <c r="B576" s="47"/>
      <c r="C576" s="4"/>
      <c r="D576" s="44"/>
      <c r="E576" s="51"/>
      <c r="F576" s="51"/>
      <c r="G576" s="8"/>
    </row>
    <row r="577" spans="2:7" x14ac:dyDescent="0.25">
      <c r="B577" s="47"/>
      <c r="C577" s="4"/>
      <c r="D577" s="44" t="s">
        <v>290</v>
      </c>
      <c r="E577" s="51"/>
      <c r="F577" s="51"/>
      <c r="G577" s="8"/>
    </row>
    <row r="578" spans="2:7" x14ac:dyDescent="0.25">
      <c r="B578" s="47"/>
      <c r="C578" s="4"/>
      <c r="D578" s="44"/>
      <c r="E578" s="51"/>
      <c r="F578" s="51"/>
      <c r="G578" s="8"/>
    </row>
    <row r="579" spans="2:7" x14ac:dyDescent="0.25">
      <c r="B579" s="47"/>
      <c r="C579" s="4"/>
      <c r="D579" s="44" t="s">
        <v>291</v>
      </c>
      <c r="E579" s="51"/>
      <c r="F579" s="51"/>
      <c r="G579" s="8"/>
    </row>
    <row r="580" spans="2:7" ht="45" x14ac:dyDescent="0.25">
      <c r="B580" s="47"/>
      <c r="C580" s="4"/>
      <c r="D580" s="44" t="s">
        <v>292</v>
      </c>
      <c r="E580" s="51"/>
      <c r="F580" s="51"/>
      <c r="G580" s="8"/>
    </row>
    <row r="581" spans="2:7" x14ac:dyDescent="0.25">
      <c r="B581" s="47"/>
      <c r="C581" s="4"/>
      <c r="D581" s="44"/>
      <c r="E581" s="51"/>
      <c r="F581" s="51"/>
      <c r="G581" s="8"/>
    </row>
    <row r="582" spans="2:7" x14ac:dyDescent="0.25">
      <c r="B582" s="47"/>
      <c r="C582" s="4"/>
      <c r="D582" s="44"/>
      <c r="E582" s="51"/>
      <c r="F582" s="51"/>
      <c r="G582" s="8"/>
    </row>
    <row r="583" spans="2:7" x14ac:dyDescent="0.25">
      <c r="B583" s="47"/>
      <c r="C583" s="1"/>
      <c r="D583" s="44" t="s">
        <v>293</v>
      </c>
      <c r="E583" s="51"/>
      <c r="F583" s="51"/>
      <c r="G583" s="8" t="str">
        <f>IF(F583="","",F583*#REF!)</f>
        <v/>
      </c>
    </row>
    <row r="584" spans="2:7" x14ac:dyDescent="0.25">
      <c r="B584" s="47"/>
      <c r="C584" s="9"/>
      <c r="D584" s="44"/>
      <c r="E584" s="51"/>
      <c r="F584" s="51"/>
      <c r="G584" s="8" t="str">
        <f>IF(F584="","",F584*#REF!)</f>
        <v/>
      </c>
    </row>
    <row r="585" spans="2:7" ht="30" x14ac:dyDescent="0.25">
      <c r="B585" s="47"/>
      <c r="C585" s="9"/>
      <c r="D585" s="44" t="s">
        <v>1444</v>
      </c>
      <c r="E585" s="51"/>
      <c r="F585" s="51"/>
      <c r="G585" s="8" t="str">
        <f>IF(F585="","",F585*#REF!)</f>
        <v/>
      </c>
    </row>
    <row r="586" spans="2:7" x14ac:dyDescent="0.25">
      <c r="B586" s="47"/>
      <c r="C586" s="9"/>
      <c r="D586" s="44"/>
      <c r="E586" s="51"/>
      <c r="F586" s="51"/>
      <c r="G586" s="8" t="str">
        <f>IF(F586="","",F586*#REF!)</f>
        <v/>
      </c>
    </row>
    <row r="587" spans="2:7" x14ac:dyDescent="0.25">
      <c r="B587" s="47"/>
      <c r="C587" s="9"/>
      <c r="D587" s="44" t="s">
        <v>294</v>
      </c>
      <c r="E587" s="51"/>
      <c r="F587" s="51"/>
      <c r="G587" s="8" t="str">
        <f>IF(F587="","",F587*#REF!)</f>
        <v/>
      </c>
    </row>
    <row r="588" spans="2:7" ht="60" x14ac:dyDescent="0.25">
      <c r="B588" s="47"/>
      <c r="C588" s="9"/>
      <c r="D588" s="44" t="s">
        <v>295</v>
      </c>
      <c r="E588" s="51"/>
      <c r="F588" s="51"/>
      <c r="G588" s="8" t="str">
        <f>IF(F588="","",F588*#REF!)</f>
        <v/>
      </c>
    </row>
    <row r="589" spans="2:7" x14ac:dyDescent="0.25">
      <c r="B589" s="47"/>
      <c r="C589" s="9"/>
      <c r="D589" s="44"/>
      <c r="E589" s="51"/>
      <c r="F589" s="51"/>
      <c r="G589" s="8" t="str">
        <f>IF(F589="","",F589*#REF!)</f>
        <v/>
      </c>
    </row>
    <row r="590" spans="2:7" x14ac:dyDescent="0.25">
      <c r="B590" s="47"/>
      <c r="C590" s="9"/>
      <c r="D590" s="44" t="s">
        <v>296</v>
      </c>
      <c r="E590" s="51"/>
      <c r="F590" s="51"/>
      <c r="G590" s="8" t="str">
        <f>IF(F590="","",F590*#REF!)</f>
        <v/>
      </c>
    </row>
    <row r="591" spans="2:7" ht="30" x14ac:dyDescent="0.25">
      <c r="B591" s="47"/>
      <c r="C591" s="9"/>
      <c r="D591" s="44" t="s">
        <v>297</v>
      </c>
      <c r="E591" s="51"/>
      <c r="F591" s="51"/>
      <c r="G591" s="8" t="str">
        <f>IF(F591="","",F591*#REF!)</f>
        <v/>
      </c>
    </row>
    <row r="592" spans="2:7" x14ac:dyDescent="0.25">
      <c r="B592" s="47"/>
      <c r="C592" s="9"/>
      <c r="D592" s="44"/>
      <c r="E592" s="51"/>
      <c r="F592" s="51"/>
      <c r="G592" s="8" t="str">
        <f>IF(F592="","",F592*#REF!)</f>
        <v/>
      </c>
    </row>
    <row r="593" spans="2:7" x14ac:dyDescent="0.25">
      <c r="B593" s="47"/>
      <c r="C593" s="9"/>
      <c r="D593" s="44" t="s">
        <v>298</v>
      </c>
      <c r="E593" s="51"/>
      <c r="F593" s="51"/>
      <c r="G593" s="8" t="str">
        <f>IF(F593="","",F593*#REF!)</f>
        <v/>
      </c>
    </row>
    <row r="594" spans="2:7" ht="60" x14ac:dyDescent="0.25">
      <c r="B594" s="47"/>
      <c r="C594" s="32"/>
      <c r="D594" s="44" t="s">
        <v>299</v>
      </c>
      <c r="E594" s="51"/>
      <c r="F594" s="51"/>
      <c r="G594" s="8" t="str">
        <f>IF(F594="","",F594*#REF!)</f>
        <v/>
      </c>
    </row>
    <row r="595" spans="2:7" x14ac:dyDescent="0.25">
      <c r="B595" s="47"/>
      <c r="C595" s="9"/>
      <c r="D595" s="44"/>
      <c r="E595" s="51"/>
      <c r="F595" s="51"/>
      <c r="G595" s="8" t="str">
        <f>IF(F595="","",F595*#REF!)</f>
        <v/>
      </c>
    </row>
    <row r="596" spans="2:7" ht="15" customHeight="1" x14ac:dyDescent="0.25">
      <c r="B596" s="47"/>
      <c r="C596" s="33"/>
      <c r="D596" s="44" t="s">
        <v>300</v>
      </c>
      <c r="E596" s="51"/>
      <c r="F596" s="51"/>
      <c r="G596" s="8" t="str">
        <f>IF(F596="","",F596*#REF!)</f>
        <v/>
      </c>
    </row>
    <row r="597" spans="2:7" x14ac:dyDescent="0.25">
      <c r="B597" s="47"/>
      <c r="C597" s="9"/>
      <c r="D597" s="44" t="s">
        <v>301</v>
      </c>
      <c r="E597" s="51"/>
      <c r="F597" s="51"/>
      <c r="G597" s="8" t="str">
        <f>IF(F597="","",F597*#REF!)</f>
        <v/>
      </c>
    </row>
    <row r="598" spans="2:7" x14ac:dyDescent="0.25">
      <c r="B598" s="47"/>
      <c r="C598" s="9"/>
      <c r="D598" s="44"/>
      <c r="E598" s="51"/>
      <c r="F598" s="51"/>
      <c r="G598" s="8" t="str">
        <f>IF(F598="","",F598*#REF!)</f>
        <v/>
      </c>
    </row>
    <row r="599" spans="2:7" x14ac:dyDescent="0.25">
      <c r="B599" s="47"/>
      <c r="C599" s="9"/>
      <c r="D599" s="44" t="s">
        <v>302</v>
      </c>
      <c r="E599" s="51"/>
      <c r="F599" s="51"/>
      <c r="G599" s="8" t="str">
        <f>IF(F599="","",F599*#REF!)</f>
        <v/>
      </c>
    </row>
    <row r="600" spans="2:7" ht="30" x14ac:dyDescent="0.25">
      <c r="B600" s="47"/>
      <c r="C600" s="9"/>
      <c r="D600" s="44" t="s">
        <v>303</v>
      </c>
      <c r="E600" s="51"/>
      <c r="F600" s="51"/>
      <c r="G600" s="8" t="str">
        <f>IF(F600="","",F600*#REF!)</f>
        <v/>
      </c>
    </row>
    <row r="601" spans="2:7" x14ac:dyDescent="0.25">
      <c r="B601" s="47"/>
      <c r="C601" s="9"/>
      <c r="D601" s="44"/>
      <c r="E601" s="51"/>
      <c r="F601" s="51"/>
      <c r="G601" s="8" t="str">
        <f>IF(F601="","",F601*#REF!)</f>
        <v/>
      </c>
    </row>
    <row r="602" spans="2:7" x14ac:dyDescent="0.25">
      <c r="B602" s="47"/>
      <c r="C602" s="9"/>
      <c r="D602" s="44" t="s">
        <v>304</v>
      </c>
      <c r="E602" s="51"/>
      <c r="F602" s="51"/>
      <c r="G602" s="8" t="str">
        <f>IF(F602="","",F602*#REF!)</f>
        <v/>
      </c>
    </row>
    <row r="603" spans="2:7" ht="30" x14ac:dyDescent="0.25">
      <c r="B603" s="47"/>
      <c r="C603" s="9"/>
      <c r="D603" s="44" t="s">
        <v>305</v>
      </c>
      <c r="E603" s="51"/>
      <c r="F603" s="51"/>
      <c r="G603" s="8" t="str">
        <f>IF(F603="","",F603*#REF!)</f>
        <v/>
      </c>
    </row>
    <row r="604" spans="2:7" x14ac:dyDescent="0.25">
      <c r="B604" s="47"/>
      <c r="C604" s="9"/>
      <c r="D604" s="44"/>
      <c r="E604" s="51"/>
      <c r="F604" s="51"/>
      <c r="G604" s="8" t="str">
        <f>IF(F604="","",F604*#REF!)</f>
        <v/>
      </c>
    </row>
    <row r="605" spans="2:7" x14ac:dyDescent="0.25">
      <c r="B605" s="47"/>
      <c r="C605" s="9"/>
      <c r="D605" s="44" t="s">
        <v>306</v>
      </c>
      <c r="E605" s="51"/>
      <c r="F605" s="51"/>
      <c r="G605" s="8" t="str">
        <f>IF(F605="","",F605*#REF!)</f>
        <v/>
      </c>
    </row>
    <row r="606" spans="2:7" ht="30" x14ac:dyDescent="0.25">
      <c r="B606" s="47"/>
      <c r="C606" s="9"/>
      <c r="D606" s="44" t="s">
        <v>307</v>
      </c>
      <c r="E606" s="51"/>
      <c r="F606" s="51"/>
      <c r="G606" s="8" t="str">
        <f>IF(F606="","",F606*#REF!)</f>
        <v/>
      </c>
    </row>
    <row r="607" spans="2:7" x14ac:dyDescent="0.25">
      <c r="B607" s="47"/>
      <c r="C607" s="9"/>
      <c r="D607" s="44"/>
      <c r="E607" s="51"/>
      <c r="F607" s="51"/>
      <c r="G607" s="8" t="str">
        <f>IF(F607="","",F607*#REF!)</f>
        <v/>
      </c>
    </row>
    <row r="608" spans="2:7" x14ac:dyDescent="0.25">
      <c r="B608" s="47"/>
      <c r="C608" s="10"/>
      <c r="D608" s="44" t="s">
        <v>308</v>
      </c>
      <c r="E608" s="51"/>
      <c r="F608" s="51"/>
      <c r="G608" s="8" t="str">
        <f>IF(F608="","",F608*#REF!)</f>
        <v/>
      </c>
    </row>
    <row r="609" spans="2:7" ht="45" x14ac:dyDescent="0.25">
      <c r="B609" s="47"/>
      <c r="C609" s="9"/>
      <c r="D609" s="44" t="s">
        <v>309</v>
      </c>
      <c r="E609" s="51"/>
      <c r="F609" s="51"/>
      <c r="G609" s="8" t="str">
        <f>IF(F609="","",F609*#REF!)</f>
        <v/>
      </c>
    </row>
    <row r="610" spans="2:7" x14ac:dyDescent="0.25">
      <c r="B610" s="47"/>
      <c r="C610" s="9"/>
      <c r="D610" s="44"/>
      <c r="E610" s="51"/>
      <c r="F610" s="51"/>
      <c r="G610" s="8" t="str">
        <f>IF(F610="","",F610*#REF!)</f>
        <v/>
      </c>
    </row>
    <row r="611" spans="2:7" x14ac:dyDescent="0.25">
      <c r="B611" s="47"/>
      <c r="C611" s="9"/>
      <c r="D611" s="44" t="s">
        <v>310</v>
      </c>
      <c r="E611" s="51"/>
      <c r="F611" s="51"/>
      <c r="G611" s="8" t="str">
        <f>IF(F611="","",F611*#REF!)</f>
        <v/>
      </c>
    </row>
    <row r="612" spans="2:7" ht="45" x14ac:dyDescent="0.25">
      <c r="B612" s="47"/>
      <c r="C612" s="9"/>
      <c r="D612" s="44" t="s">
        <v>311</v>
      </c>
      <c r="E612" s="51"/>
      <c r="F612" s="51"/>
      <c r="G612" s="8" t="str">
        <f>IF(F612="","",F612*#REF!)</f>
        <v/>
      </c>
    </row>
    <row r="613" spans="2:7" x14ac:dyDescent="0.25">
      <c r="B613" s="47"/>
      <c r="C613" s="9"/>
      <c r="D613" s="44" t="s">
        <v>312</v>
      </c>
      <c r="E613" s="51"/>
      <c r="F613" s="51"/>
      <c r="G613" s="8" t="str">
        <f>IF(F613="","",F613*#REF!)</f>
        <v/>
      </c>
    </row>
    <row r="614" spans="2:7" x14ac:dyDescent="0.25">
      <c r="B614" s="47"/>
      <c r="C614" s="9"/>
      <c r="D614" s="44" t="s">
        <v>313</v>
      </c>
      <c r="E614" s="51"/>
      <c r="F614" s="51"/>
      <c r="G614" s="8" t="str">
        <f>IF(F614="","",F614*#REF!)</f>
        <v/>
      </c>
    </row>
    <row r="615" spans="2:7" x14ac:dyDescent="0.25">
      <c r="B615" s="47"/>
      <c r="C615" s="9"/>
      <c r="D615" s="44" t="s">
        <v>314</v>
      </c>
      <c r="E615" s="51"/>
      <c r="F615" s="51"/>
      <c r="G615" s="8"/>
    </row>
    <row r="616" spans="2:7" x14ac:dyDescent="0.25">
      <c r="B616" s="47"/>
      <c r="C616" s="9"/>
      <c r="D616" s="44"/>
      <c r="E616" s="51"/>
      <c r="F616" s="51"/>
      <c r="G616" s="8"/>
    </row>
    <row r="617" spans="2:7" x14ac:dyDescent="0.25">
      <c r="B617" s="47"/>
      <c r="C617" s="9"/>
      <c r="D617" s="44" t="s">
        <v>315</v>
      </c>
      <c r="E617" s="51"/>
      <c r="F617" s="51"/>
      <c r="G617" s="8"/>
    </row>
    <row r="618" spans="2:7" ht="45" x14ac:dyDescent="0.25">
      <c r="B618" s="47"/>
      <c r="C618" s="9"/>
      <c r="D618" s="44" t="s">
        <v>316</v>
      </c>
      <c r="E618" s="51"/>
      <c r="F618" s="51"/>
      <c r="G618" s="8"/>
    </row>
    <row r="619" spans="2:7" x14ac:dyDescent="0.25">
      <c r="B619" s="47"/>
      <c r="C619" s="9"/>
      <c r="D619" s="44"/>
      <c r="E619" s="51"/>
      <c r="F619" s="51"/>
      <c r="G619" s="8"/>
    </row>
    <row r="620" spans="2:7" x14ac:dyDescent="0.25">
      <c r="B620" s="47"/>
      <c r="C620" s="9"/>
      <c r="D620" s="44" t="s">
        <v>317</v>
      </c>
      <c r="E620" s="51"/>
      <c r="F620" s="51"/>
      <c r="G620" s="8"/>
    </row>
    <row r="621" spans="2:7" x14ac:dyDescent="0.25">
      <c r="B621" s="47"/>
      <c r="C621" s="9"/>
      <c r="D621" s="44"/>
      <c r="E621" s="51"/>
      <c r="F621" s="51"/>
      <c r="G621" s="8"/>
    </row>
    <row r="622" spans="2:7" x14ac:dyDescent="0.25">
      <c r="B622" s="47"/>
      <c r="C622" s="9"/>
      <c r="D622" s="44" t="s">
        <v>318</v>
      </c>
      <c r="E622" s="51"/>
      <c r="F622" s="51"/>
      <c r="G622" s="8"/>
    </row>
    <row r="623" spans="2:7" ht="75" x14ac:dyDescent="0.25">
      <c r="B623" s="47"/>
      <c r="C623" s="9"/>
      <c r="D623" s="44" t="s">
        <v>319</v>
      </c>
      <c r="E623" s="51"/>
      <c r="F623" s="51"/>
      <c r="G623" s="8"/>
    </row>
    <row r="624" spans="2:7" x14ac:dyDescent="0.25">
      <c r="B624" s="47"/>
      <c r="C624" s="9"/>
      <c r="D624" s="44"/>
      <c r="E624" s="51"/>
      <c r="F624" s="51"/>
      <c r="G624" s="8"/>
    </row>
    <row r="625" spans="2:7" x14ac:dyDescent="0.25">
      <c r="B625" s="47"/>
      <c r="C625" s="9"/>
      <c r="D625" s="44" t="s">
        <v>320</v>
      </c>
      <c r="E625" s="51"/>
      <c r="F625" s="51"/>
      <c r="G625" s="8"/>
    </row>
    <row r="626" spans="2:7" ht="30" x14ac:dyDescent="0.25">
      <c r="B626" s="47"/>
      <c r="C626" s="9"/>
      <c r="D626" s="44" t="s">
        <v>321</v>
      </c>
      <c r="E626" s="51"/>
      <c r="F626" s="51"/>
      <c r="G626" s="8"/>
    </row>
    <row r="627" spans="2:7" ht="45" x14ac:dyDescent="0.25">
      <c r="B627" s="47"/>
      <c r="C627" s="9"/>
      <c r="D627" s="44" t="s">
        <v>322</v>
      </c>
      <c r="E627" s="51"/>
      <c r="F627" s="51"/>
      <c r="G627" s="8"/>
    </row>
    <row r="628" spans="2:7" ht="30" x14ac:dyDescent="0.25">
      <c r="B628" s="47"/>
      <c r="C628" s="9"/>
      <c r="D628" s="44" t="s">
        <v>323</v>
      </c>
      <c r="E628" s="51"/>
      <c r="F628" s="51"/>
      <c r="G628" s="8"/>
    </row>
    <row r="629" spans="2:7" ht="45" x14ac:dyDescent="0.25">
      <c r="B629" s="47"/>
      <c r="C629" s="9"/>
      <c r="D629" s="44" t="s">
        <v>324</v>
      </c>
      <c r="E629" s="51"/>
      <c r="F629" s="51"/>
      <c r="G629" s="8"/>
    </row>
    <row r="630" spans="2:7" ht="30" x14ac:dyDescent="0.25">
      <c r="B630" s="47"/>
      <c r="C630" s="9"/>
      <c r="D630" s="44" t="s">
        <v>325</v>
      </c>
      <c r="E630" s="51"/>
      <c r="F630" s="51"/>
      <c r="G630" s="8"/>
    </row>
    <row r="631" spans="2:7" ht="90" x14ac:dyDescent="0.25">
      <c r="B631" s="47"/>
      <c r="C631" s="9"/>
      <c r="D631" s="44" t="s">
        <v>326</v>
      </c>
      <c r="E631" s="51"/>
      <c r="F631" s="51"/>
      <c r="G631" s="8"/>
    </row>
    <row r="632" spans="2:7" ht="30" x14ac:dyDescent="0.25">
      <c r="B632" s="47"/>
      <c r="C632" s="9"/>
      <c r="D632" s="44" t="s">
        <v>327</v>
      </c>
      <c r="E632" s="51"/>
      <c r="F632" s="51"/>
      <c r="G632" s="8"/>
    </row>
    <row r="633" spans="2:7" x14ac:dyDescent="0.25">
      <c r="B633" s="47"/>
      <c r="C633" s="9"/>
      <c r="D633" s="44"/>
      <c r="E633" s="51"/>
      <c r="F633" s="51"/>
      <c r="G633" s="8"/>
    </row>
    <row r="634" spans="2:7" x14ac:dyDescent="0.25">
      <c r="B634" s="47"/>
      <c r="C634" s="9"/>
      <c r="D634" s="44" t="s">
        <v>328</v>
      </c>
      <c r="E634" s="51"/>
      <c r="F634" s="51"/>
      <c r="G634" s="8"/>
    </row>
    <row r="635" spans="2:7" ht="75" x14ac:dyDescent="0.25">
      <c r="B635" s="47"/>
      <c r="C635" s="9"/>
      <c r="D635" s="44" t="s">
        <v>329</v>
      </c>
      <c r="E635" s="51"/>
      <c r="F635" s="51"/>
      <c r="G635" s="8"/>
    </row>
    <row r="636" spans="2:7" x14ac:dyDescent="0.25">
      <c r="B636" s="47"/>
      <c r="C636" s="9"/>
      <c r="D636" s="44" t="s">
        <v>330</v>
      </c>
      <c r="E636" s="51"/>
      <c r="F636" s="51"/>
      <c r="G636" s="8"/>
    </row>
    <row r="637" spans="2:7" x14ac:dyDescent="0.25">
      <c r="B637" s="47"/>
      <c r="C637" s="9"/>
      <c r="D637" s="44"/>
      <c r="E637" s="51"/>
      <c r="F637" s="51"/>
      <c r="G637" s="8"/>
    </row>
    <row r="638" spans="2:7" x14ac:dyDescent="0.25">
      <c r="B638" s="47"/>
      <c r="C638" s="9"/>
      <c r="D638" s="44" t="s">
        <v>331</v>
      </c>
      <c r="E638" s="51"/>
      <c r="F638" s="51"/>
      <c r="G638" s="8"/>
    </row>
    <row r="639" spans="2:7" x14ac:dyDescent="0.25">
      <c r="B639" s="47"/>
      <c r="C639" s="9"/>
      <c r="D639" s="44" t="s">
        <v>332</v>
      </c>
      <c r="E639" s="51"/>
      <c r="F639" s="51"/>
      <c r="G639" s="8"/>
    </row>
    <row r="640" spans="2:7" x14ac:dyDescent="0.25">
      <c r="B640" s="47"/>
      <c r="C640" s="9"/>
      <c r="D640" s="44"/>
      <c r="E640" s="51"/>
      <c r="F640" s="51"/>
      <c r="G640" s="8"/>
    </row>
    <row r="641" spans="2:7" x14ac:dyDescent="0.25">
      <c r="B641" s="47"/>
      <c r="C641" s="9"/>
      <c r="D641" s="44" t="s">
        <v>333</v>
      </c>
      <c r="E641" s="51"/>
      <c r="F641" s="51"/>
      <c r="G641" s="8"/>
    </row>
    <row r="642" spans="2:7" ht="60" x14ac:dyDescent="0.25">
      <c r="B642" s="47"/>
      <c r="C642" s="9"/>
      <c r="D642" s="44" t="s">
        <v>334</v>
      </c>
      <c r="E642" s="51"/>
      <c r="F642" s="51"/>
      <c r="G642" s="8"/>
    </row>
    <row r="643" spans="2:7" x14ac:dyDescent="0.25">
      <c r="B643" s="47"/>
      <c r="C643" s="9"/>
      <c r="D643" s="44"/>
      <c r="E643" s="51"/>
      <c r="F643" s="51"/>
      <c r="G643" s="8"/>
    </row>
    <row r="644" spans="2:7" x14ac:dyDescent="0.25">
      <c r="B644" s="47"/>
      <c r="C644" s="9"/>
      <c r="D644" s="44" t="s">
        <v>335</v>
      </c>
      <c r="E644" s="51"/>
      <c r="F644" s="51"/>
      <c r="G644" s="8"/>
    </row>
    <row r="645" spans="2:7" ht="60" x14ac:dyDescent="0.25">
      <c r="B645" s="47"/>
      <c r="C645" s="9"/>
      <c r="D645" s="44" t="s">
        <v>336</v>
      </c>
      <c r="E645" s="51"/>
      <c r="F645" s="51"/>
      <c r="G645" s="8"/>
    </row>
    <row r="646" spans="2:7" x14ac:dyDescent="0.25">
      <c r="B646" s="47"/>
      <c r="C646" s="9"/>
      <c r="D646" s="44" t="s">
        <v>337</v>
      </c>
      <c r="E646" s="51"/>
      <c r="F646" s="51"/>
      <c r="G646" s="8"/>
    </row>
    <row r="647" spans="2:7" x14ac:dyDescent="0.25">
      <c r="B647" s="47"/>
      <c r="C647" s="9"/>
      <c r="D647" s="44"/>
      <c r="E647" s="51"/>
      <c r="F647" s="51"/>
      <c r="G647" s="8"/>
    </row>
    <row r="648" spans="2:7" x14ac:dyDescent="0.25">
      <c r="B648" s="47"/>
      <c r="C648" s="9"/>
      <c r="D648" s="44" t="s">
        <v>338</v>
      </c>
      <c r="E648" s="51"/>
      <c r="F648" s="51"/>
      <c r="G648" s="8"/>
    </row>
    <row r="649" spans="2:7" x14ac:dyDescent="0.25">
      <c r="B649" s="47"/>
      <c r="C649" s="9"/>
      <c r="D649" s="44" t="s">
        <v>339</v>
      </c>
      <c r="E649" s="51"/>
      <c r="F649" s="51"/>
      <c r="G649" s="8"/>
    </row>
    <row r="650" spans="2:7" ht="90" x14ac:dyDescent="0.25">
      <c r="B650" s="47"/>
      <c r="C650" s="9"/>
      <c r="D650" s="44" t="s">
        <v>340</v>
      </c>
      <c r="E650" s="51"/>
      <c r="F650" s="51"/>
      <c r="G650" s="8"/>
    </row>
    <row r="651" spans="2:7" x14ac:dyDescent="0.25">
      <c r="B651" s="47"/>
      <c r="C651" s="9"/>
      <c r="D651" s="44"/>
      <c r="E651" s="51"/>
      <c r="F651" s="51"/>
      <c r="G651" s="8"/>
    </row>
    <row r="652" spans="2:7" x14ac:dyDescent="0.25">
      <c r="B652" s="47"/>
      <c r="C652" s="9"/>
      <c r="D652" s="44" t="s">
        <v>341</v>
      </c>
      <c r="E652" s="51"/>
      <c r="F652" s="51"/>
      <c r="G652" s="8"/>
    </row>
    <row r="653" spans="2:7" ht="30" x14ac:dyDescent="0.25">
      <c r="B653" s="47"/>
      <c r="C653" s="9"/>
      <c r="D653" s="44" t="s">
        <v>342</v>
      </c>
      <c r="E653" s="51"/>
      <c r="F653" s="51"/>
      <c r="G653" s="8"/>
    </row>
    <row r="654" spans="2:7" ht="60" x14ac:dyDescent="0.25">
      <c r="B654" s="47"/>
      <c r="C654" s="9"/>
      <c r="D654" s="44" t="s">
        <v>343</v>
      </c>
      <c r="E654" s="51"/>
      <c r="F654" s="51"/>
      <c r="G654" s="8"/>
    </row>
    <row r="655" spans="2:7" ht="30" x14ac:dyDescent="0.25">
      <c r="B655" s="47"/>
      <c r="C655" s="9"/>
      <c r="D655" s="44" t="s">
        <v>344</v>
      </c>
      <c r="E655" s="51"/>
      <c r="F655" s="51"/>
      <c r="G655" s="8"/>
    </row>
    <row r="656" spans="2:7" ht="30" x14ac:dyDescent="0.25">
      <c r="B656" s="47"/>
      <c r="C656" s="9"/>
      <c r="D656" s="44" t="s">
        <v>345</v>
      </c>
      <c r="E656" s="51"/>
      <c r="F656" s="51"/>
      <c r="G656" s="8"/>
    </row>
    <row r="657" spans="2:7" x14ac:dyDescent="0.25">
      <c r="B657" s="47"/>
      <c r="C657" s="9"/>
      <c r="D657" s="44"/>
      <c r="E657" s="51"/>
      <c r="F657" s="51"/>
      <c r="G657" s="8"/>
    </row>
    <row r="658" spans="2:7" ht="45" x14ac:dyDescent="0.25">
      <c r="B658" s="47"/>
      <c r="C658" s="9"/>
      <c r="D658" s="44" t="s">
        <v>346</v>
      </c>
      <c r="E658" s="51"/>
      <c r="F658" s="51"/>
      <c r="G658" s="8"/>
    </row>
    <row r="659" spans="2:7" x14ac:dyDescent="0.25">
      <c r="B659" s="47"/>
      <c r="C659" s="9"/>
      <c r="D659" s="44"/>
      <c r="E659" s="51"/>
      <c r="F659" s="51"/>
      <c r="G659" s="8"/>
    </row>
    <row r="660" spans="2:7" x14ac:dyDescent="0.25">
      <c r="B660" s="47"/>
      <c r="C660" s="9"/>
      <c r="D660" s="44"/>
      <c r="E660" s="51"/>
      <c r="F660" s="51"/>
      <c r="G660" s="8"/>
    </row>
    <row r="661" spans="2:7" x14ac:dyDescent="0.25">
      <c r="B661" s="47"/>
      <c r="C661" s="9"/>
      <c r="D661" s="44" t="s">
        <v>515</v>
      </c>
      <c r="E661" s="51"/>
      <c r="F661" s="51"/>
      <c r="G661" s="8"/>
    </row>
    <row r="662" spans="2:7" x14ac:dyDescent="0.25">
      <c r="B662" s="47"/>
      <c r="C662" s="9"/>
      <c r="D662" s="44" t="s">
        <v>347</v>
      </c>
      <c r="E662" s="51"/>
      <c r="F662" s="51"/>
      <c r="G662" s="8"/>
    </row>
    <row r="663" spans="2:7" x14ac:dyDescent="0.25">
      <c r="B663" s="47"/>
      <c r="C663" s="9"/>
      <c r="D663" s="44"/>
      <c r="E663" s="51"/>
      <c r="F663" s="51"/>
      <c r="G663" s="8"/>
    </row>
    <row r="664" spans="2:7" x14ac:dyDescent="0.25">
      <c r="B664" s="47"/>
      <c r="C664" s="9"/>
      <c r="D664" s="44" t="s">
        <v>348</v>
      </c>
      <c r="E664" s="51"/>
      <c r="F664" s="51"/>
      <c r="G664" s="8"/>
    </row>
    <row r="665" spans="2:7" ht="60" x14ac:dyDescent="0.25">
      <c r="B665" s="47"/>
      <c r="C665" s="9"/>
      <c r="D665" s="44" t="s">
        <v>1445</v>
      </c>
      <c r="E665" s="51"/>
      <c r="F665" s="51"/>
      <c r="G665" s="8"/>
    </row>
    <row r="666" spans="2:7" x14ac:dyDescent="0.25">
      <c r="B666" s="47"/>
      <c r="C666" s="9"/>
      <c r="D666" s="44"/>
      <c r="E666" s="51"/>
      <c r="F666" s="51"/>
      <c r="G666" s="8"/>
    </row>
    <row r="667" spans="2:7" ht="30" x14ac:dyDescent="0.25">
      <c r="B667" s="47"/>
      <c r="C667" s="9"/>
      <c r="D667" s="44" t="s">
        <v>349</v>
      </c>
      <c r="E667" s="51"/>
      <c r="F667" s="51"/>
      <c r="G667" s="8"/>
    </row>
    <row r="668" spans="2:7" x14ac:dyDescent="0.25">
      <c r="B668" s="47"/>
      <c r="C668" s="9"/>
      <c r="D668" s="44"/>
      <c r="E668" s="51"/>
      <c r="F668" s="51"/>
      <c r="G668" s="8"/>
    </row>
    <row r="669" spans="2:7" x14ac:dyDescent="0.25">
      <c r="B669" s="47"/>
      <c r="C669" s="9"/>
      <c r="D669" s="44" t="s">
        <v>350</v>
      </c>
      <c r="E669" s="51"/>
      <c r="F669" s="51"/>
      <c r="G669" s="8"/>
    </row>
    <row r="670" spans="2:7" x14ac:dyDescent="0.25">
      <c r="B670" s="47"/>
      <c r="C670" s="9"/>
      <c r="D670" s="44" t="s">
        <v>351</v>
      </c>
      <c r="E670" s="51"/>
      <c r="F670" s="51"/>
      <c r="G670" s="8"/>
    </row>
    <row r="671" spans="2:7" ht="45" x14ac:dyDescent="0.25">
      <c r="B671" s="47"/>
      <c r="C671" s="9"/>
      <c r="D671" s="44" t="s">
        <v>352</v>
      </c>
      <c r="E671" s="51"/>
      <c r="F671" s="51"/>
      <c r="G671" s="8"/>
    </row>
    <row r="672" spans="2:7" ht="30" x14ac:dyDescent="0.25">
      <c r="B672" s="47"/>
      <c r="C672" s="9"/>
      <c r="D672" s="44" t="s">
        <v>353</v>
      </c>
      <c r="E672" s="51"/>
      <c r="F672" s="51"/>
      <c r="G672" s="8"/>
    </row>
    <row r="673" spans="2:7" x14ac:dyDescent="0.25">
      <c r="B673" s="47"/>
      <c r="C673" s="9"/>
      <c r="D673" s="44"/>
      <c r="E673" s="51"/>
      <c r="F673" s="51"/>
      <c r="G673" s="8"/>
    </row>
    <row r="674" spans="2:7" x14ac:dyDescent="0.25">
      <c r="B674" s="47"/>
      <c r="C674" s="9"/>
      <c r="D674" s="44" t="s">
        <v>354</v>
      </c>
      <c r="E674" s="51"/>
      <c r="F674" s="51"/>
      <c r="G674" s="8"/>
    </row>
    <row r="675" spans="2:7" x14ac:dyDescent="0.25">
      <c r="B675" s="47"/>
      <c r="C675" s="9"/>
      <c r="D675" s="44" t="s">
        <v>355</v>
      </c>
      <c r="E675" s="51"/>
      <c r="F675" s="51"/>
      <c r="G675" s="8"/>
    </row>
    <row r="676" spans="2:7" x14ac:dyDescent="0.25">
      <c r="B676" s="47"/>
      <c r="C676" s="9"/>
      <c r="D676" s="44"/>
      <c r="E676" s="51"/>
      <c r="F676" s="51"/>
      <c r="G676" s="8"/>
    </row>
    <row r="677" spans="2:7" x14ac:dyDescent="0.25">
      <c r="B677" s="47"/>
      <c r="C677" s="9"/>
      <c r="D677" s="44" t="s">
        <v>356</v>
      </c>
      <c r="E677" s="51"/>
      <c r="F677" s="51"/>
      <c r="G677" s="8"/>
    </row>
    <row r="678" spans="2:7" ht="30" x14ac:dyDescent="0.25">
      <c r="B678" s="47"/>
      <c r="C678" s="9"/>
      <c r="D678" s="44" t="s">
        <v>357</v>
      </c>
      <c r="E678" s="51"/>
      <c r="F678" s="51"/>
      <c r="G678" s="8"/>
    </row>
    <row r="679" spans="2:7" ht="30" x14ac:dyDescent="0.25">
      <c r="B679" s="47"/>
      <c r="C679" s="9"/>
      <c r="D679" s="44" t="s">
        <v>358</v>
      </c>
      <c r="E679" s="51"/>
      <c r="F679" s="51"/>
      <c r="G679" s="8"/>
    </row>
    <row r="680" spans="2:7" x14ac:dyDescent="0.25">
      <c r="B680" s="47"/>
      <c r="C680" s="9"/>
      <c r="D680" s="44"/>
      <c r="E680" s="51"/>
      <c r="F680" s="51"/>
      <c r="G680" s="8"/>
    </row>
    <row r="681" spans="2:7" x14ac:dyDescent="0.25">
      <c r="B681" s="47"/>
      <c r="C681" s="9"/>
      <c r="D681" s="44" t="s">
        <v>359</v>
      </c>
      <c r="E681" s="51"/>
      <c r="F681" s="51"/>
      <c r="G681" s="8"/>
    </row>
    <row r="682" spans="2:7" x14ac:dyDescent="0.25">
      <c r="B682" s="47"/>
      <c r="C682" s="9"/>
      <c r="D682" s="44" t="s">
        <v>360</v>
      </c>
      <c r="E682" s="51"/>
      <c r="F682" s="51"/>
      <c r="G682" s="8"/>
    </row>
    <row r="683" spans="2:7" x14ac:dyDescent="0.25">
      <c r="B683" s="47"/>
      <c r="C683" s="9"/>
      <c r="D683" s="44" t="s">
        <v>361</v>
      </c>
      <c r="E683" s="51"/>
      <c r="F683" s="51"/>
      <c r="G683" s="8"/>
    </row>
    <row r="684" spans="2:7" x14ac:dyDescent="0.25">
      <c r="B684" s="47"/>
      <c r="C684" s="9"/>
      <c r="D684" s="44" t="s">
        <v>362</v>
      </c>
      <c r="E684" s="51"/>
      <c r="F684" s="51"/>
      <c r="G684" s="8"/>
    </row>
    <row r="685" spans="2:7" x14ac:dyDescent="0.25">
      <c r="B685" s="47"/>
      <c r="C685" s="9"/>
      <c r="D685" s="44" t="s">
        <v>519</v>
      </c>
      <c r="E685" s="51"/>
      <c r="F685" s="51"/>
      <c r="G685" s="8"/>
    </row>
    <row r="686" spans="2:7" x14ac:dyDescent="0.25">
      <c r="B686" s="47"/>
      <c r="C686" s="9"/>
      <c r="D686" s="44" t="s">
        <v>363</v>
      </c>
      <c r="E686" s="51"/>
      <c r="F686" s="51"/>
      <c r="G686" s="8"/>
    </row>
    <row r="687" spans="2:7" x14ac:dyDescent="0.25">
      <c r="B687" s="47"/>
      <c r="C687" s="9"/>
      <c r="D687" s="44" t="s">
        <v>364</v>
      </c>
      <c r="E687" s="51"/>
      <c r="F687" s="51"/>
      <c r="G687" s="8"/>
    </row>
    <row r="688" spans="2:7" x14ac:dyDescent="0.25">
      <c r="B688" s="47"/>
      <c r="C688" s="9"/>
      <c r="D688" s="44" t="s">
        <v>365</v>
      </c>
      <c r="E688" s="51"/>
      <c r="F688" s="51"/>
      <c r="G688" s="8"/>
    </row>
    <row r="689" spans="2:7" x14ac:dyDescent="0.25">
      <c r="B689" s="47"/>
      <c r="C689" s="9"/>
      <c r="D689" s="44" t="s">
        <v>366</v>
      </c>
      <c r="E689" s="51"/>
      <c r="F689" s="51"/>
      <c r="G689" s="8"/>
    </row>
    <row r="690" spans="2:7" x14ac:dyDescent="0.25">
      <c r="B690" s="47"/>
      <c r="C690" s="9"/>
      <c r="D690" s="44" t="s">
        <v>579</v>
      </c>
      <c r="E690" s="51"/>
      <c r="F690" s="51"/>
      <c r="G690" s="8"/>
    </row>
    <row r="691" spans="2:7" x14ac:dyDescent="0.25">
      <c r="B691" s="47"/>
      <c r="C691" s="9"/>
      <c r="D691" s="44" t="s">
        <v>367</v>
      </c>
      <c r="E691" s="51"/>
      <c r="F691" s="51"/>
      <c r="G691" s="8"/>
    </row>
    <row r="692" spans="2:7" x14ac:dyDescent="0.25">
      <c r="B692" s="47"/>
      <c r="C692" s="9"/>
      <c r="D692" s="44" t="s">
        <v>368</v>
      </c>
      <c r="E692" s="51"/>
      <c r="F692" s="51"/>
      <c r="G692" s="8"/>
    </row>
    <row r="693" spans="2:7" x14ac:dyDescent="0.25">
      <c r="B693" s="47"/>
      <c r="C693" s="9"/>
      <c r="D693" s="44" t="s">
        <v>369</v>
      </c>
      <c r="E693" s="51"/>
      <c r="F693" s="51"/>
      <c r="G693" s="8"/>
    </row>
    <row r="694" spans="2:7" x14ac:dyDescent="0.25">
      <c r="B694" s="47"/>
      <c r="C694" s="9"/>
      <c r="D694" s="44" t="s">
        <v>370</v>
      </c>
      <c r="E694" s="51"/>
      <c r="F694" s="51"/>
      <c r="G694" s="8"/>
    </row>
    <row r="695" spans="2:7" x14ac:dyDescent="0.25">
      <c r="B695" s="47"/>
      <c r="C695" s="9"/>
      <c r="D695" s="44" t="s">
        <v>371</v>
      </c>
      <c r="E695" s="51"/>
      <c r="F695" s="51"/>
      <c r="G695" s="8"/>
    </row>
    <row r="696" spans="2:7" x14ac:dyDescent="0.25">
      <c r="B696" s="47"/>
      <c r="C696" s="9"/>
      <c r="D696" s="44" t="s">
        <v>372</v>
      </c>
      <c r="E696" s="51"/>
      <c r="F696" s="51"/>
      <c r="G696" s="8"/>
    </row>
    <row r="697" spans="2:7" x14ac:dyDescent="0.25">
      <c r="B697" s="47"/>
      <c r="C697" s="9"/>
      <c r="D697" s="44" t="s">
        <v>373</v>
      </c>
      <c r="E697" s="51"/>
      <c r="F697" s="51"/>
      <c r="G697" s="8"/>
    </row>
    <row r="698" spans="2:7" x14ac:dyDescent="0.25">
      <c r="B698" s="47"/>
      <c r="C698" s="9"/>
      <c r="D698" s="44" t="s">
        <v>374</v>
      </c>
      <c r="E698" s="51"/>
      <c r="F698" s="51"/>
      <c r="G698" s="8"/>
    </row>
    <row r="699" spans="2:7" x14ac:dyDescent="0.25">
      <c r="B699" s="47"/>
      <c r="C699" s="9"/>
      <c r="D699" s="44" t="s">
        <v>375</v>
      </c>
      <c r="E699" s="51"/>
      <c r="F699" s="51"/>
      <c r="G699" s="8"/>
    </row>
    <row r="700" spans="2:7" x14ac:dyDescent="0.25">
      <c r="B700" s="47"/>
      <c r="C700" s="9"/>
      <c r="D700" s="44" t="s">
        <v>376</v>
      </c>
      <c r="E700" s="51"/>
      <c r="F700" s="51"/>
      <c r="G700" s="8"/>
    </row>
    <row r="701" spans="2:7" x14ac:dyDescent="0.25">
      <c r="B701" s="47"/>
      <c r="C701" s="9"/>
      <c r="D701" s="44" t="s">
        <v>377</v>
      </c>
      <c r="E701" s="51"/>
      <c r="F701" s="51"/>
      <c r="G701" s="8"/>
    </row>
    <row r="702" spans="2:7" x14ac:dyDescent="0.25">
      <c r="B702" s="47"/>
      <c r="C702" s="9"/>
      <c r="D702" s="44" t="s">
        <v>378</v>
      </c>
      <c r="E702" s="51"/>
      <c r="F702" s="51"/>
      <c r="G702" s="8"/>
    </row>
    <row r="703" spans="2:7" x14ac:dyDescent="0.25">
      <c r="B703" s="47"/>
      <c r="C703" s="9"/>
      <c r="D703" s="44" t="s">
        <v>379</v>
      </c>
      <c r="E703" s="51"/>
      <c r="F703" s="51"/>
      <c r="G703" s="8"/>
    </row>
    <row r="704" spans="2:7" x14ac:dyDescent="0.25">
      <c r="B704" s="47"/>
      <c r="C704" s="9"/>
      <c r="D704" s="44" t="s">
        <v>380</v>
      </c>
      <c r="E704" s="51"/>
      <c r="F704" s="51"/>
      <c r="G704" s="8"/>
    </row>
    <row r="705" spans="2:7" x14ac:dyDescent="0.25">
      <c r="B705" s="47"/>
      <c r="C705" s="9"/>
      <c r="D705" s="44" t="s">
        <v>381</v>
      </c>
      <c r="E705" s="51"/>
      <c r="F705" s="51"/>
      <c r="G705" s="8"/>
    </row>
    <row r="706" spans="2:7" x14ac:dyDescent="0.25">
      <c r="B706" s="47"/>
      <c r="C706" s="9"/>
      <c r="D706" s="44" t="s">
        <v>382</v>
      </c>
      <c r="E706" s="51"/>
      <c r="F706" s="51"/>
      <c r="G706" s="8"/>
    </row>
    <row r="707" spans="2:7" x14ac:dyDescent="0.25">
      <c r="B707" s="47"/>
      <c r="C707" s="9"/>
      <c r="D707" s="44" t="s">
        <v>383</v>
      </c>
      <c r="E707" s="51"/>
      <c r="F707" s="51"/>
      <c r="G707" s="8"/>
    </row>
    <row r="708" spans="2:7" x14ac:dyDescent="0.25">
      <c r="B708" s="47"/>
      <c r="C708" s="9"/>
      <c r="D708" s="44" t="s">
        <v>384</v>
      </c>
      <c r="E708" s="51"/>
      <c r="F708" s="51"/>
      <c r="G708" s="8"/>
    </row>
    <row r="709" spans="2:7" x14ac:dyDescent="0.25">
      <c r="B709" s="47"/>
      <c r="C709" s="9"/>
      <c r="D709" s="44" t="s">
        <v>385</v>
      </c>
      <c r="E709" s="51"/>
      <c r="F709" s="51"/>
      <c r="G709" s="8"/>
    </row>
    <row r="710" spans="2:7" x14ac:dyDescent="0.25">
      <c r="B710" s="47"/>
      <c r="C710" s="9"/>
      <c r="D710" s="44" t="s">
        <v>386</v>
      </c>
      <c r="E710" s="51"/>
      <c r="F710" s="51"/>
      <c r="G710" s="8"/>
    </row>
    <row r="711" spans="2:7" x14ac:dyDescent="0.25">
      <c r="B711" s="47"/>
      <c r="C711" s="9"/>
      <c r="D711" s="44" t="s">
        <v>387</v>
      </c>
      <c r="E711" s="51"/>
      <c r="F711" s="51"/>
      <c r="G711" s="8"/>
    </row>
    <row r="712" spans="2:7" x14ac:dyDescent="0.25">
      <c r="B712" s="47"/>
      <c r="C712" s="9"/>
      <c r="D712" s="44" t="s">
        <v>388</v>
      </c>
      <c r="E712" s="51"/>
      <c r="F712" s="51"/>
      <c r="G712" s="8"/>
    </row>
    <row r="713" spans="2:7" x14ac:dyDescent="0.25">
      <c r="B713" s="47"/>
      <c r="C713" s="9"/>
      <c r="D713" s="44" t="s">
        <v>389</v>
      </c>
      <c r="E713" s="51"/>
      <c r="F713" s="51"/>
      <c r="G713" s="8"/>
    </row>
    <row r="714" spans="2:7" x14ac:dyDescent="0.25">
      <c r="B714" s="47"/>
      <c r="C714" s="9"/>
      <c r="D714" s="44" t="s">
        <v>390</v>
      </c>
      <c r="E714" s="51"/>
      <c r="F714" s="51"/>
      <c r="G714" s="8"/>
    </row>
    <row r="715" spans="2:7" x14ac:dyDescent="0.25">
      <c r="B715" s="47"/>
      <c r="C715" s="9"/>
      <c r="D715" s="44"/>
      <c r="E715" s="51"/>
      <c r="F715" s="51"/>
      <c r="G715" s="8"/>
    </row>
    <row r="716" spans="2:7" x14ac:dyDescent="0.25">
      <c r="B716" s="47"/>
      <c r="C716" s="9"/>
      <c r="D716" s="44" t="s">
        <v>391</v>
      </c>
      <c r="E716" s="51"/>
      <c r="F716" s="51"/>
      <c r="G716" s="8"/>
    </row>
    <row r="717" spans="2:7" x14ac:dyDescent="0.25">
      <c r="B717" s="47"/>
      <c r="C717" s="9"/>
      <c r="D717" s="44" t="s">
        <v>392</v>
      </c>
      <c r="E717" s="51"/>
      <c r="F717" s="51"/>
      <c r="G717" s="8"/>
    </row>
    <row r="718" spans="2:7" ht="30" x14ac:dyDescent="0.25">
      <c r="B718" s="47"/>
      <c r="C718" s="9"/>
      <c r="D718" s="44" t="s">
        <v>393</v>
      </c>
      <c r="E718" s="51"/>
      <c r="F718" s="51"/>
      <c r="G718" s="8"/>
    </row>
    <row r="719" spans="2:7" x14ac:dyDescent="0.25">
      <c r="B719" s="47"/>
      <c r="C719" s="9"/>
      <c r="D719" s="44" t="s">
        <v>394</v>
      </c>
      <c r="E719" s="51"/>
      <c r="F719" s="51"/>
      <c r="G719" s="8"/>
    </row>
    <row r="720" spans="2:7" ht="30" x14ac:dyDescent="0.25">
      <c r="B720" s="47"/>
      <c r="C720" s="9"/>
      <c r="D720" s="44" t="s">
        <v>395</v>
      </c>
      <c r="E720" s="51"/>
      <c r="F720" s="51"/>
      <c r="G720" s="8"/>
    </row>
    <row r="721" spans="2:7" ht="30" x14ac:dyDescent="0.25">
      <c r="B721" s="47"/>
      <c r="C721" s="9"/>
      <c r="D721" s="44" t="s">
        <v>396</v>
      </c>
      <c r="E721" s="51"/>
      <c r="F721" s="51"/>
      <c r="G721" s="8"/>
    </row>
    <row r="722" spans="2:7" x14ac:dyDescent="0.25">
      <c r="B722" s="47"/>
      <c r="C722" s="9"/>
      <c r="D722" s="44"/>
      <c r="E722" s="51"/>
      <c r="F722" s="51"/>
      <c r="G722" s="8"/>
    </row>
    <row r="723" spans="2:7" x14ac:dyDescent="0.25">
      <c r="B723" s="47"/>
      <c r="C723" s="9"/>
      <c r="D723" s="44" t="s">
        <v>397</v>
      </c>
      <c r="E723" s="51"/>
      <c r="F723" s="51"/>
      <c r="G723" s="8"/>
    </row>
    <row r="724" spans="2:7" ht="30" x14ac:dyDescent="0.25">
      <c r="B724" s="47"/>
      <c r="C724" s="9"/>
      <c r="D724" s="44" t="s">
        <v>398</v>
      </c>
      <c r="E724" s="51"/>
      <c r="F724" s="51"/>
      <c r="G724" s="8"/>
    </row>
    <row r="725" spans="2:7" x14ac:dyDescent="0.25">
      <c r="B725" s="47"/>
      <c r="C725" s="9"/>
      <c r="D725" s="44"/>
      <c r="E725" s="51"/>
      <c r="F725" s="51"/>
      <c r="G725" s="8"/>
    </row>
    <row r="726" spans="2:7" x14ac:dyDescent="0.25">
      <c r="B726" s="47"/>
      <c r="C726" s="9"/>
      <c r="D726" s="44" t="s">
        <v>399</v>
      </c>
      <c r="E726" s="51"/>
      <c r="F726" s="51"/>
      <c r="G726" s="8"/>
    </row>
    <row r="727" spans="2:7" ht="30" x14ac:dyDescent="0.25">
      <c r="B727" s="47"/>
      <c r="C727" s="9"/>
      <c r="D727" s="44" t="s">
        <v>400</v>
      </c>
      <c r="E727" s="51"/>
      <c r="F727" s="51"/>
      <c r="G727" s="8"/>
    </row>
    <row r="728" spans="2:7" ht="45" x14ac:dyDescent="0.25">
      <c r="B728" s="47"/>
      <c r="C728" s="9"/>
      <c r="D728" s="44" t="s">
        <v>401</v>
      </c>
      <c r="E728" s="51"/>
      <c r="F728" s="51"/>
      <c r="G728" s="8"/>
    </row>
    <row r="729" spans="2:7" x14ac:dyDescent="0.25">
      <c r="B729" s="47"/>
      <c r="C729" s="9"/>
      <c r="D729" s="44"/>
      <c r="E729" s="51"/>
      <c r="F729" s="51"/>
      <c r="G729" s="8"/>
    </row>
    <row r="730" spans="2:7" x14ac:dyDescent="0.25">
      <c r="B730" s="47"/>
      <c r="C730" s="9"/>
      <c r="D730" s="44" t="s">
        <v>402</v>
      </c>
      <c r="E730" s="51"/>
      <c r="F730" s="51"/>
      <c r="G730" s="8"/>
    </row>
    <row r="731" spans="2:7" ht="30" x14ac:dyDescent="0.25">
      <c r="B731" s="47"/>
      <c r="C731" s="9"/>
      <c r="D731" s="44" t="s">
        <v>403</v>
      </c>
      <c r="E731" s="51"/>
      <c r="F731" s="51"/>
      <c r="G731" s="8"/>
    </row>
    <row r="732" spans="2:7" ht="30" x14ac:dyDescent="0.25">
      <c r="B732" s="47"/>
      <c r="C732" s="9"/>
      <c r="D732" s="44" t="s">
        <v>404</v>
      </c>
      <c r="E732" s="51"/>
      <c r="F732" s="51"/>
      <c r="G732" s="8"/>
    </row>
    <row r="733" spans="2:7" x14ac:dyDescent="0.25">
      <c r="B733" s="47"/>
      <c r="C733" s="9"/>
      <c r="D733" s="44"/>
      <c r="E733" s="51"/>
      <c r="F733" s="51"/>
      <c r="G733" s="8"/>
    </row>
    <row r="734" spans="2:7" x14ac:dyDescent="0.25">
      <c r="B734" s="47"/>
      <c r="C734" s="9"/>
      <c r="D734" s="44" t="s">
        <v>405</v>
      </c>
      <c r="E734" s="51"/>
      <c r="F734" s="51"/>
      <c r="G734" s="8"/>
    </row>
    <row r="735" spans="2:7" ht="30" x14ac:dyDescent="0.25">
      <c r="B735" s="47"/>
      <c r="C735" s="9"/>
      <c r="D735" s="44" t="s">
        <v>516</v>
      </c>
      <c r="E735" s="51"/>
      <c r="F735" s="51"/>
      <c r="G735" s="8"/>
    </row>
    <row r="736" spans="2:7" x14ac:dyDescent="0.25">
      <c r="B736" s="47"/>
      <c r="C736" s="9"/>
      <c r="D736" s="44"/>
      <c r="E736" s="51"/>
      <c r="F736" s="51"/>
      <c r="G736" s="8"/>
    </row>
    <row r="737" spans="2:7" x14ac:dyDescent="0.25">
      <c r="B737" s="47"/>
      <c r="C737" s="9"/>
      <c r="D737" s="44" t="s">
        <v>406</v>
      </c>
      <c r="E737" s="51"/>
      <c r="F737" s="51"/>
      <c r="G737" s="8"/>
    </row>
    <row r="738" spans="2:7" x14ac:dyDescent="0.25">
      <c r="B738" s="47"/>
      <c r="C738" s="9"/>
      <c r="D738" s="44" t="s">
        <v>407</v>
      </c>
      <c r="E738" s="51"/>
      <c r="F738" s="51"/>
      <c r="G738" s="8"/>
    </row>
    <row r="739" spans="2:7" x14ac:dyDescent="0.25">
      <c r="B739" s="47"/>
      <c r="C739" s="9"/>
      <c r="D739" s="44"/>
      <c r="E739" s="51"/>
      <c r="F739" s="51"/>
      <c r="G739" s="8"/>
    </row>
    <row r="740" spans="2:7" x14ac:dyDescent="0.25">
      <c r="B740" s="47"/>
      <c r="C740" s="9"/>
      <c r="D740" s="44" t="s">
        <v>408</v>
      </c>
      <c r="E740" s="51"/>
      <c r="F740" s="51"/>
      <c r="G740" s="8"/>
    </row>
    <row r="741" spans="2:7" ht="30" x14ac:dyDescent="0.25">
      <c r="B741" s="47"/>
      <c r="C741" s="9"/>
      <c r="D741" s="44" t="s">
        <v>409</v>
      </c>
      <c r="E741" s="51"/>
      <c r="F741" s="51"/>
      <c r="G741" s="8"/>
    </row>
    <row r="742" spans="2:7" ht="60" x14ac:dyDescent="0.25">
      <c r="B742" s="47"/>
      <c r="C742" s="9"/>
      <c r="D742" s="44" t="s">
        <v>410</v>
      </c>
      <c r="E742" s="51"/>
      <c r="F742" s="51"/>
      <c r="G742" s="8"/>
    </row>
    <row r="743" spans="2:7" x14ac:dyDescent="0.25">
      <c r="B743" s="47"/>
      <c r="C743" s="9"/>
      <c r="D743" s="44"/>
      <c r="E743" s="51"/>
      <c r="F743" s="51"/>
      <c r="G743" s="8"/>
    </row>
    <row r="744" spans="2:7" x14ac:dyDescent="0.25">
      <c r="B744" s="47"/>
      <c r="C744" s="9"/>
      <c r="D744" s="44" t="s">
        <v>411</v>
      </c>
      <c r="E744" s="51"/>
      <c r="F744" s="51"/>
      <c r="G744" s="8"/>
    </row>
    <row r="745" spans="2:7" x14ac:dyDescent="0.25">
      <c r="B745" s="47"/>
      <c r="C745" s="9"/>
      <c r="D745" s="44" t="s">
        <v>412</v>
      </c>
      <c r="E745" s="51"/>
      <c r="F745" s="51"/>
      <c r="G745" s="8"/>
    </row>
    <row r="746" spans="2:7" x14ac:dyDescent="0.25">
      <c r="B746" s="47"/>
      <c r="C746" s="9"/>
      <c r="D746" s="44"/>
      <c r="E746" s="51"/>
      <c r="F746" s="51"/>
      <c r="G746" s="8"/>
    </row>
    <row r="747" spans="2:7" x14ac:dyDescent="0.25">
      <c r="B747" s="47"/>
      <c r="C747" s="9"/>
      <c r="D747" s="44" t="s">
        <v>413</v>
      </c>
      <c r="E747" s="51"/>
      <c r="F747" s="51"/>
      <c r="G747" s="8"/>
    </row>
    <row r="748" spans="2:7" ht="45" x14ac:dyDescent="0.25">
      <c r="B748" s="47"/>
      <c r="C748" s="9"/>
      <c r="D748" s="44" t="s">
        <v>414</v>
      </c>
      <c r="E748" s="51"/>
      <c r="F748" s="51"/>
      <c r="G748" s="8"/>
    </row>
    <row r="749" spans="2:7" x14ac:dyDescent="0.25">
      <c r="B749" s="47"/>
      <c r="C749" s="9"/>
      <c r="D749" s="44"/>
      <c r="E749" s="51"/>
      <c r="F749" s="51"/>
      <c r="G749" s="8"/>
    </row>
    <row r="750" spans="2:7" x14ac:dyDescent="0.25">
      <c r="B750" s="47"/>
      <c r="C750" s="9"/>
      <c r="D750" s="44" t="s">
        <v>415</v>
      </c>
      <c r="E750" s="51"/>
      <c r="F750" s="51"/>
      <c r="G750" s="8"/>
    </row>
    <row r="751" spans="2:7" ht="30" x14ac:dyDescent="0.25">
      <c r="B751" s="47"/>
      <c r="C751" s="9"/>
      <c r="D751" s="44" t="s">
        <v>580</v>
      </c>
      <c r="E751" s="51"/>
      <c r="F751" s="51"/>
      <c r="G751" s="8"/>
    </row>
    <row r="752" spans="2:7" x14ac:dyDescent="0.25">
      <c r="B752" s="47"/>
      <c r="C752" s="9"/>
      <c r="D752" s="44"/>
      <c r="E752" s="51"/>
      <c r="F752" s="51"/>
      <c r="G752" s="8"/>
    </row>
    <row r="753" spans="2:7" x14ac:dyDescent="0.25">
      <c r="B753" s="47"/>
      <c r="C753" s="9"/>
      <c r="D753" s="44" t="s">
        <v>416</v>
      </c>
      <c r="E753" s="51"/>
      <c r="F753" s="51"/>
      <c r="G753" s="8"/>
    </row>
    <row r="754" spans="2:7" ht="30" x14ac:dyDescent="0.25">
      <c r="B754" s="47"/>
      <c r="C754" s="9"/>
      <c r="D754" s="44" t="s">
        <v>417</v>
      </c>
      <c r="E754" s="51"/>
      <c r="F754" s="51"/>
      <c r="G754" s="8"/>
    </row>
    <row r="755" spans="2:7" x14ac:dyDescent="0.25">
      <c r="B755" s="47"/>
      <c r="C755" s="9"/>
      <c r="D755" s="44"/>
      <c r="E755" s="51"/>
      <c r="F755" s="51"/>
      <c r="G755" s="8"/>
    </row>
    <row r="756" spans="2:7" x14ac:dyDescent="0.25">
      <c r="B756" s="47"/>
      <c r="C756" s="9"/>
      <c r="D756" s="44" t="s">
        <v>418</v>
      </c>
      <c r="E756" s="51"/>
      <c r="F756" s="51"/>
      <c r="G756" s="8"/>
    </row>
    <row r="757" spans="2:7" x14ac:dyDescent="0.25">
      <c r="B757" s="47"/>
      <c r="C757" s="9"/>
      <c r="D757" s="44" t="s">
        <v>419</v>
      </c>
      <c r="E757" s="51"/>
      <c r="F757" s="51"/>
      <c r="G757" s="8"/>
    </row>
    <row r="758" spans="2:7" x14ac:dyDescent="0.25">
      <c r="B758" s="47"/>
      <c r="C758" s="9"/>
      <c r="D758" s="44"/>
      <c r="E758" s="51"/>
      <c r="F758" s="51"/>
      <c r="G758" s="8"/>
    </row>
    <row r="759" spans="2:7" x14ac:dyDescent="0.25">
      <c r="B759" s="47"/>
      <c r="C759" s="9"/>
      <c r="D759" s="46" t="s">
        <v>420</v>
      </c>
      <c r="E759" s="51"/>
      <c r="F759" s="51"/>
      <c r="G759" s="8"/>
    </row>
    <row r="760" spans="2:7" ht="30" x14ac:dyDescent="0.25">
      <c r="B760" s="47"/>
      <c r="C760" s="9"/>
      <c r="D760" s="44" t="s">
        <v>421</v>
      </c>
      <c r="E760" s="51"/>
      <c r="F760" s="51"/>
      <c r="G760" s="8"/>
    </row>
    <row r="761" spans="2:7" x14ac:dyDescent="0.25">
      <c r="B761" s="47"/>
      <c r="C761" s="9"/>
      <c r="D761" s="44"/>
      <c r="E761" s="51"/>
      <c r="F761" s="51"/>
      <c r="G761" s="8"/>
    </row>
    <row r="762" spans="2:7" x14ac:dyDescent="0.25">
      <c r="B762" s="47"/>
      <c r="C762" s="9"/>
      <c r="D762" s="44" t="s">
        <v>422</v>
      </c>
      <c r="E762" s="51"/>
      <c r="F762" s="51"/>
      <c r="G762" s="8"/>
    </row>
    <row r="763" spans="2:7" ht="60" x14ac:dyDescent="0.25">
      <c r="B763" s="47"/>
      <c r="C763" s="9"/>
      <c r="D763" s="44" t="s">
        <v>423</v>
      </c>
      <c r="E763" s="51"/>
      <c r="F763" s="51"/>
      <c r="G763" s="8"/>
    </row>
    <row r="764" spans="2:7" x14ac:dyDescent="0.25">
      <c r="B764" s="47"/>
      <c r="C764" s="9"/>
      <c r="D764" s="44"/>
      <c r="E764" s="51"/>
      <c r="F764" s="51"/>
      <c r="G764" s="8"/>
    </row>
    <row r="765" spans="2:7" x14ac:dyDescent="0.25">
      <c r="B765" s="47"/>
      <c r="C765" s="9"/>
      <c r="D765" s="44" t="s">
        <v>424</v>
      </c>
      <c r="E765" s="51"/>
      <c r="F765" s="51"/>
      <c r="G765" s="8"/>
    </row>
    <row r="766" spans="2:7" ht="75" x14ac:dyDescent="0.25">
      <c r="B766" s="47"/>
      <c r="C766" s="9"/>
      <c r="D766" s="44" t="s">
        <v>425</v>
      </c>
      <c r="E766" s="51"/>
      <c r="F766" s="51"/>
      <c r="G766" s="8"/>
    </row>
    <row r="767" spans="2:7" x14ac:dyDescent="0.25">
      <c r="B767" s="47"/>
      <c r="C767" s="9"/>
      <c r="D767" s="44"/>
      <c r="E767" s="51"/>
      <c r="F767" s="51"/>
      <c r="G767" s="8"/>
    </row>
    <row r="768" spans="2:7" x14ac:dyDescent="0.25">
      <c r="B768" s="47"/>
      <c r="C768" s="9"/>
      <c r="D768" s="44"/>
      <c r="E768" s="51"/>
      <c r="F768" s="51"/>
      <c r="G768" s="8"/>
    </row>
    <row r="769" spans="2:7" x14ac:dyDescent="0.25">
      <c r="B769" s="47"/>
      <c r="C769" s="9"/>
      <c r="D769" s="44" t="s">
        <v>426</v>
      </c>
      <c r="E769" s="51"/>
      <c r="F769" s="51"/>
      <c r="G769" s="8"/>
    </row>
    <row r="770" spans="2:7" ht="75" x14ac:dyDescent="0.25">
      <c r="B770" s="47"/>
      <c r="C770" s="9"/>
      <c r="D770" s="44" t="s">
        <v>427</v>
      </c>
      <c r="E770" s="51"/>
      <c r="F770" s="51"/>
      <c r="G770" s="8"/>
    </row>
    <row r="771" spans="2:7" x14ac:dyDescent="0.25">
      <c r="B771" s="47"/>
      <c r="C771" s="9"/>
      <c r="D771" s="44"/>
      <c r="E771" s="51"/>
      <c r="F771" s="51"/>
      <c r="G771" s="8"/>
    </row>
    <row r="772" spans="2:7" x14ac:dyDescent="0.25">
      <c r="B772" s="47"/>
      <c r="C772" s="9"/>
      <c r="D772" s="44" t="s">
        <v>428</v>
      </c>
      <c r="E772" s="51"/>
      <c r="F772" s="51"/>
      <c r="G772" s="8"/>
    </row>
    <row r="773" spans="2:7" x14ac:dyDescent="0.25">
      <c r="B773" s="47"/>
      <c r="C773" s="9"/>
      <c r="D773" s="44" t="s">
        <v>429</v>
      </c>
      <c r="E773" s="51"/>
      <c r="F773" s="51"/>
      <c r="G773" s="8"/>
    </row>
    <row r="774" spans="2:7" x14ac:dyDescent="0.25">
      <c r="B774" s="47"/>
      <c r="C774" s="9"/>
      <c r="D774" s="44"/>
      <c r="E774" s="51"/>
      <c r="F774" s="51"/>
      <c r="G774" s="8"/>
    </row>
    <row r="775" spans="2:7" x14ac:dyDescent="0.25">
      <c r="B775" s="47"/>
      <c r="C775" s="9"/>
      <c r="D775" s="44" t="s">
        <v>430</v>
      </c>
      <c r="E775" s="51"/>
      <c r="F775" s="51"/>
      <c r="G775" s="8"/>
    </row>
    <row r="776" spans="2:7" x14ac:dyDescent="0.25">
      <c r="B776" s="47"/>
      <c r="C776" s="9"/>
      <c r="D776" s="44" t="s">
        <v>431</v>
      </c>
      <c r="E776" s="51"/>
      <c r="F776" s="51"/>
      <c r="G776" s="8"/>
    </row>
    <row r="777" spans="2:7" x14ac:dyDescent="0.25">
      <c r="B777" s="47"/>
      <c r="C777" s="9"/>
      <c r="D777" s="44"/>
      <c r="E777" s="51"/>
      <c r="F777" s="51"/>
      <c r="G777" s="8"/>
    </row>
    <row r="778" spans="2:7" x14ac:dyDescent="0.25">
      <c r="B778" s="47"/>
      <c r="C778" s="9"/>
      <c r="D778" s="44" t="s">
        <v>432</v>
      </c>
      <c r="E778" s="51"/>
      <c r="F778" s="51"/>
      <c r="G778" s="8"/>
    </row>
    <row r="779" spans="2:7" x14ac:dyDescent="0.25">
      <c r="B779" s="47"/>
      <c r="C779" s="9"/>
      <c r="D779" s="44" t="s">
        <v>433</v>
      </c>
      <c r="E779" s="51"/>
      <c r="F779" s="51"/>
      <c r="G779" s="8"/>
    </row>
    <row r="780" spans="2:7" x14ac:dyDescent="0.25">
      <c r="B780" s="47"/>
      <c r="C780" s="9"/>
      <c r="D780" s="44"/>
      <c r="E780" s="51"/>
      <c r="F780" s="51"/>
      <c r="G780" s="8"/>
    </row>
    <row r="781" spans="2:7" x14ac:dyDescent="0.25">
      <c r="B781" s="47"/>
      <c r="C781" s="9"/>
      <c r="D781" s="44" t="s">
        <v>434</v>
      </c>
      <c r="E781" s="51"/>
      <c r="F781" s="51"/>
      <c r="G781" s="8"/>
    </row>
    <row r="782" spans="2:7" ht="30" x14ac:dyDescent="0.25">
      <c r="B782" s="47"/>
      <c r="C782" s="9"/>
      <c r="D782" s="44" t="s">
        <v>435</v>
      </c>
      <c r="E782" s="51"/>
      <c r="F782" s="51"/>
      <c r="G782" s="8"/>
    </row>
    <row r="783" spans="2:7" x14ac:dyDescent="0.25">
      <c r="B783" s="47"/>
      <c r="C783" s="9"/>
      <c r="D783" s="44"/>
      <c r="E783" s="51"/>
      <c r="F783" s="51"/>
      <c r="G783" s="8"/>
    </row>
    <row r="784" spans="2:7" x14ac:dyDescent="0.25">
      <c r="B784" s="47"/>
      <c r="C784" s="9"/>
      <c r="D784" s="44" t="s">
        <v>436</v>
      </c>
      <c r="E784" s="51"/>
      <c r="F784" s="51"/>
      <c r="G784" s="8"/>
    </row>
    <row r="785" spans="2:7" x14ac:dyDescent="0.25">
      <c r="B785" s="47"/>
      <c r="C785" s="9"/>
      <c r="D785" s="44"/>
      <c r="E785" s="51"/>
      <c r="F785" s="51"/>
      <c r="G785" s="8"/>
    </row>
    <row r="786" spans="2:7" x14ac:dyDescent="0.25">
      <c r="B786" s="47"/>
      <c r="C786" s="9"/>
      <c r="D786" s="44" t="s">
        <v>437</v>
      </c>
      <c r="E786" s="51"/>
      <c r="F786" s="51"/>
      <c r="G786" s="8"/>
    </row>
    <row r="787" spans="2:7" x14ac:dyDescent="0.25">
      <c r="B787" s="47"/>
      <c r="C787" s="9"/>
      <c r="D787" s="44"/>
      <c r="E787" s="51"/>
      <c r="F787" s="51"/>
      <c r="G787" s="8"/>
    </row>
    <row r="788" spans="2:7" x14ac:dyDescent="0.25">
      <c r="B788" s="47"/>
      <c r="C788" s="9"/>
      <c r="D788" s="44" t="s">
        <v>438</v>
      </c>
      <c r="E788" s="51"/>
      <c r="F788" s="51"/>
      <c r="G788" s="8"/>
    </row>
    <row r="789" spans="2:7" x14ac:dyDescent="0.25">
      <c r="B789" s="47"/>
      <c r="C789" s="9"/>
      <c r="D789" s="44"/>
      <c r="E789" s="51"/>
      <c r="F789" s="51"/>
      <c r="G789" s="8"/>
    </row>
    <row r="790" spans="2:7" x14ac:dyDescent="0.25">
      <c r="B790" s="47"/>
      <c r="C790" s="9"/>
      <c r="D790" s="44" t="s">
        <v>439</v>
      </c>
      <c r="E790" s="51"/>
      <c r="F790" s="51"/>
      <c r="G790" s="8"/>
    </row>
    <row r="791" spans="2:7" x14ac:dyDescent="0.25">
      <c r="B791" s="47"/>
      <c r="C791" s="9"/>
      <c r="D791" s="44"/>
      <c r="E791" s="51"/>
      <c r="F791" s="51"/>
      <c r="G791" s="8"/>
    </row>
    <row r="792" spans="2:7" ht="30" x14ac:dyDescent="0.25">
      <c r="B792" s="47"/>
      <c r="C792" s="9"/>
      <c r="D792" s="44" t="s">
        <v>440</v>
      </c>
      <c r="E792" s="51"/>
      <c r="F792" s="51"/>
      <c r="G792" s="8"/>
    </row>
    <row r="793" spans="2:7" x14ac:dyDescent="0.25">
      <c r="B793" s="47"/>
      <c r="C793" s="9"/>
      <c r="D793" s="44"/>
      <c r="E793" s="51"/>
      <c r="F793" s="51"/>
      <c r="G793" s="8"/>
    </row>
    <row r="794" spans="2:7" x14ac:dyDescent="0.25">
      <c r="B794" s="47"/>
      <c r="C794" s="9"/>
      <c r="D794" s="44" t="s">
        <v>441</v>
      </c>
      <c r="E794" s="51"/>
      <c r="F794" s="51"/>
      <c r="G794" s="8"/>
    </row>
    <row r="795" spans="2:7" x14ac:dyDescent="0.25">
      <c r="B795" s="47"/>
      <c r="C795" s="9"/>
      <c r="D795" s="44"/>
      <c r="E795" s="51"/>
      <c r="F795" s="51"/>
      <c r="G795" s="8"/>
    </row>
    <row r="796" spans="2:7" x14ac:dyDescent="0.25">
      <c r="B796" s="47"/>
      <c r="C796" s="9"/>
      <c r="D796" s="44" t="s">
        <v>442</v>
      </c>
      <c r="E796" s="51"/>
      <c r="F796" s="51"/>
      <c r="G796" s="8"/>
    </row>
    <row r="797" spans="2:7" x14ac:dyDescent="0.25">
      <c r="B797" s="47"/>
      <c r="C797" s="9"/>
      <c r="D797" s="44"/>
      <c r="E797" s="51"/>
      <c r="F797" s="51"/>
      <c r="G797" s="8"/>
    </row>
    <row r="798" spans="2:7" x14ac:dyDescent="0.25">
      <c r="B798" s="47"/>
      <c r="C798" s="9"/>
      <c r="D798" s="44" t="s">
        <v>443</v>
      </c>
      <c r="E798" s="51"/>
      <c r="F798" s="51"/>
      <c r="G798" s="8"/>
    </row>
    <row r="799" spans="2:7" x14ac:dyDescent="0.25">
      <c r="B799" s="47"/>
      <c r="C799" s="9"/>
      <c r="D799" s="44"/>
      <c r="E799" s="51"/>
      <c r="F799" s="51"/>
      <c r="G799" s="8"/>
    </row>
    <row r="800" spans="2:7" x14ac:dyDescent="0.25">
      <c r="B800" s="47"/>
      <c r="C800" s="9"/>
      <c r="D800" s="44" t="s">
        <v>444</v>
      </c>
      <c r="E800" s="51"/>
      <c r="F800" s="51"/>
      <c r="G800" s="8"/>
    </row>
    <row r="801" spans="2:7" x14ac:dyDescent="0.25">
      <c r="B801" s="47"/>
      <c r="C801" s="9"/>
      <c r="D801" s="44"/>
      <c r="E801" s="51"/>
      <c r="F801" s="51"/>
      <c r="G801" s="8"/>
    </row>
    <row r="802" spans="2:7" x14ac:dyDescent="0.25">
      <c r="B802" s="47"/>
      <c r="C802" s="9"/>
      <c r="D802" s="44" t="s">
        <v>445</v>
      </c>
      <c r="E802" s="51"/>
      <c r="F802" s="51"/>
      <c r="G802" s="8"/>
    </row>
    <row r="803" spans="2:7" x14ac:dyDescent="0.25">
      <c r="B803" s="47"/>
      <c r="C803" s="9"/>
      <c r="D803" s="44"/>
      <c r="E803" s="51"/>
      <c r="F803" s="51"/>
      <c r="G803" s="8"/>
    </row>
    <row r="804" spans="2:7" x14ac:dyDescent="0.25">
      <c r="B804" s="47"/>
      <c r="C804" s="9"/>
      <c r="D804" s="44" t="s">
        <v>446</v>
      </c>
      <c r="E804" s="51"/>
      <c r="F804" s="51"/>
      <c r="G804" s="8"/>
    </row>
    <row r="805" spans="2:7" ht="30" x14ac:dyDescent="0.25">
      <c r="B805" s="47"/>
      <c r="C805" s="9"/>
      <c r="D805" s="44" t="s">
        <v>447</v>
      </c>
      <c r="E805" s="51"/>
      <c r="F805" s="51"/>
      <c r="G805" s="8"/>
    </row>
    <row r="806" spans="2:7" x14ac:dyDescent="0.25">
      <c r="B806" s="47"/>
      <c r="C806" s="9"/>
      <c r="D806" s="44"/>
      <c r="E806" s="51"/>
      <c r="F806" s="51"/>
      <c r="G806" s="8"/>
    </row>
    <row r="807" spans="2:7" x14ac:dyDescent="0.25">
      <c r="B807" s="47"/>
      <c r="C807" s="9"/>
      <c r="D807" s="44" t="s">
        <v>448</v>
      </c>
      <c r="E807" s="51"/>
      <c r="F807" s="51"/>
      <c r="G807" s="8"/>
    </row>
    <row r="808" spans="2:7" x14ac:dyDescent="0.25">
      <c r="B808" s="47"/>
      <c r="C808" s="9"/>
      <c r="D808" s="44"/>
      <c r="E808" s="51"/>
      <c r="F808" s="51"/>
      <c r="G808" s="8"/>
    </row>
    <row r="809" spans="2:7" x14ac:dyDescent="0.25">
      <c r="B809" s="47"/>
      <c r="C809" s="9"/>
      <c r="D809" s="44" t="s">
        <v>449</v>
      </c>
      <c r="E809" s="51"/>
      <c r="F809" s="51"/>
      <c r="G809" s="8"/>
    </row>
    <row r="810" spans="2:7" x14ac:dyDescent="0.25">
      <c r="B810" s="47"/>
      <c r="C810" s="9"/>
      <c r="D810" s="44"/>
      <c r="E810" s="51"/>
      <c r="F810" s="51"/>
      <c r="G810" s="8"/>
    </row>
    <row r="811" spans="2:7" x14ac:dyDescent="0.25">
      <c r="B811" s="47"/>
      <c r="C811" s="9"/>
      <c r="D811" s="44" t="s">
        <v>450</v>
      </c>
      <c r="E811" s="51"/>
      <c r="F811" s="51"/>
      <c r="G811" s="8"/>
    </row>
    <row r="812" spans="2:7" x14ac:dyDescent="0.25">
      <c r="B812" s="47"/>
      <c r="C812" s="9"/>
      <c r="D812" s="44"/>
      <c r="E812" s="51"/>
      <c r="F812" s="51"/>
      <c r="G812" s="8"/>
    </row>
    <row r="813" spans="2:7" x14ac:dyDescent="0.25">
      <c r="B813" s="47"/>
      <c r="C813" s="9"/>
      <c r="D813" s="44" t="s">
        <v>451</v>
      </c>
      <c r="E813" s="51"/>
      <c r="F813" s="51"/>
      <c r="G813" s="8"/>
    </row>
    <row r="814" spans="2:7" x14ac:dyDescent="0.25">
      <c r="B814" s="47"/>
      <c r="C814" s="9"/>
      <c r="D814" s="44"/>
      <c r="E814" s="51"/>
      <c r="F814" s="51"/>
      <c r="G814" s="8"/>
    </row>
    <row r="815" spans="2:7" x14ac:dyDescent="0.25">
      <c r="B815" s="47"/>
      <c r="C815" s="9"/>
      <c r="D815" s="44" t="s">
        <v>452</v>
      </c>
      <c r="E815" s="51"/>
      <c r="F815" s="51"/>
      <c r="G815" s="8"/>
    </row>
    <row r="816" spans="2:7" x14ac:dyDescent="0.25">
      <c r="B816" s="47"/>
      <c r="C816" s="9"/>
      <c r="D816" s="44"/>
      <c r="E816" s="51"/>
      <c r="F816" s="51"/>
      <c r="G816" s="8"/>
    </row>
    <row r="817" spans="2:7" x14ac:dyDescent="0.25">
      <c r="B817" s="47"/>
      <c r="C817" s="9"/>
      <c r="D817" s="44" t="s">
        <v>453</v>
      </c>
      <c r="E817" s="51"/>
      <c r="F817" s="51"/>
      <c r="G817" s="8"/>
    </row>
    <row r="818" spans="2:7" x14ac:dyDescent="0.25">
      <c r="B818" s="47"/>
      <c r="C818" s="9"/>
      <c r="D818" s="44"/>
      <c r="E818" s="51"/>
      <c r="F818" s="51"/>
      <c r="G818" s="8"/>
    </row>
    <row r="819" spans="2:7" x14ac:dyDescent="0.25">
      <c r="B819" s="47"/>
      <c r="C819" s="9"/>
      <c r="D819" s="44" t="s">
        <v>454</v>
      </c>
      <c r="E819" s="51"/>
      <c r="F819" s="51"/>
      <c r="G819" s="8"/>
    </row>
    <row r="820" spans="2:7" x14ac:dyDescent="0.25">
      <c r="B820" s="47"/>
      <c r="C820" s="9"/>
      <c r="D820" s="44"/>
      <c r="E820" s="51"/>
      <c r="F820" s="51"/>
      <c r="G820" s="8"/>
    </row>
    <row r="821" spans="2:7" x14ac:dyDescent="0.25">
      <c r="B821" s="47"/>
      <c r="C821" s="9"/>
      <c r="D821" s="44" t="s">
        <v>455</v>
      </c>
      <c r="E821" s="51"/>
      <c r="F821" s="51"/>
      <c r="G821" s="8"/>
    </row>
    <row r="822" spans="2:7" x14ac:dyDescent="0.25">
      <c r="B822" s="47"/>
      <c r="C822" s="9"/>
      <c r="D822" s="44"/>
      <c r="E822" s="51"/>
      <c r="F822" s="51"/>
      <c r="G822" s="8"/>
    </row>
    <row r="823" spans="2:7" x14ac:dyDescent="0.25">
      <c r="B823" s="47"/>
      <c r="C823" s="9"/>
      <c r="D823" s="44" t="s">
        <v>456</v>
      </c>
      <c r="E823" s="51"/>
      <c r="F823" s="51"/>
      <c r="G823" s="8"/>
    </row>
    <row r="824" spans="2:7" x14ac:dyDescent="0.25">
      <c r="B824" s="47"/>
      <c r="C824" s="9"/>
      <c r="D824" s="44"/>
      <c r="E824" s="51"/>
      <c r="F824" s="51"/>
      <c r="G824" s="8"/>
    </row>
    <row r="825" spans="2:7" x14ac:dyDescent="0.25">
      <c r="B825" s="47"/>
      <c r="C825" s="9"/>
      <c r="D825" s="44" t="s">
        <v>457</v>
      </c>
      <c r="E825" s="51"/>
      <c r="F825" s="51"/>
      <c r="G825" s="8"/>
    </row>
    <row r="826" spans="2:7" ht="30" x14ac:dyDescent="0.25">
      <c r="B826" s="47"/>
      <c r="C826" s="9"/>
      <c r="D826" s="44" t="s">
        <v>458</v>
      </c>
      <c r="E826" s="51"/>
      <c r="F826" s="51"/>
      <c r="G826" s="8"/>
    </row>
    <row r="827" spans="2:7" x14ac:dyDescent="0.25">
      <c r="B827" s="47"/>
      <c r="C827" s="9"/>
      <c r="D827" s="44"/>
      <c r="E827" s="51"/>
      <c r="F827" s="51"/>
      <c r="G827" s="8"/>
    </row>
    <row r="828" spans="2:7" x14ac:dyDescent="0.25">
      <c r="B828" s="47"/>
      <c r="C828" s="9"/>
      <c r="D828" s="44" t="s">
        <v>459</v>
      </c>
      <c r="E828" s="51"/>
      <c r="F828" s="51"/>
      <c r="G828" s="8"/>
    </row>
    <row r="829" spans="2:7" x14ac:dyDescent="0.25">
      <c r="B829" s="47"/>
      <c r="C829" s="9"/>
      <c r="D829" s="44" t="s">
        <v>460</v>
      </c>
      <c r="E829" s="51"/>
      <c r="F829" s="51"/>
      <c r="G829" s="8"/>
    </row>
    <row r="830" spans="2:7" x14ac:dyDescent="0.25">
      <c r="B830" s="47"/>
      <c r="C830" s="9"/>
      <c r="D830" s="44"/>
      <c r="E830" s="51"/>
      <c r="F830" s="51"/>
      <c r="G830" s="8"/>
    </row>
    <row r="831" spans="2:7" x14ac:dyDescent="0.25">
      <c r="B831" s="47"/>
      <c r="C831" s="9"/>
      <c r="D831" s="44" t="s">
        <v>461</v>
      </c>
      <c r="E831" s="51"/>
      <c r="F831" s="51"/>
      <c r="G831" s="8"/>
    </row>
    <row r="832" spans="2:7" x14ac:dyDescent="0.25">
      <c r="B832" s="47"/>
      <c r="C832" s="9"/>
      <c r="D832" s="44"/>
      <c r="E832" s="51"/>
      <c r="F832" s="51"/>
      <c r="G832" s="8"/>
    </row>
    <row r="833" spans="2:7" x14ac:dyDescent="0.25">
      <c r="B833" s="47"/>
      <c r="C833" s="9"/>
      <c r="D833" s="44" t="s">
        <v>462</v>
      </c>
      <c r="E833" s="51"/>
      <c r="F833" s="51"/>
      <c r="G833" s="8"/>
    </row>
    <row r="834" spans="2:7" x14ac:dyDescent="0.25">
      <c r="B834" s="47"/>
      <c r="C834" s="9"/>
      <c r="D834" s="44"/>
      <c r="E834" s="51"/>
      <c r="F834" s="51"/>
      <c r="G834" s="8"/>
    </row>
    <row r="835" spans="2:7" x14ac:dyDescent="0.25">
      <c r="B835" s="47"/>
      <c r="C835" s="9"/>
      <c r="D835" s="44" t="s">
        <v>463</v>
      </c>
      <c r="E835" s="51"/>
      <c r="F835" s="51"/>
      <c r="G835" s="8"/>
    </row>
    <row r="836" spans="2:7" ht="45" x14ac:dyDescent="0.25">
      <c r="B836" s="47"/>
      <c r="C836" s="9"/>
      <c r="D836" s="44" t="s">
        <v>464</v>
      </c>
      <c r="E836" s="51"/>
      <c r="F836" s="51"/>
      <c r="G836" s="8"/>
    </row>
    <row r="837" spans="2:7" x14ac:dyDescent="0.25">
      <c r="B837" s="47"/>
      <c r="C837" s="9"/>
      <c r="D837" s="44"/>
      <c r="E837" s="51"/>
      <c r="F837" s="51"/>
      <c r="G837" s="8"/>
    </row>
    <row r="838" spans="2:7" ht="30" x14ac:dyDescent="0.25">
      <c r="B838" s="47"/>
      <c r="C838" s="9"/>
      <c r="D838" s="44" t="s">
        <v>465</v>
      </c>
      <c r="E838" s="51"/>
      <c r="F838" s="51"/>
      <c r="G838" s="8"/>
    </row>
    <row r="839" spans="2:7" x14ac:dyDescent="0.25">
      <c r="B839" s="47"/>
      <c r="C839" s="9"/>
      <c r="D839" s="44"/>
      <c r="E839" s="51"/>
      <c r="F839" s="51"/>
      <c r="G839" s="8"/>
    </row>
    <row r="840" spans="2:7" x14ac:dyDescent="0.25">
      <c r="B840" s="47"/>
      <c r="C840" s="9"/>
      <c r="D840" s="44" t="s">
        <v>466</v>
      </c>
      <c r="E840" s="51"/>
      <c r="F840" s="51"/>
      <c r="G840" s="8"/>
    </row>
    <row r="841" spans="2:7" x14ac:dyDescent="0.25">
      <c r="B841" s="47"/>
      <c r="C841" s="9"/>
      <c r="D841" s="44"/>
      <c r="E841" s="51"/>
      <c r="F841" s="51"/>
      <c r="G841" s="8"/>
    </row>
    <row r="842" spans="2:7" x14ac:dyDescent="0.25">
      <c r="B842" s="47"/>
      <c r="C842" s="9"/>
      <c r="D842" s="44" t="s">
        <v>467</v>
      </c>
      <c r="E842" s="51"/>
      <c r="F842" s="51"/>
      <c r="G842" s="8"/>
    </row>
    <row r="843" spans="2:7" x14ac:dyDescent="0.25">
      <c r="B843" s="47"/>
      <c r="C843" s="9"/>
      <c r="D843" s="44"/>
      <c r="E843" s="51"/>
      <c r="F843" s="51"/>
      <c r="G843" s="8"/>
    </row>
    <row r="844" spans="2:7" x14ac:dyDescent="0.25">
      <c r="B844" s="47"/>
      <c r="C844" s="9"/>
      <c r="D844" s="44" t="s">
        <v>468</v>
      </c>
      <c r="E844" s="51"/>
      <c r="F844" s="51"/>
      <c r="G844" s="8"/>
    </row>
    <row r="845" spans="2:7" x14ac:dyDescent="0.25">
      <c r="B845" s="47"/>
      <c r="C845" s="9"/>
      <c r="D845" s="44"/>
      <c r="E845" s="51"/>
      <c r="F845" s="51"/>
      <c r="G845" s="8"/>
    </row>
    <row r="846" spans="2:7" x14ac:dyDescent="0.25">
      <c r="B846" s="47"/>
      <c r="C846" s="9"/>
      <c r="D846" s="44" t="s">
        <v>469</v>
      </c>
      <c r="E846" s="51"/>
      <c r="F846" s="51"/>
      <c r="G846" s="8"/>
    </row>
    <row r="847" spans="2:7" x14ac:dyDescent="0.25">
      <c r="B847" s="47"/>
      <c r="C847" s="9"/>
      <c r="D847" s="44"/>
      <c r="E847" s="51"/>
      <c r="F847" s="51"/>
      <c r="G847" s="8"/>
    </row>
    <row r="848" spans="2:7" x14ac:dyDescent="0.25">
      <c r="B848" s="47"/>
      <c r="C848" s="9"/>
      <c r="D848" s="44" t="s">
        <v>559</v>
      </c>
      <c r="E848" s="51"/>
      <c r="F848" s="51"/>
      <c r="G848" s="8"/>
    </row>
    <row r="849" spans="2:7" ht="30" x14ac:dyDescent="0.25">
      <c r="B849" s="47"/>
      <c r="C849" s="9"/>
      <c r="D849" s="44" t="s">
        <v>458</v>
      </c>
      <c r="E849" s="51"/>
      <c r="F849" s="51"/>
      <c r="G849" s="8"/>
    </row>
    <row r="850" spans="2:7" x14ac:dyDescent="0.25">
      <c r="B850" s="47"/>
      <c r="C850" s="9"/>
      <c r="D850" s="44"/>
      <c r="E850" s="51"/>
      <c r="F850" s="51"/>
      <c r="G850" s="8"/>
    </row>
    <row r="851" spans="2:7" x14ac:dyDescent="0.25">
      <c r="B851" s="47"/>
      <c r="C851" s="9"/>
      <c r="D851" s="44" t="s">
        <v>470</v>
      </c>
      <c r="E851" s="51"/>
      <c r="F851" s="51"/>
      <c r="G851" s="8"/>
    </row>
    <row r="852" spans="2:7" x14ac:dyDescent="0.25">
      <c r="B852" s="47"/>
      <c r="C852" s="9"/>
      <c r="D852" s="44"/>
      <c r="E852" s="51"/>
      <c r="F852" s="51"/>
      <c r="G852" s="8"/>
    </row>
    <row r="853" spans="2:7" x14ac:dyDescent="0.25">
      <c r="B853" s="47"/>
      <c r="C853" s="9"/>
      <c r="D853" s="44" t="s">
        <v>471</v>
      </c>
      <c r="E853" s="51"/>
      <c r="F853" s="51"/>
      <c r="G853" s="8"/>
    </row>
    <row r="854" spans="2:7" ht="30" x14ac:dyDescent="0.25">
      <c r="B854" s="47"/>
      <c r="C854" s="9"/>
      <c r="D854" s="44" t="s">
        <v>472</v>
      </c>
      <c r="E854" s="51"/>
      <c r="F854" s="51"/>
      <c r="G854" s="8"/>
    </row>
    <row r="855" spans="2:7" x14ac:dyDescent="0.25">
      <c r="B855" s="47"/>
      <c r="C855" s="9"/>
      <c r="D855" s="44"/>
      <c r="E855" s="51"/>
      <c r="F855" s="51"/>
      <c r="G855" s="8"/>
    </row>
    <row r="856" spans="2:7" x14ac:dyDescent="0.25">
      <c r="B856" s="47"/>
      <c r="C856" s="9"/>
      <c r="D856" s="44" t="s">
        <v>517</v>
      </c>
      <c r="E856" s="51"/>
      <c r="F856" s="51"/>
      <c r="G856" s="8"/>
    </row>
    <row r="857" spans="2:7" x14ac:dyDescent="0.25">
      <c r="B857" s="47"/>
      <c r="C857" s="9"/>
      <c r="D857" s="44"/>
      <c r="E857" s="51"/>
      <c r="F857" s="51"/>
      <c r="G857" s="8"/>
    </row>
    <row r="858" spans="2:7" x14ac:dyDescent="0.25">
      <c r="B858" s="47"/>
      <c r="C858" s="9"/>
      <c r="D858" s="44" t="s">
        <v>473</v>
      </c>
      <c r="E858" s="51"/>
      <c r="F858" s="51"/>
      <c r="G858" s="8"/>
    </row>
    <row r="859" spans="2:7" x14ac:dyDescent="0.25">
      <c r="B859" s="47"/>
      <c r="C859" s="9"/>
      <c r="D859" s="44"/>
      <c r="E859" s="51"/>
      <c r="F859" s="51"/>
      <c r="G859" s="8"/>
    </row>
    <row r="860" spans="2:7" x14ac:dyDescent="0.25">
      <c r="B860" s="47"/>
      <c r="C860" s="9"/>
      <c r="D860" s="44" t="s">
        <v>474</v>
      </c>
      <c r="E860" s="51"/>
      <c r="F860" s="51"/>
      <c r="G860" s="8"/>
    </row>
    <row r="861" spans="2:7" x14ac:dyDescent="0.25">
      <c r="B861" s="47"/>
      <c r="C861" s="9"/>
      <c r="D861" s="44"/>
      <c r="E861" s="51"/>
      <c r="F861" s="51"/>
      <c r="G861" s="8"/>
    </row>
    <row r="862" spans="2:7" ht="75" x14ac:dyDescent="0.25">
      <c r="B862" s="47"/>
      <c r="C862" s="9"/>
      <c r="D862" s="44" t="s">
        <v>475</v>
      </c>
      <c r="E862" s="51"/>
      <c r="F862" s="51"/>
      <c r="G862" s="51"/>
    </row>
    <row r="863" spans="2:7" ht="15" customHeight="1" x14ac:dyDescent="0.25">
      <c r="B863" s="47"/>
      <c r="C863" s="9"/>
      <c r="D863" s="44"/>
      <c r="E863" s="113"/>
      <c r="F863" s="113"/>
      <c r="G863" s="113"/>
    </row>
    <row r="864" spans="2:7" x14ac:dyDescent="0.25">
      <c r="B864" s="11"/>
      <c r="C864" s="9"/>
      <c r="D864" s="157" t="s">
        <v>577</v>
      </c>
      <c r="E864" s="51"/>
      <c r="F864" s="51"/>
      <c r="G864" s="51" t="str">
        <f>IF(F864="","",F864*#REF!)</f>
        <v/>
      </c>
    </row>
    <row r="865" spans="2:7" x14ac:dyDescent="0.25">
      <c r="B865" s="47"/>
      <c r="C865" s="9"/>
      <c r="D865" s="44"/>
      <c r="E865" s="51"/>
      <c r="F865" s="51"/>
      <c r="G865" s="8"/>
    </row>
    <row r="866" spans="2:7" ht="30" x14ac:dyDescent="0.25">
      <c r="B866" s="47"/>
      <c r="C866" s="9"/>
      <c r="D866" s="44" t="s">
        <v>578</v>
      </c>
      <c r="E866" s="51"/>
      <c r="F866" s="51"/>
      <c r="G866" s="8"/>
    </row>
    <row r="867" spans="2:7" x14ac:dyDescent="0.25">
      <c r="B867" s="47"/>
      <c r="C867" s="9"/>
      <c r="D867" s="44"/>
      <c r="E867" s="51"/>
      <c r="F867" s="51"/>
      <c r="G867" s="8"/>
    </row>
    <row r="868" spans="2:7" x14ac:dyDescent="0.25">
      <c r="B868" s="47"/>
      <c r="C868" s="9"/>
      <c r="D868" s="44"/>
      <c r="E868" s="51"/>
      <c r="F868" s="51"/>
      <c r="G868" s="8"/>
    </row>
    <row r="869" spans="2:7" x14ac:dyDescent="0.25">
      <c r="B869" s="47"/>
      <c r="C869" s="9"/>
      <c r="D869" s="44"/>
      <c r="E869" s="51"/>
      <c r="F869" s="51"/>
      <c r="G869" s="8"/>
    </row>
    <row r="870" spans="2:7" x14ac:dyDescent="0.25">
      <c r="B870" s="47"/>
      <c r="C870" s="9"/>
      <c r="D870" s="44"/>
      <c r="E870" s="51"/>
      <c r="F870" s="51"/>
      <c r="G870" s="8"/>
    </row>
    <row r="871" spans="2:7" x14ac:dyDescent="0.25">
      <c r="B871" s="47"/>
      <c r="C871" s="9"/>
      <c r="D871" s="44"/>
      <c r="E871" s="51"/>
      <c r="F871" s="51"/>
      <c r="G871" s="8"/>
    </row>
    <row r="872" spans="2:7" x14ac:dyDescent="0.25">
      <c r="B872" s="47"/>
      <c r="C872" s="9"/>
      <c r="D872" s="44"/>
      <c r="E872" s="51"/>
      <c r="F872" s="51"/>
      <c r="G872" s="8"/>
    </row>
    <row r="873" spans="2:7" x14ac:dyDescent="0.25">
      <c r="B873" s="11"/>
      <c r="C873" s="9"/>
      <c r="D873" s="5"/>
      <c r="E873" s="8"/>
      <c r="F873" s="8"/>
      <c r="G873" s="8"/>
    </row>
    <row r="874" spans="2:7" x14ac:dyDescent="0.25">
      <c r="B874" s="47"/>
      <c r="C874" s="9"/>
      <c r="D874" s="44"/>
      <c r="E874" s="51"/>
      <c r="F874" s="51"/>
      <c r="G874" s="8"/>
    </row>
    <row r="875" spans="2:7" x14ac:dyDescent="0.25">
      <c r="B875" s="47"/>
      <c r="C875" s="9"/>
      <c r="D875" s="44"/>
      <c r="E875" s="51"/>
      <c r="F875" s="51"/>
      <c r="G875" s="8"/>
    </row>
    <row r="876" spans="2:7" x14ac:dyDescent="0.25">
      <c r="B876" s="47"/>
      <c r="C876" s="9"/>
      <c r="D876" s="44"/>
      <c r="E876" s="51"/>
      <c r="F876" s="51"/>
      <c r="G876" s="8"/>
    </row>
    <row r="877" spans="2:7" x14ac:dyDescent="0.25">
      <c r="B877" s="47"/>
      <c r="C877" s="9"/>
      <c r="D877" s="44"/>
      <c r="E877" s="51"/>
      <c r="F877" s="51"/>
      <c r="G877" s="8"/>
    </row>
    <row r="878" spans="2:7" x14ac:dyDescent="0.25">
      <c r="B878" s="47"/>
      <c r="C878" s="9"/>
      <c r="D878" s="44"/>
      <c r="E878" s="51"/>
      <c r="F878" s="51"/>
      <c r="G878" s="8"/>
    </row>
    <row r="879" spans="2:7" x14ac:dyDescent="0.25">
      <c r="B879" s="11"/>
      <c r="C879" s="9"/>
      <c r="D879" s="5"/>
      <c r="E879" s="8"/>
      <c r="F879" s="8"/>
      <c r="G879" s="8"/>
    </row>
    <row r="880" spans="2:7" x14ac:dyDescent="0.25">
      <c r="B880" s="11"/>
      <c r="C880" s="9"/>
      <c r="D880" s="44"/>
      <c r="E880" s="51"/>
      <c r="F880" s="51"/>
      <c r="G880" s="8"/>
    </row>
    <row r="881" spans="2:7" x14ac:dyDescent="0.25">
      <c r="B881" s="11"/>
      <c r="C881" s="9"/>
      <c r="D881" s="44"/>
      <c r="E881" s="51"/>
      <c r="F881" s="51"/>
      <c r="G881" s="8"/>
    </row>
    <row r="882" spans="2:7" x14ac:dyDescent="0.25">
      <c r="B882" s="11"/>
      <c r="C882" s="9"/>
      <c r="D882" s="44"/>
      <c r="E882" s="51"/>
      <c r="F882" s="51"/>
      <c r="G882" s="8"/>
    </row>
    <row r="883" spans="2:7" x14ac:dyDescent="0.25">
      <c r="B883" s="11"/>
      <c r="C883" s="9"/>
      <c r="D883" s="44"/>
      <c r="E883" s="51"/>
      <c r="F883" s="51"/>
      <c r="G883" s="8"/>
    </row>
    <row r="884" spans="2:7" x14ac:dyDescent="0.25">
      <c r="B884" s="11"/>
      <c r="C884" s="9"/>
      <c r="D884" s="44"/>
      <c r="E884" s="51"/>
      <c r="F884" s="51"/>
      <c r="G884" s="8"/>
    </row>
    <row r="885" spans="2:7" x14ac:dyDescent="0.25">
      <c r="B885" s="11"/>
      <c r="C885" s="9"/>
      <c r="D885" s="44"/>
      <c r="E885" s="51"/>
      <c r="F885" s="51"/>
      <c r="G885" s="8"/>
    </row>
    <row r="886" spans="2:7" x14ac:dyDescent="0.25">
      <c r="B886" s="11"/>
      <c r="C886" s="9"/>
      <c r="D886" s="44"/>
      <c r="E886" s="51"/>
      <c r="F886" s="51"/>
      <c r="G886" s="8"/>
    </row>
    <row r="887" spans="2:7" x14ac:dyDescent="0.25">
      <c r="B887" s="11"/>
      <c r="C887" s="9"/>
      <c r="D887" s="5"/>
      <c r="E887" s="8"/>
      <c r="F887" s="8"/>
      <c r="G887" s="8"/>
    </row>
    <row r="888" spans="2:7" x14ac:dyDescent="0.25">
      <c r="B888" s="11"/>
      <c r="C888" s="9"/>
      <c r="D888" s="5"/>
      <c r="E888" s="8"/>
      <c r="F888" s="8"/>
      <c r="G888" s="8"/>
    </row>
    <row r="889" spans="2:7" x14ac:dyDescent="0.25">
      <c r="B889" s="11"/>
      <c r="C889" s="9"/>
      <c r="D889" s="5"/>
      <c r="E889" s="8"/>
      <c r="F889" s="8"/>
      <c r="G889" s="8"/>
    </row>
    <row r="890" spans="2:7" x14ac:dyDescent="0.25">
      <c r="B890" s="11"/>
      <c r="C890" s="9"/>
      <c r="D890" s="5"/>
      <c r="E890" s="8"/>
      <c r="F890" s="8"/>
      <c r="G890" s="8"/>
    </row>
    <row r="891" spans="2:7" x14ac:dyDescent="0.25">
      <c r="B891" s="11"/>
      <c r="C891" s="9"/>
      <c r="D891" s="5"/>
      <c r="E891" s="8"/>
      <c r="F891" s="8"/>
      <c r="G891" s="8"/>
    </row>
    <row r="892" spans="2:7" x14ac:dyDescent="0.25">
      <c r="B892" s="11"/>
      <c r="C892" s="9"/>
      <c r="D892" s="5"/>
      <c r="E892" s="8"/>
      <c r="F892" s="8"/>
      <c r="G892" s="8"/>
    </row>
    <row r="893" spans="2:7" x14ac:dyDescent="0.25">
      <c r="B893" s="11"/>
      <c r="C893" s="9"/>
      <c r="D893" s="5"/>
      <c r="E893" s="8"/>
      <c r="F893" s="8"/>
      <c r="G893" s="8"/>
    </row>
    <row r="894" spans="2:7" x14ac:dyDescent="0.25">
      <c r="B894" s="11"/>
      <c r="C894" s="9"/>
      <c r="D894" s="5"/>
      <c r="E894" s="8"/>
      <c r="F894" s="8"/>
      <c r="G894" s="8"/>
    </row>
    <row r="895" spans="2:7" x14ac:dyDescent="0.25">
      <c r="B895" s="11"/>
      <c r="C895" s="9"/>
      <c r="D895" s="5"/>
      <c r="E895" s="8"/>
      <c r="F895" s="8"/>
      <c r="G895" s="8"/>
    </row>
    <row r="896" spans="2:7" x14ac:dyDescent="0.25">
      <c r="B896" s="11"/>
      <c r="C896" s="9"/>
      <c r="D896" s="5"/>
      <c r="E896" s="8"/>
      <c r="F896" s="8"/>
      <c r="G896" s="8"/>
    </row>
    <row r="897" spans="2:7" ht="15.75" thickBot="1" x14ac:dyDescent="0.3">
      <c r="B897" s="34"/>
      <c r="C897" s="18"/>
      <c r="D897" s="35" t="s">
        <v>518</v>
      </c>
      <c r="E897" s="20"/>
      <c r="F897" s="20"/>
      <c r="G897" s="20"/>
    </row>
    <row r="898" spans="2:7" ht="30.75" customHeight="1" thickBot="1" x14ac:dyDescent="0.3">
      <c r="D898" s="37" t="s">
        <v>4</v>
      </c>
      <c r="E898" s="131">
        <f>SUM(E7:E897)</f>
        <v>0</v>
      </c>
      <c r="F898" s="131">
        <f>SUM(F7:F897)</f>
        <v>0</v>
      </c>
      <c r="G898" s="131">
        <f>SUM(G7:G897)</f>
        <v>0</v>
      </c>
    </row>
  </sheetData>
  <pageMargins left="0.25" right="0.25" top="0.75" bottom="0.75" header="0.3" footer="0.3"/>
  <pageSetup paperSize="9" scale="79"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E4F2-8050-4C96-B301-D893AE1AEDAB}">
  <sheetPr>
    <pageSetUpPr fitToPage="1"/>
  </sheetPr>
  <dimension ref="B1:J293"/>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63.42578125" style="71" customWidth="1"/>
    <col min="5" max="5" width="11.5703125" style="90" hidden="1" customWidth="1"/>
    <col min="6" max="6" width="9.5703125" style="90" customWidth="1"/>
    <col min="7" max="7" width="9.140625" style="91"/>
    <col min="8" max="8" width="10.140625" style="71" bestFit="1" customWidth="1"/>
    <col min="9" max="9" width="16.140625" style="71" customWidth="1"/>
    <col min="10" max="10" width="11.85546875" style="71" customWidth="1"/>
    <col min="11"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Summary!D45</f>
        <v>External Works</v>
      </c>
      <c r="I3" s="100">
        <f>+Summary!G3</f>
        <v>45614</v>
      </c>
    </row>
    <row r="4" spans="2:9" ht="13.5" customHeight="1" thickBot="1" x14ac:dyDescent="0.3">
      <c r="B4" s="86">
        <v>19</v>
      </c>
      <c r="C4" s="101"/>
      <c r="D4" s="101"/>
      <c r="E4" s="102"/>
      <c r="F4" s="102"/>
      <c r="G4" s="102"/>
      <c r="H4" s="101"/>
      <c r="I4" s="103"/>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 t="shared" ref="I6:I292" si="0">IF(H6="","",H6*E6)</f>
        <v/>
      </c>
    </row>
    <row r="7" spans="2:9" ht="77.25" customHeight="1" x14ac:dyDescent="0.25">
      <c r="B7" s="72"/>
      <c r="C7" s="422" t="s">
        <v>658</v>
      </c>
      <c r="D7" s="423"/>
      <c r="E7" s="75"/>
      <c r="F7" s="75"/>
      <c r="G7" s="75"/>
      <c r="H7" s="76"/>
      <c r="I7" s="76" t="str">
        <f t="shared" si="0"/>
        <v/>
      </c>
    </row>
    <row r="8" spans="2:9" ht="45" customHeight="1" x14ac:dyDescent="0.25">
      <c r="B8" s="72"/>
      <c r="C8" s="422" t="s">
        <v>575</v>
      </c>
      <c r="D8" s="423"/>
      <c r="E8" s="75"/>
      <c r="F8" s="75"/>
      <c r="G8" s="75"/>
      <c r="H8" s="76"/>
      <c r="I8" s="76"/>
    </row>
    <row r="9" spans="2:9" ht="15" customHeight="1" x14ac:dyDescent="0.25">
      <c r="B9" s="72"/>
      <c r="C9" s="422" t="s">
        <v>1395</v>
      </c>
      <c r="D9" s="423"/>
      <c r="E9" s="75"/>
      <c r="F9" s="75"/>
      <c r="G9" s="75"/>
      <c r="H9" s="76"/>
      <c r="I9" s="76"/>
    </row>
    <row r="10" spans="2:9" ht="15" customHeight="1" x14ac:dyDescent="0.25">
      <c r="B10" s="72"/>
      <c r="C10" s="422" t="s">
        <v>904</v>
      </c>
      <c r="D10" s="423"/>
      <c r="E10" s="75"/>
      <c r="F10" s="75"/>
      <c r="G10" s="75"/>
      <c r="H10" s="76"/>
      <c r="I10" s="76"/>
    </row>
    <row r="11" spans="2:9" ht="15.6" customHeight="1" x14ac:dyDescent="0.25">
      <c r="B11" s="72"/>
      <c r="C11" s="165"/>
      <c r="D11" s="167"/>
      <c r="E11" s="75"/>
      <c r="F11" s="75"/>
      <c r="G11" s="75"/>
      <c r="H11" s="76"/>
      <c r="I11" s="76"/>
    </row>
    <row r="12" spans="2:9" x14ac:dyDescent="0.25">
      <c r="B12" s="72"/>
      <c r="C12" s="424" t="s">
        <v>815</v>
      </c>
      <c r="D12" s="425"/>
      <c r="E12" s="75"/>
      <c r="F12" s="75"/>
      <c r="G12" s="75"/>
      <c r="H12" s="76"/>
      <c r="I12" s="76"/>
    </row>
    <row r="13" spans="2:9" x14ac:dyDescent="0.25">
      <c r="B13" s="72"/>
      <c r="C13" s="175"/>
      <c r="D13" s="82"/>
      <c r="E13" s="109"/>
      <c r="F13" s="109"/>
      <c r="G13" s="75"/>
      <c r="H13" s="76"/>
      <c r="I13" s="76"/>
    </row>
    <row r="14" spans="2:9" x14ac:dyDescent="0.25">
      <c r="B14" s="72"/>
      <c r="C14" s="428" t="s">
        <v>809</v>
      </c>
      <c r="D14" s="429"/>
      <c r="E14" s="109"/>
      <c r="F14" s="109"/>
      <c r="G14" s="75"/>
      <c r="H14" s="76"/>
      <c r="I14" s="76"/>
    </row>
    <row r="15" spans="2:9" x14ac:dyDescent="0.25">
      <c r="B15" s="72"/>
      <c r="C15" s="175"/>
      <c r="D15" s="347"/>
      <c r="E15" s="109"/>
      <c r="F15" s="109"/>
      <c r="G15" s="75"/>
      <c r="H15" s="76"/>
      <c r="I15" s="76"/>
    </row>
    <row r="16" spans="2:9" ht="32.25" customHeight="1" x14ac:dyDescent="0.25">
      <c r="B16" s="72"/>
      <c r="C16" s="422" t="s">
        <v>810</v>
      </c>
      <c r="D16" s="423"/>
      <c r="E16" s="109"/>
      <c r="F16" s="109"/>
      <c r="G16" s="75"/>
      <c r="H16" s="76"/>
      <c r="I16" s="76"/>
    </row>
    <row r="17" spans="2:9" x14ac:dyDescent="0.25">
      <c r="B17" s="72"/>
      <c r="C17" s="165"/>
      <c r="D17" s="167"/>
      <c r="E17" s="109"/>
      <c r="F17" s="109"/>
      <c r="G17" s="75"/>
      <c r="H17" s="76"/>
      <c r="I17" s="76"/>
    </row>
    <row r="18" spans="2:9" ht="16.5" customHeight="1" x14ac:dyDescent="0.25">
      <c r="B18" s="164">
        <f>B4+0.01</f>
        <v>19.010000000000002</v>
      </c>
      <c r="C18" s="73"/>
      <c r="D18" s="158" t="s">
        <v>527</v>
      </c>
      <c r="E18" s="343">
        <v>1</v>
      </c>
      <c r="F18" s="344">
        <v>1</v>
      </c>
      <c r="G18" s="128" t="s">
        <v>528</v>
      </c>
      <c r="H18" s="129"/>
      <c r="I18" s="130">
        <f>F18*H18</f>
        <v>0</v>
      </c>
    </row>
    <row r="19" spans="2:9" x14ac:dyDescent="0.25">
      <c r="B19" s="72"/>
      <c r="C19" s="84"/>
      <c r="D19" s="82"/>
      <c r="E19" s="75"/>
      <c r="F19" s="75"/>
      <c r="G19" s="75"/>
      <c r="H19" s="76"/>
      <c r="I19" s="130">
        <f t="shared" ref="I19:I291" si="1">F19*H19</f>
        <v>0</v>
      </c>
    </row>
    <row r="20" spans="2:9" x14ac:dyDescent="0.25">
      <c r="B20" s="72"/>
      <c r="C20" s="349" t="s">
        <v>811</v>
      </c>
      <c r="D20" s="155"/>
      <c r="E20" s="75"/>
      <c r="F20" s="75"/>
      <c r="G20" s="75"/>
      <c r="H20" s="76"/>
      <c r="I20" s="130">
        <f t="shared" si="1"/>
        <v>0</v>
      </c>
    </row>
    <row r="21" spans="2:9" x14ac:dyDescent="0.25">
      <c r="B21" s="72"/>
      <c r="C21" s="348"/>
      <c r="D21" s="155"/>
      <c r="E21" s="75"/>
      <c r="F21" s="75"/>
      <c r="G21" s="75"/>
      <c r="H21" s="76"/>
      <c r="I21" s="130">
        <f t="shared" si="1"/>
        <v>0</v>
      </c>
    </row>
    <row r="22" spans="2:9" ht="49.5" customHeight="1" x14ac:dyDescent="0.25">
      <c r="B22" s="72"/>
      <c r="C22" s="430" t="s">
        <v>1396</v>
      </c>
      <c r="D22" s="431"/>
      <c r="E22" s="75"/>
      <c r="F22" s="75"/>
      <c r="G22" s="75"/>
      <c r="H22" s="76"/>
      <c r="I22" s="130">
        <f t="shared" si="1"/>
        <v>0</v>
      </c>
    </row>
    <row r="23" spans="2:9" x14ac:dyDescent="0.25">
      <c r="B23" s="72"/>
      <c r="C23" s="73"/>
      <c r="D23" s="82"/>
      <c r="E23" s="75"/>
      <c r="F23" s="75"/>
      <c r="G23" s="75"/>
      <c r="H23" s="76"/>
      <c r="I23" s="130">
        <f t="shared" si="1"/>
        <v>0</v>
      </c>
    </row>
    <row r="24" spans="2:9" ht="15.75" customHeight="1" x14ac:dyDescent="0.25">
      <c r="B24" s="248">
        <f>B18+0.01</f>
        <v>19.020000000000003</v>
      </c>
      <c r="C24" s="84"/>
      <c r="D24" s="158" t="s">
        <v>527</v>
      </c>
      <c r="E24" s="343">
        <v>1</v>
      </c>
      <c r="F24" s="277">
        <v>1</v>
      </c>
      <c r="G24" s="128" t="s">
        <v>528</v>
      </c>
      <c r="H24" s="279"/>
      <c r="I24" s="130">
        <f t="shared" si="1"/>
        <v>0</v>
      </c>
    </row>
    <row r="25" spans="2:9" x14ac:dyDescent="0.25">
      <c r="B25" s="72"/>
      <c r="C25" s="84"/>
      <c r="D25" s="82"/>
      <c r="E25" s="75"/>
      <c r="F25" s="75"/>
      <c r="G25" s="75"/>
      <c r="H25" s="76"/>
      <c r="I25" s="130">
        <f t="shared" si="1"/>
        <v>0</v>
      </c>
    </row>
    <row r="26" spans="2:9" ht="30.75" customHeight="1" x14ac:dyDescent="0.25">
      <c r="B26" s="72"/>
      <c r="C26" s="430" t="s">
        <v>1073</v>
      </c>
      <c r="D26" s="431"/>
      <c r="E26" s="109"/>
      <c r="F26" s="75"/>
      <c r="G26" s="75"/>
      <c r="H26" s="76"/>
      <c r="I26" s="130">
        <f t="shared" si="1"/>
        <v>0</v>
      </c>
    </row>
    <row r="27" spans="2:9" x14ac:dyDescent="0.25">
      <c r="B27" s="338"/>
      <c r="C27" s="73"/>
      <c r="D27" s="82"/>
      <c r="E27" s="75"/>
      <c r="F27" s="75"/>
      <c r="G27" s="75"/>
      <c r="H27" s="76"/>
      <c r="I27" s="130">
        <f t="shared" si="1"/>
        <v>0</v>
      </c>
    </row>
    <row r="28" spans="2:9" x14ac:dyDescent="0.25">
      <c r="B28" s="248">
        <f>B24+0.01</f>
        <v>19.030000000000005</v>
      </c>
      <c r="C28" s="84"/>
      <c r="D28" s="158" t="s">
        <v>527</v>
      </c>
      <c r="E28" s="343">
        <v>39</v>
      </c>
      <c r="F28" s="277">
        <v>39</v>
      </c>
      <c r="G28" s="128" t="s">
        <v>659</v>
      </c>
      <c r="H28" s="279"/>
      <c r="I28" s="130">
        <f t="shared" si="1"/>
        <v>0</v>
      </c>
    </row>
    <row r="29" spans="2:9" x14ac:dyDescent="0.25">
      <c r="B29" s="72"/>
      <c r="C29" s="84"/>
      <c r="D29" s="82"/>
      <c r="E29" s="75"/>
      <c r="F29" s="75"/>
      <c r="G29" s="75"/>
      <c r="H29" s="76"/>
      <c r="I29" s="130">
        <f t="shared" si="1"/>
        <v>0</v>
      </c>
    </row>
    <row r="30" spans="2:9" ht="30" x14ac:dyDescent="0.25">
      <c r="B30" s="248">
        <f>B28+0.01</f>
        <v>19.040000000000006</v>
      </c>
      <c r="C30" s="84"/>
      <c r="D30" s="340" t="s">
        <v>1390</v>
      </c>
      <c r="E30" s="343">
        <f>11.5+3.8+3.8+3.5+3.5+3.9+3.9+3+3+3.5+3.5</f>
        <v>46.9</v>
      </c>
      <c r="F30" s="277">
        <v>47</v>
      </c>
      <c r="G30" s="128" t="s">
        <v>660</v>
      </c>
      <c r="H30" s="279"/>
      <c r="I30" s="130">
        <f t="shared" si="1"/>
        <v>0</v>
      </c>
    </row>
    <row r="31" spans="2:9" x14ac:dyDescent="0.25">
      <c r="B31" s="72"/>
      <c r="C31" s="84"/>
      <c r="D31" s="82"/>
      <c r="E31" s="75"/>
      <c r="F31" s="75"/>
      <c r="G31" s="75"/>
      <c r="H31" s="76"/>
      <c r="I31" s="130">
        <f t="shared" si="1"/>
        <v>0</v>
      </c>
    </row>
    <row r="32" spans="2:9" x14ac:dyDescent="0.25">
      <c r="B32" s="72"/>
      <c r="C32" s="349" t="s">
        <v>812</v>
      </c>
      <c r="D32" s="82"/>
      <c r="E32" s="75"/>
      <c r="F32" s="75"/>
      <c r="G32" s="75"/>
      <c r="H32" s="76"/>
      <c r="I32" s="130">
        <f t="shared" si="1"/>
        <v>0</v>
      </c>
    </row>
    <row r="33" spans="2:9" x14ac:dyDescent="0.25">
      <c r="B33" s="72"/>
      <c r="C33" s="84"/>
      <c r="D33" s="82"/>
      <c r="E33" s="75"/>
      <c r="F33" s="75"/>
      <c r="G33" s="75"/>
      <c r="H33" s="76"/>
      <c r="I33" s="130">
        <f t="shared" si="1"/>
        <v>0</v>
      </c>
    </row>
    <row r="34" spans="2:9" ht="73.5" customHeight="1" x14ac:dyDescent="0.25">
      <c r="B34" s="72"/>
      <c r="C34" s="430" t="s">
        <v>1391</v>
      </c>
      <c r="D34" s="431"/>
      <c r="E34" s="109"/>
      <c r="F34" s="75"/>
      <c r="G34" s="75"/>
      <c r="H34" s="76"/>
      <c r="I34" s="130">
        <f t="shared" si="1"/>
        <v>0</v>
      </c>
    </row>
    <row r="35" spans="2:9" x14ac:dyDescent="0.25">
      <c r="B35" s="338"/>
      <c r="C35" s="73"/>
      <c r="D35" s="82"/>
      <c r="E35" s="75"/>
      <c r="F35" s="75"/>
      <c r="G35" s="75"/>
      <c r="H35" s="76"/>
      <c r="I35" s="130">
        <f t="shared" si="1"/>
        <v>0</v>
      </c>
    </row>
    <row r="36" spans="2:9" x14ac:dyDescent="0.25">
      <c r="B36" s="248">
        <f>B30+0.01</f>
        <v>19.050000000000008</v>
      </c>
      <c r="C36" s="84"/>
      <c r="D36" s="158" t="s">
        <v>527</v>
      </c>
      <c r="E36" s="343">
        <f>8+3.5+3.5</f>
        <v>15</v>
      </c>
      <c r="F36" s="277">
        <v>15</v>
      </c>
      <c r="G36" s="128" t="s">
        <v>660</v>
      </c>
      <c r="H36" s="279"/>
      <c r="I36" s="130">
        <f t="shared" si="1"/>
        <v>0</v>
      </c>
    </row>
    <row r="37" spans="2:9" x14ac:dyDescent="0.25">
      <c r="B37" s="72"/>
      <c r="C37" s="84"/>
      <c r="D37" s="82"/>
      <c r="E37" s="75"/>
      <c r="F37" s="75"/>
      <c r="G37" s="75"/>
      <c r="H37" s="76"/>
      <c r="I37" s="130">
        <f t="shared" si="1"/>
        <v>0</v>
      </c>
    </row>
    <row r="38" spans="2:9" x14ac:dyDescent="0.25">
      <c r="B38" s="248">
        <f>B36+0.01</f>
        <v>19.060000000000009</v>
      </c>
      <c r="C38" s="84"/>
      <c r="D38" s="340" t="s">
        <v>813</v>
      </c>
      <c r="E38" s="343">
        <v>1</v>
      </c>
      <c r="F38" s="277">
        <v>1</v>
      </c>
      <c r="G38" s="128" t="s">
        <v>528</v>
      </c>
      <c r="H38" s="279"/>
      <c r="I38" s="130">
        <f t="shared" si="1"/>
        <v>0</v>
      </c>
    </row>
    <row r="39" spans="2:9" x14ac:dyDescent="0.25">
      <c r="B39" s="72"/>
      <c r="C39" s="84"/>
      <c r="D39" s="82"/>
      <c r="E39" s="75"/>
      <c r="F39" s="75"/>
      <c r="G39" s="75"/>
      <c r="H39" s="76"/>
      <c r="I39" s="130">
        <f t="shared" si="1"/>
        <v>0</v>
      </c>
    </row>
    <row r="40" spans="2:9" x14ac:dyDescent="0.25">
      <c r="B40" s="72"/>
      <c r="C40" s="349" t="s">
        <v>814</v>
      </c>
      <c r="D40" s="82"/>
      <c r="E40" s="75"/>
      <c r="F40" s="75"/>
      <c r="G40" s="75"/>
      <c r="H40" s="76"/>
      <c r="I40" s="130">
        <f t="shared" si="1"/>
        <v>0</v>
      </c>
    </row>
    <row r="41" spans="2:9" x14ac:dyDescent="0.25">
      <c r="B41" s="72"/>
      <c r="C41" s="84"/>
      <c r="D41" s="82"/>
      <c r="E41" s="75"/>
      <c r="F41" s="75"/>
      <c r="G41" s="75"/>
      <c r="H41" s="76"/>
      <c r="I41" s="130">
        <f t="shared" si="1"/>
        <v>0</v>
      </c>
    </row>
    <row r="42" spans="2:9" ht="73.5" customHeight="1" x14ac:dyDescent="0.25">
      <c r="B42" s="72"/>
      <c r="C42" s="422" t="s">
        <v>1394</v>
      </c>
      <c r="D42" s="423"/>
      <c r="E42" s="75"/>
      <c r="F42" s="75"/>
      <c r="G42" s="75"/>
      <c r="H42" s="76"/>
      <c r="I42" s="130">
        <f t="shared" si="1"/>
        <v>0</v>
      </c>
    </row>
    <row r="43" spans="2:9" x14ac:dyDescent="0.25">
      <c r="B43" s="72"/>
      <c r="C43" s="84"/>
      <c r="D43" s="82"/>
      <c r="E43" s="75"/>
      <c r="F43" s="75"/>
      <c r="G43" s="75"/>
      <c r="H43" s="76"/>
      <c r="I43" s="130">
        <f t="shared" si="1"/>
        <v>0</v>
      </c>
    </row>
    <row r="44" spans="2:9" x14ac:dyDescent="0.25">
      <c r="B44" s="248">
        <f>B38+0.01</f>
        <v>19.070000000000011</v>
      </c>
      <c r="C44" s="84"/>
      <c r="D44" s="158" t="s">
        <v>1392</v>
      </c>
      <c r="E44" s="343">
        <v>1</v>
      </c>
      <c r="F44" s="277">
        <v>1</v>
      </c>
      <c r="G44" s="128" t="s">
        <v>528</v>
      </c>
      <c r="H44" s="279"/>
      <c r="I44" s="130">
        <f t="shared" si="1"/>
        <v>0</v>
      </c>
    </row>
    <row r="45" spans="2:9" x14ac:dyDescent="0.25">
      <c r="B45" s="72"/>
      <c r="C45" s="84"/>
      <c r="D45" s="82"/>
      <c r="E45" s="75"/>
      <c r="F45" s="75"/>
      <c r="G45" s="75"/>
      <c r="H45" s="76"/>
      <c r="I45" s="130">
        <f t="shared" si="1"/>
        <v>0</v>
      </c>
    </row>
    <row r="46" spans="2:9" x14ac:dyDescent="0.25">
      <c r="B46" s="248">
        <f>B44+0.01</f>
        <v>19.080000000000013</v>
      </c>
      <c r="C46" s="84"/>
      <c r="D46" s="340" t="s">
        <v>1393</v>
      </c>
      <c r="E46" s="343">
        <v>1</v>
      </c>
      <c r="F46" s="277">
        <v>1</v>
      </c>
      <c r="G46" s="128" t="s">
        <v>528</v>
      </c>
      <c r="H46" s="279"/>
      <c r="I46" s="130">
        <f t="shared" ref="I46" si="2">F46*H46</f>
        <v>0</v>
      </c>
    </row>
    <row r="47" spans="2:9" x14ac:dyDescent="0.25">
      <c r="B47" s="72"/>
      <c r="C47" s="84"/>
      <c r="D47" s="82"/>
      <c r="E47" s="75"/>
      <c r="F47" s="75"/>
      <c r="G47" s="75"/>
      <c r="H47" s="76"/>
      <c r="I47" s="130"/>
    </row>
    <row r="48" spans="2:9" x14ac:dyDescent="0.25">
      <c r="B48" s="72"/>
      <c r="C48" s="84"/>
      <c r="D48" s="82"/>
      <c r="E48" s="75"/>
      <c r="F48" s="75"/>
      <c r="G48" s="75"/>
      <c r="H48" s="76"/>
      <c r="I48" s="130">
        <f t="shared" si="1"/>
        <v>0</v>
      </c>
    </row>
    <row r="49" spans="2:9" x14ac:dyDescent="0.25">
      <c r="B49" s="77"/>
      <c r="C49" s="73" t="s">
        <v>549</v>
      </c>
      <c r="D49" s="160"/>
      <c r="E49" s="161"/>
      <c r="F49" s="161"/>
      <c r="G49" s="78"/>
      <c r="H49" s="79"/>
      <c r="I49" s="130">
        <f t="shared" si="1"/>
        <v>0</v>
      </c>
    </row>
    <row r="50" spans="2:9" x14ac:dyDescent="0.25">
      <c r="B50" s="77"/>
      <c r="C50" s="74"/>
      <c r="D50" s="160"/>
      <c r="E50" s="161"/>
      <c r="F50" s="161"/>
      <c r="G50" s="78"/>
      <c r="H50" s="79"/>
      <c r="I50" s="130">
        <f t="shared" si="1"/>
        <v>0</v>
      </c>
    </row>
    <row r="51" spans="2:9" x14ac:dyDescent="0.25">
      <c r="B51" s="77"/>
      <c r="C51" s="159" t="s">
        <v>550</v>
      </c>
      <c r="D51" s="160"/>
      <c r="E51" s="161"/>
      <c r="F51" s="161"/>
      <c r="G51" s="78"/>
      <c r="H51" s="79"/>
      <c r="I51" s="130">
        <f t="shared" si="1"/>
        <v>0</v>
      </c>
    </row>
    <row r="52" spans="2:9" x14ac:dyDescent="0.25">
      <c r="B52" s="77"/>
      <c r="C52" s="74"/>
      <c r="D52" s="160"/>
      <c r="E52" s="161"/>
      <c r="F52" s="161"/>
      <c r="G52" s="78"/>
      <c r="H52" s="79"/>
      <c r="I52" s="130">
        <f t="shared" si="1"/>
        <v>0</v>
      </c>
    </row>
    <row r="53" spans="2:9" x14ac:dyDescent="0.25">
      <c r="B53" s="77"/>
      <c r="C53" s="74" t="s">
        <v>551</v>
      </c>
      <c r="D53" s="160"/>
      <c r="E53" s="161"/>
      <c r="F53" s="161"/>
      <c r="G53" s="78"/>
      <c r="H53" s="79"/>
      <c r="I53" s="130">
        <f t="shared" si="1"/>
        <v>0</v>
      </c>
    </row>
    <row r="54" spans="2:9" x14ac:dyDescent="0.25">
      <c r="B54" s="77"/>
      <c r="C54" s="74"/>
      <c r="D54" s="160"/>
      <c r="E54" s="161"/>
      <c r="F54" s="161"/>
      <c r="G54" s="78"/>
      <c r="H54" s="79"/>
      <c r="I54" s="130">
        <f t="shared" si="1"/>
        <v>0</v>
      </c>
    </row>
    <row r="55" spans="2:9" x14ac:dyDescent="0.25">
      <c r="B55" s="173">
        <f>B44+0.01</f>
        <v>19.080000000000013</v>
      </c>
      <c r="C55" s="74"/>
      <c r="D55" s="112" t="s">
        <v>527</v>
      </c>
      <c r="E55" s="162"/>
      <c r="F55" s="162">
        <v>1</v>
      </c>
      <c r="G55" s="75" t="s">
        <v>528</v>
      </c>
      <c r="H55" s="76"/>
      <c r="I55" s="130">
        <f t="shared" si="1"/>
        <v>0</v>
      </c>
    </row>
    <row r="56" spans="2:9" x14ac:dyDescent="0.25">
      <c r="B56" s="77"/>
      <c r="C56" s="74"/>
      <c r="D56" s="160"/>
      <c r="E56" s="161"/>
      <c r="F56" s="161"/>
      <c r="G56" s="78"/>
      <c r="H56" s="79"/>
      <c r="I56" s="130">
        <f t="shared" si="1"/>
        <v>0</v>
      </c>
    </row>
    <row r="57" spans="2:9" ht="15.75" x14ac:dyDescent="0.25">
      <c r="B57" s="77"/>
      <c r="C57" s="432" t="s">
        <v>634</v>
      </c>
      <c r="D57" s="433"/>
      <c r="E57" s="161"/>
      <c r="F57" s="161"/>
      <c r="G57" s="78"/>
      <c r="H57" s="79"/>
      <c r="I57" s="130">
        <f t="shared" si="1"/>
        <v>0</v>
      </c>
    </row>
    <row r="58" spans="2:9" x14ac:dyDescent="0.25">
      <c r="B58" s="77"/>
      <c r="C58" s="74"/>
      <c r="D58" s="160"/>
      <c r="E58" s="161"/>
      <c r="F58" s="161"/>
      <c r="G58" s="78"/>
      <c r="H58" s="79"/>
      <c r="I58" s="130">
        <f t="shared" si="1"/>
        <v>0</v>
      </c>
    </row>
    <row r="59" spans="2:9" ht="34.5" customHeight="1" x14ac:dyDescent="0.25">
      <c r="B59" s="77"/>
      <c r="C59" s="418" t="s">
        <v>650</v>
      </c>
      <c r="D59" s="419"/>
      <c r="E59" s="161"/>
      <c r="F59" s="161"/>
      <c r="G59" s="78"/>
      <c r="H59" s="79"/>
      <c r="I59" s="130">
        <f t="shared" si="1"/>
        <v>0</v>
      </c>
    </row>
    <row r="60" spans="2:9" ht="13.35" customHeight="1" x14ac:dyDescent="0.25">
      <c r="B60" s="77"/>
      <c r="C60" s="74"/>
      <c r="D60" s="160"/>
      <c r="E60" s="161"/>
      <c r="F60" s="161"/>
      <c r="G60" s="78"/>
      <c r="H60" s="79"/>
      <c r="I60" s="130">
        <f t="shared" si="1"/>
        <v>0</v>
      </c>
    </row>
    <row r="61" spans="2:9" x14ac:dyDescent="0.25">
      <c r="B61" s="172">
        <f>B55+0.01</f>
        <v>19.090000000000014</v>
      </c>
      <c r="C61" s="74"/>
      <c r="D61" s="112" t="s">
        <v>527</v>
      </c>
      <c r="E61" s="162"/>
      <c r="F61" s="162">
        <v>1</v>
      </c>
      <c r="G61" s="75" t="s">
        <v>528</v>
      </c>
      <c r="H61" s="76"/>
      <c r="I61" s="130">
        <f t="shared" si="1"/>
        <v>0</v>
      </c>
    </row>
    <row r="62" spans="2:9" x14ac:dyDescent="0.25">
      <c r="B62" s="77"/>
      <c r="C62" s="74"/>
      <c r="D62" s="160"/>
      <c r="E62" s="161"/>
      <c r="F62" s="161"/>
      <c r="G62" s="78"/>
      <c r="H62" s="79"/>
      <c r="I62" s="130">
        <f t="shared" si="1"/>
        <v>0</v>
      </c>
    </row>
    <row r="63" spans="2:9" x14ac:dyDescent="0.25">
      <c r="B63" s="77"/>
      <c r="C63" s="159" t="s">
        <v>556</v>
      </c>
      <c r="D63" s="160"/>
      <c r="E63" s="161"/>
      <c r="F63" s="161"/>
      <c r="G63" s="78"/>
      <c r="H63" s="79"/>
      <c r="I63" s="130">
        <f t="shared" si="1"/>
        <v>0</v>
      </c>
    </row>
    <row r="64" spans="2:9" x14ac:dyDescent="0.25">
      <c r="B64" s="77"/>
      <c r="C64" s="74"/>
      <c r="D64" s="160"/>
      <c r="E64" s="161"/>
      <c r="F64" s="161"/>
      <c r="G64" s="78"/>
      <c r="H64" s="79"/>
      <c r="I64" s="130">
        <f t="shared" si="1"/>
        <v>0</v>
      </c>
    </row>
    <row r="65" spans="2:10" ht="33.75" customHeight="1" x14ac:dyDescent="0.25">
      <c r="B65" s="77"/>
      <c r="C65" s="420" t="s">
        <v>557</v>
      </c>
      <c r="D65" s="421"/>
      <c r="E65" s="161"/>
      <c r="F65" s="161"/>
      <c r="G65" s="78"/>
      <c r="H65" s="79"/>
      <c r="I65" s="130">
        <f t="shared" si="1"/>
        <v>0</v>
      </c>
    </row>
    <row r="66" spans="2:10" ht="14.45" customHeight="1" x14ac:dyDescent="0.25">
      <c r="B66" s="77"/>
      <c r="C66" s="170"/>
      <c r="D66" s="158"/>
      <c r="E66" s="161"/>
      <c r="F66" s="161"/>
      <c r="G66" s="78"/>
      <c r="H66" s="79"/>
      <c r="I66" s="130">
        <f t="shared" si="1"/>
        <v>0</v>
      </c>
    </row>
    <row r="67" spans="2:10" x14ac:dyDescent="0.25">
      <c r="B67" s="173">
        <f>B61+0.01</f>
        <v>19.100000000000016</v>
      </c>
      <c r="C67" s="74"/>
      <c r="D67" s="112" t="s">
        <v>527</v>
      </c>
      <c r="E67" s="162"/>
      <c r="F67" s="162">
        <v>1</v>
      </c>
      <c r="G67" s="75" t="s">
        <v>528</v>
      </c>
      <c r="H67" s="76"/>
      <c r="I67" s="130">
        <f t="shared" si="1"/>
        <v>0</v>
      </c>
    </row>
    <row r="68" spans="2:10" x14ac:dyDescent="0.25">
      <c r="B68" s="77"/>
      <c r="C68" s="74"/>
      <c r="D68" s="160"/>
      <c r="E68" s="161"/>
      <c r="F68" s="161"/>
      <c r="G68" s="78"/>
      <c r="H68" s="79"/>
      <c r="I68" s="130">
        <f t="shared" si="1"/>
        <v>0</v>
      </c>
    </row>
    <row r="69" spans="2:10" x14ac:dyDescent="0.25">
      <c r="B69" s="72"/>
      <c r="C69" s="159" t="s">
        <v>529</v>
      </c>
      <c r="D69" s="82"/>
      <c r="E69" s="75"/>
      <c r="F69" s="75"/>
      <c r="G69" s="75"/>
      <c r="H69" s="122"/>
      <c r="I69" s="130">
        <f t="shared" si="1"/>
        <v>0</v>
      </c>
    </row>
    <row r="70" spans="2:10" x14ac:dyDescent="0.25">
      <c r="B70" s="72"/>
      <c r="C70" s="74"/>
      <c r="D70" s="82"/>
      <c r="E70" s="75"/>
      <c r="F70" s="75"/>
      <c r="G70" s="75"/>
      <c r="H70" s="122"/>
      <c r="I70" s="130">
        <f t="shared" si="1"/>
        <v>0</v>
      </c>
    </row>
    <row r="71" spans="2:10" ht="31.5" customHeight="1" x14ac:dyDescent="0.25">
      <c r="B71" s="72"/>
      <c r="C71" s="422" t="s">
        <v>629</v>
      </c>
      <c r="D71" s="423"/>
      <c r="E71" s="75"/>
      <c r="F71" s="75"/>
      <c r="G71" s="75"/>
      <c r="H71" s="122"/>
      <c r="I71" s="130">
        <f t="shared" si="1"/>
        <v>0</v>
      </c>
    </row>
    <row r="72" spans="2:10" ht="13.7" customHeight="1" x14ac:dyDescent="0.25">
      <c r="B72" s="72"/>
      <c r="C72" s="165"/>
      <c r="D72" s="82"/>
      <c r="E72" s="75"/>
      <c r="F72" s="75"/>
      <c r="G72" s="75"/>
      <c r="H72" s="122"/>
      <c r="I72" s="130">
        <f t="shared" si="1"/>
        <v>0</v>
      </c>
    </row>
    <row r="73" spans="2:10" x14ac:dyDescent="0.25">
      <c r="B73" s="172">
        <f>B67+0.01</f>
        <v>19.110000000000017</v>
      </c>
      <c r="C73" s="74"/>
      <c r="D73" s="155" t="s">
        <v>527</v>
      </c>
      <c r="E73" s="154"/>
      <c r="F73" s="154">
        <v>1</v>
      </c>
      <c r="G73" s="75" t="s">
        <v>528</v>
      </c>
      <c r="H73" s="122"/>
      <c r="I73" s="130">
        <f t="shared" si="1"/>
        <v>0</v>
      </c>
    </row>
    <row r="74" spans="2:10" ht="15.75" thickBot="1" x14ac:dyDescent="0.3">
      <c r="B74" s="72"/>
      <c r="C74" s="74"/>
      <c r="D74" s="111"/>
      <c r="E74" s="109"/>
      <c r="F74" s="109"/>
      <c r="G74" s="75"/>
      <c r="H74" s="76"/>
      <c r="I74" s="130">
        <f t="shared" si="1"/>
        <v>0</v>
      </c>
      <c r="J74" s="110"/>
    </row>
    <row r="75" spans="2:10" ht="15.75" thickBot="1" x14ac:dyDescent="0.3">
      <c r="B75" s="72"/>
      <c r="C75" s="74"/>
      <c r="D75" s="314" t="s">
        <v>1065</v>
      </c>
      <c r="E75" s="109"/>
      <c r="F75" s="162"/>
      <c r="G75" s="75"/>
      <c r="H75" s="382"/>
      <c r="I75" s="383">
        <f>SUM(I14:I74)</f>
        <v>0</v>
      </c>
      <c r="J75" s="110"/>
    </row>
    <row r="76" spans="2:10" x14ac:dyDescent="0.25">
      <c r="B76" s="72"/>
      <c r="C76" s="74"/>
      <c r="D76" s="111"/>
      <c r="E76" s="109"/>
      <c r="F76" s="109"/>
      <c r="G76" s="75"/>
      <c r="H76" s="76"/>
      <c r="I76" s="130"/>
      <c r="J76" s="110"/>
    </row>
    <row r="77" spans="2:10" x14ac:dyDescent="0.25">
      <c r="B77" s="72"/>
      <c r="C77" s="426" t="s">
        <v>816</v>
      </c>
      <c r="D77" s="427"/>
      <c r="E77" s="109"/>
      <c r="F77" s="109"/>
      <c r="G77" s="75"/>
      <c r="H77" s="76"/>
      <c r="I77" s="130"/>
      <c r="J77" s="110"/>
    </row>
    <row r="78" spans="2:10" x14ac:dyDescent="0.25">
      <c r="B78" s="72"/>
      <c r="C78" s="74"/>
      <c r="D78" s="111"/>
      <c r="E78" s="109"/>
      <c r="F78" s="109"/>
      <c r="G78" s="75"/>
      <c r="H78" s="76"/>
      <c r="I78" s="130"/>
      <c r="J78" s="110"/>
    </row>
    <row r="79" spans="2:10" x14ac:dyDescent="0.25">
      <c r="B79" s="72"/>
      <c r="C79" s="428" t="s">
        <v>809</v>
      </c>
      <c r="D79" s="429"/>
      <c r="E79" s="109"/>
      <c r="F79" s="109"/>
      <c r="G79" s="75"/>
      <c r="H79" s="76"/>
      <c r="I79" s="76"/>
      <c r="J79" s="110"/>
    </row>
    <row r="80" spans="2:10" x14ac:dyDescent="0.25">
      <c r="B80" s="72"/>
      <c r="C80" s="175"/>
      <c r="D80" s="347"/>
      <c r="E80" s="109"/>
      <c r="F80" s="109"/>
      <c r="G80" s="75"/>
      <c r="H80" s="76"/>
      <c r="I80" s="130">
        <f t="shared" ref="I80:I143" si="3">F80*H80</f>
        <v>0</v>
      </c>
      <c r="J80" s="110"/>
    </row>
    <row r="81" spans="2:10" ht="30.75" customHeight="1" x14ac:dyDescent="0.25">
      <c r="B81" s="72"/>
      <c r="C81" s="422" t="s">
        <v>810</v>
      </c>
      <c r="D81" s="423"/>
      <c r="E81" s="109"/>
      <c r="F81" s="109"/>
      <c r="G81" s="75"/>
      <c r="H81" s="76"/>
      <c r="I81" s="130">
        <f t="shared" si="3"/>
        <v>0</v>
      </c>
      <c r="J81" s="110"/>
    </row>
    <row r="82" spans="2:10" x14ac:dyDescent="0.25">
      <c r="B82" s="72"/>
      <c r="C82" s="165"/>
      <c r="D82" s="167"/>
      <c r="E82" s="109"/>
      <c r="F82" s="109"/>
      <c r="G82" s="75"/>
      <c r="H82" s="76"/>
      <c r="I82" s="130">
        <f t="shared" si="3"/>
        <v>0</v>
      </c>
      <c r="J82" s="110"/>
    </row>
    <row r="83" spans="2:10" x14ac:dyDescent="0.25">
      <c r="B83" s="179">
        <f>B73+0.01</f>
        <v>19.120000000000019</v>
      </c>
      <c r="C83" s="73"/>
      <c r="D83" s="158" t="s">
        <v>527</v>
      </c>
      <c r="E83" s="343">
        <v>1</v>
      </c>
      <c r="F83" s="344">
        <v>1</v>
      </c>
      <c r="G83" s="128" t="s">
        <v>528</v>
      </c>
      <c r="H83" s="129"/>
      <c r="I83" s="130">
        <f t="shared" si="3"/>
        <v>0</v>
      </c>
      <c r="J83" s="110"/>
    </row>
    <row r="84" spans="2:10" x14ac:dyDescent="0.25">
      <c r="B84" s="179"/>
      <c r="C84" s="73"/>
      <c r="D84" s="158"/>
      <c r="E84" s="343"/>
      <c r="F84" s="344"/>
      <c r="G84" s="128"/>
      <c r="H84" s="129"/>
      <c r="I84" s="130">
        <f t="shared" si="3"/>
        <v>0</v>
      </c>
      <c r="J84" s="110"/>
    </row>
    <row r="85" spans="2:10" x14ac:dyDescent="0.25">
      <c r="B85" s="72"/>
      <c r="C85" s="428" t="s">
        <v>811</v>
      </c>
      <c r="D85" s="429"/>
      <c r="E85" s="75"/>
      <c r="F85" s="75"/>
      <c r="G85" s="75"/>
      <c r="H85" s="76"/>
      <c r="I85" s="130">
        <f t="shared" si="3"/>
        <v>0</v>
      </c>
      <c r="J85" s="110"/>
    </row>
    <row r="86" spans="2:10" x14ac:dyDescent="0.25">
      <c r="B86" s="72"/>
      <c r="C86" s="175"/>
      <c r="D86" s="347"/>
      <c r="E86" s="75"/>
      <c r="F86" s="75"/>
      <c r="G86" s="75"/>
      <c r="H86" s="76"/>
      <c r="I86" s="130">
        <f t="shared" si="3"/>
        <v>0</v>
      </c>
      <c r="J86" s="110"/>
    </row>
    <row r="87" spans="2:10" x14ac:dyDescent="0.25">
      <c r="B87" s="72"/>
      <c r="C87" s="434" t="s">
        <v>1077</v>
      </c>
      <c r="D87" s="435"/>
      <c r="E87" s="109"/>
      <c r="F87" s="109"/>
      <c r="G87" s="75"/>
      <c r="H87" s="76"/>
      <c r="I87" s="130">
        <f t="shared" si="3"/>
        <v>0</v>
      </c>
      <c r="J87" s="110"/>
    </row>
    <row r="88" spans="2:10" x14ac:dyDescent="0.25">
      <c r="B88" s="72"/>
      <c r="C88" s="110"/>
      <c r="D88" s="347"/>
      <c r="E88" s="75"/>
      <c r="F88" s="75"/>
      <c r="G88" s="75"/>
      <c r="H88" s="76"/>
      <c r="I88" s="130">
        <f t="shared" si="3"/>
        <v>0</v>
      </c>
      <c r="J88" s="110"/>
    </row>
    <row r="89" spans="2:10" ht="59.25" customHeight="1" x14ac:dyDescent="0.25">
      <c r="B89" s="179">
        <f>B83+0.01</f>
        <v>19.13000000000002</v>
      </c>
      <c r="C89" s="110"/>
      <c r="D89" s="112" t="s">
        <v>1080</v>
      </c>
      <c r="E89" s="128">
        <f>3.9+3.3+3.5+15.9+1+3.4+7.1+1.1+1.1+1</f>
        <v>41.300000000000004</v>
      </c>
      <c r="F89" s="128">
        <v>41</v>
      </c>
      <c r="G89" s="128" t="s">
        <v>660</v>
      </c>
      <c r="H89" s="129"/>
      <c r="I89" s="130">
        <f t="shared" si="3"/>
        <v>0</v>
      </c>
      <c r="J89" s="110"/>
    </row>
    <row r="90" spans="2:10" x14ac:dyDescent="0.25">
      <c r="B90" s="72"/>
      <c r="C90" s="110"/>
      <c r="D90" s="347"/>
      <c r="E90" s="75"/>
      <c r="F90" s="75"/>
      <c r="G90" s="75"/>
      <c r="H90" s="76"/>
      <c r="I90" s="130">
        <f t="shared" si="3"/>
        <v>0</v>
      </c>
      <c r="J90" s="110"/>
    </row>
    <row r="91" spans="2:10" x14ac:dyDescent="0.25">
      <c r="B91" s="72"/>
      <c r="C91" s="434" t="s">
        <v>1099</v>
      </c>
      <c r="D91" s="435"/>
      <c r="E91" s="109"/>
      <c r="F91" s="109"/>
      <c r="G91" s="75"/>
      <c r="H91" s="76"/>
      <c r="I91" s="130">
        <f t="shared" si="3"/>
        <v>0</v>
      </c>
      <c r="J91" s="110"/>
    </row>
    <row r="92" spans="2:10" x14ac:dyDescent="0.25">
      <c r="B92" s="72"/>
      <c r="C92" s="110"/>
      <c r="D92" s="347"/>
      <c r="E92" s="75"/>
      <c r="F92" s="75"/>
      <c r="G92" s="75"/>
      <c r="H92" s="76"/>
      <c r="I92" s="130">
        <f t="shared" si="3"/>
        <v>0</v>
      </c>
      <c r="J92" s="110"/>
    </row>
    <row r="93" spans="2:10" ht="60" x14ac:dyDescent="0.25">
      <c r="B93" s="179">
        <f>B89+0.01</f>
        <v>19.140000000000022</v>
      </c>
      <c r="C93" s="110"/>
      <c r="D93" s="112" t="s">
        <v>1079</v>
      </c>
      <c r="E93" s="128">
        <f>7.5+7.2</f>
        <v>14.7</v>
      </c>
      <c r="F93" s="128">
        <v>15</v>
      </c>
      <c r="G93" s="128" t="s">
        <v>660</v>
      </c>
      <c r="H93" s="129"/>
      <c r="I93" s="130">
        <f t="shared" si="3"/>
        <v>0</v>
      </c>
      <c r="J93" s="110"/>
    </row>
    <row r="94" spans="2:10" x14ac:dyDescent="0.25">
      <c r="B94" s="72"/>
      <c r="C94" s="110"/>
      <c r="D94" s="347"/>
      <c r="E94" s="75"/>
      <c r="F94" s="75"/>
      <c r="G94" s="75"/>
      <c r="H94" s="76"/>
      <c r="I94" s="130">
        <f t="shared" si="3"/>
        <v>0</v>
      </c>
      <c r="J94" s="110"/>
    </row>
    <row r="95" spans="2:10" ht="75" customHeight="1" x14ac:dyDescent="0.25">
      <c r="B95" s="72"/>
      <c r="C95" s="430" t="s">
        <v>1078</v>
      </c>
      <c r="D95" s="431"/>
      <c r="E95" s="109"/>
      <c r="F95" s="75"/>
      <c r="G95" s="75"/>
      <c r="H95" s="76"/>
      <c r="I95" s="130">
        <f t="shared" si="3"/>
        <v>0</v>
      </c>
      <c r="J95" s="110"/>
    </row>
    <row r="96" spans="2:10" x14ac:dyDescent="0.25">
      <c r="B96" s="338"/>
      <c r="C96" s="73"/>
      <c r="D96" s="82"/>
      <c r="E96" s="75"/>
      <c r="F96" s="75"/>
      <c r="G96" s="75"/>
      <c r="H96" s="76"/>
      <c r="I96" s="130">
        <f t="shared" si="3"/>
        <v>0</v>
      </c>
      <c r="J96" s="110"/>
    </row>
    <row r="97" spans="2:10" x14ac:dyDescent="0.25">
      <c r="B97" s="179">
        <f>B93+0.01</f>
        <v>19.150000000000023</v>
      </c>
      <c r="C97" s="84"/>
      <c r="D97" s="158" t="s">
        <v>527</v>
      </c>
      <c r="E97" s="343">
        <f>(13.7*7.2)</f>
        <v>98.64</v>
      </c>
      <c r="F97" s="277">
        <v>99</v>
      </c>
      <c r="G97" s="128" t="s">
        <v>659</v>
      </c>
      <c r="H97" s="279"/>
      <c r="I97" s="130">
        <f t="shared" si="3"/>
        <v>0</v>
      </c>
      <c r="J97" s="110"/>
    </row>
    <row r="98" spans="2:10" x14ac:dyDescent="0.25">
      <c r="B98" s="72"/>
      <c r="C98" s="84"/>
      <c r="D98" s="82"/>
      <c r="E98" s="75"/>
      <c r="F98" s="75"/>
      <c r="G98" s="75"/>
      <c r="H98" s="76"/>
      <c r="I98" s="130">
        <f t="shared" si="3"/>
        <v>0</v>
      </c>
      <c r="J98" s="110"/>
    </row>
    <row r="99" spans="2:10" ht="30" x14ac:dyDescent="0.25">
      <c r="B99" s="248">
        <f>B97+0.01</f>
        <v>19.160000000000025</v>
      </c>
      <c r="C99" s="84"/>
      <c r="D99" s="340" t="s">
        <v>1074</v>
      </c>
      <c r="E99" s="343">
        <f>13.7+7.2</f>
        <v>20.9</v>
      </c>
      <c r="F99" s="277">
        <v>21</v>
      </c>
      <c r="G99" s="128" t="s">
        <v>660</v>
      </c>
      <c r="H99" s="279"/>
      <c r="I99" s="130">
        <f t="shared" si="3"/>
        <v>0</v>
      </c>
      <c r="J99" s="110"/>
    </row>
    <row r="100" spans="2:10" x14ac:dyDescent="0.25">
      <c r="B100" s="396"/>
      <c r="C100" s="84"/>
      <c r="D100" s="340"/>
      <c r="E100" s="343"/>
      <c r="F100" s="75"/>
      <c r="G100" s="75"/>
      <c r="H100" s="76"/>
      <c r="I100" s="130">
        <f t="shared" si="3"/>
        <v>0</v>
      </c>
      <c r="J100" s="110"/>
    </row>
    <row r="101" spans="2:10" ht="60" x14ac:dyDescent="0.25">
      <c r="B101" s="248">
        <f>B99+0.01</f>
        <v>19.170000000000027</v>
      </c>
      <c r="C101" s="84"/>
      <c r="D101" s="340" t="s">
        <v>1081</v>
      </c>
      <c r="E101" s="343">
        <f>1.1+1+1.1</f>
        <v>3.2</v>
      </c>
      <c r="F101" s="277">
        <v>3</v>
      </c>
      <c r="G101" s="128" t="s">
        <v>660</v>
      </c>
      <c r="H101" s="279"/>
      <c r="I101" s="130">
        <f t="shared" si="3"/>
        <v>0</v>
      </c>
      <c r="J101" s="110"/>
    </row>
    <row r="102" spans="2:10" x14ac:dyDescent="0.25">
      <c r="B102" s="72"/>
      <c r="C102" s="74"/>
      <c r="D102" s="111"/>
      <c r="E102" s="109"/>
      <c r="F102" s="109"/>
      <c r="G102" s="75"/>
      <c r="H102" s="76"/>
      <c r="I102" s="130">
        <f t="shared" si="3"/>
        <v>0</v>
      </c>
      <c r="J102" s="110"/>
    </row>
    <row r="103" spans="2:10" ht="60" x14ac:dyDescent="0.25">
      <c r="B103" s="248">
        <f>B101+0.01</f>
        <v>19.180000000000028</v>
      </c>
      <c r="C103" s="84"/>
      <c r="D103" s="340" t="s">
        <v>1085</v>
      </c>
      <c r="E103" s="343">
        <v>3</v>
      </c>
      <c r="F103" s="277">
        <v>3</v>
      </c>
      <c r="G103" s="128" t="s">
        <v>582</v>
      </c>
      <c r="H103" s="279"/>
      <c r="I103" s="130">
        <f t="shared" si="3"/>
        <v>0</v>
      </c>
      <c r="J103" s="110"/>
    </row>
    <row r="104" spans="2:10" x14ac:dyDescent="0.25">
      <c r="B104" s="72"/>
      <c r="C104" s="83"/>
      <c r="D104" s="111"/>
      <c r="E104" s="109"/>
      <c r="F104" s="109"/>
      <c r="G104" s="75"/>
      <c r="H104" s="76"/>
      <c r="I104" s="130">
        <f t="shared" si="3"/>
        <v>0</v>
      </c>
      <c r="J104" s="110"/>
    </row>
    <row r="105" spans="2:10" ht="75.75" customHeight="1" x14ac:dyDescent="0.25">
      <c r="B105" s="72"/>
      <c r="C105" s="430" t="s">
        <v>1075</v>
      </c>
      <c r="D105" s="431"/>
      <c r="E105" s="109"/>
      <c r="F105" s="75"/>
      <c r="G105" s="75"/>
      <c r="H105" s="76"/>
      <c r="I105" s="130">
        <f t="shared" si="3"/>
        <v>0</v>
      </c>
      <c r="J105" s="110"/>
    </row>
    <row r="106" spans="2:10" x14ac:dyDescent="0.25">
      <c r="B106" s="338"/>
      <c r="C106" s="73"/>
      <c r="D106" s="82"/>
      <c r="E106" s="75"/>
      <c r="F106" s="75"/>
      <c r="G106" s="75"/>
      <c r="H106" s="76"/>
      <c r="I106" s="130">
        <f t="shared" si="3"/>
        <v>0</v>
      </c>
      <c r="J106" s="110"/>
    </row>
    <row r="107" spans="2:10" x14ac:dyDescent="0.25">
      <c r="B107" s="248">
        <f>B103+0.01</f>
        <v>19.19000000000003</v>
      </c>
      <c r="C107" s="84"/>
      <c r="D107" s="158" t="s">
        <v>527</v>
      </c>
      <c r="E107" s="343">
        <f>(25.3*2.3)+(3.9*9.8)+(2.8*1.2)</f>
        <v>99.77</v>
      </c>
      <c r="F107" s="277">
        <v>100</v>
      </c>
      <c r="G107" s="128" t="s">
        <v>659</v>
      </c>
      <c r="H107" s="279"/>
      <c r="I107" s="130">
        <f t="shared" si="3"/>
        <v>0</v>
      </c>
      <c r="J107" s="110"/>
    </row>
    <row r="108" spans="2:10" x14ac:dyDescent="0.25">
      <c r="B108" s="72"/>
      <c r="C108" s="74"/>
      <c r="D108" s="111"/>
      <c r="E108" s="109"/>
      <c r="F108" s="109"/>
      <c r="G108" s="75"/>
      <c r="H108" s="76"/>
      <c r="I108" s="130">
        <f t="shared" si="3"/>
        <v>0</v>
      </c>
      <c r="J108" s="110"/>
    </row>
    <row r="109" spans="2:10" x14ac:dyDescent="0.25">
      <c r="B109" s="248">
        <f>B107+0.01</f>
        <v>19.200000000000031</v>
      </c>
      <c r="C109" s="84"/>
      <c r="D109" s="379" t="s">
        <v>1076</v>
      </c>
      <c r="E109" s="343">
        <f>2.4*1.2</f>
        <v>2.88</v>
      </c>
      <c r="F109" s="277">
        <v>10</v>
      </c>
      <c r="G109" s="128" t="s">
        <v>659</v>
      </c>
      <c r="H109" s="279"/>
      <c r="I109" s="130">
        <f t="shared" si="3"/>
        <v>0</v>
      </c>
      <c r="J109" s="110"/>
    </row>
    <row r="110" spans="2:10" x14ac:dyDescent="0.25">
      <c r="B110" s="72"/>
      <c r="C110" s="83"/>
      <c r="D110" s="111"/>
      <c r="E110" s="109"/>
      <c r="F110" s="109"/>
      <c r="G110" s="75"/>
      <c r="H110" s="76"/>
      <c r="I110" s="130">
        <f t="shared" si="3"/>
        <v>0</v>
      </c>
      <c r="J110" s="110"/>
    </row>
    <row r="111" spans="2:10" ht="60" x14ac:dyDescent="0.25">
      <c r="B111" s="248">
        <f>B109+0.01</f>
        <v>19.210000000000033</v>
      </c>
      <c r="C111" s="84"/>
      <c r="D111" s="340" t="s">
        <v>1081</v>
      </c>
      <c r="E111" s="343">
        <f>2.1+2.8+1.1+27.2</f>
        <v>33.200000000000003</v>
      </c>
      <c r="F111" s="277">
        <v>33</v>
      </c>
      <c r="G111" s="128" t="s">
        <v>660</v>
      </c>
      <c r="H111" s="279"/>
      <c r="I111" s="130">
        <f t="shared" si="3"/>
        <v>0</v>
      </c>
      <c r="J111" s="110"/>
    </row>
    <row r="112" spans="2:10" x14ac:dyDescent="0.25">
      <c r="B112" s="72"/>
      <c r="C112" s="83"/>
      <c r="D112" s="111"/>
      <c r="E112" s="109"/>
      <c r="F112" s="109"/>
      <c r="G112" s="75"/>
      <c r="H112" s="76"/>
      <c r="I112" s="130">
        <f t="shared" si="3"/>
        <v>0</v>
      </c>
      <c r="J112" s="110"/>
    </row>
    <row r="113" spans="2:10" ht="30" x14ac:dyDescent="0.25">
      <c r="B113" s="248">
        <f>B111+0.01</f>
        <v>19.220000000000034</v>
      </c>
      <c r="C113" s="83"/>
      <c r="D113" s="340" t="s">
        <v>1082</v>
      </c>
      <c r="E113" s="343">
        <v>2</v>
      </c>
      <c r="F113" s="343">
        <v>2</v>
      </c>
      <c r="G113" s="128" t="s">
        <v>582</v>
      </c>
      <c r="H113" s="129"/>
      <c r="I113" s="130">
        <f t="shared" si="3"/>
        <v>0</v>
      </c>
      <c r="J113" s="110"/>
    </row>
    <row r="114" spans="2:10" x14ac:dyDescent="0.25">
      <c r="B114" s="72"/>
      <c r="C114" s="83"/>
      <c r="D114" s="111"/>
      <c r="E114" s="109"/>
      <c r="F114" s="109"/>
      <c r="G114" s="75"/>
      <c r="H114" s="76"/>
      <c r="I114" s="130">
        <f t="shared" si="3"/>
        <v>0</v>
      </c>
      <c r="J114" s="110"/>
    </row>
    <row r="115" spans="2:10" ht="78" customHeight="1" x14ac:dyDescent="0.25">
      <c r="B115" s="72"/>
      <c r="C115" s="430" t="s">
        <v>1111</v>
      </c>
      <c r="D115" s="431"/>
      <c r="E115" s="109"/>
      <c r="F115" s="75"/>
      <c r="G115" s="75"/>
      <c r="H115" s="76"/>
      <c r="I115" s="130">
        <f t="shared" si="3"/>
        <v>0</v>
      </c>
      <c r="J115" s="110"/>
    </row>
    <row r="116" spans="2:10" x14ac:dyDescent="0.25">
      <c r="B116" s="338"/>
      <c r="C116" s="73"/>
      <c r="D116" s="82"/>
      <c r="E116" s="75"/>
      <c r="F116" s="75"/>
      <c r="G116" s="75"/>
      <c r="H116" s="76"/>
      <c r="I116" s="130">
        <f t="shared" si="3"/>
        <v>0</v>
      </c>
      <c r="J116" s="110"/>
    </row>
    <row r="117" spans="2:10" x14ac:dyDescent="0.25">
      <c r="B117" s="248">
        <f>B113+0.01</f>
        <v>19.230000000000036</v>
      </c>
      <c r="C117" s="84"/>
      <c r="D117" s="158" t="s">
        <v>527</v>
      </c>
      <c r="E117" s="343">
        <f>(28*0.9)+(2.5*3.5)</f>
        <v>33.950000000000003</v>
      </c>
      <c r="F117" s="277">
        <v>34</v>
      </c>
      <c r="G117" s="128" t="s">
        <v>659</v>
      </c>
      <c r="H117" s="279"/>
      <c r="I117" s="130">
        <f t="shared" si="3"/>
        <v>0</v>
      </c>
      <c r="J117" s="110"/>
    </row>
    <row r="118" spans="2:10" x14ac:dyDescent="0.25">
      <c r="B118" s="72"/>
      <c r="C118" s="74"/>
      <c r="D118" s="111"/>
      <c r="E118" s="109"/>
      <c r="F118" s="109"/>
      <c r="G118" s="75"/>
      <c r="H118" s="76"/>
      <c r="I118" s="130">
        <f t="shared" si="3"/>
        <v>0</v>
      </c>
      <c r="J118" s="110"/>
    </row>
    <row r="119" spans="2:10" ht="30" x14ac:dyDescent="0.25">
      <c r="B119" s="248">
        <f>B117+0.01</f>
        <v>19.240000000000038</v>
      </c>
      <c r="C119" s="83"/>
      <c r="D119" s="340" t="s">
        <v>1082</v>
      </c>
      <c r="E119" s="343">
        <v>1</v>
      </c>
      <c r="F119" s="344">
        <v>1</v>
      </c>
      <c r="G119" s="128" t="s">
        <v>582</v>
      </c>
      <c r="H119" s="129"/>
      <c r="I119" s="130">
        <f t="shared" si="3"/>
        <v>0</v>
      </c>
      <c r="J119" s="110"/>
    </row>
    <row r="120" spans="2:10" x14ac:dyDescent="0.25">
      <c r="B120" s="72"/>
      <c r="C120" s="74"/>
      <c r="D120" s="111"/>
      <c r="E120" s="109"/>
      <c r="F120" s="109"/>
      <c r="G120" s="75"/>
      <c r="H120" s="76"/>
      <c r="I120" s="130">
        <f t="shared" si="3"/>
        <v>0</v>
      </c>
      <c r="J120" s="110"/>
    </row>
    <row r="121" spans="2:10" ht="15" customHeight="1" x14ac:dyDescent="0.25">
      <c r="B121" s="72"/>
      <c r="C121" s="430" t="s">
        <v>1083</v>
      </c>
      <c r="D121" s="431"/>
      <c r="E121" s="109"/>
      <c r="F121" s="75"/>
      <c r="G121" s="75"/>
      <c r="H121" s="76"/>
      <c r="I121" s="130">
        <f t="shared" si="3"/>
        <v>0</v>
      </c>
      <c r="J121" s="110"/>
    </row>
    <row r="122" spans="2:10" x14ac:dyDescent="0.25">
      <c r="B122" s="72"/>
      <c r="C122" s="74"/>
      <c r="D122" s="111"/>
      <c r="E122" s="109"/>
      <c r="F122" s="109"/>
      <c r="G122" s="75"/>
      <c r="H122" s="76"/>
      <c r="I122" s="130">
        <f t="shared" si="3"/>
        <v>0</v>
      </c>
      <c r="J122" s="110"/>
    </row>
    <row r="123" spans="2:10" ht="45" x14ac:dyDescent="0.25">
      <c r="B123" s="248">
        <f>B119+0.01</f>
        <v>19.250000000000039</v>
      </c>
      <c r="C123" s="83"/>
      <c r="D123" s="340" t="s">
        <v>1084</v>
      </c>
      <c r="E123" s="343">
        <v>1</v>
      </c>
      <c r="F123" s="344">
        <v>1</v>
      </c>
      <c r="G123" s="128" t="s">
        <v>582</v>
      </c>
      <c r="H123" s="129"/>
      <c r="I123" s="130">
        <f t="shared" si="3"/>
        <v>0</v>
      </c>
      <c r="J123" s="110"/>
    </row>
    <row r="124" spans="2:10" x14ac:dyDescent="0.25">
      <c r="B124" s="72"/>
      <c r="C124" s="74"/>
      <c r="D124" s="111"/>
      <c r="E124" s="109"/>
      <c r="F124" s="109"/>
      <c r="G124" s="75"/>
      <c r="H124" s="76"/>
      <c r="I124" s="130">
        <f t="shared" si="3"/>
        <v>0</v>
      </c>
      <c r="J124" s="110"/>
    </row>
    <row r="125" spans="2:10" ht="91.5" customHeight="1" x14ac:dyDescent="0.25">
      <c r="B125" s="72"/>
      <c r="C125" s="430" t="s">
        <v>1086</v>
      </c>
      <c r="D125" s="431"/>
      <c r="E125" s="109"/>
      <c r="F125" s="75"/>
      <c r="G125" s="75"/>
      <c r="H125" s="76"/>
      <c r="I125" s="130">
        <f t="shared" si="3"/>
        <v>0</v>
      </c>
      <c r="J125" s="110"/>
    </row>
    <row r="126" spans="2:10" x14ac:dyDescent="0.25">
      <c r="B126" s="72"/>
      <c r="C126" s="73"/>
      <c r="D126" s="82"/>
      <c r="E126" s="75"/>
      <c r="F126" s="75"/>
      <c r="G126" s="75"/>
      <c r="H126" s="76"/>
      <c r="I126" s="130">
        <f t="shared" si="3"/>
        <v>0</v>
      </c>
      <c r="J126" s="110"/>
    </row>
    <row r="127" spans="2:10" x14ac:dyDescent="0.25">
      <c r="B127" s="248">
        <f>B123+0.01</f>
        <v>19.260000000000041</v>
      </c>
      <c r="C127" s="84"/>
      <c r="D127" s="158" t="s">
        <v>527</v>
      </c>
      <c r="E127" s="343">
        <f>(6.8*10.8)-(3.3*3.5)</f>
        <v>61.89</v>
      </c>
      <c r="F127" s="277">
        <v>62</v>
      </c>
      <c r="G127" s="128" t="s">
        <v>659</v>
      </c>
      <c r="H127" s="279"/>
      <c r="I127" s="130">
        <f t="shared" si="3"/>
        <v>0</v>
      </c>
      <c r="J127" s="110"/>
    </row>
    <row r="128" spans="2:10" x14ac:dyDescent="0.25">
      <c r="B128" s="248"/>
      <c r="C128" s="74"/>
      <c r="D128" s="111"/>
      <c r="E128" s="109"/>
      <c r="F128" s="109"/>
      <c r="G128" s="75"/>
      <c r="H128" s="76"/>
      <c r="I128" s="130">
        <f t="shared" si="3"/>
        <v>0</v>
      </c>
      <c r="J128" s="110"/>
    </row>
    <row r="129" spans="2:10" x14ac:dyDescent="0.25">
      <c r="B129" s="72"/>
      <c r="C129" s="428" t="s">
        <v>1104</v>
      </c>
      <c r="D129" s="429"/>
      <c r="E129" s="75"/>
      <c r="F129" s="75"/>
      <c r="G129" s="75"/>
      <c r="H129" s="76"/>
      <c r="I129" s="130">
        <f t="shared" si="3"/>
        <v>0</v>
      </c>
      <c r="J129" s="110"/>
    </row>
    <row r="130" spans="2:10" x14ac:dyDescent="0.25">
      <c r="B130" s="72"/>
      <c r="C130" s="175"/>
      <c r="D130" s="347"/>
      <c r="E130" s="75"/>
      <c r="F130" s="75"/>
      <c r="G130" s="75"/>
      <c r="H130" s="76"/>
      <c r="I130" s="130">
        <f t="shared" si="3"/>
        <v>0</v>
      </c>
      <c r="J130" s="110"/>
    </row>
    <row r="131" spans="2:10" x14ac:dyDescent="0.25">
      <c r="B131" s="72"/>
      <c r="C131" s="434" t="s">
        <v>1087</v>
      </c>
      <c r="D131" s="435"/>
      <c r="E131" s="109">
        <f>(2*1.5*1.2)+(2.2*1.5*1.2)</f>
        <v>7.56</v>
      </c>
      <c r="F131" s="109"/>
      <c r="G131" s="75"/>
      <c r="H131" s="76"/>
      <c r="I131" s="130">
        <f t="shared" si="3"/>
        <v>0</v>
      </c>
      <c r="J131" s="110"/>
    </row>
    <row r="132" spans="2:10" x14ac:dyDescent="0.25">
      <c r="B132" s="72"/>
      <c r="C132" s="110"/>
      <c r="D132" s="347"/>
      <c r="E132" s="75">
        <f>28.1*0.6*1.2</f>
        <v>20.231999999999999</v>
      </c>
      <c r="F132" s="75"/>
      <c r="G132" s="75"/>
      <c r="H132" s="76"/>
      <c r="I132" s="130">
        <f t="shared" si="3"/>
        <v>0</v>
      </c>
      <c r="J132" s="110"/>
    </row>
    <row r="133" spans="2:10" x14ac:dyDescent="0.25">
      <c r="B133" s="179">
        <f>B127+0.01</f>
        <v>19.270000000000042</v>
      </c>
      <c r="C133" s="110"/>
      <c r="D133" s="397" t="s">
        <v>1088</v>
      </c>
      <c r="E133" s="343">
        <f>SUM(E131:E132)</f>
        <v>27.791999999999998</v>
      </c>
      <c r="F133" s="128">
        <v>28</v>
      </c>
      <c r="G133" s="128" t="s">
        <v>826</v>
      </c>
      <c r="H133" s="129"/>
      <c r="I133" s="130">
        <f t="shared" si="3"/>
        <v>0</v>
      </c>
      <c r="J133" s="110"/>
    </row>
    <row r="134" spans="2:10" x14ac:dyDescent="0.25">
      <c r="B134" s="72"/>
      <c r="C134" s="74"/>
      <c r="D134" s="111"/>
      <c r="E134" s="109"/>
      <c r="F134" s="109"/>
      <c r="G134" s="75"/>
      <c r="H134" s="76"/>
      <c r="I134" s="130">
        <f t="shared" si="3"/>
        <v>0</v>
      </c>
      <c r="J134" s="110"/>
    </row>
    <row r="135" spans="2:10" x14ac:dyDescent="0.25">
      <c r="B135" s="72"/>
      <c r="C135" s="434" t="s">
        <v>1089</v>
      </c>
      <c r="D135" s="435"/>
      <c r="E135" s="109"/>
      <c r="F135" s="109"/>
      <c r="G135" s="75"/>
      <c r="H135" s="76"/>
      <c r="I135" s="130">
        <f t="shared" si="3"/>
        <v>0</v>
      </c>
      <c r="J135" s="110"/>
    </row>
    <row r="136" spans="2:10" x14ac:dyDescent="0.25">
      <c r="B136" s="72"/>
      <c r="C136" s="74"/>
      <c r="D136" s="111"/>
      <c r="E136" s="109"/>
      <c r="F136" s="109"/>
      <c r="G136" s="75"/>
      <c r="H136" s="76"/>
      <c r="I136" s="130">
        <f t="shared" si="3"/>
        <v>0</v>
      </c>
      <c r="J136" s="110"/>
    </row>
    <row r="137" spans="2:10" x14ac:dyDescent="0.25">
      <c r="B137" s="179">
        <f>B133+0.01</f>
        <v>19.280000000000044</v>
      </c>
      <c r="C137" s="74"/>
      <c r="D137" s="82" t="s">
        <v>527</v>
      </c>
      <c r="E137" s="75">
        <f>28.1*0.6*0.6</f>
        <v>10.116</v>
      </c>
      <c r="F137" s="162">
        <v>10</v>
      </c>
      <c r="G137" s="75" t="s">
        <v>826</v>
      </c>
      <c r="H137" s="76"/>
      <c r="I137" s="130">
        <f t="shared" si="3"/>
        <v>0</v>
      </c>
      <c r="J137" s="110"/>
    </row>
    <row r="138" spans="2:10" x14ac:dyDescent="0.25">
      <c r="B138" s="72"/>
      <c r="C138" s="74"/>
      <c r="D138" s="111"/>
      <c r="E138" s="109"/>
      <c r="F138" s="109"/>
      <c r="G138" s="75"/>
      <c r="H138" s="76"/>
      <c r="I138" s="130">
        <f t="shared" si="3"/>
        <v>0</v>
      </c>
      <c r="J138" s="110"/>
    </row>
    <row r="139" spans="2:10" x14ac:dyDescent="0.25">
      <c r="B139" s="72"/>
      <c r="C139" s="74" t="s">
        <v>854</v>
      </c>
      <c r="D139" s="167"/>
      <c r="E139" s="109"/>
      <c r="F139" s="109"/>
      <c r="G139" s="75"/>
      <c r="H139" s="76"/>
      <c r="I139" s="130">
        <f t="shared" si="3"/>
        <v>0</v>
      </c>
      <c r="J139" s="110"/>
    </row>
    <row r="140" spans="2:10" x14ac:dyDescent="0.25">
      <c r="B140" s="72"/>
      <c r="C140" s="81"/>
      <c r="D140" s="167"/>
      <c r="E140" s="109"/>
      <c r="F140" s="109"/>
      <c r="G140" s="75"/>
      <c r="H140" s="76"/>
      <c r="I140" s="130">
        <f t="shared" si="3"/>
        <v>0</v>
      </c>
      <c r="J140" s="110"/>
    </row>
    <row r="141" spans="2:10" x14ac:dyDescent="0.25">
      <c r="B141" s="179">
        <f>B137+0.01</f>
        <v>19.290000000000045</v>
      </c>
      <c r="C141" s="81"/>
      <c r="D141" s="167" t="s">
        <v>853</v>
      </c>
      <c r="E141" s="109">
        <v>1</v>
      </c>
      <c r="F141" s="162">
        <v>1</v>
      </c>
      <c r="G141" s="75" t="s">
        <v>528</v>
      </c>
      <c r="H141" s="76"/>
      <c r="I141" s="130">
        <f t="shared" si="3"/>
        <v>0</v>
      </c>
      <c r="J141" s="110"/>
    </row>
    <row r="142" spans="2:10" x14ac:dyDescent="0.25">
      <c r="B142" s="72"/>
      <c r="C142" s="81"/>
      <c r="D142" s="167"/>
      <c r="E142" s="109"/>
      <c r="F142" s="109"/>
      <c r="G142" s="75"/>
      <c r="H142" s="76"/>
      <c r="I142" s="130">
        <f t="shared" si="3"/>
        <v>0</v>
      </c>
      <c r="J142" s="110"/>
    </row>
    <row r="143" spans="2:10" x14ac:dyDescent="0.25">
      <c r="B143" s="179">
        <f>B141+0.01</f>
        <v>19.300000000000047</v>
      </c>
      <c r="C143" s="81"/>
      <c r="D143" s="167" t="s">
        <v>855</v>
      </c>
      <c r="E143" s="109">
        <f>E133</f>
        <v>27.791999999999998</v>
      </c>
      <c r="F143" s="162">
        <v>28</v>
      </c>
      <c r="G143" s="75" t="s">
        <v>826</v>
      </c>
      <c r="H143" s="76"/>
      <c r="I143" s="130">
        <f t="shared" si="3"/>
        <v>0</v>
      </c>
      <c r="J143" s="110"/>
    </row>
    <row r="144" spans="2:10" x14ac:dyDescent="0.25">
      <c r="B144" s="72"/>
      <c r="C144" s="74"/>
      <c r="D144" s="111"/>
      <c r="E144" s="109"/>
      <c r="F144" s="109"/>
      <c r="G144" s="75"/>
      <c r="H144" s="76"/>
      <c r="I144" s="130">
        <f t="shared" ref="I144:I207" si="4">F144*H144</f>
        <v>0</v>
      </c>
      <c r="J144" s="110"/>
    </row>
    <row r="145" spans="2:10" x14ac:dyDescent="0.25">
      <c r="B145" s="72"/>
      <c r="C145" s="436" t="s">
        <v>829</v>
      </c>
      <c r="D145" s="435"/>
      <c r="E145" s="109"/>
      <c r="F145" s="109"/>
      <c r="G145" s="75"/>
      <c r="H145" s="76"/>
      <c r="I145" s="130">
        <f t="shared" si="4"/>
        <v>0</v>
      </c>
      <c r="J145" s="110"/>
    </row>
    <row r="146" spans="2:10" x14ac:dyDescent="0.25">
      <c r="B146" s="72"/>
      <c r="C146" s="74"/>
      <c r="D146" s="111"/>
      <c r="E146" s="109"/>
      <c r="F146" s="109"/>
      <c r="G146" s="75"/>
      <c r="H146" s="76"/>
      <c r="I146" s="130">
        <f t="shared" si="4"/>
        <v>0</v>
      </c>
      <c r="J146" s="110"/>
    </row>
    <row r="147" spans="2:10" x14ac:dyDescent="0.25">
      <c r="B147" s="179">
        <f>B143+0.01</f>
        <v>19.310000000000048</v>
      </c>
      <c r="C147" s="74"/>
      <c r="D147" s="82" t="s">
        <v>1093</v>
      </c>
      <c r="E147" s="75">
        <f>28.1*0.6*0.6</f>
        <v>10.116</v>
      </c>
      <c r="F147" s="162">
        <v>10</v>
      </c>
      <c r="G147" s="75" t="s">
        <v>826</v>
      </c>
      <c r="H147" s="76"/>
      <c r="I147" s="130">
        <f t="shared" si="4"/>
        <v>0</v>
      </c>
      <c r="J147" s="110"/>
    </row>
    <row r="148" spans="2:10" x14ac:dyDescent="0.25">
      <c r="B148" s="72"/>
      <c r="C148" s="74"/>
      <c r="D148" s="111"/>
      <c r="E148" s="109"/>
      <c r="F148" s="162"/>
      <c r="G148" s="75"/>
      <c r="H148" s="76"/>
      <c r="I148" s="130">
        <f t="shared" si="4"/>
        <v>0</v>
      </c>
      <c r="J148" s="110"/>
    </row>
    <row r="149" spans="2:10" x14ac:dyDescent="0.25">
      <c r="B149" s="179">
        <f>B147+0.01</f>
        <v>19.32000000000005</v>
      </c>
      <c r="C149" s="74"/>
      <c r="D149" s="82" t="s">
        <v>1094</v>
      </c>
      <c r="E149" s="109">
        <f>(2*1.5*1.2)+(2.2*1.5*1.2)</f>
        <v>7.56</v>
      </c>
      <c r="F149" s="162">
        <v>8</v>
      </c>
      <c r="G149" s="75" t="s">
        <v>826</v>
      </c>
      <c r="H149" s="76"/>
      <c r="I149" s="130">
        <f t="shared" si="4"/>
        <v>0</v>
      </c>
      <c r="J149" s="110"/>
    </row>
    <row r="150" spans="2:10" x14ac:dyDescent="0.25">
      <c r="B150" s="72"/>
      <c r="C150" s="74"/>
      <c r="D150" s="111"/>
      <c r="E150" s="109"/>
      <c r="F150" s="109"/>
      <c r="G150" s="75"/>
      <c r="H150" s="76"/>
      <c r="I150" s="130">
        <f t="shared" si="4"/>
        <v>0</v>
      </c>
      <c r="J150" s="110"/>
    </row>
    <row r="151" spans="2:10" x14ac:dyDescent="0.25">
      <c r="B151" s="72"/>
      <c r="C151" s="418" t="s">
        <v>1090</v>
      </c>
      <c r="D151" s="419"/>
      <c r="E151" s="109"/>
      <c r="F151" s="109"/>
      <c r="G151" s="75"/>
      <c r="H151" s="76"/>
      <c r="I151" s="130">
        <f t="shared" si="4"/>
        <v>0</v>
      </c>
      <c r="J151" s="110"/>
    </row>
    <row r="152" spans="2:10" x14ac:dyDescent="0.25">
      <c r="B152" s="172"/>
      <c r="C152" s="338"/>
      <c r="D152" s="112"/>
      <c r="E152" s="109"/>
      <c r="F152" s="109"/>
      <c r="G152" s="75"/>
      <c r="H152" s="76"/>
      <c r="I152" s="130">
        <f t="shared" si="4"/>
        <v>0</v>
      </c>
      <c r="J152" s="110"/>
    </row>
    <row r="153" spans="2:10" x14ac:dyDescent="0.25">
      <c r="B153" s="179">
        <f>B149+0.01</f>
        <v>19.330000000000052</v>
      </c>
      <c r="C153" s="338"/>
      <c r="D153" s="112" t="s">
        <v>1095</v>
      </c>
      <c r="E153" s="109">
        <f>28.1*0.8</f>
        <v>22.480000000000004</v>
      </c>
      <c r="F153" s="162">
        <v>23</v>
      </c>
      <c r="G153" s="75" t="s">
        <v>659</v>
      </c>
      <c r="H153" s="76"/>
      <c r="I153" s="130">
        <f t="shared" si="4"/>
        <v>0</v>
      </c>
      <c r="J153" s="110"/>
    </row>
    <row r="154" spans="2:10" x14ac:dyDescent="0.25">
      <c r="B154" s="72"/>
      <c r="C154" s="74"/>
      <c r="D154" s="111"/>
      <c r="E154" s="109"/>
      <c r="F154" s="109"/>
      <c r="G154" s="75"/>
      <c r="H154" s="76"/>
      <c r="I154" s="130">
        <f t="shared" si="4"/>
        <v>0</v>
      </c>
      <c r="J154" s="110"/>
    </row>
    <row r="155" spans="2:10" x14ac:dyDescent="0.25">
      <c r="B155" s="72"/>
      <c r="C155" s="74" t="s">
        <v>1098</v>
      </c>
      <c r="D155" s="160"/>
      <c r="E155" s="109"/>
      <c r="F155" s="109"/>
      <c r="G155" s="75"/>
      <c r="H155" s="76"/>
      <c r="I155" s="130">
        <f t="shared" si="4"/>
        <v>0</v>
      </c>
      <c r="J155" s="110"/>
    </row>
    <row r="156" spans="2:10" x14ac:dyDescent="0.25">
      <c r="B156" s="72"/>
      <c r="C156" s="338"/>
      <c r="D156" s="160"/>
      <c r="E156" s="109"/>
      <c r="F156" s="109"/>
      <c r="G156" s="75"/>
      <c r="H156" s="76"/>
      <c r="I156" s="130">
        <f t="shared" si="4"/>
        <v>0</v>
      </c>
      <c r="J156" s="110"/>
    </row>
    <row r="157" spans="2:10" x14ac:dyDescent="0.25">
      <c r="B157" s="179">
        <f>B153+0.01</f>
        <v>19.340000000000053</v>
      </c>
      <c r="C157" s="338"/>
      <c r="D157" s="112" t="s">
        <v>1097</v>
      </c>
      <c r="E157" s="109">
        <f>1.5*0.9*2*2</f>
        <v>5.4</v>
      </c>
      <c r="F157" s="162">
        <v>6</v>
      </c>
      <c r="G157" s="75" t="s">
        <v>659</v>
      </c>
      <c r="H157" s="76"/>
      <c r="I157" s="130">
        <f t="shared" si="4"/>
        <v>0</v>
      </c>
      <c r="J157" s="110"/>
    </row>
    <row r="158" spans="2:10" x14ac:dyDescent="0.25">
      <c r="B158" s="172"/>
      <c r="C158" s="338"/>
      <c r="D158" s="112"/>
      <c r="E158" s="109"/>
      <c r="F158" s="109"/>
      <c r="G158" s="75"/>
      <c r="H158" s="76"/>
      <c r="I158" s="130">
        <f t="shared" si="4"/>
        <v>0</v>
      </c>
      <c r="J158" s="110"/>
    </row>
    <row r="159" spans="2:10" x14ac:dyDescent="0.25">
      <c r="B159" s="179">
        <f>B157+0.01</f>
        <v>19.350000000000055</v>
      </c>
      <c r="C159" s="338"/>
      <c r="D159" s="112" t="s">
        <v>1096</v>
      </c>
      <c r="E159" s="109">
        <f>(2*5)+(2.2*5)</f>
        <v>21</v>
      </c>
      <c r="F159" s="162">
        <v>21</v>
      </c>
      <c r="G159" s="75" t="s">
        <v>660</v>
      </c>
      <c r="H159" s="76"/>
      <c r="I159" s="130">
        <f t="shared" si="4"/>
        <v>0</v>
      </c>
      <c r="J159" s="110"/>
    </row>
    <row r="160" spans="2:10" x14ac:dyDescent="0.25">
      <c r="B160" s="172"/>
      <c r="C160" s="338"/>
      <c r="D160" s="112"/>
      <c r="E160" s="109"/>
      <c r="F160" s="109"/>
      <c r="G160" s="75"/>
      <c r="H160" s="76"/>
      <c r="I160" s="130">
        <f t="shared" si="4"/>
        <v>0</v>
      </c>
      <c r="J160" s="110"/>
    </row>
    <row r="161" spans="2:10" ht="33.75" customHeight="1" x14ac:dyDescent="0.25">
      <c r="B161" s="72"/>
      <c r="C161" s="422" t="s">
        <v>1101</v>
      </c>
      <c r="D161" s="423"/>
      <c r="E161" s="109"/>
      <c r="F161" s="109"/>
      <c r="G161" s="75"/>
      <c r="H161" s="76"/>
      <c r="I161" s="130">
        <f t="shared" si="4"/>
        <v>0</v>
      </c>
      <c r="J161" s="110"/>
    </row>
    <row r="162" spans="2:10" x14ac:dyDescent="0.25">
      <c r="B162" s="72"/>
      <c r="C162" s="74"/>
      <c r="D162" s="111"/>
      <c r="E162" s="109"/>
      <c r="F162" s="109"/>
      <c r="G162" s="75"/>
      <c r="H162" s="76"/>
      <c r="I162" s="130">
        <f t="shared" si="4"/>
        <v>0</v>
      </c>
      <c r="J162" s="110"/>
    </row>
    <row r="163" spans="2:10" x14ac:dyDescent="0.25">
      <c r="B163" s="179">
        <f>B159+0.01</f>
        <v>19.360000000000056</v>
      </c>
      <c r="C163" s="338"/>
      <c r="D163" s="112" t="s">
        <v>1092</v>
      </c>
      <c r="E163" s="343">
        <f>28.1*0.9</f>
        <v>25.290000000000003</v>
      </c>
      <c r="F163" s="344">
        <v>25</v>
      </c>
      <c r="G163" s="128" t="s">
        <v>659</v>
      </c>
      <c r="H163" s="129"/>
      <c r="I163" s="130">
        <f t="shared" si="4"/>
        <v>0</v>
      </c>
      <c r="J163" s="110"/>
    </row>
    <row r="164" spans="2:10" x14ac:dyDescent="0.25">
      <c r="B164" s="72"/>
      <c r="C164" s="74"/>
      <c r="D164" s="111"/>
      <c r="E164" s="109"/>
      <c r="F164" s="109"/>
      <c r="G164" s="75"/>
      <c r="H164" s="76"/>
      <c r="I164" s="130">
        <f t="shared" si="4"/>
        <v>0</v>
      </c>
      <c r="J164" s="110"/>
    </row>
    <row r="165" spans="2:10" ht="44.25" customHeight="1" x14ac:dyDescent="0.25">
      <c r="B165" s="72"/>
      <c r="C165" s="418" t="s">
        <v>1100</v>
      </c>
      <c r="D165" s="419"/>
      <c r="E165" s="109"/>
      <c r="F165" s="109"/>
      <c r="G165" s="75"/>
      <c r="H165" s="76"/>
      <c r="I165" s="130">
        <f t="shared" si="4"/>
        <v>0</v>
      </c>
      <c r="J165" s="110"/>
    </row>
    <row r="166" spans="2:10" x14ac:dyDescent="0.25">
      <c r="B166" s="72"/>
      <c r="C166" s="74"/>
      <c r="D166" s="111"/>
      <c r="E166" s="109"/>
      <c r="F166" s="109"/>
      <c r="G166" s="75"/>
      <c r="H166" s="76"/>
      <c r="I166" s="130">
        <f t="shared" si="4"/>
        <v>0</v>
      </c>
      <c r="J166" s="110"/>
    </row>
    <row r="167" spans="2:10" x14ac:dyDescent="0.25">
      <c r="B167" s="172">
        <f>B163+0.01</f>
        <v>19.370000000000058</v>
      </c>
      <c r="C167" s="74"/>
      <c r="D167" s="82" t="s">
        <v>1091</v>
      </c>
      <c r="E167" s="343">
        <f>28.1*0.9</f>
        <v>25.290000000000003</v>
      </c>
      <c r="F167" s="344">
        <v>25</v>
      </c>
      <c r="G167" s="128" t="s">
        <v>659</v>
      </c>
      <c r="H167" s="129"/>
      <c r="I167" s="130">
        <f t="shared" si="4"/>
        <v>0</v>
      </c>
      <c r="J167" s="110"/>
    </row>
    <row r="168" spans="2:10" x14ac:dyDescent="0.25">
      <c r="B168" s="72"/>
      <c r="C168" s="74"/>
      <c r="D168" s="111"/>
      <c r="E168" s="109"/>
      <c r="F168" s="109"/>
      <c r="G168" s="75"/>
      <c r="H168" s="76"/>
      <c r="I168" s="130">
        <f t="shared" si="4"/>
        <v>0</v>
      </c>
      <c r="J168" s="110"/>
    </row>
    <row r="169" spans="2:10" x14ac:dyDescent="0.25">
      <c r="B169" s="72"/>
      <c r="C169" s="418" t="s">
        <v>843</v>
      </c>
      <c r="D169" s="419"/>
      <c r="E169" s="109"/>
      <c r="F169" s="109"/>
      <c r="G169" s="75"/>
      <c r="H169" s="76"/>
      <c r="I169" s="130">
        <f t="shared" si="4"/>
        <v>0</v>
      </c>
      <c r="J169" s="110"/>
    </row>
    <row r="170" spans="2:10" x14ac:dyDescent="0.25">
      <c r="B170" s="72"/>
      <c r="C170" s="171"/>
      <c r="D170" s="112"/>
      <c r="E170" s="109"/>
      <c r="F170" s="109"/>
      <c r="G170" s="75"/>
      <c r="H170" s="76"/>
      <c r="I170" s="130">
        <f t="shared" si="4"/>
        <v>0</v>
      </c>
      <c r="J170" s="110"/>
    </row>
    <row r="171" spans="2:10" x14ac:dyDescent="0.25">
      <c r="B171" s="172">
        <f>B167+0.01</f>
        <v>19.380000000000059</v>
      </c>
      <c r="C171" s="73"/>
      <c r="D171" s="82" t="s">
        <v>1095</v>
      </c>
      <c r="E171" s="343">
        <f>28.1*0.9</f>
        <v>25.290000000000003</v>
      </c>
      <c r="F171" s="344">
        <v>25</v>
      </c>
      <c r="G171" s="128" t="s">
        <v>659</v>
      </c>
      <c r="H171" s="76"/>
      <c r="I171" s="130">
        <f t="shared" si="4"/>
        <v>0</v>
      </c>
      <c r="J171" s="110"/>
    </row>
    <row r="172" spans="2:10" x14ac:dyDescent="0.25">
      <c r="B172" s="72"/>
      <c r="C172" s="74"/>
      <c r="D172" s="111"/>
      <c r="E172" s="109"/>
      <c r="F172" s="109"/>
      <c r="G172" s="75"/>
      <c r="H172" s="76"/>
      <c r="I172" s="130">
        <f t="shared" si="4"/>
        <v>0</v>
      </c>
      <c r="J172" s="110"/>
    </row>
    <row r="173" spans="2:10" ht="29.25" customHeight="1" x14ac:dyDescent="0.25">
      <c r="B173" s="72"/>
      <c r="C173" s="422" t="s">
        <v>1102</v>
      </c>
      <c r="D173" s="423"/>
      <c r="E173" s="109"/>
      <c r="F173" s="109"/>
      <c r="G173" s="75"/>
      <c r="H173" s="76"/>
      <c r="I173" s="130">
        <f t="shared" si="4"/>
        <v>0</v>
      </c>
      <c r="J173" s="110"/>
    </row>
    <row r="174" spans="2:10" x14ac:dyDescent="0.25">
      <c r="B174" s="72"/>
      <c r="C174" s="74"/>
      <c r="D174" s="111"/>
      <c r="E174" s="109"/>
      <c r="F174" s="109"/>
      <c r="G174" s="75"/>
      <c r="H174" s="76"/>
      <c r="I174" s="130">
        <f t="shared" si="4"/>
        <v>0</v>
      </c>
      <c r="J174" s="110"/>
    </row>
    <row r="175" spans="2:10" x14ac:dyDescent="0.25">
      <c r="B175" s="172">
        <f>B171+0.01</f>
        <v>19.390000000000061</v>
      </c>
      <c r="C175" s="74"/>
      <c r="D175" s="82" t="s">
        <v>1103</v>
      </c>
      <c r="E175" s="109">
        <v>28.1</v>
      </c>
      <c r="F175" s="162">
        <v>28</v>
      </c>
      <c r="G175" s="75" t="s">
        <v>660</v>
      </c>
      <c r="H175" s="76"/>
      <c r="I175" s="130">
        <f t="shared" si="4"/>
        <v>0</v>
      </c>
      <c r="J175" s="110"/>
    </row>
    <row r="176" spans="2:10" x14ac:dyDescent="0.25">
      <c r="B176" s="72"/>
      <c r="C176" s="74"/>
      <c r="D176" s="111"/>
      <c r="E176" s="109"/>
      <c r="F176" s="109"/>
      <c r="G176" s="75"/>
      <c r="H176" s="76"/>
      <c r="I176" s="130">
        <f t="shared" si="4"/>
        <v>0</v>
      </c>
      <c r="J176" s="110"/>
    </row>
    <row r="177" spans="2:10" ht="31.5" customHeight="1" x14ac:dyDescent="0.25">
      <c r="B177" s="72"/>
      <c r="C177" s="418" t="s">
        <v>1105</v>
      </c>
      <c r="D177" s="419"/>
      <c r="E177" s="109"/>
      <c r="F177" s="109"/>
      <c r="G177" s="75"/>
      <c r="H177" s="76"/>
      <c r="I177" s="130">
        <f t="shared" si="4"/>
        <v>0</v>
      </c>
      <c r="J177" s="110"/>
    </row>
    <row r="178" spans="2:10" x14ac:dyDescent="0.25">
      <c r="B178" s="72"/>
      <c r="C178" s="110"/>
      <c r="D178" s="347"/>
      <c r="E178" s="109"/>
      <c r="F178" s="109"/>
      <c r="G178" s="75"/>
      <c r="H178" s="76"/>
      <c r="I178" s="130">
        <f t="shared" si="4"/>
        <v>0</v>
      </c>
      <c r="J178" s="110"/>
    </row>
    <row r="179" spans="2:10" ht="30" x14ac:dyDescent="0.25">
      <c r="B179" s="179">
        <f>B175+0.01</f>
        <v>19.400000000000063</v>
      </c>
      <c r="C179" s="110"/>
      <c r="D179" s="112" t="s">
        <v>1106</v>
      </c>
      <c r="E179" s="343">
        <f>(2*4)+(2.2*4)</f>
        <v>16.8</v>
      </c>
      <c r="F179" s="344">
        <v>17</v>
      </c>
      <c r="G179" s="128" t="s">
        <v>660</v>
      </c>
      <c r="H179" s="129"/>
      <c r="I179" s="130">
        <f t="shared" si="4"/>
        <v>0</v>
      </c>
      <c r="J179" s="110"/>
    </row>
    <row r="180" spans="2:10" x14ac:dyDescent="0.25">
      <c r="B180" s="72"/>
      <c r="C180" s="74"/>
      <c r="D180" s="111"/>
      <c r="E180" s="109"/>
      <c r="F180" s="109"/>
      <c r="G180" s="75"/>
      <c r="H180" s="76"/>
      <c r="I180" s="130">
        <f t="shared" si="4"/>
        <v>0</v>
      </c>
      <c r="J180" s="110"/>
    </row>
    <row r="181" spans="2:10" x14ac:dyDescent="0.25">
      <c r="B181" s="179">
        <f>B179+0.01</f>
        <v>19.410000000000064</v>
      </c>
      <c r="C181" s="110"/>
      <c r="D181" s="112" t="s">
        <v>1107</v>
      </c>
      <c r="E181" s="343">
        <f>(2*5)+(2.2*5)</f>
        <v>21</v>
      </c>
      <c r="F181" s="344">
        <v>21</v>
      </c>
      <c r="G181" s="128" t="s">
        <v>660</v>
      </c>
      <c r="H181" s="129"/>
      <c r="I181" s="130">
        <f t="shared" si="4"/>
        <v>0</v>
      </c>
      <c r="J181" s="110"/>
    </row>
    <row r="182" spans="2:10" x14ac:dyDescent="0.25">
      <c r="B182" s="72"/>
      <c r="C182" s="74"/>
      <c r="D182" s="111"/>
      <c r="E182" s="109"/>
      <c r="F182" s="109"/>
      <c r="G182" s="75"/>
      <c r="H182" s="76"/>
      <c r="I182" s="130">
        <f t="shared" si="4"/>
        <v>0</v>
      </c>
      <c r="J182" s="110"/>
    </row>
    <row r="183" spans="2:10" ht="63.75" customHeight="1" x14ac:dyDescent="0.25">
      <c r="B183" s="72"/>
      <c r="C183" s="418" t="s">
        <v>1112</v>
      </c>
      <c r="D183" s="419"/>
      <c r="E183" s="109"/>
      <c r="F183" s="109"/>
      <c r="G183" s="75"/>
      <c r="H183" s="76"/>
      <c r="I183" s="130">
        <f t="shared" si="4"/>
        <v>0</v>
      </c>
      <c r="J183" s="110"/>
    </row>
    <row r="184" spans="2:10" x14ac:dyDescent="0.25">
      <c r="B184" s="72"/>
      <c r="C184" s="74"/>
      <c r="D184" s="111"/>
      <c r="E184" s="109"/>
      <c r="F184" s="109"/>
      <c r="G184" s="75"/>
      <c r="H184" s="76"/>
      <c r="I184" s="130">
        <f t="shared" si="4"/>
        <v>0</v>
      </c>
      <c r="J184" s="110"/>
    </row>
    <row r="185" spans="2:10" x14ac:dyDescent="0.25">
      <c r="B185" s="179">
        <f>B181+0.01</f>
        <v>19.420000000000066</v>
      </c>
      <c r="C185" s="74"/>
      <c r="D185" s="82" t="s">
        <v>1108</v>
      </c>
      <c r="E185" s="343">
        <v>1</v>
      </c>
      <c r="F185" s="344">
        <v>1</v>
      </c>
      <c r="G185" s="128" t="s">
        <v>582</v>
      </c>
      <c r="H185" s="129"/>
      <c r="I185" s="130">
        <f t="shared" si="4"/>
        <v>0</v>
      </c>
      <c r="J185" s="110"/>
    </row>
    <row r="186" spans="2:10" x14ac:dyDescent="0.25">
      <c r="B186" s="72"/>
      <c r="C186" s="74"/>
      <c r="D186" s="111"/>
      <c r="E186" s="109"/>
      <c r="F186" s="109"/>
      <c r="G186" s="75"/>
      <c r="H186" s="76"/>
      <c r="I186" s="130">
        <f t="shared" si="4"/>
        <v>0</v>
      </c>
      <c r="J186" s="110"/>
    </row>
    <row r="187" spans="2:10" x14ac:dyDescent="0.25">
      <c r="B187" s="179">
        <f>B185+0.01</f>
        <v>19.430000000000067</v>
      </c>
      <c r="C187" s="74"/>
      <c r="D187" s="82" t="s">
        <v>1109</v>
      </c>
      <c r="E187" s="343">
        <v>1</v>
      </c>
      <c r="F187" s="344">
        <v>1</v>
      </c>
      <c r="G187" s="128" t="s">
        <v>582</v>
      </c>
      <c r="H187" s="129"/>
      <c r="I187" s="130">
        <f t="shared" si="4"/>
        <v>0</v>
      </c>
      <c r="J187" s="110"/>
    </row>
    <row r="188" spans="2:10" x14ac:dyDescent="0.25">
      <c r="B188" s="72"/>
      <c r="C188" s="74"/>
      <c r="D188" s="111"/>
      <c r="E188" s="109"/>
      <c r="F188" s="109"/>
      <c r="G188" s="75"/>
      <c r="H188" s="76"/>
      <c r="I188" s="130">
        <f t="shared" si="4"/>
        <v>0</v>
      </c>
      <c r="J188" s="110"/>
    </row>
    <row r="189" spans="2:10" x14ac:dyDescent="0.25">
      <c r="B189" s="179">
        <f>B187+0.01</f>
        <v>19.440000000000069</v>
      </c>
      <c r="C189" s="74"/>
      <c r="D189" s="82" t="s">
        <v>1110</v>
      </c>
      <c r="E189" s="343">
        <v>4</v>
      </c>
      <c r="F189" s="344">
        <v>4</v>
      </c>
      <c r="G189" s="128" t="s">
        <v>582</v>
      </c>
      <c r="H189" s="129"/>
      <c r="I189" s="130">
        <f t="shared" si="4"/>
        <v>0</v>
      </c>
      <c r="J189" s="110"/>
    </row>
    <row r="190" spans="2:10" x14ac:dyDescent="0.25">
      <c r="B190" s="72"/>
      <c r="C190" s="74"/>
      <c r="D190" s="111"/>
      <c r="E190" s="109"/>
      <c r="F190" s="109"/>
      <c r="G190" s="75"/>
      <c r="H190" s="76"/>
      <c r="I190" s="130">
        <f t="shared" si="4"/>
        <v>0</v>
      </c>
      <c r="J190" s="110"/>
    </row>
    <row r="191" spans="2:10" x14ac:dyDescent="0.25">
      <c r="B191" s="72"/>
      <c r="C191" s="349" t="s">
        <v>812</v>
      </c>
      <c r="D191" s="82"/>
      <c r="E191" s="75"/>
      <c r="F191" s="75"/>
      <c r="G191" s="75"/>
      <c r="H191" s="76"/>
      <c r="I191" s="130">
        <f t="shared" si="4"/>
        <v>0</v>
      </c>
      <c r="J191" s="110"/>
    </row>
    <row r="192" spans="2:10" x14ac:dyDescent="0.25">
      <c r="B192" s="72"/>
      <c r="C192" s="84"/>
      <c r="D192" s="82"/>
      <c r="E192" s="75"/>
      <c r="F192" s="75"/>
      <c r="G192" s="75"/>
      <c r="H192" s="76"/>
      <c r="I192" s="130">
        <f t="shared" si="4"/>
        <v>0</v>
      </c>
      <c r="J192" s="110"/>
    </row>
    <row r="193" spans="2:10" ht="77.25" customHeight="1" x14ac:dyDescent="0.25">
      <c r="B193" s="72"/>
      <c r="C193" s="430" t="s">
        <v>1114</v>
      </c>
      <c r="D193" s="431"/>
      <c r="E193" s="109"/>
      <c r="F193" s="75"/>
      <c r="G193" s="75"/>
      <c r="H193" s="76"/>
      <c r="I193" s="130">
        <f t="shared" si="4"/>
        <v>0</v>
      </c>
      <c r="J193" s="110"/>
    </row>
    <row r="194" spans="2:10" x14ac:dyDescent="0.25">
      <c r="B194" s="338"/>
      <c r="C194" s="73"/>
      <c r="D194" s="82"/>
      <c r="E194" s="75"/>
      <c r="F194" s="75"/>
      <c r="G194" s="75"/>
      <c r="H194" s="76"/>
      <c r="I194" s="130">
        <f t="shared" si="4"/>
        <v>0</v>
      </c>
      <c r="J194" s="110"/>
    </row>
    <row r="195" spans="2:10" x14ac:dyDescent="0.25">
      <c r="B195" s="248">
        <f>B189+0.01</f>
        <v>19.45000000000007</v>
      </c>
      <c r="C195" s="84"/>
      <c r="D195" s="158" t="s">
        <v>527</v>
      </c>
      <c r="E195" s="343">
        <f>13.7+7.2+13.7+1.4</f>
        <v>35.999999999999993</v>
      </c>
      <c r="F195" s="277">
        <v>36</v>
      </c>
      <c r="G195" s="128" t="s">
        <v>660</v>
      </c>
      <c r="H195" s="279"/>
      <c r="I195" s="130">
        <f t="shared" si="4"/>
        <v>0</v>
      </c>
      <c r="J195" s="110"/>
    </row>
    <row r="196" spans="2:10" x14ac:dyDescent="0.25">
      <c r="B196" s="72"/>
      <c r="C196" s="84"/>
      <c r="D196" s="82"/>
      <c r="E196" s="75"/>
      <c r="F196" s="75"/>
      <c r="G196" s="75"/>
      <c r="H196" s="76"/>
      <c r="I196" s="130">
        <f t="shared" si="4"/>
        <v>0</v>
      </c>
      <c r="J196" s="110"/>
    </row>
    <row r="197" spans="2:10" ht="45" x14ac:dyDescent="0.25">
      <c r="B197" s="248">
        <f>B195+0.01</f>
        <v>19.460000000000072</v>
      </c>
      <c r="C197" s="84"/>
      <c r="D197" s="340" t="s">
        <v>1113</v>
      </c>
      <c r="E197" s="343">
        <v>1</v>
      </c>
      <c r="F197" s="277">
        <v>1</v>
      </c>
      <c r="G197" s="128" t="s">
        <v>582</v>
      </c>
      <c r="H197" s="279"/>
      <c r="I197" s="130">
        <f t="shared" si="4"/>
        <v>0</v>
      </c>
      <c r="J197" s="110"/>
    </row>
    <row r="198" spans="2:10" x14ac:dyDescent="0.25">
      <c r="B198" s="72"/>
      <c r="C198" s="74"/>
      <c r="D198" s="111"/>
      <c r="E198" s="109"/>
      <c r="F198" s="109"/>
      <c r="G198" s="75"/>
      <c r="H198" s="76"/>
      <c r="I198" s="130">
        <f t="shared" si="4"/>
        <v>0</v>
      </c>
      <c r="J198" s="110"/>
    </row>
    <row r="199" spans="2:10" x14ac:dyDescent="0.25">
      <c r="B199" s="72"/>
      <c r="C199" s="428" t="s">
        <v>1115</v>
      </c>
      <c r="D199" s="429"/>
      <c r="E199" s="109"/>
      <c r="F199" s="109"/>
      <c r="G199" s="75"/>
      <c r="H199" s="76"/>
      <c r="I199" s="130">
        <f t="shared" si="4"/>
        <v>0</v>
      </c>
      <c r="J199" s="110"/>
    </row>
    <row r="200" spans="2:10" x14ac:dyDescent="0.25">
      <c r="B200" s="72"/>
      <c r="C200" s="395"/>
      <c r="D200" s="111"/>
      <c r="E200" s="109"/>
      <c r="F200" s="109"/>
      <c r="G200" s="75"/>
      <c r="H200" s="76"/>
      <c r="I200" s="130">
        <f t="shared" si="4"/>
        <v>0</v>
      </c>
      <c r="J200" s="110"/>
    </row>
    <row r="201" spans="2:10" ht="75" customHeight="1" x14ac:dyDescent="0.25">
      <c r="B201" s="72"/>
      <c r="C201" s="430" t="s">
        <v>1118</v>
      </c>
      <c r="D201" s="431"/>
      <c r="E201" s="109"/>
      <c r="F201" s="109"/>
      <c r="G201" s="75"/>
      <c r="H201" s="76"/>
      <c r="I201" s="130">
        <f t="shared" si="4"/>
        <v>0</v>
      </c>
      <c r="J201" s="110"/>
    </row>
    <row r="202" spans="2:10" x14ac:dyDescent="0.25">
      <c r="B202" s="338"/>
      <c r="C202" s="73"/>
      <c r="D202" s="82"/>
      <c r="E202" s="109"/>
      <c r="F202" s="109"/>
      <c r="G202" s="75"/>
      <c r="H202" s="76"/>
      <c r="I202" s="130">
        <f t="shared" si="4"/>
        <v>0</v>
      </c>
      <c r="J202" s="110"/>
    </row>
    <row r="203" spans="2:10" x14ac:dyDescent="0.25">
      <c r="B203" s="248">
        <f>B197+0.01</f>
        <v>19.470000000000073</v>
      </c>
      <c r="C203" s="84"/>
      <c r="D203" s="158" t="s">
        <v>527</v>
      </c>
      <c r="E203" s="109">
        <f>3.06+1.1+1.1</f>
        <v>5.26</v>
      </c>
      <c r="F203" s="109">
        <v>6</v>
      </c>
      <c r="G203" s="75" t="s">
        <v>660</v>
      </c>
      <c r="H203" s="76"/>
      <c r="I203" s="130">
        <f t="shared" si="4"/>
        <v>0</v>
      </c>
      <c r="J203" s="110"/>
    </row>
    <row r="204" spans="2:10" x14ac:dyDescent="0.25">
      <c r="B204" s="72"/>
      <c r="C204" s="74"/>
      <c r="D204" s="111"/>
      <c r="E204" s="109"/>
      <c r="F204" s="109"/>
      <c r="G204" s="75"/>
      <c r="H204" s="76"/>
      <c r="I204" s="130">
        <f t="shared" si="4"/>
        <v>0</v>
      </c>
      <c r="J204" s="110"/>
    </row>
    <row r="205" spans="2:10" ht="30" x14ac:dyDescent="0.25">
      <c r="B205" s="248">
        <f>B203+0.01</f>
        <v>19.480000000000075</v>
      </c>
      <c r="C205" s="84"/>
      <c r="D205" s="340" t="s">
        <v>1116</v>
      </c>
      <c r="E205" s="343">
        <v>4</v>
      </c>
      <c r="F205" s="277">
        <v>4</v>
      </c>
      <c r="G205" s="128" t="s">
        <v>582</v>
      </c>
      <c r="H205" s="279"/>
      <c r="I205" s="130">
        <f t="shared" si="4"/>
        <v>0</v>
      </c>
      <c r="J205" s="110"/>
    </row>
    <row r="206" spans="2:10" x14ac:dyDescent="0.25">
      <c r="B206" s="72"/>
      <c r="C206" s="74"/>
      <c r="D206" s="111"/>
      <c r="E206" s="109"/>
      <c r="F206" s="109"/>
      <c r="G206" s="75"/>
      <c r="H206" s="76"/>
      <c r="I206" s="130">
        <f t="shared" si="4"/>
        <v>0</v>
      </c>
      <c r="J206" s="110"/>
    </row>
    <row r="207" spans="2:10" x14ac:dyDescent="0.25">
      <c r="B207" s="72"/>
      <c r="C207" s="428" t="s">
        <v>1117</v>
      </c>
      <c r="D207" s="429"/>
      <c r="E207" s="109"/>
      <c r="F207" s="109"/>
      <c r="G207" s="75"/>
      <c r="H207" s="76"/>
      <c r="I207" s="130">
        <f t="shared" si="4"/>
        <v>0</v>
      </c>
      <c r="J207" s="110"/>
    </row>
    <row r="208" spans="2:10" x14ac:dyDescent="0.25">
      <c r="B208" s="72"/>
      <c r="C208" s="395"/>
      <c r="D208" s="111"/>
      <c r="E208" s="109"/>
      <c r="F208" s="109"/>
      <c r="G208" s="75"/>
      <c r="H208" s="76"/>
      <c r="I208" s="130">
        <f t="shared" ref="I208:I269" si="5">F208*H208</f>
        <v>0</v>
      </c>
      <c r="J208" s="110"/>
    </row>
    <row r="209" spans="2:10" ht="93" customHeight="1" x14ac:dyDescent="0.25">
      <c r="B209" s="72"/>
      <c r="C209" s="430" t="s">
        <v>1397</v>
      </c>
      <c r="D209" s="431"/>
      <c r="E209" s="109"/>
      <c r="F209" s="109"/>
      <c r="G209" s="75"/>
      <c r="H209" s="76"/>
      <c r="I209" s="130">
        <f t="shared" si="5"/>
        <v>0</v>
      </c>
      <c r="J209" s="110"/>
    </row>
    <row r="210" spans="2:10" x14ac:dyDescent="0.25">
      <c r="B210" s="338"/>
      <c r="C210" s="73"/>
      <c r="D210" s="82"/>
      <c r="E210" s="109"/>
      <c r="F210" s="109"/>
      <c r="G210" s="75"/>
      <c r="H210" s="76"/>
      <c r="I210" s="130">
        <f t="shared" si="5"/>
        <v>0</v>
      </c>
      <c r="J210" s="110"/>
    </row>
    <row r="211" spans="2:10" x14ac:dyDescent="0.25">
      <c r="B211" s="248">
        <f>B205+0.01</f>
        <v>19.490000000000077</v>
      </c>
      <c r="C211" s="84"/>
      <c r="D211" s="158" t="s">
        <v>527</v>
      </c>
      <c r="E211" s="109">
        <f>1.8+1</f>
        <v>2.8</v>
      </c>
      <c r="F211" s="162">
        <v>3</v>
      </c>
      <c r="G211" s="75" t="s">
        <v>660</v>
      </c>
      <c r="H211" s="76"/>
      <c r="I211" s="130">
        <f t="shared" si="5"/>
        <v>0</v>
      </c>
      <c r="J211" s="110"/>
    </row>
    <row r="212" spans="2:10" x14ac:dyDescent="0.25">
      <c r="B212" s="72"/>
      <c r="C212" s="74"/>
      <c r="D212" s="111"/>
      <c r="E212" s="109"/>
      <c r="F212" s="109"/>
      <c r="G212" s="75"/>
      <c r="H212" s="76"/>
      <c r="I212" s="130">
        <f t="shared" si="5"/>
        <v>0</v>
      </c>
      <c r="J212" s="110"/>
    </row>
    <row r="213" spans="2:10" ht="31.5" customHeight="1" x14ac:dyDescent="0.25">
      <c r="B213" s="248">
        <f>B211+0.01</f>
        <v>19.500000000000078</v>
      </c>
      <c r="C213" s="84"/>
      <c r="D213" s="379" t="s">
        <v>1119</v>
      </c>
      <c r="E213" s="343">
        <v>1</v>
      </c>
      <c r="F213" s="277">
        <v>1</v>
      </c>
      <c r="G213" s="128" t="s">
        <v>582</v>
      </c>
      <c r="H213" s="279"/>
      <c r="I213" s="130">
        <f t="shared" si="5"/>
        <v>0</v>
      </c>
      <c r="J213" s="110"/>
    </row>
    <row r="214" spans="2:10" x14ac:dyDescent="0.25">
      <c r="B214" s="72"/>
      <c r="C214" s="74"/>
      <c r="D214" s="111"/>
      <c r="E214" s="109"/>
      <c r="F214" s="109"/>
      <c r="G214" s="75"/>
      <c r="H214" s="76"/>
      <c r="I214" s="130">
        <f t="shared" si="5"/>
        <v>0</v>
      </c>
      <c r="J214" s="110"/>
    </row>
    <row r="215" spans="2:10" x14ac:dyDescent="0.25">
      <c r="B215" s="72"/>
      <c r="C215" s="428" t="s">
        <v>1124</v>
      </c>
      <c r="D215" s="429"/>
      <c r="E215" s="109"/>
      <c r="F215" s="109"/>
      <c r="G215" s="75"/>
      <c r="H215" s="76"/>
      <c r="I215" s="130">
        <f t="shared" si="5"/>
        <v>0</v>
      </c>
      <c r="J215" s="110"/>
    </row>
    <row r="216" spans="2:10" x14ac:dyDescent="0.25">
      <c r="B216" s="72"/>
      <c r="C216" s="395"/>
      <c r="D216" s="111"/>
      <c r="E216" s="109"/>
      <c r="F216" s="109"/>
      <c r="G216" s="75"/>
      <c r="H216" s="76"/>
      <c r="I216" s="130">
        <f t="shared" si="5"/>
        <v>0</v>
      </c>
      <c r="J216" s="110"/>
    </row>
    <row r="217" spans="2:10" ht="59.25" customHeight="1" x14ac:dyDescent="0.25">
      <c r="B217" s="72"/>
      <c r="C217" s="430" t="s">
        <v>1125</v>
      </c>
      <c r="D217" s="431"/>
      <c r="E217" s="109"/>
      <c r="F217" s="109"/>
      <c r="G217" s="75"/>
      <c r="H217" s="76"/>
      <c r="I217" s="130">
        <f t="shared" si="5"/>
        <v>0</v>
      </c>
      <c r="J217" s="110"/>
    </row>
    <row r="218" spans="2:10" x14ac:dyDescent="0.25">
      <c r="B218" s="338"/>
      <c r="C218" s="73"/>
      <c r="D218" s="82"/>
      <c r="E218" s="109"/>
      <c r="F218" s="109"/>
      <c r="G218" s="75"/>
      <c r="H218" s="76"/>
      <c r="I218" s="130">
        <f t="shared" si="5"/>
        <v>0</v>
      </c>
      <c r="J218" s="110"/>
    </row>
    <row r="219" spans="2:10" x14ac:dyDescent="0.25">
      <c r="B219" s="248">
        <f>B213+0.01</f>
        <v>19.51000000000008</v>
      </c>
      <c r="C219" s="84"/>
      <c r="D219" s="158" t="s">
        <v>527</v>
      </c>
      <c r="E219" s="109">
        <v>2</v>
      </c>
      <c r="F219" s="162">
        <v>2</v>
      </c>
      <c r="G219" s="75" t="s">
        <v>582</v>
      </c>
      <c r="H219" s="76"/>
      <c r="I219" s="130">
        <f t="shared" si="5"/>
        <v>0</v>
      </c>
      <c r="J219" s="110"/>
    </row>
    <row r="220" spans="2:10" x14ac:dyDescent="0.25">
      <c r="B220" s="72"/>
      <c r="C220" s="395"/>
      <c r="D220" s="111"/>
      <c r="E220" s="109"/>
      <c r="F220" s="109"/>
      <c r="G220" s="75"/>
      <c r="H220" s="76"/>
      <c r="I220" s="130">
        <f t="shared" si="5"/>
        <v>0</v>
      </c>
      <c r="J220" s="110"/>
    </row>
    <row r="221" spans="2:10" ht="28.5" customHeight="1" x14ac:dyDescent="0.25">
      <c r="B221" s="72"/>
      <c r="C221" s="418" t="s">
        <v>1127</v>
      </c>
      <c r="D221" s="419"/>
      <c r="E221" s="109"/>
      <c r="F221" s="109"/>
      <c r="G221" s="75"/>
      <c r="H221" s="76"/>
      <c r="I221" s="130">
        <f t="shared" si="5"/>
        <v>0</v>
      </c>
      <c r="J221" s="110"/>
    </row>
    <row r="222" spans="2:10" x14ac:dyDescent="0.25">
      <c r="B222" s="338"/>
      <c r="C222" s="175"/>
      <c r="D222" s="347"/>
      <c r="E222" s="109"/>
      <c r="F222" s="109"/>
      <c r="G222" s="75"/>
      <c r="H222" s="76"/>
      <c r="I222" s="130">
        <f t="shared" si="5"/>
        <v>0</v>
      </c>
      <c r="J222" s="110"/>
    </row>
    <row r="223" spans="2:10" x14ac:dyDescent="0.25">
      <c r="B223" s="248">
        <f>B219+0.01</f>
        <v>19.520000000000081</v>
      </c>
      <c r="C223" s="84"/>
      <c r="D223" s="158" t="s">
        <v>527</v>
      </c>
      <c r="E223" s="109">
        <v>1</v>
      </c>
      <c r="F223" s="162">
        <v>1</v>
      </c>
      <c r="G223" s="75" t="s">
        <v>1128</v>
      </c>
      <c r="H223" s="76"/>
      <c r="I223" s="130">
        <f t="shared" si="5"/>
        <v>0</v>
      </c>
      <c r="J223" s="110"/>
    </row>
    <row r="224" spans="2:10" x14ac:dyDescent="0.25">
      <c r="B224" s="72"/>
      <c r="C224" s="395"/>
      <c r="D224" s="111"/>
      <c r="E224" s="109"/>
      <c r="F224" s="109"/>
      <c r="G224" s="75"/>
      <c r="H224" s="76"/>
      <c r="I224" s="130">
        <f t="shared" si="5"/>
        <v>0</v>
      </c>
      <c r="J224" s="110"/>
    </row>
    <row r="225" spans="2:10" x14ac:dyDescent="0.25">
      <c r="B225" s="72"/>
      <c r="C225" s="428" t="s">
        <v>1126</v>
      </c>
      <c r="D225" s="429"/>
      <c r="E225" s="109"/>
      <c r="F225" s="109"/>
      <c r="G225" s="75"/>
      <c r="H225" s="76"/>
      <c r="I225" s="130">
        <f t="shared" si="5"/>
        <v>0</v>
      </c>
      <c r="J225" s="110"/>
    </row>
    <row r="226" spans="2:10" x14ac:dyDescent="0.25">
      <c r="B226" s="72"/>
      <c r="C226" s="395"/>
      <c r="D226" s="111"/>
      <c r="E226" s="109"/>
      <c r="F226" s="109"/>
      <c r="G226" s="75"/>
      <c r="H226" s="76"/>
      <c r="I226" s="130">
        <f t="shared" si="5"/>
        <v>0</v>
      </c>
      <c r="J226" s="110"/>
    </row>
    <row r="227" spans="2:10" ht="48" customHeight="1" x14ac:dyDescent="0.25">
      <c r="B227" s="72"/>
      <c r="C227" s="430" t="s">
        <v>1398</v>
      </c>
      <c r="D227" s="431"/>
      <c r="E227" s="109"/>
      <c r="F227" s="109"/>
      <c r="G227" s="75"/>
      <c r="H227" s="76"/>
      <c r="I227" s="130">
        <f t="shared" si="5"/>
        <v>0</v>
      </c>
      <c r="J227" s="110"/>
    </row>
    <row r="228" spans="2:10" x14ac:dyDescent="0.25">
      <c r="B228" s="338"/>
      <c r="C228" s="73"/>
      <c r="D228" s="82"/>
      <c r="E228" s="109"/>
      <c r="F228" s="109"/>
      <c r="G228" s="75"/>
      <c r="H228" s="76"/>
      <c r="I228" s="130">
        <f t="shared" si="5"/>
        <v>0</v>
      </c>
      <c r="J228" s="110"/>
    </row>
    <row r="229" spans="2:10" ht="51" customHeight="1" x14ac:dyDescent="0.25">
      <c r="B229" s="248">
        <f>B223+0.01</f>
        <v>19.530000000000083</v>
      </c>
      <c r="C229" s="84"/>
      <c r="D229" s="158" t="s">
        <v>1399</v>
      </c>
      <c r="E229" s="343">
        <v>1</v>
      </c>
      <c r="F229" s="344">
        <v>1</v>
      </c>
      <c r="G229" s="128" t="s">
        <v>582</v>
      </c>
      <c r="H229" s="129"/>
      <c r="I229" s="130">
        <f t="shared" si="5"/>
        <v>0</v>
      </c>
      <c r="J229" s="110"/>
    </row>
    <row r="230" spans="2:10" x14ac:dyDescent="0.25">
      <c r="B230" s="72"/>
      <c r="C230" s="74"/>
      <c r="D230" s="111"/>
      <c r="E230" s="109"/>
      <c r="F230" s="109"/>
      <c r="G230" s="75"/>
      <c r="H230" s="76"/>
      <c r="I230" s="130">
        <f t="shared" si="5"/>
        <v>0</v>
      </c>
      <c r="J230" s="110"/>
    </row>
    <row r="231" spans="2:10" ht="48" customHeight="1" x14ac:dyDescent="0.25">
      <c r="B231" s="248">
        <f>B229+0.01</f>
        <v>19.540000000000084</v>
      </c>
      <c r="C231" s="84"/>
      <c r="D231" s="158" t="s">
        <v>1122</v>
      </c>
      <c r="E231" s="343">
        <v>1</v>
      </c>
      <c r="F231" s="344">
        <v>1</v>
      </c>
      <c r="G231" s="128" t="s">
        <v>582</v>
      </c>
      <c r="H231" s="129"/>
      <c r="I231" s="130">
        <f t="shared" si="5"/>
        <v>0</v>
      </c>
      <c r="J231" s="110"/>
    </row>
    <row r="232" spans="2:10" x14ac:dyDescent="0.25">
      <c r="B232" s="72"/>
      <c r="C232" s="74"/>
      <c r="D232" s="111"/>
      <c r="E232" s="109"/>
      <c r="F232" s="109"/>
      <c r="G232" s="75"/>
      <c r="H232" s="76"/>
      <c r="I232" s="130">
        <f t="shared" si="5"/>
        <v>0</v>
      </c>
      <c r="J232" s="110"/>
    </row>
    <row r="233" spans="2:10" ht="48.75" customHeight="1" x14ac:dyDescent="0.25">
      <c r="B233" s="248">
        <f>B231+0.01</f>
        <v>19.550000000000086</v>
      </c>
      <c r="C233" s="84"/>
      <c r="D233" s="158" t="s">
        <v>1121</v>
      </c>
      <c r="E233" s="343">
        <v>2</v>
      </c>
      <c r="F233" s="344">
        <v>2</v>
      </c>
      <c r="G233" s="128" t="s">
        <v>582</v>
      </c>
      <c r="H233" s="129"/>
      <c r="I233" s="130">
        <f t="shared" si="5"/>
        <v>0</v>
      </c>
      <c r="J233" s="110"/>
    </row>
    <row r="234" spans="2:10" x14ac:dyDescent="0.25">
      <c r="B234" s="72"/>
      <c r="C234" s="74"/>
      <c r="D234" s="111"/>
      <c r="E234" s="109"/>
      <c r="F234" s="109"/>
      <c r="G234" s="75"/>
      <c r="H234" s="76"/>
      <c r="I234" s="130">
        <f t="shared" si="5"/>
        <v>0</v>
      </c>
      <c r="J234" s="110"/>
    </row>
    <row r="235" spans="2:10" ht="45.75" customHeight="1" x14ac:dyDescent="0.25">
      <c r="B235" s="248">
        <f>B233+0.01</f>
        <v>19.560000000000088</v>
      </c>
      <c r="C235" s="84"/>
      <c r="D235" s="158" t="s">
        <v>1120</v>
      </c>
      <c r="E235" s="343">
        <v>9</v>
      </c>
      <c r="F235" s="344">
        <v>9</v>
      </c>
      <c r="G235" s="128" t="s">
        <v>582</v>
      </c>
      <c r="H235" s="129"/>
      <c r="I235" s="130">
        <f t="shared" si="5"/>
        <v>0</v>
      </c>
      <c r="J235" s="110"/>
    </row>
    <row r="236" spans="2:10" x14ac:dyDescent="0.25">
      <c r="B236" s="72"/>
      <c r="C236" s="74"/>
      <c r="D236" s="111"/>
      <c r="E236" s="109"/>
      <c r="F236" s="109"/>
      <c r="G236" s="75"/>
      <c r="H236" s="76"/>
      <c r="I236" s="130">
        <f t="shared" si="5"/>
        <v>0</v>
      </c>
      <c r="J236" s="110"/>
    </row>
    <row r="237" spans="2:10" ht="32.25" customHeight="1" x14ac:dyDescent="0.25">
      <c r="B237" s="72"/>
      <c r="C237" s="430" t="s">
        <v>1400</v>
      </c>
      <c r="D237" s="431"/>
      <c r="E237" s="109"/>
      <c r="F237" s="109"/>
      <c r="G237" s="75"/>
      <c r="H237" s="76"/>
      <c r="I237" s="130">
        <f t="shared" si="5"/>
        <v>0</v>
      </c>
      <c r="J237" s="110"/>
    </row>
    <row r="238" spans="2:10" x14ac:dyDescent="0.25">
      <c r="B238" s="72"/>
      <c r="C238" s="74"/>
      <c r="D238" s="111"/>
      <c r="E238" s="109"/>
      <c r="F238" s="109"/>
      <c r="G238" s="75"/>
      <c r="H238" s="76"/>
      <c r="I238" s="130">
        <f t="shared" si="5"/>
        <v>0</v>
      </c>
      <c r="J238" s="110"/>
    </row>
    <row r="239" spans="2:10" x14ac:dyDescent="0.25">
      <c r="B239" s="398">
        <f>B235+0.01</f>
        <v>19.570000000000089</v>
      </c>
      <c r="C239" s="74"/>
      <c r="D239" s="82" t="s">
        <v>1123</v>
      </c>
      <c r="E239" s="109">
        <v>10</v>
      </c>
      <c r="F239" s="162">
        <v>10</v>
      </c>
      <c r="G239" s="75" t="s">
        <v>582</v>
      </c>
      <c r="H239" s="76"/>
      <c r="I239" s="130">
        <f t="shared" si="5"/>
        <v>0</v>
      </c>
      <c r="J239" s="110"/>
    </row>
    <row r="240" spans="2:10" x14ac:dyDescent="0.25">
      <c r="B240" s="72"/>
      <c r="C240" s="74"/>
      <c r="D240" s="111"/>
      <c r="E240" s="109"/>
      <c r="F240" s="109"/>
      <c r="G240" s="75"/>
      <c r="H240" s="76"/>
      <c r="I240" s="130">
        <f t="shared" si="5"/>
        <v>0</v>
      </c>
      <c r="J240" s="110"/>
    </row>
    <row r="241" spans="2:10" x14ac:dyDescent="0.25">
      <c r="B241" s="72"/>
      <c r="C241" s="428" t="s">
        <v>1134</v>
      </c>
      <c r="D241" s="429"/>
      <c r="E241" s="109"/>
      <c r="F241" s="109"/>
      <c r="G241" s="75"/>
      <c r="H241" s="76"/>
      <c r="I241" s="130">
        <f t="shared" si="5"/>
        <v>0</v>
      </c>
      <c r="J241" s="110"/>
    </row>
    <row r="242" spans="2:10" x14ac:dyDescent="0.25">
      <c r="B242" s="72"/>
      <c r="C242" s="83"/>
      <c r="D242" s="111"/>
      <c r="E242" s="109"/>
      <c r="F242" s="109"/>
      <c r="G242" s="75"/>
      <c r="H242" s="76"/>
      <c r="I242" s="130">
        <f t="shared" si="5"/>
        <v>0</v>
      </c>
      <c r="J242" s="110"/>
    </row>
    <row r="243" spans="2:10" ht="46.5" customHeight="1" x14ac:dyDescent="0.25">
      <c r="B243" s="72"/>
      <c r="C243" s="418" t="s">
        <v>1131</v>
      </c>
      <c r="D243" s="419"/>
      <c r="E243" s="109"/>
      <c r="F243" s="109"/>
      <c r="G243" s="75"/>
      <c r="H243" s="76"/>
      <c r="I243" s="130">
        <f t="shared" si="5"/>
        <v>0</v>
      </c>
      <c r="J243" s="110"/>
    </row>
    <row r="244" spans="2:10" x14ac:dyDescent="0.25">
      <c r="B244" s="72"/>
      <c r="C244" s="83"/>
      <c r="D244" s="111"/>
      <c r="E244" s="109"/>
      <c r="F244" s="109"/>
      <c r="G244" s="75"/>
      <c r="H244" s="76"/>
      <c r="I244" s="130">
        <f t="shared" si="5"/>
        <v>0</v>
      </c>
      <c r="J244" s="110"/>
    </row>
    <row r="245" spans="2:10" x14ac:dyDescent="0.25">
      <c r="B245" s="398">
        <f>B239+0.01</f>
        <v>19.580000000000091</v>
      </c>
      <c r="C245" s="83"/>
      <c r="D245" s="82" t="s">
        <v>527</v>
      </c>
      <c r="E245" s="109">
        <v>2</v>
      </c>
      <c r="F245" s="162">
        <v>2</v>
      </c>
      <c r="G245" s="75" t="s">
        <v>582</v>
      </c>
      <c r="H245" s="76"/>
      <c r="I245" s="130">
        <f t="shared" si="5"/>
        <v>0</v>
      </c>
      <c r="J245" s="110"/>
    </row>
    <row r="246" spans="2:10" x14ac:dyDescent="0.25">
      <c r="B246" s="72"/>
      <c r="C246" s="83"/>
      <c r="D246" s="111"/>
      <c r="E246" s="109"/>
      <c r="F246" s="109"/>
      <c r="G246" s="75"/>
      <c r="H246" s="76"/>
      <c r="I246" s="130">
        <f t="shared" si="5"/>
        <v>0</v>
      </c>
      <c r="J246" s="110"/>
    </row>
    <row r="247" spans="2:10" x14ac:dyDescent="0.25">
      <c r="B247" s="72"/>
      <c r="C247" s="428" t="s">
        <v>1132</v>
      </c>
      <c r="D247" s="429"/>
      <c r="E247" s="109"/>
      <c r="F247" s="109"/>
      <c r="G247" s="75"/>
      <c r="H247" s="76"/>
      <c r="I247" s="130">
        <f t="shared" si="5"/>
        <v>0</v>
      </c>
      <c r="J247" s="110"/>
    </row>
    <row r="248" spans="2:10" x14ac:dyDescent="0.25">
      <c r="B248" s="72"/>
      <c r="C248" s="83"/>
      <c r="D248" s="111"/>
      <c r="E248" s="109"/>
      <c r="F248" s="109"/>
      <c r="G248" s="75"/>
      <c r="H248" s="76"/>
      <c r="I248" s="130">
        <f t="shared" si="5"/>
        <v>0</v>
      </c>
      <c r="J248" s="110"/>
    </row>
    <row r="249" spans="2:10" ht="74.25" customHeight="1" x14ac:dyDescent="0.25">
      <c r="B249" s="72"/>
      <c r="C249" s="418" t="s">
        <v>1133</v>
      </c>
      <c r="D249" s="419"/>
      <c r="E249" s="109"/>
      <c r="F249" s="109"/>
      <c r="G249" s="75"/>
      <c r="H249" s="76"/>
      <c r="I249" s="130">
        <f t="shared" si="5"/>
        <v>0</v>
      </c>
      <c r="J249" s="110"/>
    </row>
    <row r="250" spans="2:10" x14ac:dyDescent="0.25">
      <c r="B250" s="72"/>
      <c r="C250" s="83"/>
      <c r="D250" s="111"/>
      <c r="E250" s="109"/>
      <c r="F250" s="109"/>
      <c r="G250" s="75"/>
      <c r="H250" s="76"/>
      <c r="I250" s="130">
        <f t="shared" si="5"/>
        <v>0</v>
      </c>
      <c r="J250" s="110"/>
    </row>
    <row r="251" spans="2:10" x14ac:dyDescent="0.25">
      <c r="B251" s="398">
        <f>B245+0.01</f>
        <v>19.590000000000092</v>
      </c>
      <c r="C251" s="83"/>
      <c r="D251" s="82" t="s">
        <v>527</v>
      </c>
      <c r="E251" s="109">
        <v>1</v>
      </c>
      <c r="F251" s="162">
        <v>1</v>
      </c>
      <c r="G251" s="75" t="s">
        <v>582</v>
      </c>
      <c r="H251" s="76"/>
      <c r="I251" s="130">
        <f t="shared" si="5"/>
        <v>0</v>
      </c>
      <c r="J251" s="110"/>
    </row>
    <row r="252" spans="2:10" x14ac:dyDescent="0.25">
      <c r="B252" s="72"/>
      <c r="C252" s="83"/>
      <c r="D252" s="111"/>
      <c r="E252" s="109"/>
      <c r="F252" s="109"/>
      <c r="G252" s="75"/>
      <c r="H252" s="76"/>
      <c r="I252" s="130">
        <f t="shared" si="5"/>
        <v>0</v>
      </c>
      <c r="J252" s="110"/>
    </row>
    <row r="253" spans="2:10" x14ac:dyDescent="0.25">
      <c r="B253" s="72"/>
      <c r="C253" s="428" t="s">
        <v>1135</v>
      </c>
      <c r="D253" s="429"/>
      <c r="E253" s="109"/>
      <c r="F253" s="109"/>
      <c r="G253" s="75"/>
      <c r="H253" s="76"/>
      <c r="I253" s="130">
        <f t="shared" si="5"/>
        <v>0</v>
      </c>
      <c r="J253" s="110"/>
    </row>
    <row r="254" spans="2:10" x14ac:dyDescent="0.25">
      <c r="B254" s="72"/>
      <c r="C254" s="83"/>
      <c r="D254" s="111"/>
      <c r="E254" s="109"/>
      <c r="F254" s="109"/>
      <c r="G254" s="75"/>
      <c r="H254" s="76"/>
      <c r="I254" s="130">
        <f t="shared" si="5"/>
        <v>0</v>
      </c>
      <c r="J254" s="110"/>
    </row>
    <row r="255" spans="2:10" ht="30.75" customHeight="1" x14ac:dyDescent="0.25">
      <c r="B255" s="72"/>
      <c r="C255" s="422" t="s">
        <v>1136</v>
      </c>
      <c r="D255" s="423"/>
      <c r="E255" s="109"/>
      <c r="F255" s="109"/>
      <c r="G255" s="75"/>
      <c r="H255" s="76"/>
      <c r="I255" s="130">
        <f t="shared" si="5"/>
        <v>0</v>
      </c>
      <c r="J255" s="110"/>
    </row>
    <row r="256" spans="2:10" x14ac:dyDescent="0.25">
      <c r="B256" s="72"/>
      <c r="C256" s="83"/>
      <c r="D256" s="111"/>
      <c r="E256" s="109"/>
      <c r="F256" s="109"/>
      <c r="G256" s="75"/>
      <c r="H256" s="76"/>
      <c r="I256" s="130">
        <f t="shared" si="5"/>
        <v>0</v>
      </c>
      <c r="J256" s="110"/>
    </row>
    <row r="257" spans="2:10" x14ac:dyDescent="0.25">
      <c r="B257" s="398">
        <f>B251+0.01</f>
        <v>19.600000000000094</v>
      </c>
      <c r="C257" s="83"/>
      <c r="D257" s="82" t="s">
        <v>527</v>
      </c>
      <c r="E257" s="109">
        <v>4</v>
      </c>
      <c r="F257" s="162">
        <v>4</v>
      </c>
      <c r="G257" s="75" t="s">
        <v>582</v>
      </c>
      <c r="H257" s="76"/>
      <c r="I257" s="130">
        <f t="shared" si="5"/>
        <v>0</v>
      </c>
      <c r="J257" s="110"/>
    </row>
    <row r="258" spans="2:10" x14ac:dyDescent="0.25">
      <c r="B258" s="72"/>
      <c r="C258" s="83"/>
      <c r="D258" s="111"/>
      <c r="E258" s="109"/>
      <c r="F258" s="109"/>
      <c r="G258" s="75"/>
      <c r="H258" s="76"/>
      <c r="I258" s="130">
        <f t="shared" si="5"/>
        <v>0</v>
      </c>
      <c r="J258" s="110"/>
    </row>
    <row r="259" spans="2:10" x14ac:dyDescent="0.25">
      <c r="B259" s="72"/>
      <c r="C259" s="349" t="s">
        <v>1129</v>
      </c>
      <c r="D259" s="82"/>
      <c r="E259" s="75"/>
      <c r="F259" s="75"/>
      <c r="G259" s="75"/>
      <c r="H259" s="76"/>
      <c r="I259" s="130">
        <f t="shared" si="5"/>
        <v>0</v>
      </c>
      <c r="J259" s="110"/>
    </row>
    <row r="260" spans="2:10" x14ac:dyDescent="0.25">
      <c r="B260" s="72"/>
      <c r="C260" s="84"/>
      <c r="D260" s="82"/>
      <c r="E260" s="75"/>
      <c r="F260" s="75"/>
      <c r="G260" s="75"/>
      <c r="H260" s="76"/>
      <c r="I260" s="130">
        <f t="shared" si="5"/>
        <v>0</v>
      </c>
      <c r="J260" s="110"/>
    </row>
    <row r="261" spans="2:10" ht="61.5" customHeight="1" x14ac:dyDescent="0.25">
      <c r="B261" s="72"/>
      <c r="C261" s="430" t="s">
        <v>1130</v>
      </c>
      <c r="D261" s="431"/>
      <c r="E261" s="75"/>
      <c r="F261" s="75"/>
      <c r="G261" s="75"/>
      <c r="H261" s="76"/>
      <c r="I261" s="130">
        <f t="shared" si="5"/>
        <v>0</v>
      </c>
      <c r="J261" s="110"/>
    </row>
    <row r="262" spans="2:10" x14ac:dyDescent="0.25">
      <c r="B262" s="72"/>
      <c r="C262" s="73"/>
      <c r="D262" s="82"/>
      <c r="E262" s="75"/>
      <c r="F262" s="75"/>
      <c r="G262" s="75"/>
      <c r="H262" s="76"/>
      <c r="I262" s="130">
        <f t="shared" si="5"/>
        <v>0</v>
      </c>
      <c r="J262" s="110"/>
    </row>
    <row r="263" spans="2:10" x14ac:dyDescent="0.25">
      <c r="B263" s="248">
        <f>B257+0.01</f>
        <v>19.610000000000095</v>
      </c>
      <c r="C263" s="84"/>
      <c r="D263" s="158" t="s">
        <v>527</v>
      </c>
      <c r="E263" s="343">
        <v>1</v>
      </c>
      <c r="F263" s="277">
        <v>1</v>
      </c>
      <c r="G263" s="128" t="s">
        <v>528</v>
      </c>
      <c r="H263" s="279"/>
      <c r="I263" s="130">
        <f t="shared" si="5"/>
        <v>0</v>
      </c>
      <c r="J263" s="110"/>
    </row>
    <row r="264" spans="2:10" x14ac:dyDescent="0.25">
      <c r="B264" s="72"/>
      <c r="C264" s="74"/>
      <c r="D264" s="111"/>
      <c r="E264" s="109"/>
      <c r="F264" s="109"/>
      <c r="G264" s="75"/>
      <c r="H264" s="76"/>
      <c r="I264" s="130">
        <f t="shared" si="5"/>
        <v>0</v>
      </c>
      <c r="J264" s="110"/>
    </row>
    <row r="265" spans="2:10" x14ac:dyDescent="0.25">
      <c r="B265" s="72"/>
      <c r="C265" s="74"/>
      <c r="D265" s="111"/>
      <c r="E265" s="109"/>
      <c r="F265" s="109"/>
      <c r="G265" s="75"/>
      <c r="H265" s="76"/>
      <c r="I265" s="130">
        <f t="shared" si="5"/>
        <v>0</v>
      </c>
      <c r="J265" s="110"/>
    </row>
    <row r="266" spans="2:10" x14ac:dyDescent="0.25">
      <c r="B266" s="77"/>
      <c r="C266" s="73" t="s">
        <v>549</v>
      </c>
      <c r="D266" s="160"/>
      <c r="E266" s="161"/>
      <c r="F266" s="161"/>
      <c r="G266" s="78"/>
      <c r="H266" s="79"/>
      <c r="I266" s="130">
        <f t="shared" si="5"/>
        <v>0</v>
      </c>
      <c r="J266" s="110"/>
    </row>
    <row r="267" spans="2:10" x14ac:dyDescent="0.25">
      <c r="B267" s="77"/>
      <c r="C267" s="74"/>
      <c r="D267" s="160"/>
      <c r="E267" s="161"/>
      <c r="F267" s="161"/>
      <c r="G267" s="78"/>
      <c r="H267" s="79"/>
      <c r="I267" s="130">
        <f t="shared" si="5"/>
        <v>0</v>
      </c>
      <c r="J267" s="110"/>
    </row>
    <row r="268" spans="2:10" x14ac:dyDescent="0.25">
      <c r="B268" s="77"/>
      <c r="C268" s="159" t="s">
        <v>550</v>
      </c>
      <c r="D268" s="160"/>
      <c r="E268" s="161"/>
      <c r="F268" s="161"/>
      <c r="G268" s="78"/>
      <c r="H268" s="79"/>
      <c r="I268" s="130">
        <f t="shared" si="5"/>
        <v>0</v>
      </c>
      <c r="J268" s="110"/>
    </row>
    <row r="269" spans="2:10" x14ac:dyDescent="0.25">
      <c r="B269" s="77"/>
      <c r="C269" s="74"/>
      <c r="D269" s="160"/>
      <c r="E269" s="161"/>
      <c r="F269" s="161"/>
      <c r="G269" s="78"/>
      <c r="H269" s="79"/>
      <c r="I269" s="130">
        <f t="shared" si="5"/>
        <v>0</v>
      </c>
      <c r="J269" s="110"/>
    </row>
    <row r="270" spans="2:10" x14ac:dyDescent="0.25">
      <c r="B270" s="77"/>
      <c r="C270" s="74" t="s">
        <v>551</v>
      </c>
      <c r="D270" s="160"/>
      <c r="E270" s="161"/>
      <c r="F270" s="161"/>
      <c r="G270" s="78"/>
      <c r="H270" s="79"/>
      <c r="I270" s="130">
        <f t="shared" ref="I270:I290" si="6">F270*H270</f>
        <v>0</v>
      </c>
      <c r="J270" s="110"/>
    </row>
    <row r="271" spans="2:10" x14ac:dyDescent="0.25">
      <c r="B271" s="77"/>
      <c r="C271" s="74"/>
      <c r="D271" s="160"/>
      <c r="E271" s="161"/>
      <c r="F271" s="161"/>
      <c r="G271" s="78"/>
      <c r="H271" s="79"/>
      <c r="I271" s="130">
        <f t="shared" si="6"/>
        <v>0</v>
      </c>
      <c r="J271" s="110"/>
    </row>
    <row r="272" spans="2:10" x14ac:dyDescent="0.25">
      <c r="B272" s="173">
        <f>B263+0.01</f>
        <v>19.620000000000097</v>
      </c>
      <c r="C272" s="74"/>
      <c r="D272" s="112" t="s">
        <v>527</v>
      </c>
      <c r="E272" s="162"/>
      <c r="F272" s="162">
        <v>1</v>
      </c>
      <c r="G272" s="75" t="s">
        <v>528</v>
      </c>
      <c r="H272" s="76"/>
      <c r="I272" s="130">
        <f t="shared" si="6"/>
        <v>0</v>
      </c>
      <c r="J272" s="110"/>
    </row>
    <row r="273" spans="2:10" x14ac:dyDescent="0.25">
      <c r="B273" s="77"/>
      <c r="C273" s="74"/>
      <c r="D273" s="160"/>
      <c r="E273" s="161"/>
      <c r="F273" s="161"/>
      <c r="G273" s="78"/>
      <c r="H273" s="79"/>
      <c r="I273" s="130">
        <f t="shared" si="6"/>
        <v>0</v>
      </c>
      <c r="J273" s="110"/>
    </row>
    <row r="274" spans="2:10" ht="15.75" x14ac:dyDescent="0.25">
      <c r="B274" s="77"/>
      <c r="C274" s="432" t="s">
        <v>634</v>
      </c>
      <c r="D274" s="433"/>
      <c r="E274" s="161"/>
      <c r="F274" s="161"/>
      <c r="G274" s="78"/>
      <c r="H274" s="79"/>
      <c r="I274" s="130">
        <f t="shared" si="6"/>
        <v>0</v>
      </c>
      <c r="J274" s="110"/>
    </row>
    <row r="275" spans="2:10" x14ac:dyDescent="0.25">
      <c r="B275" s="77"/>
      <c r="C275" s="74"/>
      <c r="D275" s="160"/>
      <c r="E275" s="161"/>
      <c r="F275" s="161"/>
      <c r="G275" s="78"/>
      <c r="H275" s="79"/>
      <c r="I275" s="130">
        <f t="shared" si="6"/>
        <v>0</v>
      </c>
      <c r="J275" s="110"/>
    </row>
    <row r="276" spans="2:10" x14ac:dyDescent="0.25">
      <c r="B276" s="77"/>
      <c r="C276" s="418" t="s">
        <v>650</v>
      </c>
      <c r="D276" s="419"/>
      <c r="E276" s="161"/>
      <c r="F276" s="161"/>
      <c r="G276" s="78"/>
      <c r="H276" s="79"/>
      <c r="I276" s="130">
        <f t="shared" si="6"/>
        <v>0</v>
      </c>
      <c r="J276" s="110"/>
    </row>
    <row r="277" spans="2:10" x14ac:dyDescent="0.25">
      <c r="B277" s="77"/>
      <c r="C277" s="74"/>
      <c r="D277" s="160"/>
      <c r="E277" s="161"/>
      <c r="F277" s="161"/>
      <c r="G277" s="78"/>
      <c r="H277" s="79"/>
      <c r="I277" s="130">
        <f t="shared" si="6"/>
        <v>0</v>
      </c>
      <c r="J277" s="110"/>
    </row>
    <row r="278" spans="2:10" x14ac:dyDescent="0.25">
      <c r="B278" s="172">
        <f>B272+0.01</f>
        <v>19.630000000000098</v>
      </c>
      <c r="C278" s="74"/>
      <c r="D278" s="112" t="s">
        <v>527</v>
      </c>
      <c r="E278" s="162"/>
      <c r="F278" s="162">
        <v>1</v>
      </c>
      <c r="G278" s="75" t="s">
        <v>528</v>
      </c>
      <c r="H278" s="76"/>
      <c r="I278" s="130">
        <f t="shared" si="6"/>
        <v>0</v>
      </c>
      <c r="J278" s="110"/>
    </row>
    <row r="279" spans="2:10" x14ac:dyDescent="0.25">
      <c r="B279" s="77"/>
      <c r="C279" s="74"/>
      <c r="D279" s="160"/>
      <c r="E279" s="161"/>
      <c r="F279" s="161"/>
      <c r="G279" s="78"/>
      <c r="H279" s="79"/>
      <c r="I279" s="130">
        <f t="shared" si="6"/>
        <v>0</v>
      </c>
      <c r="J279" s="110"/>
    </row>
    <row r="280" spans="2:10" x14ac:dyDescent="0.25">
      <c r="B280" s="77"/>
      <c r="C280" s="159" t="s">
        <v>556</v>
      </c>
      <c r="D280" s="160"/>
      <c r="E280" s="161"/>
      <c r="F280" s="161"/>
      <c r="G280" s="78"/>
      <c r="H280" s="79"/>
      <c r="I280" s="130">
        <f t="shared" si="6"/>
        <v>0</v>
      </c>
      <c r="J280" s="110"/>
    </row>
    <row r="281" spans="2:10" x14ac:dyDescent="0.25">
      <c r="B281" s="77"/>
      <c r="C281" s="74"/>
      <c r="D281" s="160"/>
      <c r="E281" s="161"/>
      <c r="F281" s="161"/>
      <c r="G281" s="78"/>
      <c r="H281" s="79"/>
      <c r="I281" s="130">
        <f t="shared" si="6"/>
        <v>0</v>
      </c>
      <c r="J281" s="110"/>
    </row>
    <row r="282" spans="2:10" x14ac:dyDescent="0.25">
      <c r="B282" s="77"/>
      <c r="C282" s="420" t="s">
        <v>557</v>
      </c>
      <c r="D282" s="421"/>
      <c r="E282" s="161"/>
      <c r="F282" s="161"/>
      <c r="G282" s="78"/>
      <c r="H282" s="79"/>
      <c r="I282" s="130">
        <f t="shared" si="6"/>
        <v>0</v>
      </c>
      <c r="J282" s="110"/>
    </row>
    <row r="283" spans="2:10" ht="15" customHeight="1" x14ac:dyDescent="0.25">
      <c r="B283" s="77"/>
      <c r="C283" s="170"/>
      <c r="D283" s="158"/>
      <c r="E283" s="161"/>
      <c r="F283" s="161"/>
      <c r="G283" s="78"/>
      <c r="H283" s="79"/>
      <c r="I283" s="130">
        <f t="shared" si="6"/>
        <v>0</v>
      </c>
      <c r="J283" s="110"/>
    </row>
    <row r="284" spans="2:10" x14ac:dyDescent="0.25">
      <c r="B284" s="173">
        <f>B278+0.01</f>
        <v>19.6400000000001</v>
      </c>
      <c r="C284" s="74"/>
      <c r="D284" s="112" t="s">
        <v>527</v>
      </c>
      <c r="E284" s="162"/>
      <c r="F284" s="162">
        <v>1</v>
      </c>
      <c r="G284" s="75" t="s">
        <v>528</v>
      </c>
      <c r="H284" s="76"/>
      <c r="I284" s="130">
        <f t="shared" si="6"/>
        <v>0</v>
      </c>
      <c r="J284" s="110"/>
    </row>
    <row r="285" spans="2:10" x14ac:dyDescent="0.25">
      <c r="B285" s="77"/>
      <c r="C285" s="74"/>
      <c r="D285" s="160"/>
      <c r="E285" s="161"/>
      <c r="F285" s="161"/>
      <c r="G285" s="78"/>
      <c r="H285" s="79"/>
      <c r="I285" s="130">
        <f t="shared" si="6"/>
        <v>0</v>
      </c>
      <c r="J285" s="110"/>
    </row>
    <row r="286" spans="2:10" x14ac:dyDescent="0.25">
      <c r="B286" s="72"/>
      <c r="C286" s="159" t="s">
        <v>529</v>
      </c>
      <c r="D286" s="82"/>
      <c r="E286" s="75"/>
      <c r="F286" s="75"/>
      <c r="G286" s="75"/>
      <c r="H286" s="122"/>
      <c r="I286" s="130">
        <f t="shared" si="6"/>
        <v>0</v>
      </c>
      <c r="J286" s="110"/>
    </row>
    <row r="287" spans="2:10" x14ac:dyDescent="0.25">
      <c r="B287" s="72"/>
      <c r="C287" s="74"/>
      <c r="D287" s="82"/>
      <c r="E287" s="75"/>
      <c r="F287" s="75"/>
      <c r="G287" s="75"/>
      <c r="H287" s="122"/>
      <c r="I287" s="130">
        <f t="shared" si="6"/>
        <v>0</v>
      </c>
      <c r="J287" s="110"/>
    </row>
    <row r="288" spans="2:10" x14ac:dyDescent="0.25">
      <c r="B288" s="72"/>
      <c r="C288" s="422" t="s">
        <v>629</v>
      </c>
      <c r="D288" s="423"/>
      <c r="E288" s="75"/>
      <c r="F288" s="75"/>
      <c r="G288" s="75"/>
      <c r="H288" s="122"/>
      <c r="I288" s="130">
        <f t="shared" si="6"/>
        <v>0</v>
      </c>
      <c r="J288" s="110"/>
    </row>
    <row r="289" spans="2:10" ht="15" customHeight="1" x14ac:dyDescent="0.25">
      <c r="B289" s="72"/>
      <c r="C289" s="165"/>
      <c r="D289" s="82"/>
      <c r="E289" s="75"/>
      <c r="F289" s="75"/>
      <c r="G289" s="75"/>
      <c r="H289" s="122"/>
      <c r="I289" s="130">
        <f t="shared" si="6"/>
        <v>0</v>
      </c>
      <c r="J289" s="110"/>
    </row>
    <row r="290" spans="2:10" x14ac:dyDescent="0.25">
      <c r="B290" s="172">
        <f>B284+0.01</f>
        <v>19.650000000000102</v>
      </c>
      <c r="C290" s="74"/>
      <c r="D290" s="155" t="s">
        <v>527</v>
      </c>
      <c r="E290" s="154"/>
      <c r="F290" s="154">
        <v>1</v>
      </c>
      <c r="G290" s="75" t="s">
        <v>528</v>
      </c>
      <c r="H290" s="122"/>
      <c r="I290" s="130">
        <f t="shared" si="6"/>
        <v>0</v>
      </c>
      <c r="J290" s="110"/>
    </row>
    <row r="291" spans="2:10" x14ac:dyDescent="0.25">
      <c r="B291" s="72"/>
      <c r="C291" s="73"/>
      <c r="D291" s="112"/>
      <c r="E291" s="75"/>
      <c r="F291" s="75"/>
      <c r="G291" s="75"/>
      <c r="H291" s="76"/>
      <c r="I291" s="130">
        <f t="shared" si="1"/>
        <v>0</v>
      </c>
    </row>
    <row r="292" spans="2:10" ht="15.75" thickBot="1" x14ac:dyDescent="0.3">
      <c r="B292" s="85"/>
      <c r="C292" s="86"/>
      <c r="D292" s="87"/>
      <c r="E292" s="88"/>
      <c r="F292" s="88"/>
      <c r="G292" s="88"/>
      <c r="H292" s="89"/>
      <c r="I292" s="76" t="str">
        <f t="shared" si="0"/>
        <v/>
      </c>
    </row>
    <row r="293" spans="2:10" ht="30.75" customHeight="1" thickBot="1" x14ac:dyDescent="0.3">
      <c r="D293" s="367" t="s">
        <v>1169</v>
      </c>
      <c r="E293" s="109"/>
      <c r="F293" s="109"/>
      <c r="G293" s="75"/>
      <c r="H293" s="92"/>
      <c r="I293" s="124">
        <f>SUM(I79:I292)</f>
        <v>0</v>
      </c>
    </row>
  </sheetData>
  <mergeCells count="60">
    <mergeCell ref="C274:D274"/>
    <mergeCell ref="C276:D276"/>
    <mergeCell ref="C282:D282"/>
    <mergeCell ref="C288:D288"/>
    <mergeCell ref="C261:D261"/>
    <mergeCell ref="C241:D241"/>
    <mergeCell ref="C243:D243"/>
    <mergeCell ref="C255:D255"/>
    <mergeCell ref="C247:D247"/>
    <mergeCell ref="C249:D249"/>
    <mergeCell ref="C253:D253"/>
    <mergeCell ref="C42:D42"/>
    <mergeCell ref="C57:D57"/>
    <mergeCell ref="C6:D6"/>
    <mergeCell ref="C7:D7"/>
    <mergeCell ref="C8:D8"/>
    <mergeCell ref="C9:D9"/>
    <mergeCell ref="C16:D16"/>
    <mergeCell ref="C10:D10"/>
    <mergeCell ref="C12:D12"/>
    <mergeCell ref="C14:D14"/>
    <mergeCell ref="C22:D22"/>
    <mergeCell ref="C26:D26"/>
    <mergeCell ref="C34:D34"/>
    <mergeCell ref="C77:D77"/>
    <mergeCell ref="C79:D79"/>
    <mergeCell ref="C81:D81"/>
    <mergeCell ref="C59:D59"/>
    <mergeCell ref="C65:D65"/>
    <mergeCell ref="C71:D71"/>
    <mergeCell ref="C85:D85"/>
    <mergeCell ref="C91:D91"/>
    <mergeCell ref="C121:D121"/>
    <mergeCell ref="C125:D125"/>
    <mergeCell ref="C95:D95"/>
    <mergeCell ref="C105:D105"/>
    <mergeCell ref="C115:D115"/>
    <mergeCell ref="C87:D87"/>
    <mergeCell ref="C151:D151"/>
    <mergeCell ref="C161:D161"/>
    <mergeCell ref="C165:D165"/>
    <mergeCell ref="C173:D173"/>
    <mergeCell ref="C129:D129"/>
    <mergeCell ref="C131:D131"/>
    <mergeCell ref="C135:D135"/>
    <mergeCell ref="C145:D145"/>
    <mergeCell ref="C177:D177"/>
    <mergeCell ref="C183:D183"/>
    <mergeCell ref="C169:D169"/>
    <mergeCell ref="C193:D193"/>
    <mergeCell ref="C201:D201"/>
    <mergeCell ref="C199:D199"/>
    <mergeCell ref="C207:D207"/>
    <mergeCell ref="C209:D209"/>
    <mergeCell ref="C227:D227"/>
    <mergeCell ref="C237:D237"/>
    <mergeCell ref="C215:D215"/>
    <mergeCell ref="C217:D217"/>
    <mergeCell ref="C225:D225"/>
    <mergeCell ref="C221:D221"/>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H84"/>
  <sheetViews>
    <sheetView zoomScale="80" zoomScaleNormal="80" workbookViewId="0">
      <selection activeCell="B2" sqref="B2:H3"/>
    </sheetView>
  </sheetViews>
  <sheetFormatPr defaultColWidth="9.140625" defaultRowHeight="15" x14ac:dyDescent="0.25"/>
  <cols>
    <col min="1" max="1" width="3" style="71" customWidth="1"/>
    <col min="2" max="2" width="9.140625" style="71"/>
    <col min="3" max="3" width="4.5703125" style="71" customWidth="1"/>
    <col min="4" max="4" width="51.85546875" style="71" customWidth="1"/>
    <col min="5" max="5" width="11.5703125" style="90" customWidth="1"/>
    <col min="6" max="6" width="9.140625" style="91"/>
    <col min="7" max="7" width="10.140625" style="71" bestFit="1" customWidth="1"/>
    <col min="8" max="8" width="16.140625" style="71" customWidth="1"/>
    <col min="9" max="9" width="10.140625" style="71" bestFit="1" customWidth="1"/>
    <col min="10" max="16384" width="9.140625" style="71"/>
  </cols>
  <sheetData>
    <row r="1" spans="2:8" ht="15.75" thickBot="1" x14ac:dyDescent="0.3"/>
    <row r="2" spans="2:8" ht="34.5" customHeight="1" x14ac:dyDescent="0.25">
      <c r="B2" s="94" t="str">
        <f>+Summary!B2</f>
        <v>Todmorden Bandstand Refurbishment &amp; Bowls Pavilion New Build</v>
      </c>
      <c r="C2" s="95"/>
      <c r="D2" s="95"/>
      <c r="E2" s="96"/>
      <c r="F2" s="96"/>
      <c r="G2" s="95"/>
      <c r="H2" s="97"/>
    </row>
    <row r="3" spans="2:8" ht="30" customHeight="1" x14ac:dyDescent="0.25">
      <c r="B3" s="73" t="str">
        <f>+Summary!B3</f>
        <v>Tender Document</v>
      </c>
      <c r="C3" s="83"/>
      <c r="D3" s="83"/>
      <c r="E3" s="91"/>
      <c r="F3" s="98"/>
      <c r="G3" s="99" t="str">
        <f>+Summary!D47</f>
        <v>Provisional sums</v>
      </c>
      <c r="H3" s="100">
        <f>+Summary!G3</f>
        <v>45614</v>
      </c>
    </row>
    <row r="4" spans="2:8" ht="13.5" customHeight="1" thickBot="1" x14ac:dyDescent="0.3">
      <c r="B4" s="86">
        <v>20</v>
      </c>
      <c r="C4" s="101"/>
      <c r="D4" s="101"/>
      <c r="E4" s="102"/>
      <c r="F4" s="102"/>
      <c r="G4" s="101"/>
      <c r="H4" s="103"/>
    </row>
    <row r="5" spans="2:8" ht="23.25" customHeight="1" thickBot="1" x14ac:dyDescent="0.3">
      <c r="B5" s="72"/>
      <c r="C5" s="73"/>
      <c r="D5" s="82"/>
      <c r="E5" s="106" t="s">
        <v>1</v>
      </c>
      <c r="F5" s="107" t="s">
        <v>2</v>
      </c>
      <c r="G5" s="104" t="s">
        <v>3</v>
      </c>
      <c r="H5" s="105" t="s">
        <v>5</v>
      </c>
    </row>
    <row r="6" spans="2:8" x14ac:dyDescent="0.25">
      <c r="B6" s="72"/>
      <c r="C6" s="73"/>
      <c r="D6" s="82"/>
      <c r="E6" s="75"/>
      <c r="F6" s="75"/>
      <c r="G6" s="76"/>
      <c r="H6" s="76" t="str">
        <f t="shared" ref="H6:H82" si="0">IF(G6="","",G6*E6)</f>
        <v/>
      </c>
    </row>
    <row r="7" spans="2:8" x14ac:dyDescent="0.25">
      <c r="B7" s="72"/>
      <c r="C7" s="148" t="s">
        <v>561</v>
      </c>
      <c r="D7" s="82"/>
      <c r="E7" s="75"/>
      <c r="F7" s="75"/>
      <c r="G7" s="76"/>
      <c r="H7" s="76" t="str">
        <f t="shared" si="0"/>
        <v/>
      </c>
    </row>
    <row r="8" spans="2:8" x14ac:dyDescent="0.25">
      <c r="B8" s="72"/>
      <c r="C8" s="148" t="s">
        <v>562</v>
      </c>
      <c r="D8" s="82"/>
      <c r="E8" s="75"/>
      <c r="F8" s="75"/>
      <c r="G8" s="76"/>
      <c r="H8" s="76"/>
    </row>
    <row r="9" spans="2:8" x14ac:dyDescent="0.25">
      <c r="B9" s="72"/>
      <c r="C9" s="148" t="s">
        <v>563</v>
      </c>
      <c r="D9" s="82"/>
      <c r="E9" s="75"/>
      <c r="F9" s="75"/>
      <c r="G9" s="76"/>
      <c r="H9" s="76"/>
    </row>
    <row r="10" spans="2:8" x14ac:dyDescent="0.25">
      <c r="B10" s="72"/>
      <c r="C10" s="148" t="s">
        <v>564</v>
      </c>
      <c r="D10" s="82"/>
      <c r="E10" s="75"/>
      <c r="F10" s="75"/>
      <c r="G10" s="76"/>
      <c r="H10" s="76"/>
    </row>
    <row r="11" spans="2:8" x14ac:dyDescent="0.25">
      <c r="B11" s="72"/>
      <c r="C11" s="148" t="s">
        <v>565</v>
      </c>
      <c r="D11" s="82"/>
      <c r="E11" s="75"/>
      <c r="F11" s="75"/>
      <c r="G11" s="76"/>
      <c r="H11" s="76"/>
    </row>
    <row r="12" spans="2:8" x14ac:dyDescent="0.25">
      <c r="B12" s="72"/>
      <c r="C12" s="148" t="s">
        <v>566</v>
      </c>
      <c r="D12" s="82"/>
      <c r="E12" s="75"/>
      <c r="F12" s="75"/>
      <c r="G12" s="76"/>
      <c r="H12" s="76"/>
    </row>
    <row r="13" spans="2:8" x14ac:dyDescent="0.25">
      <c r="B13" s="72"/>
      <c r="C13" s="148" t="s">
        <v>567</v>
      </c>
      <c r="D13" s="82"/>
      <c r="E13" s="75"/>
      <c r="F13" s="75"/>
      <c r="G13" s="76"/>
      <c r="H13" s="76"/>
    </row>
    <row r="14" spans="2:8" x14ac:dyDescent="0.25">
      <c r="B14" s="72"/>
      <c r="C14" s="148" t="s">
        <v>568</v>
      </c>
      <c r="D14" s="82"/>
      <c r="E14" s="75"/>
      <c r="F14" s="75"/>
      <c r="G14" s="76"/>
      <c r="H14" s="76"/>
    </row>
    <row r="15" spans="2:8" x14ac:dyDescent="0.25">
      <c r="B15" s="72"/>
      <c r="C15" s="148" t="s">
        <v>569</v>
      </c>
      <c r="D15" s="82"/>
      <c r="E15" s="75"/>
      <c r="F15" s="75"/>
      <c r="G15" s="76"/>
      <c r="H15" s="76"/>
    </row>
    <row r="16" spans="2:8" x14ac:dyDescent="0.25">
      <c r="B16" s="72"/>
      <c r="C16" s="149" t="s">
        <v>570</v>
      </c>
      <c r="D16" s="82"/>
      <c r="E16" s="75"/>
      <c r="F16" s="75"/>
      <c r="G16" s="76"/>
      <c r="H16" s="76"/>
    </row>
    <row r="17" spans="2:8" x14ac:dyDescent="0.25">
      <c r="B17" s="72"/>
      <c r="C17" s="149" t="s">
        <v>571</v>
      </c>
      <c r="D17" s="82"/>
      <c r="E17" s="75"/>
      <c r="F17" s="75"/>
      <c r="G17" s="76"/>
      <c r="H17" s="76"/>
    </row>
    <row r="18" spans="2:8" x14ac:dyDescent="0.25">
      <c r="B18" s="72"/>
      <c r="C18" s="149"/>
      <c r="D18" s="82"/>
      <c r="E18" s="75"/>
      <c r="F18" s="75"/>
      <c r="G18" s="76"/>
      <c r="H18" s="76"/>
    </row>
    <row r="19" spans="2:8" x14ac:dyDescent="0.25">
      <c r="B19" s="72"/>
      <c r="C19" s="424" t="s">
        <v>815</v>
      </c>
      <c r="D19" s="425"/>
      <c r="E19" s="75"/>
      <c r="F19" s="75"/>
      <c r="G19" s="76"/>
      <c r="H19" s="76"/>
    </row>
    <row r="20" spans="2:8" x14ac:dyDescent="0.25">
      <c r="B20" s="72"/>
      <c r="C20" s="393"/>
      <c r="D20" s="394"/>
      <c r="E20" s="75"/>
      <c r="F20" s="75"/>
      <c r="G20" s="76"/>
      <c r="H20" s="76"/>
    </row>
    <row r="21" spans="2:8" x14ac:dyDescent="0.25">
      <c r="B21" s="72"/>
      <c r="C21" s="108" t="s">
        <v>573</v>
      </c>
      <c r="D21" s="82"/>
      <c r="E21" s="75"/>
      <c r="F21" s="75"/>
      <c r="G21" s="76"/>
      <c r="H21" s="76" t="str">
        <f t="shared" si="0"/>
        <v/>
      </c>
    </row>
    <row r="22" spans="2:8" x14ac:dyDescent="0.25">
      <c r="B22" s="72"/>
      <c r="C22" s="73"/>
      <c r="D22" s="82"/>
      <c r="E22" s="75"/>
      <c r="F22" s="75"/>
      <c r="G22" s="76"/>
      <c r="H22" s="76" t="str">
        <f t="shared" si="0"/>
        <v/>
      </c>
    </row>
    <row r="23" spans="2:8" s="80" customFormat="1" ht="45" x14ac:dyDescent="0.25">
      <c r="B23" s="164">
        <f>B4+0.01</f>
        <v>20.010000000000002</v>
      </c>
      <c r="C23" s="81"/>
      <c r="D23" s="82" t="s">
        <v>1410</v>
      </c>
      <c r="E23" s="128">
        <v>1</v>
      </c>
      <c r="F23" s="128" t="s">
        <v>521</v>
      </c>
      <c r="G23" s="129">
        <v>1500</v>
      </c>
      <c r="H23" s="129">
        <f t="shared" ref="H23" si="1">IF(G23="","",G23*E23)</f>
        <v>1500</v>
      </c>
    </row>
    <row r="24" spans="2:8" s="80" customFormat="1" x14ac:dyDescent="0.25">
      <c r="B24" s="72"/>
      <c r="C24" s="81"/>
      <c r="D24" s="82"/>
      <c r="E24" s="75"/>
      <c r="F24" s="75"/>
      <c r="G24" s="76"/>
      <c r="H24" s="76"/>
    </row>
    <row r="25" spans="2:8" s="80" customFormat="1" ht="16.5" customHeight="1" x14ac:dyDescent="0.25">
      <c r="B25" s="172">
        <f>B23+0.01</f>
        <v>20.020000000000003</v>
      </c>
      <c r="C25" s="81"/>
      <c r="D25" s="150" t="s">
        <v>572</v>
      </c>
      <c r="E25" s="128"/>
      <c r="F25" s="128" t="s">
        <v>493</v>
      </c>
      <c r="G25" s="76"/>
      <c r="H25" s="76"/>
    </row>
    <row r="26" spans="2:8" s="80" customFormat="1" x14ac:dyDescent="0.25">
      <c r="B26" s="72"/>
      <c r="C26" s="81"/>
      <c r="D26" s="82"/>
      <c r="E26" s="75"/>
      <c r="F26" s="75"/>
      <c r="G26" s="76"/>
      <c r="H26" s="76"/>
    </row>
    <row r="27" spans="2:8" s="80" customFormat="1" x14ac:dyDescent="0.25">
      <c r="B27" s="164">
        <f>B25+0.01</f>
        <v>20.030000000000005</v>
      </c>
      <c r="C27" s="81"/>
      <c r="D27" s="82" t="s">
        <v>1409</v>
      </c>
      <c r="E27" s="128">
        <v>1</v>
      </c>
      <c r="F27" s="128" t="s">
        <v>521</v>
      </c>
      <c r="G27" s="129">
        <v>2000</v>
      </c>
      <c r="H27" s="129">
        <f t="shared" ref="H27" si="2">IF(G27="","",G27*E27)</f>
        <v>2000</v>
      </c>
    </row>
    <row r="28" spans="2:8" s="80" customFormat="1" x14ac:dyDescent="0.25">
      <c r="B28" s="72"/>
      <c r="C28" s="81"/>
      <c r="D28" s="82"/>
      <c r="E28" s="75"/>
      <c r="F28" s="75"/>
      <c r="G28" s="76"/>
      <c r="H28" s="76"/>
    </row>
    <row r="29" spans="2:8" s="80" customFormat="1" ht="18" customHeight="1" x14ac:dyDescent="0.25">
      <c r="B29" s="172">
        <f>B27+0.01</f>
        <v>20.040000000000006</v>
      </c>
      <c r="C29" s="81"/>
      <c r="D29" s="150" t="s">
        <v>572</v>
      </c>
      <c r="E29" s="128"/>
      <c r="F29" s="128" t="s">
        <v>493</v>
      </c>
      <c r="G29" s="76"/>
      <c r="H29" s="76"/>
    </row>
    <row r="30" spans="2:8" s="80" customFormat="1" x14ac:dyDescent="0.25">
      <c r="B30" s="172"/>
      <c r="C30" s="81"/>
      <c r="D30" s="150"/>
      <c r="E30" s="128"/>
      <c r="F30" s="128"/>
      <c r="G30" s="76"/>
      <c r="H30" s="76"/>
    </row>
    <row r="31" spans="2:8" s="80" customFormat="1" x14ac:dyDescent="0.25">
      <c r="B31" s="179">
        <f>B29+0.01</f>
        <v>20.050000000000008</v>
      </c>
      <c r="C31" s="81"/>
      <c r="D31" s="82" t="s">
        <v>1408</v>
      </c>
      <c r="E31" s="128">
        <v>1</v>
      </c>
      <c r="F31" s="128" t="s">
        <v>521</v>
      </c>
      <c r="G31" s="129">
        <v>5000</v>
      </c>
      <c r="H31" s="129">
        <f t="shared" ref="H31" si="3">IF(G31="","",G31*E31)</f>
        <v>5000</v>
      </c>
    </row>
    <row r="32" spans="2:8" s="80" customFormat="1" x14ac:dyDescent="0.25">
      <c r="B32" s="179"/>
      <c r="C32" s="81"/>
      <c r="D32" s="82"/>
      <c r="E32" s="128"/>
      <c r="F32" s="128"/>
      <c r="G32" s="129"/>
      <c r="H32" s="129"/>
    </row>
    <row r="33" spans="2:8" s="80" customFormat="1" ht="15.75" customHeight="1" x14ac:dyDescent="0.25">
      <c r="B33" s="72">
        <f>B31+0.01</f>
        <v>20.060000000000009</v>
      </c>
      <c r="C33" s="81"/>
      <c r="D33" s="150" t="s">
        <v>572</v>
      </c>
      <c r="E33" s="128"/>
      <c r="F33" s="128" t="s">
        <v>493</v>
      </c>
      <c r="G33" s="76"/>
      <c r="H33" s="76"/>
    </row>
    <row r="34" spans="2:8" s="80" customFormat="1" x14ac:dyDescent="0.25">
      <c r="B34" s="72"/>
      <c r="C34" s="81"/>
      <c r="D34" s="82"/>
      <c r="E34" s="75"/>
      <c r="F34" s="75"/>
      <c r="G34" s="76"/>
      <c r="H34" s="76"/>
    </row>
    <row r="35" spans="2:8" s="80" customFormat="1" x14ac:dyDescent="0.25">
      <c r="B35" s="179">
        <f>B33+0.01</f>
        <v>20.070000000000011</v>
      </c>
      <c r="C35" s="81"/>
      <c r="D35" s="82" t="s">
        <v>1407</v>
      </c>
      <c r="E35" s="75">
        <v>1</v>
      </c>
      <c r="F35" s="75" t="s">
        <v>521</v>
      </c>
      <c r="G35" s="76">
        <v>1000</v>
      </c>
      <c r="H35" s="76">
        <f t="shared" ref="H35" si="4">IF(G35="","",G35*E35)</f>
        <v>1000</v>
      </c>
    </row>
    <row r="36" spans="2:8" s="80" customFormat="1" x14ac:dyDescent="0.25">
      <c r="B36" s="179"/>
      <c r="C36" s="81"/>
      <c r="D36" s="82"/>
      <c r="E36" s="75"/>
      <c r="F36" s="75"/>
      <c r="G36" s="76"/>
      <c r="H36" s="76"/>
    </row>
    <row r="37" spans="2:8" s="80" customFormat="1" ht="15" customHeight="1" x14ac:dyDescent="0.25">
      <c r="B37" s="172">
        <f>B35+0.01</f>
        <v>20.080000000000013</v>
      </c>
      <c r="C37" s="81"/>
      <c r="D37" s="150" t="s">
        <v>572</v>
      </c>
      <c r="E37" s="128"/>
      <c r="F37" s="128" t="s">
        <v>493</v>
      </c>
      <c r="G37" s="76"/>
      <c r="H37" s="76"/>
    </row>
    <row r="38" spans="2:8" s="80" customFormat="1" x14ac:dyDescent="0.25">
      <c r="B38" s="72"/>
      <c r="C38" s="81"/>
      <c r="D38" s="82"/>
      <c r="E38" s="75"/>
      <c r="F38" s="75"/>
      <c r="G38" s="76"/>
      <c r="H38" s="76"/>
    </row>
    <row r="39" spans="2:8" s="80" customFormat="1" x14ac:dyDescent="0.25">
      <c r="B39" s="179">
        <f>B37+0.01</f>
        <v>20.090000000000014</v>
      </c>
      <c r="C39" s="81"/>
      <c r="D39" s="82" t="s">
        <v>657</v>
      </c>
      <c r="E39" s="75">
        <v>1</v>
      </c>
      <c r="F39" s="75" t="s">
        <v>521</v>
      </c>
      <c r="G39" s="76">
        <v>1000</v>
      </c>
      <c r="H39" s="76">
        <f t="shared" ref="H39" si="5">IF(G39="","",G39*E39)</f>
        <v>1000</v>
      </c>
    </row>
    <row r="40" spans="2:8" s="80" customFormat="1" x14ac:dyDescent="0.25">
      <c r="B40" s="179"/>
      <c r="C40" s="81"/>
      <c r="D40" s="82"/>
      <c r="E40" s="75"/>
      <c r="F40" s="75"/>
      <c r="G40" s="76"/>
      <c r="H40" s="76"/>
    </row>
    <row r="41" spans="2:8" s="80" customFormat="1" ht="15" customHeight="1" x14ac:dyDescent="0.25">
      <c r="B41" s="172">
        <f>B39+0.01</f>
        <v>20.100000000000016</v>
      </c>
      <c r="C41" s="81"/>
      <c r="D41" s="150" t="s">
        <v>572</v>
      </c>
      <c r="E41" s="128"/>
      <c r="F41" s="128" t="s">
        <v>493</v>
      </c>
      <c r="G41" s="76"/>
      <c r="H41" s="76"/>
    </row>
    <row r="42" spans="2:8" s="80" customFormat="1" x14ac:dyDescent="0.25">
      <c r="B42" s="72"/>
      <c r="C42" s="81"/>
      <c r="D42" s="82"/>
      <c r="E42" s="75"/>
      <c r="F42" s="75"/>
      <c r="G42" s="76"/>
      <c r="H42" s="76"/>
    </row>
    <row r="43" spans="2:8" s="80" customFormat="1" x14ac:dyDescent="0.25">
      <c r="B43" s="172">
        <f>B41+0.01</f>
        <v>20.110000000000017</v>
      </c>
      <c r="C43" s="81"/>
      <c r="D43" s="82" t="s">
        <v>655</v>
      </c>
      <c r="E43" s="75">
        <v>1</v>
      </c>
      <c r="F43" s="75" t="s">
        <v>521</v>
      </c>
      <c r="G43" s="76">
        <v>5000</v>
      </c>
      <c r="H43" s="76">
        <f t="shared" ref="H43" si="6">IF(G43="","",G43*E43)</f>
        <v>5000</v>
      </c>
    </row>
    <row r="44" spans="2:8" s="80" customFormat="1" x14ac:dyDescent="0.25">
      <c r="B44" s="172"/>
      <c r="C44" s="81"/>
      <c r="D44" s="82"/>
      <c r="E44" s="75"/>
      <c r="F44" s="75"/>
      <c r="G44" s="76"/>
      <c r="H44" s="76"/>
    </row>
    <row r="45" spans="2:8" s="80" customFormat="1" ht="16.5" customHeight="1" x14ac:dyDescent="0.25">
      <c r="B45" s="172">
        <f>B43+0.01</f>
        <v>20.120000000000019</v>
      </c>
      <c r="C45" s="81"/>
      <c r="D45" s="150" t="s">
        <v>572</v>
      </c>
      <c r="E45" s="128"/>
      <c r="F45" s="128" t="s">
        <v>493</v>
      </c>
      <c r="G45" s="76"/>
      <c r="H45" s="76"/>
    </row>
    <row r="46" spans="2:8" s="80" customFormat="1" x14ac:dyDescent="0.25">
      <c r="B46" s="72"/>
      <c r="C46" s="81"/>
      <c r="D46" s="82"/>
      <c r="E46" s="75"/>
      <c r="F46" s="75"/>
      <c r="G46" s="76"/>
      <c r="H46" s="76"/>
    </row>
    <row r="47" spans="2:8" s="80" customFormat="1" ht="30" x14ac:dyDescent="0.25">
      <c r="B47" s="164">
        <f>B45+0.01</f>
        <v>20.13000000000002</v>
      </c>
      <c r="C47" s="81"/>
      <c r="D47" s="82" t="s">
        <v>1175</v>
      </c>
      <c r="E47" s="128">
        <v>1</v>
      </c>
      <c r="F47" s="128" t="s">
        <v>521</v>
      </c>
      <c r="G47" s="129"/>
      <c r="H47" s="253" t="s">
        <v>654</v>
      </c>
    </row>
    <row r="48" spans="2:8" s="80" customFormat="1" x14ac:dyDescent="0.25">
      <c r="B48" s="72"/>
      <c r="C48" s="81"/>
      <c r="D48" s="82"/>
      <c r="E48" s="75"/>
      <c r="F48" s="75"/>
      <c r="G48" s="76"/>
      <c r="H48" s="76"/>
    </row>
    <row r="49" spans="2:8" s="80" customFormat="1" ht="18.75" customHeight="1" x14ac:dyDescent="0.25">
      <c r="B49" s="172">
        <f>B47+0.01</f>
        <v>20.140000000000022</v>
      </c>
      <c r="C49" s="81"/>
      <c r="D49" s="150" t="s">
        <v>572</v>
      </c>
      <c r="E49" s="128"/>
      <c r="F49" s="128" t="s">
        <v>493</v>
      </c>
      <c r="G49" s="76"/>
      <c r="H49" s="76"/>
    </row>
    <row r="50" spans="2:8" s="80" customFormat="1" x14ac:dyDescent="0.25">
      <c r="B50" s="72"/>
      <c r="C50" s="81"/>
      <c r="D50" s="82"/>
      <c r="E50" s="75"/>
      <c r="F50" s="75"/>
      <c r="G50" s="76"/>
      <c r="H50" s="76"/>
    </row>
    <row r="51" spans="2:8" s="80" customFormat="1" x14ac:dyDescent="0.25">
      <c r="B51" s="72"/>
      <c r="C51" s="108" t="s">
        <v>574</v>
      </c>
      <c r="D51" s="82"/>
      <c r="E51" s="75"/>
      <c r="F51" s="75"/>
      <c r="G51" s="76"/>
      <c r="H51" s="76"/>
    </row>
    <row r="52" spans="2:8" s="80" customFormat="1" x14ac:dyDescent="0.25">
      <c r="B52" s="72"/>
      <c r="C52" s="81"/>
      <c r="D52" s="82"/>
      <c r="E52" s="75"/>
      <c r="F52" s="75"/>
      <c r="G52" s="76"/>
      <c r="H52" s="76"/>
    </row>
    <row r="53" spans="2:8" s="80" customFormat="1" x14ac:dyDescent="0.25">
      <c r="B53" s="72">
        <f>B49+0.01</f>
        <v>20.150000000000023</v>
      </c>
      <c r="C53" s="81"/>
      <c r="D53" s="112" t="s">
        <v>520</v>
      </c>
      <c r="E53" s="75">
        <v>1</v>
      </c>
      <c r="F53" s="75" t="s">
        <v>497</v>
      </c>
      <c r="G53" s="76">
        <v>30000</v>
      </c>
      <c r="H53" s="76">
        <f t="shared" ref="H53" si="7">IF(G53="","",G53*E53)</f>
        <v>30000</v>
      </c>
    </row>
    <row r="54" spans="2:8" s="80" customFormat="1" ht="15.75" thickBot="1" x14ac:dyDescent="0.3">
      <c r="B54" s="72"/>
      <c r="C54" s="81"/>
      <c r="D54" s="112"/>
      <c r="E54" s="75"/>
      <c r="F54" s="75"/>
      <c r="G54" s="76"/>
      <c r="H54" s="234"/>
    </row>
    <row r="55" spans="2:8" s="80" customFormat="1" ht="15.75" thickBot="1" x14ac:dyDescent="0.3">
      <c r="B55" s="72"/>
      <c r="C55" s="74"/>
      <c r="D55" s="314" t="s">
        <v>1171</v>
      </c>
      <c r="E55" s="109"/>
      <c r="F55" s="162"/>
      <c r="G55" s="382"/>
      <c r="H55" s="404">
        <f>SUM(H23:H54)</f>
        <v>45500</v>
      </c>
    </row>
    <row r="56" spans="2:8" s="80" customFormat="1" x14ac:dyDescent="0.25">
      <c r="B56" s="72"/>
      <c r="C56" s="74"/>
      <c r="D56" s="111"/>
      <c r="E56" s="109"/>
      <c r="F56" s="109"/>
      <c r="G56" s="76"/>
      <c r="H56" s="234"/>
    </row>
    <row r="57" spans="2:8" s="80" customFormat="1" ht="15" customHeight="1" x14ac:dyDescent="0.25">
      <c r="B57" s="72"/>
      <c r="C57" s="426" t="s">
        <v>816</v>
      </c>
      <c r="D57" s="427"/>
      <c r="E57" s="109"/>
      <c r="F57" s="109"/>
      <c r="G57" s="76"/>
      <c r="H57" s="234"/>
    </row>
    <row r="58" spans="2:8" s="80" customFormat="1" x14ac:dyDescent="0.25">
      <c r="B58" s="72"/>
      <c r="C58" s="81"/>
      <c r="D58" s="112"/>
      <c r="E58" s="75"/>
      <c r="F58" s="75"/>
      <c r="G58" s="76"/>
      <c r="H58" s="234"/>
    </row>
    <row r="59" spans="2:8" s="80" customFormat="1" x14ac:dyDescent="0.25">
      <c r="B59" s="72"/>
      <c r="C59" s="108" t="s">
        <v>573</v>
      </c>
      <c r="D59" s="82"/>
      <c r="E59" s="75"/>
      <c r="F59" s="75"/>
      <c r="G59" s="76"/>
      <c r="H59" s="234"/>
    </row>
    <row r="60" spans="2:8" s="80" customFormat="1" x14ac:dyDescent="0.25">
      <c r="B60" s="72"/>
      <c r="C60" s="73"/>
      <c r="D60" s="82"/>
      <c r="E60" s="75"/>
      <c r="F60" s="75"/>
      <c r="G60" s="76"/>
      <c r="H60" s="234"/>
    </row>
    <row r="61" spans="2:8" s="80" customFormat="1" x14ac:dyDescent="0.25">
      <c r="B61" s="164">
        <f>B41+0.01</f>
        <v>20.110000000000017</v>
      </c>
      <c r="C61" s="81"/>
      <c r="D61" s="82" t="s">
        <v>1172</v>
      </c>
      <c r="E61" s="128">
        <v>1</v>
      </c>
      <c r="F61" s="128" t="s">
        <v>521</v>
      </c>
      <c r="G61" s="129">
        <v>1000</v>
      </c>
      <c r="H61" s="76">
        <f t="shared" ref="H61" si="8">IF(G61="","",G61*E61)</f>
        <v>1000</v>
      </c>
    </row>
    <row r="62" spans="2:8" s="80" customFormat="1" x14ac:dyDescent="0.25">
      <c r="B62" s="72"/>
      <c r="C62" s="81"/>
      <c r="D62" s="82"/>
      <c r="E62" s="75"/>
      <c r="F62" s="75"/>
      <c r="G62" s="76"/>
      <c r="H62" s="234"/>
    </row>
    <row r="63" spans="2:8" s="80" customFormat="1" ht="16.5" customHeight="1" x14ac:dyDescent="0.25">
      <c r="B63" s="172">
        <f>B61+0.01</f>
        <v>20.120000000000019</v>
      </c>
      <c r="C63" s="81"/>
      <c r="D63" s="150" t="s">
        <v>572</v>
      </c>
      <c r="E63" s="128"/>
      <c r="F63" s="128" t="s">
        <v>493</v>
      </c>
      <c r="G63" s="76"/>
      <c r="H63" s="234"/>
    </row>
    <row r="64" spans="2:8" s="80" customFormat="1" x14ac:dyDescent="0.25">
      <c r="B64" s="72"/>
      <c r="C64" s="81"/>
      <c r="D64" s="112"/>
      <c r="E64" s="75"/>
      <c r="F64" s="75"/>
      <c r="G64" s="76"/>
      <c r="H64" s="234"/>
    </row>
    <row r="65" spans="2:8" s="80" customFormat="1" x14ac:dyDescent="0.25">
      <c r="B65" s="179">
        <f>B63+0.01</f>
        <v>20.13000000000002</v>
      </c>
      <c r="C65" s="81"/>
      <c r="D65" s="82" t="s">
        <v>1173</v>
      </c>
      <c r="E65" s="128">
        <v>1</v>
      </c>
      <c r="F65" s="128" t="s">
        <v>521</v>
      </c>
      <c r="G65" s="129">
        <v>2000</v>
      </c>
      <c r="H65" s="76">
        <v>3000</v>
      </c>
    </row>
    <row r="66" spans="2:8" s="80" customFormat="1" x14ac:dyDescent="0.25">
      <c r="B66" s="72"/>
      <c r="C66" s="81"/>
      <c r="D66" s="82"/>
      <c r="E66" s="75"/>
      <c r="F66" s="75"/>
      <c r="G66" s="76"/>
      <c r="H66" s="234"/>
    </row>
    <row r="67" spans="2:8" s="80" customFormat="1" ht="12.75" customHeight="1" x14ac:dyDescent="0.25">
      <c r="B67" s="172">
        <f>B65+0.01</f>
        <v>20.140000000000022</v>
      </c>
      <c r="C67" s="81"/>
      <c r="D67" s="150" t="s">
        <v>572</v>
      </c>
      <c r="E67" s="128"/>
      <c r="F67" s="128" t="s">
        <v>493</v>
      </c>
      <c r="G67" s="76"/>
      <c r="H67" s="234"/>
    </row>
    <row r="68" spans="2:8" s="80" customFormat="1" x14ac:dyDescent="0.25">
      <c r="B68" s="72"/>
      <c r="C68" s="81"/>
      <c r="D68" s="112"/>
      <c r="E68" s="75"/>
      <c r="F68" s="75"/>
      <c r="G68" s="76"/>
      <c r="H68" s="234"/>
    </row>
    <row r="69" spans="2:8" s="80" customFormat="1" x14ac:dyDescent="0.25">
      <c r="B69" s="172">
        <f>B67+0.01</f>
        <v>20.150000000000023</v>
      </c>
      <c r="C69" s="81"/>
      <c r="D69" s="82" t="s">
        <v>655</v>
      </c>
      <c r="E69" s="75">
        <v>1</v>
      </c>
      <c r="F69" s="75" t="s">
        <v>521</v>
      </c>
      <c r="G69" s="76">
        <v>20000</v>
      </c>
      <c r="H69" s="76">
        <f t="shared" ref="H69" si="9">IF(G69="","",G69*E69)</f>
        <v>20000</v>
      </c>
    </row>
    <row r="70" spans="2:8" s="80" customFormat="1" ht="30" x14ac:dyDescent="0.25">
      <c r="B70" s="172">
        <f>B69+0.01</f>
        <v>20.160000000000025</v>
      </c>
      <c r="C70" s="81"/>
      <c r="D70" s="150" t="s">
        <v>572</v>
      </c>
      <c r="E70" s="128"/>
      <c r="F70" s="128" t="s">
        <v>493</v>
      </c>
      <c r="G70" s="76"/>
      <c r="H70" s="76"/>
    </row>
    <row r="71" spans="2:8" s="80" customFormat="1" x14ac:dyDescent="0.25">
      <c r="B71" s="72"/>
      <c r="C71" s="81"/>
      <c r="D71" s="82"/>
      <c r="E71" s="75"/>
      <c r="F71" s="75"/>
      <c r="G71" s="76"/>
      <c r="H71" s="76"/>
    </row>
    <row r="72" spans="2:8" s="80" customFormat="1" ht="30" x14ac:dyDescent="0.25">
      <c r="B72" s="164">
        <f>B70+0.01</f>
        <v>20.170000000000027</v>
      </c>
      <c r="C72" s="81"/>
      <c r="D72" s="82" t="s">
        <v>1174</v>
      </c>
      <c r="E72" s="128">
        <v>1</v>
      </c>
      <c r="F72" s="128" t="s">
        <v>521</v>
      </c>
      <c r="G72" s="129">
        <v>20000</v>
      </c>
      <c r="H72" s="129">
        <f t="shared" ref="H72" si="10">IF(G72="","",G72*E72)</f>
        <v>20000</v>
      </c>
    </row>
    <row r="73" spans="2:8" s="80" customFormat="1" x14ac:dyDescent="0.25">
      <c r="B73" s="72"/>
      <c r="C73" s="81"/>
      <c r="D73" s="82"/>
      <c r="E73" s="75"/>
      <c r="F73" s="75"/>
      <c r="G73" s="76"/>
      <c r="H73" s="76"/>
    </row>
    <row r="74" spans="2:8" s="80" customFormat="1" ht="12.75" customHeight="1" x14ac:dyDescent="0.25">
      <c r="B74" s="172">
        <f>B72+0.01</f>
        <v>20.180000000000028</v>
      </c>
      <c r="C74" s="81"/>
      <c r="D74" s="150" t="s">
        <v>572</v>
      </c>
      <c r="E74" s="128"/>
      <c r="F74" s="128" t="s">
        <v>493</v>
      </c>
      <c r="G74" s="76"/>
      <c r="H74" s="76"/>
    </row>
    <row r="75" spans="2:8" s="80" customFormat="1" x14ac:dyDescent="0.25">
      <c r="B75" s="72"/>
      <c r="C75" s="81"/>
      <c r="D75" s="112"/>
      <c r="E75" s="75"/>
      <c r="F75" s="75"/>
      <c r="G75" s="76"/>
      <c r="H75" s="234"/>
    </row>
    <row r="76" spans="2:8" s="80" customFormat="1" x14ac:dyDescent="0.25">
      <c r="B76" s="72"/>
      <c r="C76" s="108" t="s">
        <v>574</v>
      </c>
      <c r="D76" s="82"/>
      <c r="E76" s="75"/>
      <c r="F76" s="75"/>
      <c r="G76" s="76"/>
      <c r="H76" s="76"/>
    </row>
    <row r="77" spans="2:8" s="80" customFormat="1" x14ac:dyDescent="0.25">
      <c r="B77" s="72"/>
      <c r="C77" s="81"/>
      <c r="D77" s="82"/>
      <c r="E77" s="75"/>
      <c r="F77" s="75"/>
      <c r="G77" s="76"/>
      <c r="H77" s="76"/>
    </row>
    <row r="78" spans="2:8" s="80" customFormat="1" x14ac:dyDescent="0.25">
      <c r="B78" s="72">
        <f>B74+0.01</f>
        <v>20.19000000000003</v>
      </c>
      <c r="C78" s="81"/>
      <c r="D78" s="112" t="s">
        <v>520</v>
      </c>
      <c r="E78" s="75">
        <v>1</v>
      </c>
      <c r="F78" s="75" t="s">
        <v>497</v>
      </c>
      <c r="G78" s="76">
        <v>60000</v>
      </c>
      <c r="H78" s="129">
        <f t="shared" ref="H78" si="11">IF(G78="","",G78*E78)</f>
        <v>60000</v>
      </c>
    </row>
    <row r="79" spans="2:8" s="80" customFormat="1" x14ac:dyDescent="0.25">
      <c r="B79" s="72"/>
      <c r="C79" s="81"/>
      <c r="D79" s="112"/>
      <c r="E79" s="75"/>
      <c r="F79" s="75"/>
      <c r="G79" s="76"/>
      <c r="H79" s="234"/>
    </row>
    <row r="80" spans="2:8" s="80" customFormat="1" x14ac:dyDescent="0.25">
      <c r="B80" s="72"/>
      <c r="C80" s="81"/>
      <c r="D80" s="112"/>
      <c r="E80" s="75"/>
      <c r="F80" s="75"/>
      <c r="G80" s="76"/>
      <c r="H80" s="234"/>
    </row>
    <row r="81" spans="2:8" s="80" customFormat="1" x14ac:dyDescent="0.25">
      <c r="B81" s="72"/>
      <c r="C81" s="81"/>
      <c r="D81" s="112"/>
      <c r="E81" s="75"/>
      <c r="F81" s="75"/>
      <c r="G81" s="76"/>
      <c r="H81" s="76" t="str">
        <f t="shared" si="0"/>
        <v/>
      </c>
    </row>
    <row r="82" spans="2:8" ht="15.75" thickBot="1" x14ac:dyDescent="0.3">
      <c r="B82" s="85"/>
      <c r="C82" s="86"/>
      <c r="D82" s="87"/>
      <c r="E82" s="88"/>
      <c r="F82" s="88"/>
      <c r="G82" s="89"/>
      <c r="H82" s="76" t="str">
        <f t="shared" si="0"/>
        <v/>
      </c>
    </row>
    <row r="83" spans="2:8" ht="30.75" customHeight="1" thickBot="1" x14ac:dyDescent="0.3">
      <c r="D83" s="367" t="s">
        <v>1171</v>
      </c>
      <c r="E83" s="109"/>
      <c r="F83" s="162"/>
      <c r="G83" s="382"/>
      <c r="H83" s="93">
        <f>SUM(H59:H82)</f>
        <v>104000</v>
      </c>
    </row>
    <row r="84" spans="2:8" x14ac:dyDescent="0.25">
      <c r="H84" s="114"/>
    </row>
  </sheetData>
  <mergeCells count="2">
    <mergeCell ref="C19:D19"/>
    <mergeCell ref="C57:D57"/>
  </mergeCells>
  <pageMargins left="0.7" right="0.7" top="0.75" bottom="0.75" header="0.3" footer="0.3"/>
  <pageSetup paperSize="9" scale="77"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45"/>
  <sheetViews>
    <sheetView tabSelected="1" zoomScale="80" zoomScaleNormal="80" workbookViewId="0">
      <pane ySplit="5" topLeftCell="A42" activePane="bottomLeft" state="frozen"/>
      <selection pane="bottomLeft" activeCell="M50" sqref="M50"/>
    </sheetView>
  </sheetViews>
  <sheetFormatPr defaultRowHeight="15" x14ac:dyDescent="0.25"/>
  <cols>
    <col min="1" max="1" width="3" customWidth="1"/>
    <col min="3" max="3" width="4.5703125" customWidth="1"/>
    <col min="4" max="4" width="51.85546875" customWidth="1"/>
    <col min="5" max="5" width="11.5703125" style="28" customWidth="1"/>
    <col min="6" max="6" width="9.140625" style="24"/>
    <col min="7" max="7" width="10.140625" bestFit="1" customWidth="1"/>
    <col min="8" max="8" width="13.28515625" customWidth="1"/>
    <col min="9" max="9" width="10.140625" customWidth="1"/>
    <col min="10" max="10" width="16.140625" customWidth="1"/>
    <col min="11" max="11" width="10.140625" bestFit="1" customWidth="1"/>
  </cols>
  <sheetData>
    <row r="1" spans="2:10" ht="15.75" thickBot="1" x14ac:dyDescent="0.3"/>
    <row r="2" spans="2:10" ht="34.5" customHeight="1" x14ac:dyDescent="0.25">
      <c r="B2" s="12" t="str">
        <f>+Summary!B2</f>
        <v>Todmorden Bandstand Refurbishment &amp; Bowls Pavilion New Build</v>
      </c>
      <c r="C2" s="13"/>
      <c r="D2" s="13"/>
      <c r="E2" s="25"/>
      <c r="F2" s="25"/>
      <c r="G2" s="13"/>
      <c r="H2" s="13"/>
      <c r="I2" s="13"/>
      <c r="J2" s="29"/>
    </row>
    <row r="3" spans="2:10" ht="30" customHeight="1" x14ac:dyDescent="0.25">
      <c r="B3" s="9" t="str">
        <f>+Summary!B3</f>
        <v>Tender Document</v>
      </c>
      <c r="C3" s="15"/>
      <c r="D3" s="15"/>
      <c r="E3" s="24"/>
      <c r="F3" s="26"/>
      <c r="G3" s="16" t="str">
        <f>+Summary!D49</f>
        <v>Dayworks</v>
      </c>
      <c r="H3" s="16"/>
      <c r="I3" s="16"/>
      <c r="J3" s="31">
        <f>+Summary!G3</f>
        <v>45614</v>
      </c>
    </row>
    <row r="4" spans="2:10" ht="13.5" customHeight="1" thickBot="1" x14ac:dyDescent="0.3">
      <c r="B4" s="18">
        <v>21</v>
      </c>
      <c r="C4" s="19"/>
      <c r="D4" s="19"/>
      <c r="E4" s="27"/>
      <c r="F4" s="27"/>
      <c r="G4" s="19"/>
      <c r="H4" s="102" t="s">
        <v>667</v>
      </c>
      <c r="I4" s="101"/>
      <c r="J4" s="392" t="s">
        <v>1052</v>
      </c>
    </row>
    <row r="5" spans="2:10" ht="23.25" customHeight="1" thickBot="1" x14ac:dyDescent="0.3">
      <c r="B5" s="11"/>
      <c r="C5" s="9"/>
      <c r="D5" s="6"/>
      <c r="E5" s="38" t="s">
        <v>1</v>
      </c>
      <c r="F5" s="39" t="s">
        <v>2</v>
      </c>
      <c r="G5" s="40" t="s">
        <v>3</v>
      </c>
      <c r="H5" s="41" t="s">
        <v>5</v>
      </c>
      <c r="I5" s="40"/>
      <c r="J5" s="41" t="s">
        <v>5</v>
      </c>
    </row>
    <row r="6" spans="2:10" x14ac:dyDescent="0.25">
      <c r="B6" s="11"/>
      <c r="C6" s="9"/>
      <c r="D6" s="6"/>
      <c r="E6" s="7"/>
      <c r="F6" s="7"/>
      <c r="G6" s="8"/>
      <c r="H6" s="8"/>
      <c r="I6" s="8"/>
      <c r="J6" s="8" t="str">
        <f t="shared" ref="J6:J14" si="0">IF(G6="","",G6*E6)</f>
        <v/>
      </c>
    </row>
    <row r="7" spans="2:10" x14ac:dyDescent="0.25">
      <c r="B7" s="11"/>
      <c r="C7" s="1"/>
      <c r="D7" s="52" t="s">
        <v>476</v>
      </c>
      <c r="E7" s="7"/>
      <c r="F7" s="7"/>
      <c r="G7" s="8"/>
      <c r="H7" s="8"/>
      <c r="I7" s="8"/>
      <c r="J7" s="8" t="str">
        <f t="shared" si="0"/>
        <v/>
      </c>
    </row>
    <row r="8" spans="2:10" x14ac:dyDescent="0.25">
      <c r="B8" s="11"/>
      <c r="C8" s="9"/>
      <c r="D8" s="53"/>
      <c r="E8" s="7"/>
      <c r="F8" s="7"/>
      <c r="G8" s="8"/>
      <c r="H8" s="8"/>
      <c r="I8" s="8"/>
      <c r="J8" s="8" t="str">
        <f t="shared" si="0"/>
        <v/>
      </c>
    </row>
    <row r="9" spans="2:10" x14ac:dyDescent="0.25">
      <c r="B9" s="11"/>
      <c r="C9" s="9"/>
      <c r="D9" s="52" t="s">
        <v>477</v>
      </c>
      <c r="E9" s="7"/>
      <c r="F9" s="7"/>
      <c r="G9" s="8"/>
      <c r="H9" s="8"/>
      <c r="I9" s="8"/>
      <c r="J9" s="8" t="str">
        <f t="shared" si="0"/>
        <v/>
      </c>
    </row>
    <row r="10" spans="2:10" x14ac:dyDescent="0.25">
      <c r="B10" s="11"/>
      <c r="C10" s="1"/>
      <c r="D10" s="52"/>
      <c r="E10" s="7"/>
      <c r="F10" s="7"/>
      <c r="G10" s="8"/>
      <c r="H10" s="8"/>
      <c r="I10" s="8"/>
      <c r="J10" s="8" t="str">
        <f t="shared" si="0"/>
        <v/>
      </c>
    </row>
    <row r="11" spans="2:10" x14ac:dyDescent="0.25">
      <c r="B11" s="11"/>
      <c r="C11" s="4"/>
      <c r="D11" s="53" t="s">
        <v>478</v>
      </c>
      <c r="E11" s="7"/>
      <c r="F11" s="7"/>
      <c r="G11" s="8"/>
      <c r="H11" s="8"/>
      <c r="I11" s="8"/>
      <c r="J11" s="8" t="str">
        <f t="shared" si="0"/>
        <v/>
      </c>
    </row>
    <row r="12" spans="2:10" x14ac:dyDescent="0.25">
      <c r="B12" s="11"/>
      <c r="C12" s="1"/>
      <c r="D12" s="53"/>
      <c r="E12" s="7"/>
      <c r="F12" s="7"/>
      <c r="G12" s="8"/>
      <c r="H12" s="8"/>
      <c r="I12" s="8"/>
      <c r="J12" s="8" t="str">
        <f t="shared" si="0"/>
        <v/>
      </c>
    </row>
    <row r="13" spans="2:10" ht="75" x14ac:dyDescent="0.25">
      <c r="B13" s="11"/>
      <c r="C13" s="9"/>
      <c r="D13" s="54" t="s">
        <v>479</v>
      </c>
      <c r="E13" s="7"/>
      <c r="F13" s="7"/>
      <c r="G13" s="8"/>
      <c r="H13" s="8"/>
      <c r="I13" s="8"/>
      <c r="J13" s="8" t="str">
        <f t="shared" si="0"/>
        <v/>
      </c>
    </row>
    <row r="14" spans="2:10" x14ac:dyDescent="0.25">
      <c r="B14" s="11"/>
      <c r="C14" s="9"/>
      <c r="D14" s="55"/>
      <c r="E14" s="7"/>
      <c r="F14" s="7"/>
      <c r="G14" s="8"/>
      <c r="H14" s="8"/>
      <c r="I14" s="8"/>
      <c r="J14" s="8" t="str">
        <f t="shared" si="0"/>
        <v/>
      </c>
    </row>
    <row r="15" spans="2:10" x14ac:dyDescent="0.25">
      <c r="B15" s="11">
        <f>B4+0.01</f>
        <v>21.01</v>
      </c>
      <c r="C15" s="9"/>
      <c r="D15" s="56" t="s">
        <v>481</v>
      </c>
      <c r="E15" s="64">
        <v>10</v>
      </c>
      <c r="F15" s="65" t="s">
        <v>480</v>
      </c>
      <c r="G15" s="8"/>
      <c r="H15" s="147">
        <f>E15*G15</f>
        <v>0</v>
      </c>
      <c r="I15" s="8"/>
      <c r="J15" s="147">
        <f>E15*I15</f>
        <v>0</v>
      </c>
    </row>
    <row r="16" spans="2:10" x14ac:dyDescent="0.25">
      <c r="B16" s="11"/>
      <c r="C16" s="9"/>
      <c r="D16" s="57"/>
      <c r="E16" s="64"/>
      <c r="F16" s="66"/>
      <c r="G16" s="8"/>
      <c r="H16" s="147">
        <f t="shared" ref="H16:H31" si="1">E16*G16</f>
        <v>0</v>
      </c>
      <c r="I16" s="8"/>
      <c r="J16" s="147">
        <f t="shared" ref="J16:J31" si="2">E16*I16</f>
        <v>0</v>
      </c>
    </row>
    <row r="17" spans="2:10" x14ac:dyDescent="0.25">
      <c r="B17" s="11">
        <f>B15+0.01</f>
        <v>21.020000000000003</v>
      </c>
      <c r="C17" s="9"/>
      <c r="D17" s="56" t="s">
        <v>482</v>
      </c>
      <c r="E17" s="64">
        <v>10</v>
      </c>
      <c r="F17" s="65" t="s">
        <v>480</v>
      </c>
      <c r="G17" s="8"/>
      <c r="H17" s="147">
        <f t="shared" si="1"/>
        <v>0</v>
      </c>
      <c r="I17" s="8"/>
      <c r="J17" s="147">
        <f t="shared" si="2"/>
        <v>0</v>
      </c>
    </row>
    <row r="18" spans="2:10" x14ac:dyDescent="0.25">
      <c r="B18" s="11"/>
      <c r="C18" s="9"/>
      <c r="D18" s="57"/>
      <c r="E18" s="64"/>
      <c r="F18" s="66"/>
      <c r="G18" s="8"/>
      <c r="H18" s="147">
        <f t="shared" si="1"/>
        <v>0</v>
      </c>
      <c r="I18" s="8"/>
      <c r="J18" s="147">
        <f t="shared" si="2"/>
        <v>0</v>
      </c>
    </row>
    <row r="19" spans="2:10" x14ac:dyDescent="0.25">
      <c r="B19" s="11">
        <f>B17+0.01</f>
        <v>21.030000000000005</v>
      </c>
      <c r="C19" s="9"/>
      <c r="D19" s="58" t="s">
        <v>483</v>
      </c>
      <c r="E19" s="64">
        <v>10</v>
      </c>
      <c r="F19" s="65" t="s">
        <v>480</v>
      </c>
      <c r="G19" s="8"/>
      <c r="H19" s="147">
        <f t="shared" si="1"/>
        <v>0</v>
      </c>
      <c r="I19" s="8"/>
      <c r="J19" s="147">
        <f t="shared" si="2"/>
        <v>0</v>
      </c>
    </row>
    <row r="20" spans="2:10" x14ac:dyDescent="0.25">
      <c r="B20" s="11"/>
      <c r="C20" s="9"/>
      <c r="D20" s="57"/>
      <c r="E20" s="64"/>
      <c r="F20" s="66"/>
      <c r="G20" s="8"/>
      <c r="H20" s="147">
        <f t="shared" si="1"/>
        <v>0</v>
      </c>
      <c r="I20" s="8"/>
      <c r="J20" s="147">
        <f t="shared" si="2"/>
        <v>0</v>
      </c>
    </row>
    <row r="21" spans="2:10" x14ac:dyDescent="0.25">
      <c r="B21" s="11">
        <f>B19+0.01</f>
        <v>21.040000000000006</v>
      </c>
      <c r="C21" s="9"/>
      <c r="D21" s="56" t="s">
        <v>484</v>
      </c>
      <c r="E21" s="64">
        <v>10</v>
      </c>
      <c r="F21" s="65" t="s">
        <v>480</v>
      </c>
      <c r="G21" s="8"/>
      <c r="H21" s="147">
        <f t="shared" si="1"/>
        <v>0</v>
      </c>
      <c r="I21" s="8"/>
      <c r="J21" s="147">
        <f t="shared" si="2"/>
        <v>0</v>
      </c>
    </row>
    <row r="22" spans="2:10" x14ac:dyDescent="0.25">
      <c r="B22" s="11"/>
      <c r="C22" s="9"/>
      <c r="D22" s="57"/>
      <c r="E22" s="64"/>
      <c r="F22" s="66"/>
      <c r="G22" s="8"/>
      <c r="H22" s="147">
        <f t="shared" si="1"/>
        <v>0</v>
      </c>
      <c r="I22" s="8"/>
      <c r="J22" s="147">
        <f t="shared" si="2"/>
        <v>0</v>
      </c>
    </row>
    <row r="23" spans="2:10" x14ac:dyDescent="0.25">
      <c r="B23" s="11">
        <f>B21+0.01</f>
        <v>21.050000000000008</v>
      </c>
      <c r="C23" s="9"/>
      <c r="D23" s="56" t="s">
        <v>485</v>
      </c>
      <c r="E23" s="64">
        <v>10</v>
      </c>
      <c r="F23" s="65" t="s">
        <v>480</v>
      </c>
      <c r="G23" s="8"/>
      <c r="H23" s="147">
        <f t="shared" si="1"/>
        <v>0</v>
      </c>
      <c r="I23" s="8"/>
      <c r="J23" s="147">
        <f t="shared" si="2"/>
        <v>0</v>
      </c>
    </row>
    <row r="24" spans="2:10" x14ac:dyDescent="0.25">
      <c r="B24" s="11"/>
      <c r="C24" s="9"/>
      <c r="D24" s="57"/>
      <c r="E24" s="64"/>
      <c r="F24" s="66"/>
      <c r="G24" s="8"/>
      <c r="H24" s="147">
        <f t="shared" si="1"/>
        <v>0</v>
      </c>
      <c r="I24" s="8"/>
      <c r="J24" s="147">
        <f t="shared" si="2"/>
        <v>0</v>
      </c>
    </row>
    <row r="25" spans="2:10" x14ac:dyDescent="0.25">
      <c r="B25" s="11">
        <f>B23+0.01</f>
        <v>21.060000000000009</v>
      </c>
      <c r="C25" s="9"/>
      <c r="D25" s="56" t="s">
        <v>486</v>
      </c>
      <c r="E25" s="64">
        <v>10</v>
      </c>
      <c r="F25" s="65" t="s">
        <v>480</v>
      </c>
      <c r="G25" s="8"/>
      <c r="H25" s="147">
        <f t="shared" si="1"/>
        <v>0</v>
      </c>
      <c r="I25" s="8"/>
      <c r="J25" s="147">
        <f t="shared" si="2"/>
        <v>0</v>
      </c>
    </row>
    <row r="26" spans="2:10" x14ac:dyDescent="0.25">
      <c r="B26" s="11"/>
      <c r="C26" s="9"/>
      <c r="D26" s="59"/>
      <c r="E26" s="67"/>
      <c r="F26" s="67"/>
      <c r="G26" s="8"/>
      <c r="H26" s="147">
        <f t="shared" si="1"/>
        <v>0</v>
      </c>
      <c r="I26" s="8"/>
      <c r="J26" s="147">
        <f t="shared" si="2"/>
        <v>0</v>
      </c>
    </row>
    <row r="27" spans="2:10" x14ac:dyDescent="0.25">
      <c r="B27" s="11">
        <f>B25+0.01</f>
        <v>21.070000000000011</v>
      </c>
      <c r="C27" s="9"/>
      <c r="D27" s="56" t="s">
        <v>487</v>
      </c>
      <c r="E27" s="64">
        <v>10</v>
      </c>
      <c r="F27" s="65" t="s">
        <v>480</v>
      </c>
      <c r="G27" s="8"/>
      <c r="H27" s="147">
        <f t="shared" si="1"/>
        <v>0</v>
      </c>
      <c r="I27" s="8"/>
      <c r="J27" s="147">
        <f t="shared" si="2"/>
        <v>0</v>
      </c>
    </row>
    <row r="28" spans="2:10" x14ac:dyDescent="0.25">
      <c r="B28" s="11"/>
      <c r="C28" s="9"/>
      <c r="D28" s="57"/>
      <c r="E28" s="64"/>
      <c r="F28" s="66"/>
      <c r="G28" s="8"/>
      <c r="H28" s="147">
        <f t="shared" si="1"/>
        <v>0</v>
      </c>
      <c r="I28" s="8"/>
      <c r="J28" s="147">
        <f t="shared" si="2"/>
        <v>0</v>
      </c>
    </row>
    <row r="29" spans="2:10" x14ac:dyDescent="0.25">
      <c r="B29" s="11">
        <f>B27+0.01</f>
        <v>21.080000000000013</v>
      </c>
      <c r="C29" s="9"/>
      <c r="D29" s="56" t="s">
        <v>488</v>
      </c>
      <c r="E29" s="64">
        <v>10</v>
      </c>
      <c r="F29" s="65" t="s">
        <v>480</v>
      </c>
      <c r="G29" s="8"/>
      <c r="H29" s="147">
        <f t="shared" si="1"/>
        <v>0</v>
      </c>
      <c r="I29" s="8"/>
      <c r="J29" s="147">
        <f t="shared" si="2"/>
        <v>0</v>
      </c>
    </row>
    <row r="30" spans="2:10" x14ac:dyDescent="0.25">
      <c r="B30" s="11"/>
      <c r="C30" s="9"/>
      <c r="D30" s="57"/>
      <c r="E30" s="64"/>
      <c r="F30" s="66"/>
      <c r="G30" s="8"/>
      <c r="H30" s="147">
        <f t="shared" si="1"/>
        <v>0</v>
      </c>
      <c r="I30" s="8"/>
      <c r="J30" s="147">
        <f t="shared" si="2"/>
        <v>0</v>
      </c>
    </row>
    <row r="31" spans="2:10" x14ac:dyDescent="0.25">
      <c r="B31" s="11">
        <f>B29+0.01</f>
        <v>21.090000000000014</v>
      </c>
      <c r="C31" s="9"/>
      <c r="D31" s="56" t="s">
        <v>489</v>
      </c>
      <c r="E31" s="64">
        <v>10</v>
      </c>
      <c r="F31" s="65" t="s">
        <v>480</v>
      </c>
      <c r="G31" s="8"/>
      <c r="H31" s="147">
        <f t="shared" si="1"/>
        <v>0</v>
      </c>
      <c r="I31" s="8"/>
      <c r="J31" s="147">
        <f t="shared" si="2"/>
        <v>0</v>
      </c>
    </row>
    <row r="32" spans="2:10" x14ac:dyDescent="0.25">
      <c r="B32" s="11"/>
      <c r="C32" s="9"/>
      <c r="D32" s="59"/>
      <c r="E32" s="67"/>
      <c r="F32" s="67"/>
      <c r="G32" s="8"/>
      <c r="H32" s="8"/>
      <c r="I32" s="8"/>
      <c r="J32" s="147"/>
    </row>
    <row r="33" spans="2:10" x14ac:dyDescent="0.25">
      <c r="B33" s="11"/>
      <c r="C33" s="9"/>
      <c r="D33" s="60" t="s">
        <v>490</v>
      </c>
      <c r="E33" s="67"/>
      <c r="F33" s="68"/>
      <c r="G33" s="8"/>
      <c r="H33" s="8"/>
      <c r="I33" s="8"/>
      <c r="J33" s="147"/>
    </row>
    <row r="34" spans="2:10" x14ac:dyDescent="0.25">
      <c r="B34" s="11"/>
      <c r="C34" s="9"/>
      <c r="D34" s="53"/>
      <c r="E34" s="67"/>
      <c r="F34" s="67"/>
      <c r="G34" s="8"/>
      <c r="H34" s="8"/>
      <c r="I34" s="8"/>
      <c r="J34" s="147"/>
    </row>
    <row r="35" spans="2:10" ht="30" x14ac:dyDescent="0.25">
      <c r="B35" s="206">
        <f>B31+0.01</f>
        <v>21.100000000000016</v>
      </c>
      <c r="C35" s="9"/>
      <c r="D35" s="151" t="s">
        <v>491</v>
      </c>
      <c r="E35" s="67"/>
      <c r="F35" s="67"/>
      <c r="G35" s="152"/>
      <c r="H35" s="152">
        <v>300</v>
      </c>
      <c r="I35" s="152"/>
      <c r="J35" s="153">
        <v>300</v>
      </c>
    </row>
    <row r="36" spans="2:10" x14ac:dyDescent="0.25">
      <c r="B36" s="11"/>
      <c r="C36" s="9"/>
      <c r="D36" s="53"/>
      <c r="E36" s="67"/>
      <c r="F36" s="67"/>
      <c r="G36" s="8"/>
      <c r="H36" s="8"/>
      <c r="I36" s="8"/>
      <c r="J36" s="147">
        <f t="shared" ref="J36" si="3">E36*G36</f>
        <v>0</v>
      </c>
    </row>
    <row r="37" spans="2:10" x14ac:dyDescent="0.25">
      <c r="B37" s="11">
        <f>B35+0.01</f>
        <v>21.110000000000017</v>
      </c>
      <c r="C37" s="9"/>
      <c r="D37" s="62" t="s">
        <v>492</v>
      </c>
      <c r="E37" s="67"/>
      <c r="F37" s="68" t="s">
        <v>493</v>
      </c>
      <c r="G37" s="8"/>
      <c r="H37" s="147">
        <f>E37*G37</f>
        <v>0</v>
      </c>
      <c r="I37" s="8"/>
      <c r="J37" s="147">
        <f>E37*I37</f>
        <v>0</v>
      </c>
    </row>
    <row r="38" spans="2:10" x14ac:dyDescent="0.25">
      <c r="B38" s="11"/>
      <c r="C38" s="9"/>
      <c r="D38" s="53"/>
      <c r="E38" s="67"/>
      <c r="F38" s="67"/>
      <c r="G38" s="8"/>
      <c r="H38" s="147">
        <f t="shared" ref="H38:H40" si="4">E38*G38</f>
        <v>0</v>
      </c>
      <c r="I38" s="8"/>
      <c r="J38" s="147">
        <f t="shared" ref="J38:J40" si="5">E38*I38</f>
        <v>0</v>
      </c>
    </row>
    <row r="39" spans="2:10" ht="60" x14ac:dyDescent="0.25">
      <c r="B39" s="11"/>
      <c r="C39" s="9"/>
      <c r="D39" s="63" t="s">
        <v>494</v>
      </c>
      <c r="E39" s="67"/>
      <c r="F39" s="67"/>
      <c r="G39" s="8"/>
      <c r="H39" s="147">
        <f t="shared" si="4"/>
        <v>0</v>
      </c>
      <c r="I39" s="8"/>
      <c r="J39" s="147">
        <f t="shared" si="5"/>
        <v>0</v>
      </c>
    </row>
    <row r="40" spans="2:10" x14ac:dyDescent="0.25">
      <c r="B40" s="11"/>
      <c r="C40" s="9"/>
      <c r="D40" s="53"/>
      <c r="E40" s="67"/>
      <c r="F40" s="67"/>
      <c r="G40" s="8"/>
      <c r="H40" s="147">
        <f t="shared" si="4"/>
        <v>0</v>
      </c>
      <c r="I40" s="8"/>
      <c r="J40" s="147">
        <f t="shared" si="5"/>
        <v>0</v>
      </c>
    </row>
    <row r="41" spans="2:10" ht="30" x14ac:dyDescent="0.25">
      <c r="B41" s="11">
        <f>B37+0.01</f>
        <v>21.120000000000019</v>
      </c>
      <c r="C41" s="9"/>
      <c r="D41" s="61" t="s">
        <v>495</v>
      </c>
      <c r="E41" s="67"/>
      <c r="F41" s="67"/>
      <c r="G41" s="152"/>
      <c r="H41" s="152">
        <v>300</v>
      </c>
      <c r="I41" s="152"/>
      <c r="J41" s="153">
        <v>300</v>
      </c>
    </row>
    <row r="42" spans="2:10" x14ac:dyDescent="0.25">
      <c r="B42" s="11"/>
      <c r="C42" s="9"/>
      <c r="D42" s="53"/>
      <c r="E42" s="67"/>
      <c r="F42" s="67"/>
      <c r="G42" s="8"/>
      <c r="H42" s="147">
        <f t="shared" ref="H42:H44" si="6">E42*G42</f>
        <v>0</v>
      </c>
      <c r="I42" s="8"/>
      <c r="J42" s="147">
        <f t="shared" ref="J42:J44" si="7">E42*I42</f>
        <v>0</v>
      </c>
    </row>
    <row r="43" spans="2:10" x14ac:dyDescent="0.25">
      <c r="B43" s="11">
        <f>B41+0.01</f>
        <v>21.13000000000002</v>
      </c>
      <c r="C43" s="9"/>
      <c r="D43" s="62" t="s">
        <v>492</v>
      </c>
      <c r="E43" s="67"/>
      <c r="F43" s="68" t="s">
        <v>493</v>
      </c>
      <c r="G43" s="8"/>
      <c r="H43" s="147">
        <f t="shared" si="6"/>
        <v>0</v>
      </c>
      <c r="I43" s="8"/>
      <c r="J43" s="147">
        <f t="shared" si="7"/>
        <v>0</v>
      </c>
    </row>
    <row r="44" spans="2:10" ht="15.75" thickBot="1" x14ac:dyDescent="0.3">
      <c r="B44" s="34"/>
      <c r="C44" s="18"/>
      <c r="D44" s="35"/>
      <c r="E44" s="36"/>
      <c r="F44" s="36"/>
      <c r="G44" s="20"/>
      <c r="H44" s="147">
        <f t="shared" si="6"/>
        <v>0</v>
      </c>
      <c r="I44" s="8"/>
      <c r="J44" s="147">
        <f t="shared" si="7"/>
        <v>0</v>
      </c>
    </row>
    <row r="45" spans="2:10" ht="30.75" customHeight="1" thickBot="1" x14ac:dyDescent="0.3">
      <c r="G45" s="37" t="s">
        <v>4</v>
      </c>
      <c r="H45" s="131">
        <f>SUM(H6:H44)</f>
        <v>600</v>
      </c>
      <c r="I45" s="37"/>
      <c r="J45" s="131">
        <f>SUM(J6:J44)</f>
        <v>600</v>
      </c>
    </row>
  </sheetData>
  <pageMargins left="0.25" right="0.25" top="0.75" bottom="0.75" header="0.3" footer="0.3"/>
  <pageSetup paperSize="9" scale="8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0FAC-B162-410B-86A6-9BE6F60BCD71}">
  <sheetPr>
    <pageSetUpPr fitToPage="1"/>
  </sheetPr>
  <dimension ref="B1:I151"/>
  <sheetViews>
    <sheetView zoomScale="80" zoomScaleNormal="80" workbookViewId="0">
      <selection activeCell="B2" sqref="B2:I3"/>
    </sheetView>
  </sheetViews>
  <sheetFormatPr defaultRowHeight="15" x14ac:dyDescent="0.25"/>
  <cols>
    <col min="1" max="1" width="5" customWidth="1"/>
    <col min="2" max="2" width="6.85546875" style="326" customWidth="1"/>
    <col min="3" max="3" width="6.28515625" customWidth="1"/>
    <col min="4" max="4" width="77.140625" customWidth="1"/>
    <col min="5" max="5" width="8.5703125" hidden="1" customWidth="1"/>
    <col min="6" max="6" width="8.42578125" customWidth="1"/>
    <col min="9" max="9" width="15.28515625" style="326" customWidth="1"/>
    <col min="256" max="256" width="6.85546875" customWidth="1"/>
    <col min="257" max="257" width="72" customWidth="1"/>
    <col min="258" max="258" width="8.42578125" customWidth="1"/>
    <col min="260" max="260" width="10.28515625" bestFit="1" customWidth="1"/>
    <col min="263" max="263" width="13.140625" customWidth="1"/>
    <col min="264" max="264" width="18.28515625" customWidth="1"/>
    <col min="266" max="266" width="10.85546875" customWidth="1"/>
    <col min="512" max="512" width="6.85546875" customWidth="1"/>
    <col min="513" max="513" width="72" customWidth="1"/>
    <col min="514" max="514" width="8.42578125" customWidth="1"/>
    <col min="516" max="516" width="10.28515625" bestFit="1" customWidth="1"/>
    <col min="519" max="519" width="13.140625" customWidth="1"/>
    <col min="520" max="520" width="18.28515625" customWidth="1"/>
    <col min="522" max="522" width="10.85546875" customWidth="1"/>
    <col min="768" max="768" width="6.85546875" customWidth="1"/>
    <col min="769" max="769" width="72" customWidth="1"/>
    <col min="770" max="770" width="8.42578125" customWidth="1"/>
    <col min="772" max="772" width="10.28515625" bestFit="1" customWidth="1"/>
    <col min="775" max="775" width="13.140625" customWidth="1"/>
    <col min="776" max="776" width="18.28515625" customWidth="1"/>
    <col min="778" max="778" width="10.85546875" customWidth="1"/>
    <col min="1024" max="1024" width="6.85546875" customWidth="1"/>
    <col min="1025" max="1025" width="72" customWidth="1"/>
    <col min="1026" max="1026" width="8.42578125" customWidth="1"/>
    <col min="1028" max="1028" width="10.28515625" bestFit="1" customWidth="1"/>
    <col min="1031" max="1031" width="13.140625" customWidth="1"/>
    <col min="1032" max="1032" width="18.28515625" customWidth="1"/>
    <col min="1034" max="1034" width="10.85546875" customWidth="1"/>
    <col min="1280" max="1280" width="6.85546875" customWidth="1"/>
    <col min="1281" max="1281" width="72" customWidth="1"/>
    <col min="1282" max="1282" width="8.42578125" customWidth="1"/>
    <col min="1284" max="1284" width="10.28515625" bestFit="1" customWidth="1"/>
    <col min="1287" max="1287" width="13.140625" customWidth="1"/>
    <col min="1288" max="1288" width="18.28515625" customWidth="1"/>
    <col min="1290" max="1290" width="10.85546875" customWidth="1"/>
    <col min="1536" max="1536" width="6.85546875" customWidth="1"/>
    <col min="1537" max="1537" width="72" customWidth="1"/>
    <col min="1538" max="1538" width="8.42578125" customWidth="1"/>
    <col min="1540" max="1540" width="10.28515625" bestFit="1" customWidth="1"/>
    <col min="1543" max="1543" width="13.140625" customWidth="1"/>
    <col min="1544" max="1544" width="18.28515625" customWidth="1"/>
    <col min="1546" max="1546" width="10.85546875" customWidth="1"/>
    <col min="1792" max="1792" width="6.85546875" customWidth="1"/>
    <col min="1793" max="1793" width="72" customWidth="1"/>
    <col min="1794" max="1794" width="8.42578125" customWidth="1"/>
    <col min="1796" max="1796" width="10.28515625" bestFit="1" customWidth="1"/>
    <col min="1799" max="1799" width="13.140625" customWidth="1"/>
    <col min="1800" max="1800" width="18.28515625" customWidth="1"/>
    <col min="1802" max="1802" width="10.85546875" customWidth="1"/>
    <col min="2048" max="2048" width="6.85546875" customWidth="1"/>
    <col min="2049" max="2049" width="72" customWidth="1"/>
    <col min="2050" max="2050" width="8.42578125" customWidth="1"/>
    <col min="2052" max="2052" width="10.28515625" bestFit="1" customWidth="1"/>
    <col min="2055" max="2055" width="13.140625" customWidth="1"/>
    <col min="2056" max="2056" width="18.28515625" customWidth="1"/>
    <col min="2058" max="2058" width="10.85546875" customWidth="1"/>
    <col min="2304" max="2304" width="6.85546875" customWidth="1"/>
    <col min="2305" max="2305" width="72" customWidth="1"/>
    <col min="2306" max="2306" width="8.42578125" customWidth="1"/>
    <col min="2308" max="2308" width="10.28515625" bestFit="1" customWidth="1"/>
    <col min="2311" max="2311" width="13.140625" customWidth="1"/>
    <col min="2312" max="2312" width="18.28515625" customWidth="1"/>
    <col min="2314" max="2314" width="10.85546875" customWidth="1"/>
    <col min="2560" max="2560" width="6.85546875" customWidth="1"/>
    <col min="2561" max="2561" width="72" customWidth="1"/>
    <col min="2562" max="2562" width="8.42578125" customWidth="1"/>
    <col min="2564" max="2564" width="10.28515625" bestFit="1" customWidth="1"/>
    <col min="2567" max="2567" width="13.140625" customWidth="1"/>
    <col min="2568" max="2568" width="18.28515625" customWidth="1"/>
    <col min="2570" max="2570" width="10.85546875" customWidth="1"/>
    <col min="2816" max="2816" width="6.85546875" customWidth="1"/>
    <col min="2817" max="2817" width="72" customWidth="1"/>
    <col min="2818" max="2818" width="8.42578125" customWidth="1"/>
    <col min="2820" max="2820" width="10.28515625" bestFit="1" customWidth="1"/>
    <col min="2823" max="2823" width="13.140625" customWidth="1"/>
    <col min="2824" max="2824" width="18.28515625" customWidth="1"/>
    <col min="2826" max="2826" width="10.85546875" customWidth="1"/>
    <col min="3072" max="3072" width="6.85546875" customWidth="1"/>
    <col min="3073" max="3073" width="72" customWidth="1"/>
    <col min="3074" max="3074" width="8.42578125" customWidth="1"/>
    <col min="3076" max="3076" width="10.28515625" bestFit="1" customWidth="1"/>
    <col min="3079" max="3079" width="13.140625" customWidth="1"/>
    <col min="3080" max="3080" width="18.28515625" customWidth="1"/>
    <col min="3082" max="3082" width="10.85546875" customWidth="1"/>
    <col min="3328" max="3328" width="6.85546875" customWidth="1"/>
    <col min="3329" max="3329" width="72" customWidth="1"/>
    <col min="3330" max="3330" width="8.42578125" customWidth="1"/>
    <col min="3332" max="3332" width="10.28515625" bestFit="1" customWidth="1"/>
    <col min="3335" max="3335" width="13.140625" customWidth="1"/>
    <col min="3336" max="3336" width="18.28515625" customWidth="1"/>
    <col min="3338" max="3338" width="10.85546875" customWidth="1"/>
    <col min="3584" max="3584" width="6.85546875" customWidth="1"/>
    <col min="3585" max="3585" width="72" customWidth="1"/>
    <col min="3586" max="3586" width="8.42578125" customWidth="1"/>
    <col min="3588" max="3588" width="10.28515625" bestFit="1" customWidth="1"/>
    <col min="3591" max="3591" width="13.140625" customWidth="1"/>
    <col min="3592" max="3592" width="18.28515625" customWidth="1"/>
    <col min="3594" max="3594" width="10.85546875" customWidth="1"/>
    <col min="3840" max="3840" width="6.85546875" customWidth="1"/>
    <col min="3841" max="3841" width="72" customWidth="1"/>
    <col min="3842" max="3842" width="8.42578125" customWidth="1"/>
    <col min="3844" max="3844" width="10.28515625" bestFit="1" customWidth="1"/>
    <col min="3847" max="3847" width="13.140625" customWidth="1"/>
    <col min="3848" max="3848" width="18.28515625" customWidth="1"/>
    <col min="3850" max="3850" width="10.85546875" customWidth="1"/>
    <col min="4096" max="4096" width="6.85546875" customWidth="1"/>
    <col min="4097" max="4097" width="72" customWidth="1"/>
    <col min="4098" max="4098" width="8.42578125" customWidth="1"/>
    <col min="4100" max="4100" width="10.28515625" bestFit="1" customWidth="1"/>
    <col min="4103" max="4103" width="13.140625" customWidth="1"/>
    <col min="4104" max="4104" width="18.28515625" customWidth="1"/>
    <col min="4106" max="4106" width="10.85546875" customWidth="1"/>
    <col min="4352" max="4352" width="6.85546875" customWidth="1"/>
    <col min="4353" max="4353" width="72" customWidth="1"/>
    <col min="4354" max="4354" width="8.42578125" customWidth="1"/>
    <col min="4356" max="4356" width="10.28515625" bestFit="1" customWidth="1"/>
    <col min="4359" max="4359" width="13.140625" customWidth="1"/>
    <col min="4360" max="4360" width="18.28515625" customWidth="1"/>
    <col min="4362" max="4362" width="10.85546875" customWidth="1"/>
    <col min="4608" max="4608" width="6.85546875" customWidth="1"/>
    <col min="4609" max="4609" width="72" customWidth="1"/>
    <col min="4610" max="4610" width="8.42578125" customWidth="1"/>
    <col min="4612" max="4612" width="10.28515625" bestFit="1" customWidth="1"/>
    <col min="4615" max="4615" width="13.140625" customWidth="1"/>
    <col min="4616" max="4616" width="18.28515625" customWidth="1"/>
    <col min="4618" max="4618" width="10.85546875" customWidth="1"/>
    <col min="4864" max="4864" width="6.85546875" customWidth="1"/>
    <col min="4865" max="4865" width="72" customWidth="1"/>
    <col min="4866" max="4866" width="8.42578125" customWidth="1"/>
    <col min="4868" max="4868" width="10.28515625" bestFit="1" customWidth="1"/>
    <col min="4871" max="4871" width="13.140625" customWidth="1"/>
    <col min="4872" max="4872" width="18.28515625" customWidth="1"/>
    <col min="4874" max="4874" width="10.85546875" customWidth="1"/>
    <col min="5120" max="5120" width="6.85546875" customWidth="1"/>
    <col min="5121" max="5121" width="72" customWidth="1"/>
    <col min="5122" max="5122" width="8.42578125" customWidth="1"/>
    <col min="5124" max="5124" width="10.28515625" bestFit="1" customWidth="1"/>
    <col min="5127" max="5127" width="13.140625" customWidth="1"/>
    <col min="5128" max="5128" width="18.28515625" customWidth="1"/>
    <col min="5130" max="5130" width="10.85546875" customWidth="1"/>
    <col min="5376" max="5376" width="6.85546875" customWidth="1"/>
    <col min="5377" max="5377" width="72" customWidth="1"/>
    <col min="5378" max="5378" width="8.42578125" customWidth="1"/>
    <col min="5380" max="5380" width="10.28515625" bestFit="1" customWidth="1"/>
    <col min="5383" max="5383" width="13.140625" customWidth="1"/>
    <col min="5384" max="5384" width="18.28515625" customWidth="1"/>
    <col min="5386" max="5386" width="10.85546875" customWidth="1"/>
    <col min="5632" max="5632" width="6.85546875" customWidth="1"/>
    <col min="5633" max="5633" width="72" customWidth="1"/>
    <col min="5634" max="5634" width="8.42578125" customWidth="1"/>
    <col min="5636" max="5636" width="10.28515625" bestFit="1" customWidth="1"/>
    <col min="5639" max="5639" width="13.140625" customWidth="1"/>
    <col min="5640" max="5640" width="18.28515625" customWidth="1"/>
    <col min="5642" max="5642" width="10.85546875" customWidth="1"/>
    <col min="5888" max="5888" width="6.85546875" customWidth="1"/>
    <col min="5889" max="5889" width="72" customWidth="1"/>
    <col min="5890" max="5890" width="8.42578125" customWidth="1"/>
    <col min="5892" max="5892" width="10.28515625" bestFit="1" customWidth="1"/>
    <col min="5895" max="5895" width="13.140625" customWidth="1"/>
    <col min="5896" max="5896" width="18.28515625" customWidth="1"/>
    <col min="5898" max="5898" width="10.85546875" customWidth="1"/>
    <col min="6144" max="6144" width="6.85546875" customWidth="1"/>
    <col min="6145" max="6145" width="72" customWidth="1"/>
    <col min="6146" max="6146" width="8.42578125" customWidth="1"/>
    <col min="6148" max="6148" width="10.28515625" bestFit="1" customWidth="1"/>
    <col min="6151" max="6151" width="13.140625" customWidth="1"/>
    <col min="6152" max="6152" width="18.28515625" customWidth="1"/>
    <col min="6154" max="6154" width="10.85546875" customWidth="1"/>
    <col min="6400" max="6400" width="6.85546875" customWidth="1"/>
    <col min="6401" max="6401" width="72" customWidth="1"/>
    <col min="6402" max="6402" width="8.42578125" customWidth="1"/>
    <col min="6404" max="6404" width="10.28515625" bestFit="1" customWidth="1"/>
    <col min="6407" max="6407" width="13.140625" customWidth="1"/>
    <col min="6408" max="6408" width="18.28515625" customWidth="1"/>
    <col min="6410" max="6410" width="10.85546875" customWidth="1"/>
    <col min="6656" max="6656" width="6.85546875" customWidth="1"/>
    <col min="6657" max="6657" width="72" customWidth="1"/>
    <col min="6658" max="6658" width="8.42578125" customWidth="1"/>
    <col min="6660" max="6660" width="10.28515625" bestFit="1" customWidth="1"/>
    <col min="6663" max="6663" width="13.140625" customWidth="1"/>
    <col min="6664" max="6664" width="18.28515625" customWidth="1"/>
    <col min="6666" max="6666" width="10.85546875" customWidth="1"/>
    <col min="6912" max="6912" width="6.85546875" customWidth="1"/>
    <col min="6913" max="6913" width="72" customWidth="1"/>
    <col min="6914" max="6914" width="8.42578125" customWidth="1"/>
    <col min="6916" max="6916" width="10.28515625" bestFit="1" customWidth="1"/>
    <col min="6919" max="6919" width="13.140625" customWidth="1"/>
    <col min="6920" max="6920" width="18.28515625" customWidth="1"/>
    <col min="6922" max="6922" width="10.85546875" customWidth="1"/>
    <col min="7168" max="7168" width="6.85546875" customWidth="1"/>
    <col min="7169" max="7169" width="72" customWidth="1"/>
    <col min="7170" max="7170" width="8.42578125" customWidth="1"/>
    <col min="7172" max="7172" width="10.28515625" bestFit="1" customWidth="1"/>
    <col min="7175" max="7175" width="13.140625" customWidth="1"/>
    <col min="7176" max="7176" width="18.28515625" customWidth="1"/>
    <col min="7178" max="7178" width="10.85546875" customWidth="1"/>
    <col min="7424" max="7424" width="6.85546875" customWidth="1"/>
    <col min="7425" max="7425" width="72" customWidth="1"/>
    <col min="7426" max="7426" width="8.42578125" customWidth="1"/>
    <col min="7428" max="7428" width="10.28515625" bestFit="1" customWidth="1"/>
    <col min="7431" max="7431" width="13.140625" customWidth="1"/>
    <col min="7432" max="7432" width="18.28515625" customWidth="1"/>
    <col min="7434" max="7434" width="10.85546875" customWidth="1"/>
    <col min="7680" max="7680" width="6.85546875" customWidth="1"/>
    <col min="7681" max="7681" width="72" customWidth="1"/>
    <col min="7682" max="7682" width="8.42578125" customWidth="1"/>
    <col min="7684" max="7684" width="10.28515625" bestFit="1" customWidth="1"/>
    <col min="7687" max="7687" width="13.140625" customWidth="1"/>
    <col min="7688" max="7688" width="18.28515625" customWidth="1"/>
    <col min="7690" max="7690" width="10.85546875" customWidth="1"/>
    <col min="7936" max="7936" width="6.85546875" customWidth="1"/>
    <col min="7937" max="7937" width="72" customWidth="1"/>
    <col min="7938" max="7938" width="8.42578125" customWidth="1"/>
    <col min="7940" max="7940" width="10.28515625" bestFit="1" customWidth="1"/>
    <col min="7943" max="7943" width="13.140625" customWidth="1"/>
    <col min="7944" max="7944" width="18.28515625" customWidth="1"/>
    <col min="7946" max="7946" width="10.85546875" customWidth="1"/>
    <col min="8192" max="8192" width="6.85546875" customWidth="1"/>
    <col min="8193" max="8193" width="72" customWidth="1"/>
    <col min="8194" max="8194" width="8.42578125" customWidth="1"/>
    <col min="8196" max="8196" width="10.28515625" bestFit="1" customWidth="1"/>
    <col min="8199" max="8199" width="13.140625" customWidth="1"/>
    <col min="8200" max="8200" width="18.28515625" customWidth="1"/>
    <col min="8202" max="8202" width="10.85546875" customWidth="1"/>
    <col min="8448" max="8448" width="6.85546875" customWidth="1"/>
    <col min="8449" max="8449" width="72" customWidth="1"/>
    <col min="8450" max="8450" width="8.42578125" customWidth="1"/>
    <col min="8452" max="8452" width="10.28515625" bestFit="1" customWidth="1"/>
    <col min="8455" max="8455" width="13.140625" customWidth="1"/>
    <col min="8456" max="8456" width="18.28515625" customWidth="1"/>
    <col min="8458" max="8458" width="10.85546875" customWidth="1"/>
    <col min="8704" max="8704" width="6.85546875" customWidth="1"/>
    <col min="8705" max="8705" width="72" customWidth="1"/>
    <col min="8706" max="8706" width="8.42578125" customWidth="1"/>
    <col min="8708" max="8708" width="10.28515625" bestFit="1" customWidth="1"/>
    <col min="8711" max="8711" width="13.140625" customWidth="1"/>
    <col min="8712" max="8712" width="18.28515625" customWidth="1"/>
    <col min="8714" max="8714" width="10.85546875" customWidth="1"/>
    <col min="8960" max="8960" width="6.85546875" customWidth="1"/>
    <col min="8961" max="8961" width="72" customWidth="1"/>
    <col min="8962" max="8962" width="8.42578125" customWidth="1"/>
    <col min="8964" max="8964" width="10.28515625" bestFit="1" customWidth="1"/>
    <col min="8967" max="8967" width="13.140625" customWidth="1"/>
    <col min="8968" max="8968" width="18.28515625" customWidth="1"/>
    <col min="8970" max="8970" width="10.85546875" customWidth="1"/>
    <col min="9216" max="9216" width="6.85546875" customWidth="1"/>
    <col min="9217" max="9217" width="72" customWidth="1"/>
    <col min="9218" max="9218" width="8.42578125" customWidth="1"/>
    <col min="9220" max="9220" width="10.28515625" bestFit="1" customWidth="1"/>
    <col min="9223" max="9223" width="13.140625" customWidth="1"/>
    <col min="9224" max="9224" width="18.28515625" customWidth="1"/>
    <col min="9226" max="9226" width="10.85546875" customWidth="1"/>
    <col min="9472" max="9472" width="6.85546875" customWidth="1"/>
    <col min="9473" max="9473" width="72" customWidth="1"/>
    <col min="9474" max="9474" width="8.42578125" customWidth="1"/>
    <col min="9476" max="9476" width="10.28515625" bestFit="1" customWidth="1"/>
    <col min="9479" max="9479" width="13.140625" customWidth="1"/>
    <col min="9480" max="9480" width="18.28515625" customWidth="1"/>
    <col min="9482" max="9482" width="10.85546875" customWidth="1"/>
    <col min="9728" max="9728" width="6.85546875" customWidth="1"/>
    <col min="9729" max="9729" width="72" customWidth="1"/>
    <col min="9730" max="9730" width="8.42578125" customWidth="1"/>
    <col min="9732" max="9732" width="10.28515625" bestFit="1" customWidth="1"/>
    <col min="9735" max="9735" width="13.140625" customWidth="1"/>
    <col min="9736" max="9736" width="18.28515625" customWidth="1"/>
    <col min="9738" max="9738" width="10.85546875" customWidth="1"/>
    <col min="9984" max="9984" width="6.85546875" customWidth="1"/>
    <col min="9985" max="9985" width="72" customWidth="1"/>
    <col min="9986" max="9986" width="8.42578125" customWidth="1"/>
    <col min="9988" max="9988" width="10.28515625" bestFit="1" customWidth="1"/>
    <col min="9991" max="9991" width="13.140625" customWidth="1"/>
    <col min="9992" max="9992" width="18.28515625" customWidth="1"/>
    <col min="9994" max="9994" width="10.85546875" customWidth="1"/>
    <col min="10240" max="10240" width="6.85546875" customWidth="1"/>
    <col min="10241" max="10241" width="72" customWidth="1"/>
    <col min="10242" max="10242" width="8.42578125" customWidth="1"/>
    <col min="10244" max="10244" width="10.28515625" bestFit="1" customWidth="1"/>
    <col min="10247" max="10247" width="13.140625" customWidth="1"/>
    <col min="10248" max="10248" width="18.28515625" customWidth="1"/>
    <col min="10250" max="10250" width="10.85546875" customWidth="1"/>
    <col min="10496" max="10496" width="6.85546875" customWidth="1"/>
    <col min="10497" max="10497" width="72" customWidth="1"/>
    <col min="10498" max="10498" width="8.42578125" customWidth="1"/>
    <col min="10500" max="10500" width="10.28515625" bestFit="1" customWidth="1"/>
    <col min="10503" max="10503" width="13.140625" customWidth="1"/>
    <col min="10504" max="10504" width="18.28515625" customWidth="1"/>
    <col min="10506" max="10506" width="10.85546875" customWidth="1"/>
    <col min="10752" max="10752" width="6.85546875" customWidth="1"/>
    <col min="10753" max="10753" width="72" customWidth="1"/>
    <col min="10754" max="10754" width="8.42578125" customWidth="1"/>
    <col min="10756" max="10756" width="10.28515625" bestFit="1" customWidth="1"/>
    <col min="10759" max="10759" width="13.140625" customWidth="1"/>
    <col min="10760" max="10760" width="18.28515625" customWidth="1"/>
    <col min="10762" max="10762" width="10.85546875" customWidth="1"/>
    <col min="11008" max="11008" width="6.85546875" customWidth="1"/>
    <col min="11009" max="11009" width="72" customWidth="1"/>
    <col min="11010" max="11010" width="8.42578125" customWidth="1"/>
    <col min="11012" max="11012" width="10.28515625" bestFit="1" customWidth="1"/>
    <col min="11015" max="11015" width="13.140625" customWidth="1"/>
    <col min="11016" max="11016" width="18.28515625" customWidth="1"/>
    <col min="11018" max="11018" width="10.85546875" customWidth="1"/>
    <col min="11264" max="11264" width="6.85546875" customWidth="1"/>
    <col min="11265" max="11265" width="72" customWidth="1"/>
    <col min="11266" max="11266" width="8.42578125" customWidth="1"/>
    <col min="11268" max="11268" width="10.28515625" bestFit="1" customWidth="1"/>
    <col min="11271" max="11271" width="13.140625" customWidth="1"/>
    <col min="11272" max="11272" width="18.28515625" customWidth="1"/>
    <col min="11274" max="11274" width="10.85546875" customWidth="1"/>
    <col min="11520" max="11520" width="6.85546875" customWidth="1"/>
    <col min="11521" max="11521" width="72" customWidth="1"/>
    <col min="11522" max="11522" width="8.42578125" customWidth="1"/>
    <col min="11524" max="11524" width="10.28515625" bestFit="1" customWidth="1"/>
    <col min="11527" max="11527" width="13.140625" customWidth="1"/>
    <col min="11528" max="11528" width="18.28515625" customWidth="1"/>
    <col min="11530" max="11530" width="10.85546875" customWidth="1"/>
    <col min="11776" max="11776" width="6.85546875" customWidth="1"/>
    <col min="11777" max="11777" width="72" customWidth="1"/>
    <col min="11778" max="11778" width="8.42578125" customWidth="1"/>
    <col min="11780" max="11780" width="10.28515625" bestFit="1" customWidth="1"/>
    <col min="11783" max="11783" width="13.140625" customWidth="1"/>
    <col min="11784" max="11784" width="18.28515625" customWidth="1"/>
    <col min="11786" max="11786" width="10.85546875" customWidth="1"/>
    <col min="12032" max="12032" width="6.85546875" customWidth="1"/>
    <col min="12033" max="12033" width="72" customWidth="1"/>
    <col min="12034" max="12034" width="8.42578125" customWidth="1"/>
    <col min="12036" max="12036" width="10.28515625" bestFit="1" customWidth="1"/>
    <col min="12039" max="12039" width="13.140625" customWidth="1"/>
    <col min="12040" max="12040" width="18.28515625" customWidth="1"/>
    <col min="12042" max="12042" width="10.85546875" customWidth="1"/>
    <col min="12288" max="12288" width="6.85546875" customWidth="1"/>
    <col min="12289" max="12289" width="72" customWidth="1"/>
    <col min="12290" max="12290" width="8.42578125" customWidth="1"/>
    <col min="12292" max="12292" width="10.28515625" bestFit="1" customWidth="1"/>
    <col min="12295" max="12295" width="13.140625" customWidth="1"/>
    <col min="12296" max="12296" width="18.28515625" customWidth="1"/>
    <col min="12298" max="12298" width="10.85546875" customWidth="1"/>
    <col min="12544" max="12544" width="6.85546875" customWidth="1"/>
    <col min="12545" max="12545" width="72" customWidth="1"/>
    <col min="12546" max="12546" width="8.42578125" customWidth="1"/>
    <col min="12548" max="12548" width="10.28515625" bestFit="1" customWidth="1"/>
    <col min="12551" max="12551" width="13.140625" customWidth="1"/>
    <col min="12552" max="12552" width="18.28515625" customWidth="1"/>
    <col min="12554" max="12554" width="10.85546875" customWidth="1"/>
    <col min="12800" max="12800" width="6.85546875" customWidth="1"/>
    <col min="12801" max="12801" width="72" customWidth="1"/>
    <col min="12802" max="12802" width="8.42578125" customWidth="1"/>
    <col min="12804" max="12804" width="10.28515625" bestFit="1" customWidth="1"/>
    <col min="12807" max="12807" width="13.140625" customWidth="1"/>
    <col min="12808" max="12808" width="18.28515625" customWidth="1"/>
    <col min="12810" max="12810" width="10.85546875" customWidth="1"/>
    <col min="13056" max="13056" width="6.85546875" customWidth="1"/>
    <col min="13057" max="13057" width="72" customWidth="1"/>
    <col min="13058" max="13058" width="8.42578125" customWidth="1"/>
    <col min="13060" max="13060" width="10.28515625" bestFit="1" customWidth="1"/>
    <col min="13063" max="13063" width="13.140625" customWidth="1"/>
    <col min="13064" max="13064" width="18.28515625" customWidth="1"/>
    <col min="13066" max="13066" width="10.85546875" customWidth="1"/>
    <col min="13312" max="13312" width="6.85546875" customWidth="1"/>
    <col min="13313" max="13313" width="72" customWidth="1"/>
    <col min="13314" max="13314" width="8.42578125" customWidth="1"/>
    <col min="13316" max="13316" width="10.28515625" bestFit="1" customWidth="1"/>
    <col min="13319" max="13319" width="13.140625" customWidth="1"/>
    <col min="13320" max="13320" width="18.28515625" customWidth="1"/>
    <col min="13322" max="13322" width="10.85546875" customWidth="1"/>
    <col min="13568" max="13568" width="6.85546875" customWidth="1"/>
    <col min="13569" max="13569" width="72" customWidth="1"/>
    <col min="13570" max="13570" width="8.42578125" customWidth="1"/>
    <col min="13572" max="13572" width="10.28515625" bestFit="1" customWidth="1"/>
    <col min="13575" max="13575" width="13.140625" customWidth="1"/>
    <col min="13576" max="13576" width="18.28515625" customWidth="1"/>
    <col min="13578" max="13578" width="10.85546875" customWidth="1"/>
    <col min="13824" max="13824" width="6.85546875" customWidth="1"/>
    <col min="13825" max="13825" width="72" customWidth="1"/>
    <col min="13826" max="13826" width="8.42578125" customWidth="1"/>
    <col min="13828" max="13828" width="10.28515625" bestFit="1" customWidth="1"/>
    <col min="13831" max="13831" width="13.140625" customWidth="1"/>
    <col min="13832" max="13832" width="18.28515625" customWidth="1"/>
    <col min="13834" max="13834" width="10.85546875" customWidth="1"/>
    <col min="14080" max="14080" width="6.85546875" customWidth="1"/>
    <col min="14081" max="14081" width="72" customWidth="1"/>
    <col min="14082" max="14082" width="8.42578125" customWidth="1"/>
    <col min="14084" max="14084" width="10.28515625" bestFit="1" customWidth="1"/>
    <col min="14087" max="14087" width="13.140625" customWidth="1"/>
    <col min="14088" max="14088" width="18.28515625" customWidth="1"/>
    <col min="14090" max="14090" width="10.85546875" customWidth="1"/>
    <col min="14336" max="14336" width="6.85546875" customWidth="1"/>
    <col min="14337" max="14337" width="72" customWidth="1"/>
    <col min="14338" max="14338" width="8.42578125" customWidth="1"/>
    <col min="14340" max="14340" width="10.28515625" bestFit="1" customWidth="1"/>
    <col min="14343" max="14343" width="13.140625" customWidth="1"/>
    <col min="14344" max="14344" width="18.28515625" customWidth="1"/>
    <col min="14346" max="14346" width="10.85546875" customWidth="1"/>
    <col min="14592" max="14592" width="6.85546875" customWidth="1"/>
    <col min="14593" max="14593" width="72" customWidth="1"/>
    <col min="14594" max="14594" width="8.42578125" customWidth="1"/>
    <col min="14596" max="14596" width="10.28515625" bestFit="1" customWidth="1"/>
    <col min="14599" max="14599" width="13.140625" customWidth="1"/>
    <col min="14600" max="14600" width="18.28515625" customWidth="1"/>
    <col min="14602" max="14602" width="10.85546875" customWidth="1"/>
    <col min="14848" max="14848" width="6.85546875" customWidth="1"/>
    <col min="14849" max="14849" width="72" customWidth="1"/>
    <col min="14850" max="14850" width="8.42578125" customWidth="1"/>
    <col min="14852" max="14852" width="10.28515625" bestFit="1" customWidth="1"/>
    <col min="14855" max="14855" width="13.140625" customWidth="1"/>
    <col min="14856" max="14856" width="18.28515625" customWidth="1"/>
    <col min="14858" max="14858" width="10.85546875" customWidth="1"/>
    <col min="15104" max="15104" width="6.85546875" customWidth="1"/>
    <col min="15105" max="15105" width="72" customWidth="1"/>
    <col min="15106" max="15106" width="8.42578125" customWidth="1"/>
    <col min="15108" max="15108" width="10.28515625" bestFit="1" customWidth="1"/>
    <col min="15111" max="15111" width="13.140625" customWidth="1"/>
    <col min="15112" max="15112" width="18.28515625" customWidth="1"/>
    <col min="15114" max="15114" width="10.85546875" customWidth="1"/>
    <col min="15360" max="15360" width="6.85546875" customWidth="1"/>
    <col min="15361" max="15361" width="72" customWidth="1"/>
    <col min="15362" max="15362" width="8.42578125" customWidth="1"/>
    <col min="15364" max="15364" width="10.28515625" bestFit="1" customWidth="1"/>
    <col min="15367" max="15367" width="13.140625" customWidth="1"/>
    <col min="15368" max="15368" width="18.28515625" customWidth="1"/>
    <col min="15370" max="15370" width="10.85546875" customWidth="1"/>
    <col min="15616" max="15616" width="6.85546875" customWidth="1"/>
    <col min="15617" max="15617" width="72" customWidth="1"/>
    <col min="15618" max="15618" width="8.42578125" customWidth="1"/>
    <col min="15620" max="15620" width="10.28515625" bestFit="1" customWidth="1"/>
    <col min="15623" max="15623" width="13.140625" customWidth="1"/>
    <col min="15624" max="15624" width="18.28515625" customWidth="1"/>
    <col min="15626" max="15626" width="10.85546875" customWidth="1"/>
    <col min="15872" max="15872" width="6.85546875" customWidth="1"/>
    <col min="15873" max="15873" width="72" customWidth="1"/>
    <col min="15874" max="15874" width="8.42578125" customWidth="1"/>
    <col min="15876" max="15876" width="10.28515625" bestFit="1" customWidth="1"/>
    <col min="15879" max="15879" width="13.140625" customWidth="1"/>
    <col min="15880" max="15880" width="18.28515625" customWidth="1"/>
    <col min="15882" max="15882" width="10.85546875" customWidth="1"/>
    <col min="16128" max="16128" width="6.85546875" customWidth="1"/>
    <col min="16129" max="16129" width="72" customWidth="1"/>
    <col min="16130" max="16130" width="8.42578125" customWidth="1"/>
    <col min="16132" max="16132" width="10.28515625" bestFit="1" customWidth="1"/>
    <col min="16135" max="16135" width="13.140625" customWidth="1"/>
    <col min="16136" max="16136" width="18.28515625" customWidth="1"/>
    <col min="16138" max="16138" width="10.85546875" customWidth="1"/>
  </cols>
  <sheetData>
    <row r="1" spans="2:9" x14ac:dyDescent="0.25">
      <c r="B1" s="262"/>
      <c r="C1" s="263"/>
      <c r="D1" s="264"/>
      <c r="E1" s="264"/>
      <c r="F1" s="264"/>
      <c r="G1" s="71"/>
      <c r="H1" s="71"/>
      <c r="I1" s="265"/>
    </row>
    <row r="2" spans="2:9" ht="44.25" customHeight="1" x14ac:dyDescent="0.25">
      <c r="B2" s="327" t="str">
        <f>Preliminaries!B2</f>
        <v>Todmorden Bandstand Refurbishment &amp; Bowls Pavilion New Build</v>
      </c>
      <c r="C2" s="264"/>
      <c r="D2" s="266"/>
      <c r="E2" s="266"/>
      <c r="F2" s="267"/>
      <c r="G2" s="268"/>
      <c r="H2" s="269"/>
      <c r="I2" s="264"/>
    </row>
    <row r="3" spans="2:9" ht="23.25" customHeight="1" x14ac:dyDescent="0.25">
      <c r="B3" s="328" t="str">
        <f>Preliminaries!B3</f>
        <v>Tender Document</v>
      </c>
      <c r="C3" s="264"/>
      <c r="D3" s="264"/>
      <c r="E3" s="264"/>
      <c r="F3" s="270"/>
      <c r="G3" s="268"/>
      <c r="H3" s="363" t="str">
        <f>Summary!D11</f>
        <v>Demolitions &amp; Alterations</v>
      </c>
      <c r="I3" s="17">
        <v>45607</v>
      </c>
    </row>
    <row r="4" spans="2:9" ht="15.75" thickBot="1" x14ac:dyDescent="0.3">
      <c r="B4" s="330">
        <v>2</v>
      </c>
      <c r="C4" s="264"/>
      <c r="D4" s="264"/>
      <c r="E4" s="264"/>
      <c r="F4" s="270"/>
      <c r="G4" s="268"/>
      <c r="H4" s="271"/>
      <c r="I4" s="264"/>
    </row>
    <row r="5" spans="2:9" ht="15.75" thickBot="1" x14ac:dyDescent="0.3">
      <c r="B5" s="272"/>
      <c r="C5" s="494" t="s">
        <v>530</v>
      </c>
      <c r="D5" s="494"/>
      <c r="E5" s="273" t="s">
        <v>581</v>
      </c>
      <c r="F5" s="274" t="s">
        <v>1</v>
      </c>
      <c r="G5" s="273" t="s">
        <v>2</v>
      </c>
      <c r="H5" s="275" t="s">
        <v>3</v>
      </c>
      <c r="I5" s="105" t="s">
        <v>5</v>
      </c>
    </row>
    <row r="6" spans="2:9" x14ac:dyDescent="0.25">
      <c r="B6" s="248"/>
      <c r="C6" s="249"/>
      <c r="D6" s="276"/>
      <c r="E6" s="276"/>
      <c r="F6" s="277"/>
      <c r="G6" s="278"/>
      <c r="H6" s="279"/>
      <c r="I6" s="76" t="str">
        <f t="shared" ref="I6" si="0">IF(H6="","",H6*D6)</f>
        <v/>
      </c>
    </row>
    <row r="7" spans="2:9" ht="33.75" customHeight="1" x14ac:dyDescent="0.25">
      <c r="B7" s="248"/>
      <c r="C7" s="495" t="s">
        <v>675</v>
      </c>
      <c r="D7" s="495"/>
      <c r="E7" s="329"/>
      <c r="F7" s="277"/>
      <c r="G7" s="278"/>
      <c r="H7" s="279"/>
      <c r="I7" s="76"/>
    </row>
    <row r="8" spans="2:9" ht="49.5" customHeight="1" x14ac:dyDescent="0.25">
      <c r="B8" s="248"/>
      <c r="C8" s="485" t="s">
        <v>676</v>
      </c>
      <c r="D8" s="486"/>
      <c r="E8" s="251"/>
      <c r="F8" s="277"/>
      <c r="G8" s="278"/>
      <c r="H8" s="279"/>
      <c r="I8" s="122"/>
    </row>
    <row r="9" spans="2:9" ht="63.75" customHeight="1" x14ac:dyDescent="0.25">
      <c r="B9" s="248"/>
      <c r="C9" s="422" t="s">
        <v>658</v>
      </c>
      <c r="D9" s="423"/>
      <c r="E9" s="251"/>
      <c r="F9" s="277"/>
      <c r="G9" s="278"/>
      <c r="H9" s="279"/>
      <c r="I9" s="122"/>
    </row>
    <row r="10" spans="2:9" ht="34.5" customHeight="1" x14ac:dyDescent="0.25">
      <c r="B10" s="248"/>
      <c r="C10" s="485" t="s">
        <v>575</v>
      </c>
      <c r="D10" s="486"/>
      <c r="E10" s="251"/>
      <c r="F10" s="277"/>
      <c r="G10" s="278"/>
      <c r="H10" s="279"/>
      <c r="I10" s="122"/>
    </row>
    <row r="11" spans="2:9" ht="32.25" customHeight="1" x14ac:dyDescent="0.25">
      <c r="B11" s="248"/>
      <c r="C11" s="422" t="s">
        <v>692</v>
      </c>
      <c r="D11" s="423"/>
      <c r="E11" s="168"/>
      <c r="F11" s="277"/>
      <c r="G11" s="278"/>
      <c r="H11" s="279"/>
      <c r="I11" s="122"/>
    </row>
    <row r="12" spans="2:9" ht="14.25" customHeight="1" x14ac:dyDescent="0.25">
      <c r="B12" s="248"/>
      <c r="C12" s="422" t="s">
        <v>905</v>
      </c>
      <c r="D12" s="423"/>
      <c r="E12" s="168"/>
      <c r="F12" s="277"/>
      <c r="G12" s="278"/>
      <c r="H12" s="279"/>
      <c r="I12" s="122"/>
    </row>
    <row r="13" spans="2:9" x14ac:dyDescent="0.25">
      <c r="B13" s="248"/>
      <c r="C13" s="249"/>
      <c r="D13" s="276"/>
      <c r="E13" s="276"/>
      <c r="F13" s="277"/>
      <c r="G13" s="278"/>
      <c r="H13" s="279"/>
      <c r="I13" s="130">
        <f t="shared" ref="I13:I15" si="1">F13*H13</f>
        <v>0</v>
      </c>
    </row>
    <row r="14" spans="2:9" ht="16.5" customHeight="1" x14ac:dyDescent="0.25">
      <c r="B14" s="248"/>
      <c r="C14" s="466" t="s">
        <v>649</v>
      </c>
      <c r="D14" s="467"/>
      <c r="E14" s="260"/>
      <c r="F14" s="277"/>
      <c r="G14" s="278"/>
      <c r="H14" s="279"/>
      <c r="I14" s="130">
        <f t="shared" si="1"/>
        <v>0</v>
      </c>
    </row>
    <row r="15" spans="2:9" x14ac:dyDescent="0.25">
      <c r="B15" s="248"/>
      <c r="C15" s="249"/>
      <c r="D15" s="250"/>
      <c r="E15" s="250"/>
      <c r="F15" s="277"/>
      <c r="G15" s="278"/>
      <c r="H15" s="279"/>
      <c r="I15" s="130">
        <f t="shared" si="1"/>
        <v>0</v>
      </c>
    </row>
    <row r="16" spans="2:9" x14ac:dyDescent="0.25">
      <c r="B16" s="248"/>
      <c r="C16" s="350" t="s">
        <v>815</v>
      </c>
      <c r="D16" s="250"/>
      <c r="E16" s="250"/>
      <c r="F16" s="277"/>
      <c r="G16" s="278"/>
      <c r="H16" s="279"/>
      <c r="I16" s="130"/>
    </row>
    <row r="17" spans="2:9" x14ac:dyDescent="0.25">
      <c r="B17" s="248"/>
      <c r="C17" s="249"/>
      <c r="D17" s="250"/>
      <c r="E17" s="250"/>
      <c r="F17" s="277"/>
      <c r="G17" s="278"/>
      <c r="H17" s="279"/>
      <c r="I17" s="130"/>
    </row>
    <row r="18" spans="2:9" x14ac:dyDescent="0.25">
      <c r="B18" s="248"/>
      <c r="C18" s="496" t="s">
        <v>677</v>
      </c>
      <c r="D18" s="496"/>
      <c r="E18" s="281"/>
      <c r="F18" s="282"/>
      <c r="G18" s="283"/>
      <c r="H18" s="284"/>
      <c r="I18" s="130"/>
    </row>
    <row r="19" spans="2:9" x14ac:dyDescent="0.25">
      <c r="B19" s="248"/>
      <c r="C19" s="259"/>
      <c r="D19" s="259"/>
      <c r="E19" s="259"/>
      <c r="F19" s="282"/>
      <c r="G19" s="283"/>
      <c r="H19" s="284"/>
      <c r="I19" s="130"/>
    </row>
    <row r="20" spans="2:9" ht="62.25" customHeight="1" x14ac:dyDescent="0.25">
      <c r="B20" s="248"/>
      <c r="C20" s="485" t="s">
        <v>678</v>
      </c>
      <c r="D20" s="485"/>
      <c r="E20" s="285"/>
      <c r="F20" s="282"/>
      <c r="G20" s="283" t="s">
        <v>496</v>
      </c>
      <c r="H20" s="284"/>
      <c r="I20" s="130"/>
    </row>
    <row r="21" spans="2:9" ht="15.6" customHeight="1" x14ac:dyDescent="0.25">
      <c r="B21" s="248"/>
      <c r="C21" s="285"/>
      <c r="D21" s="285"/>
      <c r="E21" s="285"/>
      <c r="F21" s="282"/>
      <c r="G21" s="283"/>
      <c r="H21" s="284"/>
      <c r="I21" s="130"/>
    </row>
    <row r="22" spans="2:9" x14ac:dyDescent="0.25">
      <c r="B22" s="252">
        <f>B4+0.01</f>
        <v>2.0099999999999998</v>
      </c>
      <c r="C22" s="285"/>
      <c r="D22" s="285" t="s">
        <v>527</v>
      </c>
      <c r="E22" s="285"/>
      <c r="F22" s="282">
        <v>1</v>
      </c>
      <c r="G22" s="283" t="s">
        <v>528</v>
      </c>
      <c r="H22" s="284"/>
      <c r="I22" s="245">
        <f t="shared" ref="I22:I65" si="2">F22*H22</f>
        <v>0</v>
      </c>
    </row>
    <row r="23" spans="2:9" x14ac:dyDescent="0.25">
      <c r="B23" s="248"/>
      <c r="C23" s="259"/>
      <c r="D23" s="259"/>
      <c r="E23" s="259"/>
      <c r="F23" s="282"/>
      <c r="G23" s="283"/>
      <c r="H23" s="284"/>
      <c r="I23" s="245">
        <f t="shared" si="2"/>
        <v>0</v>
      </c>
    </row>
    <row r="24" spans="2:9" ht="48" customHeight="1" x14ac:dyDescent="0.25">
      <c r="B24" s="248"/>
      <c r="C24" s="479" t="s">
        <v>679</v>
      </c>
      <c r="D24" s="479"/>
      <c r="E24" s="287"/>
      <c r="F24" s="282"/>
      <c r="G24" s="283"/>
      <c r="H24" s="284"/>
      <c r="I24" s="245">
        <f t="shared" si="2"/>
        <v>0</v>
      </c>
    </row>
    <row r="25" spans="2:9" ht="15.6" customHeight="1" x14ac:dyDescent="0.25">
      <c r="B25" s="248"/>
      <c r="C25" s="287"/>
      <c r="D25" s="287"/>
      <c r="E25" s="287"/>
      <c r="F25" s="282"/>
      <c r="G25" s="283"/>
      <c r="H25" s="284"/>
      <c r="I25" s="245">
        <f t="shared" si="2"/>
        <v>0</v>
      </c>
    </row>
    <row r="26" spans="2:9" x14ac:dyDescent="0.25">
      <c r="B26" s="252">
        <f>B22+0.01</f>
        <v>2.0199999999999996</v>
      </c>
      <c r="C26" s="285"/>
      <c r="D26" s="285" t="s">
        <v>527</v>
      </c>
      <c r="E26" s="285"/>
      <c r="F26" s="282">
        <v>1</v>
      </c>
      <c r="G26" s="283" t="s">
        <v>528</v>
      </c>
      <c r="H26" s="284"/>
      <c r="I26" s="245">
        <f t="shared" si="2"/>
        <v>0</v>
      </c>
    </row>
    <row r="27" spans="2:9" x14ac:dyDescent="0.25">
      <c r="B27" s="248"/>
      <c r="C27" s="259"/>
      <c r="D27" s="259"/>
      <c r="E27" s="259"/>
      <c r="F27" s="282"/>
      <c r="G27" s="283"/>
      <c r="H27" s="284"/>
      <c r="I27" s="245">
        <f t="shared" si="2"/>
        <v>0</v>
      </c>
    </row>
    <row r="28" spans="2:9" x14ac:dyDescent="0.25">
      <c r="B28" s="248"/>
      <c r="C28" s="480" t="s">
        <v>680</v>
      </c>
      <c r="D28" s="480"/>
      <c r="E28" s="257"/>
      <c r="F28" s="277"/>
      <c r="G28" s="278"/>
      <c r="H28" s="279"/>
      <c r="I28" s="245">
        <f t="shared" si="2"/>
        <v>0</v>
      </c>
    </row>
    <row r="29" spans="2:9" x14ac:dyDescent="0.25">
      <c r="B29" s="248"/>
      <c r="C29" s="249"/>
      <c r="D29" s="250"/>
      <c r="E29" s="250"/>
      <c r="F29" s="277"/>
      <c r="G29" s="278"/>
      <c r="H29" s="279"/>
      <c r="I29" s="245">
        <f t="shared" si="2"/>
        <v>0</v>
      </c>
    </row>
    <row r="30" spans="2:9" ht="28.5" customHeight="1" x14ac:dyDescent="0.25">
      <c r="B30" s="248"/>
      <c r="C30" s="481" t="s">
        <v>681</v>
      </c>
      <c r="D30" s="481"/>
      <c r="E30" s="289"/>
      <c r="F30" s="277"/>
      <c r="G30" s="278"/>
      <c r="H30" s="279"/>
      <c r="I30" s="245">
        <f t="shared" si="2"/>
        <v>0</v>
      </c>
    </row>
    <row r="31" spans="2:9" x14ac:dyDescent="0.25">
      <c r="B31" s="248"/>
      <c r="C31" s="289"/>
      <c r="D31" s="289"/>
      <c r="E31" s="289"/>
      <c r="F31" s="277"/>
      <c r="G31" s="278"/>
      <c r="H31" s="279"/>
      <c r="I31" s="245">
        <f t="shared" si="2"/>
        <v>0</v>
      </c>
    </row>
    <row r="32" spans="2:9" x14ac:dyDescent="0.25">
      <c r="B32" s="252">
        <f>B26+0.01</f>
        <v>2.0299999999999994</v>
      </c>
      <c r="C32" s="249"/>
      <c r="D32" s="251" t="s">
        <v>527</v>
      </c>
      <c r="E32" s="251"/>
      <c r="F32" s="277">
        <v>1</v>
      </c>
      <c r="G32" s="290" t="s">
        <v>528</v>
      </c>
      <c r="H32" s="279"/>
      <c r="I32" s="245">
        <f t="shared" si="2"/>
        <v>0</v>
      </c>
    </row>
    <row r="33" spans="2:9" x14ac:dyDescent="0.25">
      <c r="B33" s="248"/>
      <c r="C33" s="259"/>
      <c r="D33" s="259"/>
      <c r="E33" s="259"/>
      <c r="F33" s="282"/>
      <c r="G33" s="283"/>
      <c r="H33" s="284"/>
      <c r="I33" s="245">
        <f t="shared" si="2"/>
        <v>0</v>
      </c>
    </row>
    <row r="34" spans="2:9" x14ac:dyDescent="0.25">
      <c r="B34" s="248"/>
      <c r="C34" s="480" t="s">
        <v>682</v>
      </c>
      <c r="D34" s="480"/>
      <c r="E34" s="257"/>
      <c r="F34" s="277"/>
      <c r="G34" s="278"/>
      <c r="H34" s="279"/>
      <c r="I34" s="245">
        <f t="shared" si="2"/>
        <v>0</v>
      </c>
    </row>
    <row r="35" spans="2:9" x14ac:dyDescent="0.25">
      <c r="B35" s="248"/>
      <c r="C35" s="249"/>
      <c r="D35" s="250"/>
      <c r="E35" s="250"/>
      <c r="F35" s="277"/>
      <c r="G35" s="278"/>
      <c r="H35" s="279"/>
      <c r="I35" s="245">
        <f t="shared" si="2"/>
        <v>0</v>
      </c>
    </row>
    <row r="36" spans="2:9" x14ac:dyDescent="0.25">
      <c r="B36" s="248"/>
      <c r="C36" s="481" t="s">
        <v>683</v>
      </c>
      <c r="D36" s="481"/>
      <c r="E36" s="289"/>
      <c r="F36" s="277"/>
      <c r="G36" s="278"/>
      <c r="H36" s="279"/>
      <c r="I36" s="245">
        <f t="shared" si="2"/>
        <v>0</v>
      </c>
    </row>
    <row r="37" spans="2:9" x14ac:dyDescent="0.25">
      <c r="B37" s="248"/>
      <c r="C37" s="289"/>
      <c r="D37" s="289"/>
      <c r="E37" s="289"/>
      <c r="F37" s="277"/>
      <c r="G37" s="278"/>
      <c r="H37" s="279"/>
      <c r="I37" s="245">
        <f t="shared" si="2"/>
        <v>0</v>
      </c>
    </row>
    <row r="38" spans="2:9" x14ac:dyDescent="0.25">
      <c r="B38" s="252">
        <f>B32+0.01</f>
        <v>2.0399999999999991</v>
      </c>
      <c r="C38" s="249"/>
      <c r="D38" s="251" t="s">
        <v>527</v>
      </c>
      <c r="E38" s="251"/>
      <c r="F38" s="277">
        <v>1</v>
      </c>
      <c r="G38" s="290" t="s">
        <v>528</v>
      </c>
      <c r="H38" s="279"/>
      <c r="I38" s="245">
        <f t="shared" si="2"/>
        <v>0</v>
      </c>
    </row>
    <row r="39" spans="2:9" x14ac:dyDescent="0.25">
      <c r="B39" s="252"/>
      <c r="C39" s="249"/>
      <c r="D39" s="251"/>
      <c r="E39" s="251"/>
      <c r="F39" s="277"/>
      <c r="G39" s="290"/>
      <c r="H39" s="279"/>
      <c r="I39" s="245">
        <f t="shared" si="2"/>
        <v>0</v>
      </c>
    </row>
    <row r="40" spans="2:9" ht="34.5" customHeight="1" x14ac:dyDescent="0.25">
      <c r="B40" s="252"/>
      <c r="C40" s="481" t="s">
        <v>684</v>
      </c>
      <c r="D40" s="481"/>
      <c r="E40" s="289"/>
      <c r="F40" s="277"/>
      <c r="G40" s="278"/>
      <c r="H40" s="279"/>
      <c r="I40" s="245">
        <f t="shared" si="2"/>
        <v>0</v>
      </c>
    </row>
    <row r="41" spans="2:9" ht="12.6" customHeight="1" x14ac:dyDescent="0.25">
      <c r="B41" s="252"/>
      <c r="C41" s="289"/>
      <c r="D41" s="289"/>
      <c r="E41" s="289"/>
      <c r="F41" s="277"/>
      <c r="G41" s="278"/>
      <c r="H41" s="279"/>
      <c r="I41" s="245">
        <f t="shared" si="2"/>
        <v>0</v>
      </c>
    </row>
    <row r="42" spans="2:9" x14ac:dyDescent="0.25">
      <c r="B42" s="252">
        <f>B32+0.01</f>
        <v>2.0399999999999991</v>
      </c>
      <c r="C42" s="249"/>
      <c r="D42" s="251" t="s">
        <v>527</v>
      </c>
      <c r="E42" s="251"/>
      <c r="F42" s="277">
        <v>1</v>
      </c>
      <c r="G42" s="290" t="s">
        <v>528</v>
      </c>
      <c r="H42" s="279"/>
      <c r="I42" s="245">
        <f t="shared" si="2"/>
        <v>0</v>
      </c>
    </row>
    <row r="43" spans="2:9" x14ac:dyDescent="0.25">
      <c r="B43" s="248"/>
      <c r="C43" s="484"/>
      <c r="D43" s="484"/>
      <c r="E43" s="257"/>
      <c r="F43" s="277"/>
      <c r="G43" s="278"/>
      <c r="H43" s="279"/>
      <c r="I43" s="245">
        <f t="shared" si="2"/>
        <v>0</v>
      </c>
    </row>
    <row r="44" spans="2:9" ht="29.25" customHeight="1" x14ac:dyDescent="0.25">
      <c r="B44" s="248"/>
      <c r="C44" s="480" t="s">
        <v>1305</v>
      </c>
      <c r="D44" s="480"/>
      <c r="E44" s="257"/>
      <c r="F44" s="277"/>
      <c r="G44" s="278"/>
      <c r="H44" s="279"/>
      <c r="I44" s="245">
        <f t="shared" si="2"/>
        <v>0</v>
      </c>
    </row>
    <row r="45" spans="2:9" x14ac:dyDescent="0.25">
      <c r="B45" s="248"/>
      <c r="C45" s="249"/>
      <c r="D45" s="250"/>
      <c r="E45" s="250"/>
      <c r="F45" s="277"/>
      <c r="G45" s="278"/>
      <c r="H45" s="279"/>
      <c r="I45" s="245">
        <f t="shared" si="2"/>
        <v>0</v>
      </c>
    </row>
    <row r="46" spans="2:9" x14ac:dyDescent="0.25">
      <c r="B46" s="248"/>
      <c r="C46" s="430" t="s">
        <v>685</v>
      </c>
      <c r="D46" s="431"/>
      <c r="E46" s="258"/>
      <c r="F46" s="277"/>
      <c r="G46" s="278"/>
      <c r="H46" s="279"/>
      <c r="I46" s="245">
        <f t="shared" si="2"/>
        <v>0</v>
      </c>
    </row>
    <row r="47" spans="2:9" x14ac:dyDescent="0.25">
      <c r="B47" s="248"/>
      <c r="C47" s="249"/>
      <c r="D47" s="250"/>
      <c r="E47" s="250"/>
      <c r="F47" s="277"/>
      <c r="G47" s="278"/>
      <c r="H47" s="279"/>
      <c r="I47" s="245">
        <f t="shared" si="2"/>
        <v>0</v>
      </c>
    </row>
    <row r="48" spans="2:9" ht="60" x14ac:dyDescent="0.25">
      <c r="B48" s="252">
        <f>B42+0.01</f>
        <v>2.0499999999999989</v>
      </c>
      <c r="C48" s="249"/>
      <c r="D48" s="251" t="s">
        <v>1411</v>
      </c>
      <c r="E48" s="251"/>
      <c r="F48" s="277">
        <v>1</v>
      </c>
      <c r="G48" s="290" t="s">
        <v>528</v>
      </c>
      <c r="H48" s="279"/>
      <c r="I48" s="245">
        <f t="shared" si="2"/>
        <v>0</v>
      </c>
    </row>
    <row r="49" spans="2:9" x14ac:dyDescent="0.25">
      <c r="B49" s="248"/>
      <c r="C49" s="249"/>
      <c r="D49" s="250"/>
      <c r="E49" s="250"/>
      <c r="F49" s="277"/>
      <c r="G49" s="278"/>
      <c r="H49" s="279"/>
      <c r="I49" s="245">
        <f t="shared" si="2"/>
        <v>0</v>
      </c>
    </row>
    <row r="50" spans="2:9" ht="30" x14ac:dyDescent="0.25">
      <c r="B50" s="248">
        <f>B48+0.01</f>
        <v>2.0599999999999987</v>
      </c>
      <c r="C50" s="249"/>
      <c r="D50" s="251" t="s">
        <v>1306</v>
      </c>
      <c r="E50" s="251"/>
      <c r="F50" s="277">
        <v>1</v>
      </c>
      <c r="G50" s="290" t="s">
        <v>528</v>
      </c>
      <c r="H50" s="279"/>
      <c r="I50" s="245">
        <f t="shared" si="2"/>
        <v>0</v>
      </c>
    </row>
    <row r="51" spans="2:9" x14ac:dyDescent="0.25">
      <c r="B51" s="248"/>
      <c r="C51" s="249"/>
      <c r="D51" s="250"/>
      <c r="E51" s="250"/>
      <c r="F51" s="277"/>
      <c r="G51" s="278"/>
      <c r="H51" s="279"/>
      <c r="I51" s="245">
        <f t="shared" si="2"/>
        <v>0</v>
      </c>
    </row>
    <row r="52" spans="2:9" ht="30" x14ac:dyDescent="0.25">
      <c r="B52" s="248">
        <f>B50+0.01</f>
        <v>2.0699999999999985</v>
      </c>
      <c r="C52" s="249"/>
      <c r="D52" s="251" t="s">
        <v>1307</v>
      </c>
      <c r="E52" s="251"/>
      <c r="F52" s="277">
        <v>1</v>
      </c>
      <c r="G52" s="290" t="s">
        <v>528</v>
      </c>
      <c r="H52" s="279"/>
      <c r="I52" s="245">
        <f t="shared" si="2"/>
        <v>0</v>
      </c>
    </row>
    <row r="53" spans="2:9" x14ac:dyDescent="0.25">
      <c r="B53" s="248"/>
      <c r="C53" s="249"/>
      <c r="D53" s="250"/>
      <c r="E53" s="250"/>
      <c r="F53" s="277"/>
      <c r="G53" s="278"/>
      <c r="H53" s="279"/>
      <c r="I53" s="245">
        <f t="shared" si="2"/>
        <v>0</v>
      </c>
    </row>
    <row r="54" spans="2:9" ht="30" x14ac:dyDescent="0.25">
      <c r="B54" s="248">
        <f>B52+0.01</f>
        <v>2.0799999999999983</v>
      </c>
      <c r="C54" s="249"/>
      <c r="D54" s="251" t="s">
        <v>1312</v>
      </c>
      <c r="E54" s="251"/>
      <c r="F54" s="277">
        <v>1</v>
      </c>
      <c r="G54" s="290" t="s">
        <v>528</v>
      </c>
      <c r="H54" s="279"/>
      <c r="I54" s="245">
        <f t="shared" si="2"/>
        <v>0</v>
      </c>
    </row>
    <row r="55" spans="2:9" x14ac:dyDescent="0.25">
      <c r="B55" s="248"/>
      <c r="C55" s="249"/>
      <c r="D55" s="250"/>
      <c r="E55" s="250"/>
      <c r="F55" s="277"/>
      <c r="G55" s="278"/>
      <c r="H55" s="279"/>
      <c r="I55" s="245">
        <f t="shared" si="2"/>
        <v>0</v>
      </c>
    </row>
    <row r="56" spans="2:9" ht="30" x14ac:dyDescent="0.25">
      <c r="B56" s="248">
        <f>B54+0.01</f>
        <v>2.0899999999999981</v>
      </c>
      <c r="C56" s="249"/>
      <c r="D56" s="251" t="s">
        <v>1412</v>
      </c>
      <c r="E56" s="251"/>
      <c r="F56" s="277">
        <v>1</v>
      </c>
      <c r="G56" s="290" t="s">
        <v>528</v>
      </c>
      <c r="H56" s="279"/>
      <c r="I56" s="245">
        <f t="shared" si="2"/>
        <v>0</v>
      </c>
    </row>
    <row r="57" spans="2:9" x14ac:dyDescent="0.25">
      <c r="B57" s="248"/>
      <c r="C57" s="249"/>
      <c r="D57" s="251"/>
      <c r="E57" s="251"/>
      <c r="F57" s="277"/>
      <c r="G57" s="290"/>
      <c r="H57" s="279"/>
      <c r="I57" s="245"/>
    </row>
    <row r="58" spans="2:9" x14ac:dyDescent="0.25">
      <c r="B58" s="248"/>
      <c r="C58" s="487" t="s">
        <v>1316</v>
      </c>
      <c r="D58" s="488"/>
      <c r="E58" s="250"/>
      <c r="F58" s="277"/>
      <c r="G58" s="278"/>
      <c r="H58" s="279"/>
      <c r="I58" s="245">
        <f t="shared" si="2"/>
        <v>0</v>
      </c>
    </row>
    <row r="59" spans="2:9" x14ac:dyDescent="0.25">
      <c r="B59" s="248"/>
      <c r="C59" s="416"/>
      <c r="D59" s="250"/>
      <c r="E59" s="250"/>
      <c r="F59" s="277"/>
      <c r="G59" s="278"/>
      <c r="H59" s="279"/>
      <c r="I59" s="245"/>
    </row>
    <row r="60" spans="2:9" ht="33.75" customHeight="1" x14ac:dyDescent="0.25">
      <c r="B60" s="248"/>
      <c r="C60" s="489" t="s">
        <v>1317</v>
      </c>
      <c r="D60" s="489"/>
      <c r="E60" s="257"/>
      <c r="F60" s="277"/>
      <c r="G60" s="278"/>
      <c r="H60" s="279"/>
      <c r="I60" s="245">
        <f t="shared" si="2"/>
        <v>0</v>
      </c>
    </row>
    <row r="61" spans="2:9" x14ac:dyDescent="0.25">
      <c r="B61" s="248"/>
      <c r="C61" s="430"/>
      <c r="D61" s="431"/>
      <c r="E61" s="258"/>
      <c r="F61" s="277"/>
      <c r="G61" s="278"/>
      <c r="H61" s="279"/>
      <c r="I61" s="245">
        <f t="shared" si="2"/>
        <v>0</v>
      </c>
    </row>
    <row r="62" spans="2:9" x14ac:dyDescent="0.25">
      <c r="B62" s="252">
        <f>B56+0.01</f>
        <v>2.0999999999999979</v>
      </c>
      <c r="C62" s="249"/>
      <c r="D62" s="251" t="s">
        <v>714</v>
      </c>
      <c r="E62" s="251"/>
      <c r="F62" s="277">
        <v>1</v>
      </c>
      <c r="G62" s="290" t="s">
        <v>528</v>
      </c>
      <c r="H62" s="279"/>
      <c r="I62" s="245">
        <f t="shared" si="2"/>
        <v>0</v>
      </c>
    </row>
    <row r="63" spans="2:9" x14ac:dyDescent="0.25">
      <c r="B63" s="248"/>
      <c r="C63" s="249"/>
      <c r="D63" s="250"/>
      <c r="E63" s="250"/>
      <c r="F63" s="277"/>
      <c r="G63" s="278"/>
      <c r="H63" s="279"/>
      <c r="I63" s="245">
        <f t="shared" si="2"/>
        <v>0</v>
      </c>
    </row>
    <row r="64" spans="2:9" ht="30" x14ac:dyDescent="0.25">
      <c r="B64" s="248">
        <f>B62+0.01</f>
        <v>2.1099999999999977</v>
      </c>
      <c r="C64" s="249"/>
      <c r="D64" s="251" t="s">
        <v>713</v>
      </c>
      <c r="E64" s="251"/>
      <c r="F64" s="277">
        <v>1</v>
      </c>
      <c r="G64" s="290" t="s">
        <v>528</v>
      </c>
      <c r="H64" s="279"/>
      <c r="I64" s="245">
        <f t="shared" si="2"/>
        <v>0</v>
      </c>
    </row>
    <row r="65" spans="2:9" x14ac:dyDescent="0.25">
      <c r="B65" s="248"/>
      <c r="C65" s="249"/>
      <c r="D65" s="250"/>
      <c r="E65" s="250"/>
      <c r="F65" s="277"/>
      <c r="G65" s="278"/>
      <c r="H65" s="279"/>
      <c r="I65" s="245">
        <f t="shared" si="2"/>
        <v>0</v>
      </c>
    </row>
    <row r="66" spans="2:9" ht="30" x14ac:dyDescent="0.25">
      <c r="B66" s="248">
        <f>B64+0.01</f>
        <v>2.1199999999999974</v>
      </c>
      <c r="C66" s="249"/>
      <c r="D66" s="251" t="s">
        <v>712</v>
      </c>
      <c r="E66" s="251"/>
      <c r="F66" s="277">
        <v>1</v>
      </c>
      <c r="G66" s="290" t="s">
        <v>528</v>
      </c>
      <c r="H66" s="279"/>
      <c r="I66" s="245">
        <f t="shared" ref="I66:I67" si="3">F66*H66</f>
        <v>0</v>
      </c>
    </row>
    <row r="67" spans="2:9" x14ac:dyDescent="0.25">
      <c r="B67" s="248"/>
      <c r="C67" s="249"/>
      <c r="D67" s="251"/>
      <c r="E67" s="251"/>
      <c r="F67" s="277"/>
      <c r="G67" s="290"/>
      <c r="H67" s="279"/>
      <c r="I67" s="245">
        <f t="shared" si="3"/>
        <v>0</v>
      </c>
    </row>
    <row r="68" spans="2:9" x14ac:dyDescent="0.25">
      <c r="B68" s="248">
        <f>B66+0.01</f>
        <v>2.1299999999999972</v>
      </c>
      <c r="C68" s="249"/>
      <c r="D68" s="251" t="s">
        <v>715</v>
      </c>
      <c r="E68" s="251"/>
      <c r="F68" s="277">
        <v>1</v>
      </c>
      <c r="G68" s="290" t="s">
        <v>528</v>
      </c>
      <c r="H68" s="279"/>
      <c r="I68" s="245">
        <f t="shared" ref="I68:I101" si="4">F68*H68</f>
        <v>0</v>
      </c>
    </row>
    <row r="69" spans="2:9" x14ac:dyDescent="0.25">
      <c r="B69" s="248"/>
      <c r="C69" s="249"/>
      <c r="D69" s="250"/>
      <c r="E69" s="250"/>
      <c r="F69" s="277"/>
      <c r="G69" s="278"/>
      <c r="H69" s="279"/>
      <c r="I69" s="245">
        <f t="shared" si="4"/>
        <v>0</v>
      </c>
    </row>
    <row r="70" spans="2:9" ht="31.5" customHeight="1" x14ac:dyDescent="0.25">
      <c r="B70" s="248">
        <f>B68+0.01</f>
        <v>2.139999999999997</v>
      </c>
      <c r="C70" s="249"/>
      <c r="D70" s="251" t="s">
        <v>756</v>
      </c>
      <c r="E70" s="251"/>
      <c r="F70" s="277">
        <v>1</v>
      </c>
      <c r="G70" s="290" t="s">
        <v>528</v>
      </c>
      <c r="H70" s="279"/>
      <c r="I70" s="245">
        <f t="shared" si="4"/>
        <v>0</v>
      </c>
    </row>
    <row r="71" spans="2:9" x14ac:dyDescent="0.25">
      <c r="B71" s="248"/>
      <c r="C71" s="249"/>
      <c r="D71" s="250"/>
      <c r="E71" s="250"/>
      <c r="F71" s="277"/>
      <c r="G71" s="278"/>
      <c r="H71" s="279"/>
      <c r="I71" s="245">
        <f t="shared" si="4"/>
        <v>0</v>
      </c>
    </row>
    <row r="72" spans="2:9" ht="60" x14ac:dyDescent="0.25">
      <c r="B72" s="248">
        <f>B70+0.01</f>
        <v>2.1499999999999968</v>
      </c>
      <c r="C72" s="249"/>
      <c r="D72" s="251" t="s">
        <v>1201</v>
      </c>
      <c r="E72" s="251"/>
      <c r="F72" s="277">
        <v>1</v>
      </c>
      <c r="G72" s="290" t="s">
        <v>528</v>
      </c>
      <c r="H72" s="279"/>
      <c r="I72" s="245">
        <f t="shared" si="4"/>
        <v>0</v>
      </c>
    </row>
    <row r="73" spans="2:9" x14ac:dyDescent="0.25">
      <c r="B73" s="248"/>
      <c r="C73" s="249"/>
      <c r="D73" s="251"/>
      <c r="E73" s="251"/>
      <c r="F73" s="277"/>
      <c r="G73" s="290"/>
      <c r="H73" s="279"/>
      <c r="I73" s="245"/>
    </row>
    <row r="74" spans="2:9" x14ac:dyDescent="0.25">
      <c r="B74" s="248"/>
      <c r="C74" s="249"/>
      <c r="D74" s="251"/>
      <c r="E74" s="251"/>
      <c r="F74" s="277"/>
      <c r="G74" s="290"/>
      <c r="H74" s="279"/>
      <c r="I74" s="245"/>
    </row>
    <row r="75" spans="2:9" x14ac:dyDescent="0.25">
      <c r="B75" s="291"/>
      <c r="C75" s="473" t="s">
        <v>549</v>
      </c>
      <c r="D75" s="474"/>
      <c r="E75" s="294"/>
      <c r="F75" s="277"/>
      <c r="G75" s="277"/>
      <c r="H75" s="279"/>
      <c r="I75" s="286">
        <f t="shared" ref="I75:I99" si="5">F75*H75</f>
        <v>0</v>
      </c>
    </row>
    <row r="76" spans="2:9" x14ac:dyDescent="0.25">
      <c r="B76" s="291"/>
      <c r="C76" s="292"/>
      <c r="D76" s="295"/>
      <c r="E76" s="295"/>
      <c r="F76" s="277"/>
      <c r="G76" s="277"/>
      <c r="H76" s="279"/>
      <c r="I76" s="286">
        <f t="shared" si="5"/>
        <v>0</v>
      </c>
    </row>
    <row r="77" spans="2:9" x14ac:dyDescent="0.25">
      <c r="B77" s="291"/>
      <c r="C77" s="296" t="s">
        <v>686</v>
      </c>
      <c r="D77" s="295"/>
      <c r="E77" s="295"/>
      <c r="F77" s="277"/>
      <c r="G77" s="278"/>
      <c r="H77" s="279"/>
      <c r="I77" s="286">
        <f t="shared" si="5"/>
        <v>0</v>
      </c>
    </row>
    <row r="78" spans="2:9" x14ac:dyDescent="0.25">
      <c r="B78" s="291"/>
      <c r="C78" s="292"/>
      <c r="D78" s="295"/>
      <c r="E78" s="295"/>
      <c r="F78" s="277"/>
      <c r="G78" s="278"/>
      <c r="H78" s="279"/>
      <c r="I78" s="286">
        <f t="shared" si="5"/>
        <v>0</v>
      </c>
    </row>
    <row r="79" spans="2:9" ht="28.5" customHeight="1" x14ac:dyDescent="0.25">
      <c r="B79" s="291"/>
      <c r="C79" s="481" t="s">
        <v>687</v>
      </c>
      <c r="D79" s="481"/>
      <c r="E79" s="289"/>
      <c r="F79" s="277"/>
      <c r="G79" s="277"/>
      <c r="H79" s="279"/>
      <c r="I79" s="286">
        <f t="shared" si="5"/>
        <v>0</v>
      </c>
    </row>
    <row r="80" spans="2:9" x14ac:dyDescent="0.25">
      <c r="B80" s="291"/>
      <c r="C80" s="289"/>
      <c r="D80" s="289"/>
      <c r="E80" s="289"/>
      <c r="F80" s="277"/>
      <c r="G80" s="277"/>
      <c r="H80" s="279"/>
      <c r="I80" s="286">
        <f t="shared" si="5"/>
        <v>0</v>
      </c>
    </row>
    <row r="81" spans="2:9" x14ac:dyDescent="0.25">
      <c r="B81" s="298">
        <f>B72+0.01</f>
        <v>2.1599999999999966</v>
      </c>
      <c r="C81" s="249"/>
      <c r="D81" s="251" t="s">
        <v>527</v>
      </c>
      <c r="E81" s="251"/>
      <c r="F81" s="277">
        <v>1</v>
      </c>
      <c r="G81" s="290" t="s">
        <v>528</v>
      </c>
      <c r="H81" s="297"/>
      <c r="I81" s="286">
        <f t="shared" si="5"/>
        <v>0</v>
      </c>
    </row>
    <row r="82" spans="2:9" x14ac:dyDescent="0.25">
      <c r="B82" s="298"/>
      <c r="C82" s="292"/>
      <c r="D82" s="295"/>
      <c r="E82" s="295"/>
      <c r="F82" s="299"/>
      <c r="G82" s="299"/>
      <c r="H82" s="297"/>
      <c r="I82" s="286">
        <f t="shared" si="5"/>
        <v>0</v>
      </c>
    </row>
    <row r="83" spans="2:9" x14ac:dyDescent="0.25">
      <c r="B83" s="291"/>
      <c r="C83" s="482" t="s">
        <v>688</v>
      </c>
      <c r="D83" s="482"/>
      <c r="E83" s="293"/>
      <c r="F83" s="277"/>
      <c r="G83" s="277"/>
      <c r="H83" s="279"/>
      <c r="I83" s="286">
        <f t="shared" si="5"/>
        <v>0</v>
      </c>
    </row>
    <row r="84" spans="2:9" x14ac:dyDescent="0.25">
      <c r="B84" s="291"/>
      <c r="C84" s="292"/>
      <c r="D84" s="303"/>
      <c r="E84" s="303"/>
      <c r="F84" s="307"/>
      <c r="G84" s="307"/>
      <c r="H84" s="279"/>
      <c r="I84" s="286">
        <f t="shared" si="5"/>
        <v>0</v>
      </c>
    </row>
    <row r="85" spans="2:9" x14ac:dyDescent="0.25">
      <c r="B85" s="291"/>
      <c r="C85" s="483" t="s">
        <v>689</v>
      </c>
      <c r="D85" s="483"/>
      <c r="E85" s="303"/>
      <c r="F85" s="307"/>
      <c r="G85" s="307"/>
      <c r="H85" s="279"/>
      <c r="I85" s="286">
        <f t="shared" si="5"/>
        <v>0</v>
      </c>
    </row>
    <row r="86" spans="2:9" x14ac:dyDescent="0.25">
      <c r="B86" s="291"/>
      <c r="C86" s="303"/>
      <c r="D86" s="303"/>
      <c r="E86" s="303"/>
      <c r="F86" s="307"/>
      <c r="G86" s="307"/>
      <c r="H86" s="279"/>
      <c r="I86" s="286">
        <f t="shared" si="5"/>
        <v>0</v>
      </c>
    </row>
    <row r="87" spans="2:9" x14ac:dyDescent="0.25">
      <c r="B87" s="298">
        <f>B81+0.01</f>
        <v>2.1699999999999964</v>
      </c>
      <c r="C87" s="292"/>
      <c r="D87" s="308" t="s">
        <v>527</v>
      </c>
      <c r="E87" s="308"/>
      <c r="F87" s="277">
        <v>1</v>
      </c>
      <c r="G87" s="290" t="s">
        <v>528</v>
      </c>
      <c r="H87" s="279"/>
      <c r="I87" s="286">
        <f t="shared" si="5"/>
        <v>0</v>
      </c>
    </row>
    <row r="88" spans="2:9" x14ac:dyDescent="0.25">
      <c r="B88" s="288"/>
      <c r="C88" s="309"/>
      <c r="D88" s="310"/>
      <c r="E88" s="310"/>
      <c r="F88" s="304"/>
      <c r="G88" s="305"/>
      <c r="H88" s="306"/>
      <c r="I88" s="286">
        <f t="shared" si="5"/>
        <v>0</v>
      </c>
    </row>
    <row r="89" spans="2:9" x14ac:dyDescent="0.25">
      <c r="B89" s="252"/>
      <c r="C89" s="475" t="s">
        <v>690</v>
      </c>
      <c r="D89" s="476"/>
      <c r="E89" s="311"/>
      <c r="F89" s="299"/>
      <c r="G89" s="299"/>
      <c r="H89" s="297"/>
      <c r="I89" s="286">
        <f t="shared" si="5"/>
        <v>0</v>
      </c>
    </row>
    <row r="90" spans="2:9" x14ac:dyDescent="0.25">
      <c r="B90" s="252"/>
      <c r="C90" s="300"/>
      <c r="D90" s="301"/>
      <c r="E90" s="301"/>
      <c r="F90" s="302"/>
      <c r="G90" s="299"/>
      <c r="H90" s="297"/>
      <c r="I90" s="286">
        <f t="shared" si="5"/>
        <v>0</v>
      </c>
    </row>
    <row r="91" spans="2:9" x14ac:dyDescent="0.25">
      <c r="B91" s="252"/>
      <c r="C91" s="477" t="s">
        <v>818</v>
      </c>
      <c r="D91" s="478"/>
      <c r="E91" s="312"/>
      <c r="F91" s="302"/>
      <c r="G91" s="299"/>
      <c r="H91" s="297"/>
      <c r="I91" s="286">
        <f t="shared" si="5"/>
        <v>0</v>
      </c>
    </row>
    <row r="92" spans="2:9" ht="15" customHeight="1" x14ac:dyDescent="0.25">
      <c r="B92" s="252"/>
      <c r="C92" s="303"/>
      <c r="D92" s="303"/>
      <c r="E92" s="303"/>
      <c r="F92" s="302"/>
      <c r="G92" s="299"/>
      <c r="H92" s="297"/>
      <c r="I92" s="286">
        <f t="shared" si="5"/>
        <v>0</v>
      </c>
    </row>
    <row r="93" spans="2:9" x14ac:dyDescent="0.25">
      <c r="B93" s="298">
        <f>B87+0.01</f>
        <v>2.1799999999999962</v>
      </c>
      <c r="C93" s="303"/>
      <c r="D93" s="308" t="s">
        <v>527</v>
      </c>
      <c r="E93" s="303"/>
      <c r="F93" s="299">
        <v>1</v>
      </c>
      <c r="G93" s="299" t="s">
        <v>528</v>
      </c>
      <c r="H93" s="297"/>
      <c r="I93" s="286">
        <f t="shared" si="5"/>
        <v>0</v>
      </c>
    </row>
    <row r="94" spans="2:9" x14ac:dyDescent="0.25">
      <c r="B94" s="252"/>
      <c r="C94" s="303"/>
      <c r="D94" s="303"/>
      <c r="E94" s="303"/>
      <c r="F94" s="302"/>
      <c r="G94" s="299"/>
      <c r="H94" s="297"/>
      <c r="I94" s="286">
        <f t="shared" si="5"/>
        <v>0</v>
      </c>
    </row>
    <row r="95" spans="2:9" x14ac:dyDescent="0.25">
      <c r="B95" s="252"/>
      <c r="C95" s="313" t="s">
        <v>529</v>
      </c>
      <c r="D95" s="314"/>
      <c r="E95" s="314"/>
      <c r="F95" s="304"/>
      <c r="G95" s="305"/>
      <c r="H95" s="306"/>
      <c r="I95" s="286">
        <f t="shared" si="5"/>
        <v>0</v>
      </c>
    </row>
    <row r="96" spans="2:9" ht="15" customHeight="1" x14ac:dyDescent="0.25">
      <c r="B96" s="252"/>
      <c r="C96" s="315"/>
      <c r="D96" s="314"/>
      <c r="E96" s="314"/>
      <c r="F96" s="316"/>
      <c r="G96" s="283"/>
      <c r="H96" s="306"/>
      <c r="I96" s="286">
        <f t="shared" si="5"/>
        <v>0</v>
      </c>
    </row>
    <row r="97" spans="2:9" ht="30.75" customHeight="1" x14ac:dyDescent="0.25">
      <c r="B97" s="252"/>
      <c r="C97" s="479" t="s">
        <v>819</v>
      </c>
      <c r="D97" s="479"/>
      <c r="E97" s="287"/>
      <c r="F97" s="316"/>
      <c r="G97" s="283"/>
      <c r="H97" s="306"/>
      <c r="I97" s="286">
        <f t="shared" si="5"/>
        <v>0</v>
      </c>
    </row>
    <row r="98" spans="2:9" ht="15" customHeight="1" x14ac:dyDescent="0.25">
      <c r="B98" s="252"/>
      <c r="C98" s="287"/>
      <c r="D98" s="287"/>
      <c r="E98" s="287"/>
      <c r="F98" s="316"/>
      <c r="G98" s="283"/>
      <c r="H98" s="306"/>
      <c r="I98" s="286">
        <f t="shared" si="5"/>
        <v>0</v>
      </c>
    </row>
    <row r="99" spans="2:9" x14ac:dyDescent="0.25">
      <c r="B99" s="298">
        <f>B93+0.01</f>
        <v>2.1899999999999959</v>
      </c>
      <c r="C99" s="315"/>
      <c r="D99" s="287" t="s">
        <v>527</v>
      </c>
      <c r="E99" s="287"/>
      <c r="F99" s="317">
        <v>1</v>
      </c>
      <c r="G99" s="283" t="s">
        <v>528</v>
      </c>
      <c r="H99" s="306"/>
      <c r="I99" s="286">
        <f t="shared" si="5"/>
        <v>0</v>
      </c>
    </row>
    <row r="100" spans="2:9" x14ac:dyDescent="0.25">
      <c r="B100" s="248"/>
      <c r="C100" s="249"/>
      <c r="D100" s="251"/>
      <c r="E100" s="251"/>
      <c r="F100" s="277"/>
      <c r="G100" s="290"/>
      <c r="H100" s="279"/>
      <c r="I100" s="245"/>
    </row>
    <row r="101" spans="2:9" ht="15.75" thickBot="1" x14ac:dyDescent="0.3">
      <c r="B101" s="248"/>
      <c r="C101" s="249"/>
      <c r="D101" s="250"/>
      <c r="E101" s="250"/>
      <c r="F101" s="277"/>
      <c r="G101" s="278"/>
      <c r="H101" s="279"/>
      <c r="I101" s="245">
        <f t="shared" si="4"/>
        <v>0</v>
      </c>
    </row>
    <row r="102" spans="2:9" ht="15" customHeight="1" thickBot="1" x14ac:dyDescent="0.3">
      <c r="B102" s="248"/>
      <c r="C102" s="249"/>
      <c r="D102" s="314" t="s">
        <v>820</v>
      </c>
      <c r="E102" s="250"/>
      <c r="F102" s="277"/>
      <c r="G102" s="278"/>
      <c r="H102" s="351"/>
      <c r="I102" s="352">
        <f>SUM(I22:I101)</f>
        <v>0</v>
      </c>
    </row>
    <row r="103" spans="2:9" x14ac:dyDescent="0.25">
      <c r="B103" s="248"/>
      <c r="C103" s="249"/>
      <c r="D103" s="250"/>
      <c r="E103" s="250"/>
      <c r="F103" s="277"/>
      <c r="G103" s="278"/>
      <c r="H103" s="279"/>
      <c r="I103" s="245"/>
    </row>
    <row r="104" spans="2:9" ht="17.25" customHeight="1" x14ac:dyDescent="0.25">
      <c r="B104" s="248"/>
      <c r="C104" s="426" t="s">
        <v>816</v>
      </c>
      <c r="D104" s="427"/>
      <c r="E104" s="257"/>
      <c r="F104" s="277"/>
      <c r="G104" s="278"/>
      <c r="H104" s="279"/>
      <c r="I104" s="245">
        <f t="shared" ref="I104:I112" si="6">F104*H104</f>
        <v>0</v>
      </c>
    </row>
    <row r="105" spans="2:9" x14ac:dyDescent="0.25">
      <c r="B105" s="248"/>
      <c r="C105" s="249"/>
      <c r="D105" s="250"/>
      <c r="E105" s="250"/>
      <c r="F105" s="277"/>
      <c r="G105" s="278"/>
      <c r="H105" s="279"/>
      <c r="I105" s="245">
        <f t="shared" si="6"/>
        <v>0</v>
      </c>
    </row>
    <row r="106" spans="2:9" ht="33.75" customHeight="1" x14ac:dyDescent="0.25">
      <c r="B106" s="248"/>
      <c r="C106" s="480" t="s">
        <v>1305</v>
      </c>
      <c r="D106" s="480"/>
      <c r="E106" s="257"/>
      <c r="F106" s="277"/>
      <c r="G106" s="278"/>
      <c r="H106" s="279"/>
      <c r="I106" s="245">
        <f t="shared" si="6"/>
        <v>0</v>
      </c>
    </row>
    <row r="107" spans="2:9" x14ac:dyDescent="0.25">
      <c r="B107" s="248"/>
      <c r="C107" s="249"/>
      <c r="D107" s="250"/>
      <c r="E107" s="250"/>
      <c r="F107" s="277"/>
      <c r="G107" s="278"/>
      <c r="H107" s="279"/>
      <c r="I107" s="245">
        <f t="shared" si="6"/>
        <v>0</v>
      </c>
    </row>
    <row r="108" spans="2:9" x14ac:dyDescent="0.25">
      <c r="B108" s="248"/>
      <c r="C108" s="430" t="s">
        <v>685</v>
      </c>
      <c r="D108" s="431"/>
      <c r="E108" s="258"/>
      <c r="F108" s="277"/>
      <c r="G108" s="278"/>
      <c r="H108" s="279"/>
      <c r="I108" s="245">
        <f t="shared" si="6"/>
        <v>0</v>
      </c>
    </row>
    <row r="109" spans="2:9" x14ac:dyDescent="0.25">
      <c r="B109" s="248"/>
      <c r="C109" s="249"/>
      <c r="D109" s="250"/>
      <c r="E109" s="250"/>
      <c r="F109" s="277"/>
      <c r="G109" s="278"/>
      <c r="H109" s="279"/>
      <c r="I109" s="245">
        <f t="shared" si="6"/>
        <v>0</v>
      </c>
    </row>
    <row r="110" spans="2:9" ht="33" customHeight="1" x14ac:dyDescent="0.25">
      <c r="B110" s="252">
        <f>B99+0.01</f>
        <v>2.1999999999999957</v>
      </c>
      <c r="C110" s="249"/>
      <c r="D110" s="251" t="s">
        <v>1308</v>
      </c>
      <c r="E110" s="250"/>
      <c r="F110" s="277">
        <v>1</v>
      </c>
      <c r="G110" s="290" t="s">
        <v>528</v>
      </c>
      <c r="H110" s="279"/>
      <c r="I110" s="245">
        <f t="shared" si="6"/>
        <v>0</v>
      </c>
    </row>
    <row r="111" spans="2:9" x14ac:dyDescent="0.25">
      <c r="B111" s="248"/>
      <c r="C111" s="249"/>
      <c r="D111" s="250"/>
      <c r="E111" s="250"/>
      <c r="F111" s="277"/>
      <c r="G111" s="278"/>
      <c r="H111" s="279"/>
      <c r="I111" s="245"/>
    </row>
    <row r="112" spans="2:9" ht="45" x14ac:dyDescent="0.25">
      <c r="B112" s="252">
        <f>B110+0.01</f>
        <v>2.2099999999999955</v>
      </c>
      <c r="C112" s="249"/>
      <c r="D112" s="251" t="s">
        <v>1309</v>
      </c>
      <c r="E112" s="251"/>
      <c r="F112" s="277">
        <v>1</v>
      </c>
      <c r="G112" s="290" t="s">
        <v>528</v>
      </c>
      <c r="H112" s="279"/>
      <c r="I112" s="245">
        <f t="shared" si="6"/>
        <v>0</v>
      </c>
    </row>
    <row r="113" spans="2:9" x14ac:dyDescent="0.25">
      <c r="B113" s="248"/>
      <c r="C113" s="354"/>
      <c r="D113" s="355"/>
      <c r="E113" s="355"/>
      <c r="F113" s="277"/>
      <c r="G113" s="278"/>
      <c r="H113" s="279"/>
      <c r="I113" s="245"/>
    </row>
    <row r="114" spans="2:9" ht="45" x14ac:dyDescent="0.25">
      <c r="B114" s="252">
        <f>B112+0.01</f>
        <v>2.2199999999999953</v>
      </c>
      <c r="C114" s="354"/>
      <c r="D114" s="414" t="s">
        <v>1310</v>
      </c>
      <c r="E114" s="355"/>
      <c r="F114" s="277">
        <v>1</v>
      </c>
      <c r="G114" s="290" t="s">
        <v>528</v>
      </c>
      <c r="H114" s="279"/>
      <c r="I114" s="245">
        <f t="shared" ref="I114" si="7">F114*H114</f>
        <v>0</v>
      </c>
    </row>
    <row r="115" spans="2:9" x14ac:dyDescent="0.25">
      <c r="B115" s="248"/>
      <c r="C115" s="354"/>
      <c r="D115" s="355"/>
      <c r="E115" s="355"/>
      <c r="F115" s="277"/>
      <c r="G115" s="278"/>
      <c r="H115" s="279"/>
      <c r="I115" s="245"/>
    </row>
    <row r="116" spans="2:9" ht="30" x14ac:dyDescent="0.25">
      <c r="B116" s="252">
        <f>B114+0.01</f>
        <v>2.2299999999999951</v>
      </c>
      <c r="C116" s="354"/>
      <c r="D116" s="414" t="s">
        <v>1311</v>
      </c>
      <c r="E116" s="355"/>
      <c r="F116" s="277">
        <v>1</v>
      </c>
      <c r="G116" s="290" t="s">
        <v>528</v>
      </c>
      <c r="H116" s="279"/>
      <c r="I116" s="245">
        <f t="shared" ref="I116" si="8">F116*H116</f>
        <v>0</v>
      </c>
    </row>
    <row r="117" spans="2:9" x14ac:dyDescent="0.25">
      <c r="B117" s="248"/>
      <c r="C117" s="354"/>
      <c r="D117" s="355"/>
      <c r="E117" s="355"/>
      <c r="F117" s="277"/>
      <c r="G117" s="278"/>
      <c r="H117" s="279"/>
      <c r="I117" s="245"/>
    </row>
    <row r="118" spans="2:9" ht="45" x14ac:dyDescent="0.25">
      <c r="B118" s="252">
        <f>B116+0.01</f>
        <v>2.2399999999999949</v>
      </c>
      <c r="C118" s="354"/>
      <c r="D118" s="414" t="s">
        <v>1314</v>
      </c>
      <c r="E118" s="355"/>
      <c r="F118" s="277">
        <v>1</v>
      </c>
      <c r="G118" s="290" t="s">
        <v>528</v>
      </c>
      <c r="H118" s="279"/>
      <c r="I118" s="245">
        <f t="shared" ref="I118" si="9">F118*H118</f>
        <v>0</v>
      </c>
    </row>
    <row r="119" spans="2:9" x14ac:dyDescent="0.25">
      <c r="B119" s="248"/>
      <c r="C119" s="354"/>
      <c r="D119" s="355"/>
      <c r="E119" s="355"/>
      <c r="F119" s="277"/>
      <c r="G119" s="278"/>
      <c r="H119" s="279"/>
      <c r="I119" s="245"/>
    </row>
    <row r="120" spans="2:9" ht="30" x14ac:dyDescent="0.25">
      <c r="B120" s="252">
        <f>B118+0.01</f>
        <v>2.2499999999999947</v>
      </c>
      <c r="C120" s="354"/>
      <c r="D120" s="251" t="s">
        <v>1313</v>
      </c>
      <c r="E120" s="355"/>
      <c r="F120" s="277">
        <v>1</v>
      </c>
      <c r="G120" s="290" t="s">
        <v>528</v>
      </c>
      <c r="H120" s="279"/>
      <c r="I120" s="245">
        <f t="shared" ref="I120" si="10">F120*H120</f>
        <v>0</v>
      </c>
    </row>
    <row r="121" spans="2:9" x14ac:dyDescent="0.25">
      <c r="B121" s="248"/>
      <c r="C121" s="354"/>
      <c r="D121" s="355"/>
      <c r="E121" s="355"/>
      <c r="F121" s="277"/>
      <c r="G121" s="278"/>
      <c r="H121" s="279"/>
      <c r="I121" s="245"/>
    </row>
    <row r="122" spans="2:9" ht="30" x14ac:dyDescent="0.25">
      <c r="B122" s="252">
        <f>B120+0.01</f>
        <v>2.2599999999999945</v>
      </c>
      <c r="C122" s="354"/>
      <c r="D122" s="414" t="s">
        <v>1315</v>
      </c>
      <c r="E122" s="355"/>
      <c r="F122" s="277">
        <v>1</v>
      </c>
      <c r="G122" s="290" t="s">
        <v>528</v>
      </c>
      <c r="H122" s="279"/>
      <c r="I122" s="245">
        <f t="shared" ref="I122" si="11">F122*H122</f>
        <v>0</v>
      </c>
    </row>
    <row r="123" spans="2:9" x14ac:dyDescent="0.25">
      <c r="B123" s="248"/>
      <c r="C123" s="354"/>
      <c r="D123" s="355"/>
      <c r="E123" s="355"/>
      <c r="F123" s="277"/>
      <c r="G123" s="278"/>
      <c r="H123" s="279"/>
      <c r="I123" s="245"/>
    </row>
    <row r="124" spans="2:9" ht="30" x14ac:dyDescent="0.25">
      <c r="B124" s="252">
        <f>B122+0.01</f>
        <v>2.2699999999999942</v>
      </c>
      <c r="C124" s="354"/>
      <c r="D124" s="414" t="s">
        <v>1413</v>
      </c>
      <c r="E124" s="355"/>
      <c r="F124" s="277">
        <v>1</v>
      </c>
      <c r="G124" s="290" t="s">
        <v>528</v>
      </c>
      <c r="H124" s="279"/>
      <c r="I124" s="245">
        <f t="shared" ref="I124" si="12">F124*H124</f>
        <v>0</v>
      </c>
    </row>
    <row r="125" spans="2:9" x14ac:dyDescent="0.25">
      <c r="B125" s="248"/>
      <c r="C125" s="354"/>
      <c r="D125" s="355"/>
      <c r="E125" s="355"/>
      <c r="F125" s="277"/>
      <c r="G125" s="278"/>
      <c r="H125" s="279"/>
      <c r="I125" s="245"/>
    </row>
    <row r="126" spans="2:9" x14ac:dyDescent="0.25">
      <c r="B126" s="248"/>
      <c r="C126" s="415" t="s">
        <v>1316</v>
      </c>
      <c r="D126" s="355"/>
      <c r="E126" s="355"/>
      <c r="F126" s="277"/>
      <c r="G126" s="278"/>
      <c r="H126" s="279"/>
      <c r="I126" s="245"/>
    </row>
    <row r="127" spans="2:9" x14ac:dyDescent="0.25">
      <c r="B127" s="248"/>
      <c r="C127" s="354"/>
      <c r="D127" s="355"/>
      <c r="E127" s="355"/>
      <c r="F127" s="277"/>
      <c r="G127" s="278"/>
      <c r="H127" s="279"/>
      <c r="I127" s="245"/>
    </row>
    <row r="128" spans="2:9" ht="61.5" customHeight="1" x14ac:dyDescent="0.25">
      <c r="B128" s="248"/>
      <c r="C128" s="430" t="s">
        <v>1202</v>
      </c>
      <c r="D128" s="431"/>
      <c r="E128" s="355"/>
      <c r="F128" s="277"/>
      <c r="G128" s="278"/>
      <c r="H128" s="279"/>
      <c r="I128" s="245"/>
    </row>
    <row r="129" spans="2:9" x14ac:dyDescent="0.25">
      <c r="B129" s="248"/>
      <c r="C129" s="354"/>
      <c r="D129" s="355"/>
      <c r="E129" s="355"/>
      <c r="F129" s="277"/>
      <c r="G129" s="278"/>
      <c r="H129" s="279"/>
      <c r="I129" s="245"/>
    </row>
    <row r="130" spans="2:9" ht="138" customHeight="1" x14ac:dyDescent="0.25">
      <c r="B130" s="248">
        <f>B99+0.01</f>
        <v>2.1999999999999957</v>
      </c>
      <c r="C130" s="354"/>
      <c r="D130" s="355" t="s">
        <v>817</v>
      </c>
      <c r="E130" s="355"/>
      <c r="F130" s="299">
        <v>1</v>
      </c>
      <c r="G130" s="299" t="s">
        <v>528</v>
      </c>
      <c r="H130" s="297"/>
      <c r="I130" s="286">
        <f t="shared" ref="I130" si="13">F130*H130</f>
        <v>0</v>
      </c>
    </row>
    <row r="131" spans="2:9" x14ac:dyDescent="0.25">
      <c r="B131" s="248"/>
      <c r="C131" s="354"/>
      <c r="D131" s="355"/>
      <c r="E131" s="355"/>
      <c r="F131" s="277"/>
      <c r="G131" s="278"/>
      <c r="H131" s="279"/>
      <c r="I131" s="245"/>
    </row>
    <row r="132" spans="2:9" ht="15" customHeight="1" x14ac:dyDescent="0.25">
      <c r="B132" s="291"/>
      <c r="C132" s="292"/>
      <c r="D132" s="293"/>
      <c r="E132" s="293"/>
      <c r="F132" s="277"/>
      <c r="G132" s="277"/>
      <c r="H132" s="279"/>
      <c r="I132" s="286">
        <f t="shared" ref="I132:I136" si="14">F132*H132</f>
        <v>0</v>
      </c>
    </row>
    <row r="133" spans="2:9" ht="15" customHeight="1" x14ac:dyDescent="0.25">
      <c r="B133" s="291"/>
      <c r="C133" s="473" t="s">
        <v>549</v>
      </c>
      <c r="D133" s="474"/>
      <c r="E133" s="294"/>
      <c r="F133" s="277"/>
      <c r="G133" s="277"/>
      <c r="H133" s="279"/>
      <c r="I133" s="286">
        <f t="shared" si="14"/>
        <v>0</v>
      </c>
    </row>
    <row r="134" spans="2:9" x14ac:dyDescent="0.25">
      <c r="B134" s="291"/>
      <c r="C134" s="292"/>
      <c r="D134" s="295"/>
      <c r="E134" s="295"/>
      <c r="F134" s="277"/>
      <c r="G134" s="277"/>
      <c r="H134" s="279"/>
      <c r="I134" s="286">
        <f t="shared" si="14"/>
        <v>0</v>
      </c>
    </row>
    <row r="135" spans="2:9" ht="15" customHeight="1" x14ac:dyDescent="0.25">
      <c r="B135" s="291"/>
      <c r="C135" s="296" t="s">
        <v>686</v>
      </c>
      <c r="D135" s="295"/>
      <c r="E135" s="295"/>
      <c r="F135" s="277"/>
      <c r="G135" s="278"/>
      <c r="H135" s="279"/>
      <c r="I135" s="286">
        <f t="shared" si="14"/>
        <v>0</v>
      </c>
    </row>
    <row r="136" spans="2:9" x14ac:dyDescent="0.25">
      <c r="B136" s="291"/>
      <c r="C136" s="292"/>
      <c r="D136" s="295"/>
      <c r="E136" s="295"/>
      <c r="F136" s="277"/>
      <c r="G136" s="278"/>
      <c r="H136" s="279"/>
      <c r="I136" s="286">
        <f t="shared" si="14"/>
        <v>0</v>
      </c>
    </row>
    <row r="137" spans="2:9" ht="14.45" customHeight="1" x14ac:dyDescent="0.25">
      <c r="B137" s="252"/>
      <c r="C137" s="475" t="s">
        <v>690</v>
      </c>
      <c r="D137" s="476"/>
      <c r="E137" s="311"/>
      <c r="F137" s="299"/>
      <c r="G137" s="299"/>
      <c r="H137" s="297"/>
      <c r="I137" s="286">
        <f t="shared" ref="I137:I148" si="15">F137*H137</f>
        <v>0</v>
      </c>
    </row>
    <row r="138" spans="2:9" x14ac:dyDescent="0.25">
      <c r="B138" s="252"/>
      <c r="C138" s="300"/>
      <c r="D138" s="301"/>
      <c r="E138" s="301"/>
      <c r="F138" s="302"/>
      <c r="G138" s="299"/>
      <c r="H138" s="297"/>
      <c r="I138" s="286">
        <f t="shared" si="15"/>
        <v>0</v>
      </c>
    </row>
    <row r="139" spans="2:9" ht="14.45" customHeight="1" x14ac:dyDescent="0.25">
      <c r="B139" s="252"/>
      <c r="C139" s="477" t="s">
        <v>818</v>
      </c>
      <c r="D139" s="478"/>
      <c r="E139" s="312"/>
      <c r="F139" s="302"/>
      <c r="G139" s="299"/>
      <c r="H139" s="297"/>
      <c r="I139" s="286">
        <f t="shared" si="15"/>
        <v>0</v>
      </c>
    </row>
    <row r="140" spans="2:9" x14ac:dyDescent="0.25">
      <c r="B140" s="252"/>
      <c r="C140" s="303"/>
      <c r="D140" s="303"/>
      <c r="E140" s="303"/>
      <c r="F140" s="302"/>
      <c r="G140" s="299"/>
      <c r="H140" s="297"/>
      <c r="I140" s="286">
        <f t="shared" si="15"/>
        <v>0</v>
      </c>
    </row>
    <row r="141" spans="2:9" x14ac:dyDescent="0.25">
      <c r="B141" s="298">
        <f>B130+0.01</f>
        <v>2.2099999999999955</v>
      </c>
      <c r="C141" s="303"/>
      <c r="D141" s="308" t="s">
        <v>527</v>
      </c>
      <c r="E141" s="303"/>
      <c r="F141" s="299">
        <v>1</v>
      </c>
      <c r="G141" s="299" t="s">
        <v>528</v>
      </c>
      <c r="H141" s="297"/>
      <c r="I141" s="286">
        <f t="shared" si="15"/>
        <v>0</v>
      </c>
    </row>
    <row r="142" spans="2:9" x14ac:dyDescent="0.25">
      <c r="B142" s="252"/>
      <c r="C142" s="303"/>
      <c r="D142" s="303"/>
      <c r="E142" s="303"/>
      <c r="F142" s="302"/>
      <c r="G142" s="299"/>
      <c r="H142" s="297"/>
      <c r="I142" s="286">
        <f t="shared" si="15"/>
        <v>0</v>
      </c>
    </row>
    <row r="143" spans="2:9" ht="14.45" customHeight="1" x14ac:dyDescent="0.25">
      <c r="B143" s="252"/>
      <c r="C143" s="313" t="s">
        <v>529</v>
      </c>
      <c r="D143" s="314"/>
      <c r="E143" s="314"/>
      <c r="F143" s="304"/>
      <c r="G143" s="305"/>
      <c r="H143" s="306"/>
      <c r="I143" s="286">
        <f t="shared" si="15"/>
        <v>0</v>
      </c>
    </row>
    <row r="144" spans="2:9" x14ac:dyDescent="0.25">
      <c r="B144" s="252"/>
      <c r="C144" s="315"/>
      <c r="D144" s="314"/>
      <c r="E144" s="314"/>
      <c r="F144" s="316"/>
      <c r="G144" s="283"/>
      <c r="H144" s="306"/>
      <c r="I144" s="286">
        <f t="shared" si="15"/>
        <v>0</v>
      </c>
    </row>
    <row r="145" spans="2:9" ht="29.25" customHeight="1" x14ac:dyDescent="0.25">
      <c r="B145" s="252"/>
      <c r="C145" s="479" t="s">
        <v>819</v>
      </c>
      <c r="D145" s="479"/>
      <c r="E145" s="287"/>
      <c r="F145" s="316"/>
      <c r="G145" s="283"/>
      <c r="H145" s="306"/>
      <c r="I145" s="286">
        <f t="shared" si="15"/>
        <v>0</v>
      </c>
    </row>
    <row r="146" spans="2:9" x14ac:dyDescent="0.25">
      <c r="B146" s="252"/>
      <c r="C146" s="287"/>
      <c r="D146" s="287"/>
      <c r="E146" s="287"/>
      <c r="F146" s="316"/>
      <c r="G146" s="283"/>
      <c r="H146" s="306"/>
      <c r="I146" s="286">
        <f t="shared" si="15"/>
        <v>0</v>
      </c>
    </row>
    <row r="147" spans="2:9" x14ac:dyDescent="0.25">
      <c r="B147" s="298">
        <f>B141+0.01</f>
        <v>2.2199999999999953</v>
      </c>
      <c r="C147" s="315"/>
      <c r="D147" s="287" t="s">
        <v>527</v>
      </c>
      <c r="E147" s="287"/>
      <c r="F147" s="317">
        <v>1</v>
      </c>
      <c r="G147" s="283" t="s">
        <v>528</v>
      </c>
      <c r="H147" s="306"/>
      <c r="I147" s="286">
        <f t="shared" si="15"/>
        <v>0</v>
      </c>
    </row>
    <row r="148" spans="2:9" x14ac:dyDescent="0.25">
      <c r="B148" s="248"/>
      <c r="C148" s="315"/>
      <c r="D148" s="287"/>
      <c r="E148" s="287"/>
      <c r="F148" s="316"/>
      <c r="G148" s="283"/>
      <c r="H148" s="306"/>
      <c r="I148" s="286">
        <f t="shared" si="15"/>
        <v>0</v>
      </c>
    </row>
    <row r="149" spans="2:9" ht="15.75" thickBot="1" x14ac:dyDescent="0.3">
      <c r="B149" s="318"/>
      <c r="C149" s="315"/>
      <c r="D149" s="287"/>
      <c r="E149" s="287"/>
      <c r="F149" s="277"/>
      <c r="G149" s="278"/>
      <c r="H149" s="279"/>
      <c r="I149" s="280"/>
    </row>
    <row r="150" spans="2:9" ht="15.75" thickBot="1" x14ac:dyDescent="0.3">
      <c r="B150" s="318"/>
      <c r="C150" s="292"/>
      <c r="D150" s="314" t="s">
        <v>821</v>
      </c>
      <c r="E150" s="314"/>
      <c r="F150" s="307"/>
      <c r="G150" s="278"/>
      <c r="H150" s="351" t="s">
        <v>651</v>
      </c>
      <c r="I150" s="356">
        <f>SUM(I104:I149)</f>
        <v>0</v>
      </c>
    </row>
    <row r="151" spans="2:9" ht="15.75" thickBot="1" x14ac:dyDescent="0.3">
      <c r="B151" s="319"/>
      <c r="C151" s="320"/>
      <c r="D151" s="321"/>
      <c r="E151" s="321"/>
      <c r="F151" s="322"/>
      <c r="G151" s="323"/>
      <c r="H151" s="324"/>
      <c r="I151" s="325"/>
    </row>
  </sheetData>
  <mergeCells count="37">
    <mergeCell ref="C106:D106"/>
    <mergeCell ref="C108:D108"/>
    <mergeCell ref="C58:D58"/>
    <mergeCell ref="C12:D12"/>
    <mergeCell ref="C14:D14"/>
    <mergeCell ref="C11:D11"/>
    <mergeCell ref="C61:D61"/>
    <mergeCell ref="C60:D60"/>
    <mergeCell ref="C18:D18"/>
    <mergeCell ref="C20:D20"/>
    <mergeCell ref="C24:D24"/>
    <mergeCell ref="C28:D28"/>
    <mergeCell ref="C30:D30"/>
    <mergeCell ref="C36:D36"/>
    <mergeCell ref="C40:D40"/>
    <mergeCell ref="C34:D34"/>
    <mergeCell ref="C5:D5"/>
    <mergeCell ref="C7:D7"/>
    <mergeCell ref="C8:D8"/>
    <mergeCell ref="C9:D9"/>
    <mergeCell ref="C10:D10"/>
    <mergeCell ref="C139:D139"/>
    <mergeCell ref="C145:D145"/>
    <mergeCell ref="C43:D43"/>
    <mergeCell ref="C44:D44"/>
    <mergeCell ref="C46:D46"/>
    <mergeCell ref="C75:D75"/>
    <mergeCell ref="C91:D91"/>
    <mergeCell ref="C79:D79"/>
    <mergeCell ref="C137:D137"/>
    <mergeCell ref="C104:D104"/>
    <mergeCell ref="C83:D83"/>
    <mergeCell ref="C133:D133"/>
    <mergeCell ref="C128:D128"/>
    <mergeCell ref="C85:D85"/>
    <mergeCell ref="C89:D89"/>
    <mergeCell ref="C97:D97"/>
  </mergeCells>
  <pageMargins left="0.70866141732283472" right="0.70866141732283472" top="0.74803149606299213" bottom="0.74803149606299213" header="0.31496062992125984" footer="0.31496062992125984"/>
  <pageSetup paperSize="9" scale="67"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2759A-6CBA-4D07-BE9C-552234230B6A}">
  <sheetPr>
    <pageSetUpPr fitToPage="1"/>
  </sheetPr>
  <dimension ref="B1:I190"/>
  <sheetViews>
    <sheetView zoomScale="80" zoomScaleNormal="80" workbookViewId="0">
      <selection activeCell="I3" sqref="I3"/>
    </sheetView>
  </sheetViews>
  <sheetFormatPr defaultColWidth="9.140625" defaultRowHeight="15" x14ac:dyDescent="0.25"/>
  <cols>
    <col min="1" max="1" width="3" style="71" customWidth="1"/>
    <col min="2" max="2" width="9.140625" style="71"/>
    <col min="3" max="3" width="4.5703125" style="71" customWidth="1"/>
    <col min="4" max="4" width="72.42578125" style="71" customWidth="1"/>
    <col min="5" max="5" width="9.140625" style="90" hidden="1" customWidth="1"/>
    <col min="6" max="6" width="9.140625" style="90" customWidth="1"/>
    <col min="7" max="7" width="9.140625" style="91"/>
    <col min="8" max="8" width="10.140625" style="71" customWidth="1"/>
    <col min="9" max="9" width="16.140625" style="71" customWidth="1"/>
    <col min="10" max="16384" width="9.140625" style="71"/>
  </cols>
  <sheetData>
    <row r="1" spans="2:9" ht="15.75" thickBot="1" x14ac:dyDescent="0.3"/>
    <row r="2" spans="2:9" ht="34.5" customHeight="1" x14ac:dyDescent="0.25">
      <c r="B2" s="361" t="str">
        <f>'Demos &amp; Altertns'!B2</f>
        <v>Todmorden Bandstand Refurbishment &amp; Bowls Pavilion New Build</v>
      </c>
      <c r="C2" s="95"/>
      <c r="D2" s="95"/>
      <c r="E2" s="96"/>
      <c r="F2" s="96"/>
      <c r="G2" s="96"/>
      <c r="H2" s="95"/>
      <c r="I2" s="97"/>
    </row>
    <row r="3" spans="2:9" ht="30" customHeight="1" x14ac:dyDescent="0.25">
      <c r="B3" s="362" t="str">
        <f>'Demos &amp; Altertns'!B3</f>
        <v>Tender Document</v>
      </c>
      <c r="C3" s="83"/>
      <c r="D3" s="83"/>
      <c r="E3" s="91"/>
      <c r="F3" s="91"/>
      <c r="G3" s="98"/>
      <c r="H3" s="99" t="s">
        <v>823</v>
      </c>
      <c r="I3" s="100">
        <f>Preliminaries!G3</f>
        <v>45614</v>
      </c>
    </row>
    <row r="4" spans="2:9" ht="13.5" customHeight="1" thickBot="1" x14ac:dyDescent="0.3">
      <c r="B4" s="86">
        <v>3</v>
      </c>
      <c r="C4" s="101"/>
      <c r="D4" s="101"/>
      <c r="E4" s="102"/>
      <c r="F4" s="102"/>
      <c r="G4" s="102"/>
      <c r="H4" s="101"/>
      <c r="I4" s="169"/>
    </row>
    <row r="5" spans="2:9" ht="23.25" customHeight="1" thickBot="1" x14ac:dyDescent="0.3">
      <c r="B5" s="72"/>
      <c r="C5" s="73"/>
      <c r="D5" s="82"/>
      <c r="E5" s="227" t="s">
        <v>581</v>
      </c>
      <c r="F5" s="228" t="s">
        <v>1</v>
      </c>
      <c r="G5" s="107" t="s">
        <v>2</v>
      </c>
      <c r="H5" s="104" t="s">
        <v>3</v>
      </c>
      <c r="I5" s="105" t="s">
        <v>5</v>
      </c>
    </row>
    <row r="6" spans="2:9" ht="33.75" customHeight="1" x14ac:dyDescent="0.25">
      <c r="B6" s="72"/>
      <c r="C6" s="420" t="s">
        <v>560</v>
      </c>
      <c r="D6" s="421"/>
      <c r="E6" s="258"/>
      <c r="F6" s="277"/>
      <c r="G6" s="75"/>
      <c r="H6" s="76"/>
      <c r="I6" s="76" t="str">
        <f t="shared" ref="I6" si="0">IF(H6="","",H6*E6)</f>
        <v/>
      </c>
    </row>
    <row r="7" spans="2:9" ht="55.5" customHeight="1" x14ac:dyDescent="0.25">
      <c r="B7" s="72"/>
      <c r="C7" s="422" t="s">
        <v>824</v>
      </c>
      <c r="D7" s="423"/>
      <c r="E7" s="258"/>
      <c r="F7" s="277"/>
      <c r="G7" s="75"/>
      <c r="H7" s="122"/>
      <c r="I7" s="122"/>
    </row>
    <row r="8" spans="2:9" ht="57.75" customHeight="1" x14ac:dyDescent="0.25">
      <c r="B8" s="72"/>
      <c r="C8" s="422" t="s">
        <v>658</v>
      </c>
      <c r="D8" s="423"/>
      <c r="E8" s="258"/>
      <c r="F8" s="277"/>
      <c r="G8" s="75"/>
      <c r="H8" s="122"/>
      <c r="I8" s="122"/>
    </row>
    <row r="9" spans="2:9" ht="32.25" customHeight="1" x14ac:dyDescent="0.25">
      <c r="B9" s="72"/>
      <c r="C9" s="422" t="s">
        <v>575</v>
      </c>
      <c r="D9" s="423"/>
      <c r="E9" s="258"/>
      <c r="F9" s="277"/>
      <c r="G9" s="75"/>
      <c r="H9" s="122"/>
      <c r="I9" s="122"/>
    </row>
    <row r="10" spans="2:9" ht="32.25" customHeight="1" x14ac:dyDescent="0.25">
      <c r="B10" s="72"/>
      <c r="C10" s="422" t="s">
        <v>1414</v>
      </c>
      <c r="D10" s="423"/>
      <c r="E10" s="258"/>
      <c r="F10" s="277"/>
      <c r="G10" s="75"/>
      <c r="H10" s="122"/>
      <c r="I10" s="122"/>
    </row>
    <row r="11" spans="2:9" x14ac:dyDescent="0.25">
      <c r="B11" s="72"/>
      <c r="C11" s="108"/>
      <c r="D11" s="155"/>
      <c r="E11" s="277"/>
      <c r="F11" s="277"/>
      <c r="G11" s="75"/>
      <c r="H11" s="122"/>
      <c r="I11" s="122"/>
    </row>
    <row r="12" spans="2:9" x14ac:dyDescent="0.25">
      <c r="B12" s="72"/>
      <c r="C12" s="350" t="s">
        <v>815</v>
      </c>
      <c r="D12" s="155"/>
      <c r="E12" s="277"/>
      <c r="F12" s="277"/>
      <c r="G12" s="75"/>
      <c r="H12" s="122"/>
      <c r="I12" s="122"/>
    </row>
    <row r="13" spans="2:9" x14ac:dyDescent="0.25">
      <c r="B13" s="72"/>
      <c r="C13" s="108"/>
      <c r="D13" s="155"/>
      <c r="E13" s="277"/>
      <c r="F13" s="277"/>
      <c r="G13" s="75"/>
      <c r="H13" s="122"/>
      <c r="I13" s="122"/>
    </row>
    <row r="14" spans="2:9" x14ac:dyDescent="0.25">
      <c r="B14" s="72"/>
      <c r="C14" s="342" t="s">
        <v>849</v>
      </c>
      <c r="D14" s="155"/>
      <c r="E14" s="277"/>
      <c r="F14" s="277"/>
      <c r="G14" s="75"/>
      <c r="H14" s="122"/>
      <c r="I14" s="122"/>
    </row>
    <row r="15" spans="2:9" x14ac:dyDescent="0.25">
      <c r="B15" s="72"/>
      <c r="C15" s="108"/>
      <c r="D15" s="155"/>
      <c r="E15" s="277"/>
      <c r="F15" s="277"/>
      <c r="G15" s="75"/>
      <c r="H15" s="122"/>
      <c r="I15" s="122"/>
    </row>
    <row r="16" spans="2:9" x14ac:dyDescent="0.25">
      <c r="B16" s="72"/>
      <c r="C16" s="472" t="s">
        <v>816</v>
      </c>
      <c r="D16" s="427"/>
      <c r="E16" s="277"/>
      <c r="F16" s="277"/>
      <c r="G16" s="75"/>
      <c r="H16" s="122"/>
      <c r="I16" s="122"/>
    </row>
    <row r="17" spans="2:9" x14ac:dyDescent="0.25">
      <c r="B17" s="72"/>
      <c r="C17" s="108"/>
      <c r="D17" s="155"/>
      <c r="E17" s="277"/>
      <c r="F17" s="277"/>
      <c r="G17" s="75"/>
      <c r="H17" s="122"/>
      <c r="I17" s="130">
        <f t="shared" ref="I17" si="1">F17*H17</f>
        <v>0</v>
      </c>
    </row>
    <row r="18" spans="2:9" x14ac:dyDescent="0.25">
      <c r="B18" s="72"/>
      <c r="C18" s="428" t="s">
        <v>809</v>
      </c>
      <c r="D18" s="429"/>
      <c r="E18" s="109"/>
      <c r="F18" s="109"/>
      <c r="G18" s="75"/>
      <c r="H18" s="76"/>
      <c r="I18" s="76"/>
    </row>
    <row r="19" spans="2:9" x14ac:dyDescent="0.25">
      <c r="B19" s="72"/>
      <c r="C19" s="175"/>
      <c r="D19" s="347"/>
      <c r="E19" s="109"/>
      <c r="F19" s="109"/>
      <c r="G19" s="75"/>
      <c r="H19" s="76"/>
      <c r="I19" s="76"/>
    </row>
    <row r="20" spans="2:9" ht="30" customHeight="1" x14ac:dyDescent="0.25">
      <c r="B20" s="72"/>
      <c r="C20" s="422" t="s">
        <v>850</v>
      </c>
      <c r="D20" s="423"/>
      <c r="E20" s="109"/>
      <c r="F20" s="109"/>
      <c r="G20" s="75"/>
      <c r="H20" s="76"/>
      <c r="I20" s="76"/>
    </row>
    <row r="21" spans="2:9" x14ac:dyDescent="0.25">
      <c r="B21" s="72"/>
      <c r="C21" s="165"/>
      <c r="D21" s="167"/>
      <c r="E21" s="109"/>
      <c r="F21" s="109"/>
      <c r="G21" s="75"/>
      <c r="H21" s="76"/>
      <c r="I21" s="76"/>
    </row>
    <row r="22" spans="2:9" x14ac:dyDescent="0.25">
      <c r="B22" s="164">
        <f>B4+0.01</f>
        <v>3.01</v>
      </c>
      <c r="C22" s="73"/>
      <c r="D22" s="158" t="s">
        <v>527</v>
      </c>
      <c r="E22" s="343">
        <v>1</v>
      </c>
      <c r="F22" s="344">
        <v>1</v>
      </c>
      <c r="G22" s="128" t="s">
        <v>528</v>
      </c>
      <c r="H22" s="129"/>
      <c r="I22" s="130">
        <f t="shared" ref="I22:I145" si="2">F22*H22</f>
        <v>0</v>
      </c>
    </row>
    <row r="23" spans="2:9" x14ac:dyDescent="0.25">
      <c r="B23" s="72"/>
      <c r="C23" s="108"/>
      <c r="D23" s="167"/>
      <c r="E23" s="109"/>
      <c r="F23" s="109"/>
      <c r="G23" s="75"/>
      <c r="H23" s="76"/>
      <c r="I23" s="76"/>
    </row>
    <row r="24" spans="2:9" x14ac:dyDescent="0.25">
      <c r="B24" s="72"/>
      <c r="C24" s="84" t="s">
        <v>1296</v>
      </c>
      <c r="D24" s="155"/>
      <c r="E24" s="277"/>
      <c r="F24" s="277"/>
      <c r="G24" s="75"/>
      <c r="H24" s="122"/>
      <c r="I24" s="130"/>
    </row>
    <row r="25" spans="2:9" x14ac:dyDescent="0.25">
      <c r="B25" s="72"/>
      <c r="C25" s="108"/>
      <c r="D25" s="167"/>
      <c r="E25" s="109"/>
      <c r="F25" s="109"/>
      <c r="G25" s="75"/>
      <c r="H25" s="76"/>
      <c r="I25" s="76"/>
    </row>
    <row r="26" spans="2:9" x14ac:dyDescent="0.25">
      <c r="B26" s="72"/>
      <c r="C26" s="428" t="s">
        <v>1300</v>
      </c>
      <c r="D26" s="429"/>
      <c r="E26" s="109"/>
      <c r="F26" s="109"/>
      <c r="G26" s="75"/>
      <c r="H26" s="76"/>
      <c r="I26" s="76"/>
    </row>
    <row r="27" spans="2:9" x14ac:dyDescent="0.25">
      <c r="B27" s="72"/>
      <c r="C27" s="175"/>
      <c r="D27" s="347"/>
      <c r="E27" s="109"/>
      <c r="F27" s="109"/>
      <c r="G27" s="75"/>
      <c r="H27" s="76"/>
      <c r="I27" s="76"/>
    </row>
    <row r="28" spans="2:9" ht="58.5" customHeight="1" x14ac:dyDescent="0.25">
      <c r="B28" s="72"/>
      <c r="C28" s="422" t="s">
        <v>1301</v>
      </c>
      <c r="D28" s="423"/>
      <c r="E28" s="109"/>
      <c r="F28" s="109"/>
      <c r="G28" s="75"/>
      <c r="H28" s="76"/>
      <c r="I28" s="76"/>
    </row>
    <row r="29" spans="2:9" x14ac:dyDescent="0.25">
      <c r="B29" s="72"/>
      <c r="C29" s="165"/>
      <c r="D29" s="167"/>
      <c r="E29" s="109"/>
      <c r="F29" s="109"/>
      <c r="G29" s="75"/>
      <c r="H29" s="76"/>
      <c r="I29" s="76"/>
    </row>
    <row r="30" spans="2:9" x14ac:dyDescent="0.25">
      <c r="B30" s="164">
        <f>B22+0.01</f>
        <v>3.0199999999999996</v>
      </c>
      <c r="C30" s="73"/>
      <c r="D30" s="158" t="s">
        <v>527</v>
      </c>
      <c r="E30" s="343">
        <v>1</v>
      </c>
      <c r="F30" s="344">
        <v>1</v>
      </c>
      <c r="G30" s="128" t="s">
        <v>528</v>
      </c>
      <c r="H30" s="129"/>
      <c r="I30" s="130">
        <f t="shared" ref="I30" si="3">F30*H30</f>
        <v>0</v>
      </c>
    </row>
    <row r="31" spans="2:9" x14ac:dyDescent="0.25">
      <c r="B31" s="164"/>
      <c r="C31" s="73"/>
      <c r="D31" s="167"/>
      <c r="E31" s="109"/>
      <c r="F31" s="109"/>
      <c r="G31" s="75"/>
      <c r="H31" s="129"/>
      <c r="I31" s="130"/>
    </row>
    <row r="32" spans="2:9" x14ac:dyDescent="0.25">
      <c r="B32" s="164"/>
      <c r="C32" s="428" t="s">
        <v>1302</v>
      </c>
      <c r="D32" s="429"/>
      <c r="E32" s="109"/>
      <c r="F32" s="109"/>
      <c r="G32" s="75"/>
      <c r="H32" s="129"/>
      <c r="I32" s="130"/>
    </row>
    <row r="33" spans="2:9" x14ac:dyDescent="0.25">
      <c r="B33" s="164"/>
      <c r="C33" s="175"/>
      <c r="D33" s="347"/>
      <c r="E33" s="109"/>
      <c r="F33" s="109"/>
      <c r="G33" s="75"/>
      <c r="H33" s="129"/>
      <c r="I33" s="130"/>
    </row>
    <row r="34" spans="2:9" x14ac:dyDescent="0.25">
      <c r="B34" s="164"/>
      <c r="C34" s="434" t="s">
        <v>1304</v>
      </c>
      <c r="D34" s="435"/>
      <c r="E34" s="109"/>
      <c r="F34" s="109"/>
      <c r="G34" s="75"/>
      <c r="H34" s="129"/>
      <c r="I34" s="130"/>
    </row>
    <row r="35" spans="2:9" x14ac:dyDescent="0.25">
      <c r="B35" s="164"/>
      <c r="C35" s="73"/>
      <c r="D35" s="167"/>
      <c r="E35" s="109"/>
      <c r="F35" s="109"/>
      <c r="G35" s="75"/>
      <c r="H35" s="129"/>
      <c r="I35" s="130"/>
    </row>
    <row r="36" spans="2:9" x14ac:dyDescent="0.25">
      <c r="B36" s="164">
        <f>B30+0.01</f>
        <v>3.0299999999999994</v>
      </c>
      <c r="C36" s="73"/>
      <c r="D36" s="158" t="s">
        <v>527</v>
      </c>
      <c r="E36" s="343">
        <v>1</v>
      </c>
      <c r="F36" s="344">
        <v>1</v>
      </c>
      <c r="G36" s="128" t="s">
        <v>528</v>
      </c>
      <c r="H36" s="129"/>
      <c r="I36" s="130">
        <f t="shared" ref="I36" si="4">F36*H36</f>
        <v>0</v>
      </c>
    </row>
    <row r="37" spans="2:9" x14ac:dyDescent="0.25">
      <c r="B37" s="164"/>
      <c r="C37" s="73"/>
      <c r="D37" s="158"/>
      <c r="E37" s="343"/>
      <c r="F37" s="344"/>
      <c r="G37" s="128"/>
      <c r="H37" s="129"/>
      <c r="I37" s="130"/>
    </row>
    <row r="38" spans="2:9" x14ac:dyDescent="0.25">
      <c r="B38" s="164"/>
      <c r="C38" s="434" t="s">
        <v>1297</v>
      </c>
      <c r="D38" s="435"/>
      <c r="E38" s="109"/>
      <c r="F38" s="109"/>
      <c r="G38" s="75"/>
      <c r="H38" s="129"/>
      <c r="I38" s="130"/>
    </row>
    <row r="39" spans="2:9" x14ac:dyDescent="0.25">
      <c r="B39" s="72"/>
      <c r="C39" s="342"/>
      <c r="D39" s="167"/>
      <c r="E39" s="109"/>
      <c r="F39" s="109"/>
      <c r="G39" s="75"/>
      <c r="H39" s="122"/>
      <c r="I39" s="130"/>
    </row>
    <row r="40" spans="2:9" x14ac:dyDescent="0.25">
      <c r="B40" s="164">
        <f>B36+0.01</f>
        <v>3.0399999999999991</v>
      </c>
      <c r="C40" s="73"/>
      <c r="D40" s="158" t="s">
        <v>527</v>
      </c>
      <c r="E40" s="343">
        <v>1</v>
      </c>
      <c r="F40" s="344">
        <v>1</v>
      </c>
      <c r="G40" s="128" t="s">
        <v>528</v>
      </c>
      <c r="H40" s="129"/>
      <c r="I40" s="130">
        <f t="shared" ref="I40" si="5">F40*H40</f>
        <v>0</v>
      </c>
    </row>
    <row r="41" spans="2:9" x14ac:dyDescent="0.25">
      <c r="B41" s="72"/>
      <c r="C41" s="108"/>
      <c r="D41" s="167"/>
      <c r="E41" s="109"/>
      <c r="F41" s="109"/>
      <c r="G41" s="75"/>
      <c r="H41" s="122"/>
      <c r="I41" s="130"/>
    </row>
    <row r="42" spans="2:9" ht="33" customHeight="1" x14ac:dyDescent="0.25">
      <c r="B42" s="72"/>
      <c r="C42" s="418" t="s">
        <v>1298</v>
      </c>
      <c r="D42" s="471"/>
      <c r="E42" s="277"/>
      <c r="F42" s="277"/>
      <c r="G42" s="75"/>
      <c r="H42" s="122"/>
      <c r="I42" s="130"/>
    </row>
    <row r="43" spans="2:9" x14ac:dyDescent="0.25">
      <c r="B43" s="72"/>
      <c r="C43" s="108"/>
      <c r="D43" s="167"/>
      <c r="E43" s="109"/>
      <c r="F43" s="109"/>
      <c r="G43" s="75"/>
      <c r="H43" s="122"/>
      <c r="I43" s="130"/>
    </row>
    <row r="44" spans="2:9" x14ac:dyDescent="0.25">
      <c r="B44" s="164">
        <f>B40+0.01</f>
        <v>3.0499999999999989</v>
      </c>
      <c r="C44" s="73"/>
      <c r="D44" s="158" t="s">
        <v>1299</v>
      </c>
      <c r="E44" s="343">
        <f>12*24</f>
        <v>288</v>
      </c>
      <c r="F44" s="344">
        <v>288</v>
      </c>
      <c r="G44" s="128" t="s">
        <v>660</v>
      </c>
      <c r="H44" s="129"/>
      <c r="I44" s="130">
        <f t="shared" ref="I44" si="6">F44*H44</f>
        <v>0</v>
      </c>
    </row>
    <row r="45" spans="2:9" x14ac:dyDescent="0.25">
      <c r="B45" s="72"/>
      <c r="C45" s="108"/>
      <c r="D45" s="167"/>
      <c r="E45" s="109"/>
      <c r="F45" s="109"/>
      <c r="G45" s="75"/>
      <c r="H45" s="122"/>
      <c r="I45" s="130"/>
    </row>
    <row r="46" spans="2:9" ht="33" customHeight="1" x14ac:dyDescent="0.25">
      <c r="B46" s="72"/>
      <c r="C46" s="418" t="s">
        <v>1303</v>
      </c>
      <c r="D46" s="471"/>
      <c r="E46" s="277"/>
      <c r="F46" s="277"/>
      <c r="G46" s="75"/>
      <c r="H46" s="122"/>
      <c r="I46" s="130"/>
    </row>
    <row r="47" spans="2:9" x14ac:dyDescent="0.25">
      <c r="B47" s="72"/>
      <c r="C47" s="108"/>
      <c r="D47" s="167"/>
      <c r="E47" s="109"/>
      <c r="F47" s="109"/>
      <c r="G47" s="75"/>
      <c r="H47" s="122"/>
      <c r="I47" s="130"/>
    </row>
    <row r="48" spans="2:9" x14ac:dyDescent="0.25">
      <c r="B48" s="164">
        <f>B44+0.01</f>
        <v>3.0599999999999987</v>
      </c>
      <c r="C48" s="73"/>
      <c r="D48" s="158" t="s">
        <v>527</v>
      </c>
      <c r="E48" s="343">
        <v>1</v>
      </c>
      <c r="F48" s="344">
        <v>1</v>
      </c>
      <c r="G48" s="128" t="s">
        <v>528</v>
      </c>
      <c r="H48" s="129"/>
      <c r="I48" s="130">
        <f t="shared" ref="I48" si="7">F48*H48</f>
        <v>0</v>
      </c>
    </row>
    <row r="49" spans="2:9" x14ac:dyDescent="0.25">
      <c r="B49" s="72"/>
      <c r="C49" s="108"/>
      <c r="D49" s="155"/>
      <c r="E49" s="277"/>
      <c r="F49" s="277"/>
      <c r="G49" s="75"/>
      <c r="H49" s="122"/>
      <c r="I49" s="130"/>
    </row>
    <row r="50" spans="2:9" ht="36.75" customHeight="1" x14ac:dyDescent="0.25">
      <c r="B50" s="72"/>
      <c r="C50" s="418" t="s">
        <v>1415</v>
      </c>
      <c r="D50" s="471"/>
      <c r="E50" s="277"/>
      <c r="F50" s="277"/>
      <c r="G50" s="75"/>
      <c r="H50" s="122"/>
      <c r="I50" s="130"/>
    </row>
    <row r="51" spans="2:9" ht="15" customHeight="1" x14ac:dyDescent="0.25">
      <c r="B51" s="72"/>
      <c r="C51" s="108"/>
      <c r="D51" s="155"/>
      <c r="E51" s="277"/>
      <c r="F51" s="277"/>
      <c r="G51" s="75"/>
      <c r="H51" s="122"/>
      <c r="I51" s="130"/>
    </row>
    <row r="52" spans="2:9" x14ac:dyDescent="0.25">
      <c r="B52" s="164">
        <f>B48+0.01</f>
        <v>3.0699999999999985</v>
      </c>
      <c r="C52" s="73"/>
      <c r="D52" s="158" t="s">
        <v>527</v>
      </c>
      <c r="E52" s="343">
        <v>24</v>
      </c>
      <c r="F52" s="344">
        <v>24</v>
      </c>
      <c r="G52" s="128" t="s">
        <v>582</v>
      </c>
      <c r="H52" s="129"/>
      <c r="I52" s="130">
        <f t="shared" ref="I52" si="8">F52*H52</f>
        <v>0</v>
      </c>
    </row>
    <row r="53" spans="2:9" x14ac:dyDescent="0.25">
      <c r="B53" s="72"/>
      <c r="C53" s="108"/>
      <c r="D53" s="155"/>
      <c r="E53" s="277"/>
      <c r="F53" s="277"/>
      <c r="G53" s="75"/>
      <c r="H53" s="122"/>
      <c r="I53" s="130"/>
    </row>
    <row r="54" spans="2:9" x14ac:dyDescent="0.25">
      <c r="B54" s="72"/>
      <c r="C54" s="84" t="s">
        <v>825</v>
      </c>
      <c r="D54" s="155"/>
      <c r="E54" s="277"/>
      <c r="F54" s="277"/>
      <c r="G54" s="75"/>
      <c r="H54" s="122"/>
      <c r="I54" s="130">
        <f t="shared" si="2"/>
        <v>0</v>
      </c>
    </row>
    <row r="55" spans="2:9" x14ac:dyDescent="0.25">
      <c r="B55" s="72"/>
      <c r="C55" s="108"/>
      <c r="D55" s="155"/>
      <c r="E55" s="277"/>
      <c r="F55" s="277"/>
      <c r="G55" s="75"/>
      <c r="H55" s="122"/>
      <c r="I55" s="130">
        <f t="shared" si="2"/>
        <v>0</v>
      </c>
    </row>
    <row r="56" spans="2:9" x14ac:dyDescent="0.25">
      <c r="B56" s="72"/>
      <c r="C56" s="436" t="s">
        <v>851</v>
      </c>
      <c r="D56" s="468"/>
      <c r="E56" s="109"/>
      <c r="F56" s="277"/>
      <c r="G56" s="75"/>
      <c r="H56" s="122"/>
      <c r="I56" s="130">
        <f t="shared" si="2"/>
        <v>0</v>
      </c>
    </row>
    <row r="57" spans="2:9" x14ac:dyDescent="0.25">
      <c r="B57" s="72"/>
      <c r="C57" s="108"/>
      <c r="D57" s="167"/>
      <c r="E57" s="109"/>
      <c r="F57" s="277"/>
      <c r="G57" s="75"/>
      <c r="H57" s="122"/>
      <c r="I57" s="130">
        <f t="shared" si="2"/>
        <v>0</v>
      </c>
    </row>
    <row r="58" spans="2:9" x14ac:dyDescent="0.25">
      <c r="B58" s="72">
        <f>B52+0.01</f>
        <v>3.0799999999999983</v>
      </c>
      <c r="C58" s="108"/>
      <c r="D58" s="167" t="s">
        <v>852</v>
      </c>
      <c r="E58" s="109">
        <f>10.83*7.2</f>
        <v>77.975999999999999</v>
      </c>
      <c r="F58" s="277">
        <v>78</v>
      </c>
      <c r="G58" s="75" t="s">
        <v>659</v>
      </c>
      <c r="H58" s="122"/>
      <c r="I58" s="130">
        <f t="shared" si="2"/>
        <v>0</v>
      </c>
    </row>
    <row r="59" spans="2:9" x14ac:dyDescent="0.25">
      <c r="B59" s="72"/>
      <c r="C59" s="108"/>
      <c r="D59" s="167"/>
      <c r="E59" s="109"/>
      <c r="F59" s="277"/>
      <c r="G59" s="75"/>
      <c r="H59" s="122"/>
      <c r="I59" s="130">
        <f t="shared" si="2"/>
        <v>0</v>
      </c>
    </row>
    <row r="60" spans="2:9" x14ac:dyDescent="0.25">
      <c r="B60" s="72"/>
      <c r="C60" s="434" t="s">
        <v>1193</v>
      </c>
      <c r="D60" s="435"/>
      <c r="E60" s="109"/>
      <c r="F60" s="277"/>
      <c r="G60" s="75"/>
      <c r="H60" s="122"/>
      <c r="I60" s="130">
        <f t="shared" si="2"/>
        <v>0</v>
      </c>
    </row>
    <row r="61" spans="2:9" x14ac:dyDescent="0.25">
      <c r="B61" s="72"/>
      <c r="C61" s="342"/>
      <c r="D61" s="365"/>
      <c r="E61" s="109"/>
      <c r="F61" s="277"/>
      <c r="G61" s="75"/>
      <c r="H61" s="122"/>
      <c r="I61" s="130">
        <f t="shared" si="2"/>
        <v>0</v>
      </c>
    </row>
    <row r="62" spans="2:9" x14ac:dyDescent="0.25">
      <c r="B62" s="72">
        <f>B58+0.01</f>
        <v>3.0899999999999981</v>
      </c>
      <c r="C62" s="81"/>
      <c r="D62" s="167" t="s">
        <v>1191</v>
      </c>
      <c r="E62" s="109">
        <f>E58*0.45</f>
        <v>35.089199999999998</v>
      </c>
      <c r="F62" s="277">
        <v>35</v>
      </c>
      <c r="G62" s="75" t="s">
        <v>826</v>
      </c>
      <c r="H62" s="122"/>
      <c r="I62" s="130">
        <f t="shared" si="2"/>
        <v>0</v>
      </c>
    </row>
    <row r="63" spans="2:9" x14ac:dyDescent="0.25">
      <c r="B63" s="72"/>
      <c r="C63" s="81"/>
      <c r="D63" s="167"/>
      <c r="E63" s="109"/>
      <c r="F63" s="277"/>
      <c r="G63" s="75"/>
      <c r="H63" s="122"/>
      <c r="I63" s="130">
        <f t="shared" si="2"/>
        <v>0</v>
      </c>
    </row>
    <row r="64" spans="2:9" x14ac:dyDescent="0.25">
      <c r="B64" s="72"/>
      <c r="C64" s="434" t="s">
        <v>1192</v>
      </c>
      <c r="D64" s="435"/>
      <c r="E64" s="109"/>
      <c r="F64" s="277"/>
      <c r="G64" s="75"/>
      <c r="H64" s="122"/>
      <c r="I64" s="130">
        <f t="shared" si="2"/>
        <v>0</v>
      </c>
    </row>
    <row r="65" spans="2:9" x14ac:dyDescent="0.25">
      <c r="B65" s="72"/>
      <c r="C65" s="81"/>
      <c r="D65" s="167"/>
      <c r="E65" s="109"/>
      <c r="F65" s="277"/>
      <c r="G65" s="75"/>
      <c r="H65" s="122"/>
      <c r="I65" s="130">
        <f t="shared" si="2"/>
        <v>0</v>
      </c>
    </row>
    <row r="66" spans="2:9" x14ac:dyDescent="0.25">
      <c r="B66" s="72">
        <f>B62+0.01</f>
        <v>3.0999999999999979</v>
      </c>
      <c r="C66" s="81"/>
      <c r="D66" s="167" t="s">
        <v>1195</v>
      </c>
      <c r="E66" s="344">
        <f>1.3*0.55*0.77*12</f>
        <v>6.6066000000000011</v>
      </c>
      <c r="F66" s="128">
        <v>7</v>
      </c>
      <c r="G66" s="406" t="s">
        <v>826</v>
      </c>
      <c r="H66" s="130"/>
      <c r="I66" s="130">
        <f t="shared" si="2"/>
        <v>0</v>
      </c>
    </row>
    <row r="67" spans="2:9" x14ac:dyDescent="0.25">
      <c r="B67" s="72"/>
      <c r="C67" s="81"/>
      <c r="D67" s="167"/>
      <c r="E67" s="344">
        <f>(1.9+3.6+2.4+1.9+3.6+2.4+2.6+1.1+1.5+2.2+2.8+2.6+3.1)</f>
        <v>31.700000000000006</v>
      </c>
      <c r="F67" s="277"/>
      <c r="G67" s="75"/>
      <c r="H67" s="122"/>
      <c r="I67" s="130">
        <f t="shared" si="2"/>
        <v>0</v>
      </c>
    </row>
    <row r="68" spans="2:9" x14ac:dyDescent="0.25">
      <c r="B68" s="72">
        <f>B66+0.01</f>
        <v>3.1099999999999977</v>
      </c>
      <c r="C68" s="81"/>
      <c r="D68" s="167" t="s">
        <v>1194</v>
      </c>
      <c r="E68" s="344">
        <f>E67*0.45*0.5</f>
        <v>7.1325000000000012</v>
      </c>
      <c r="F68" s="128">
        <v>7</v>
      </c>
      <c r="G68" s="406" t="s">
        <v>826</v>
      </c>
      <c r="H68" s="130"/>
      <c r="I68" s="130">
        <f t="shared" si="2"/>
        <v>0</v>
      </c>
    </row>
    <row r="69" spans="2:9" x14ac:dyDescent="0.25">
      <c r="B69" s="72"/>
      <c r="C69" s="81"/>
      <c r="D69" s="167"/>
      <c r="E69" s="109"/>
      <c r="F69" s="277"/>
      <c r="G69" s="75"/>
      <c r="H69" s="122"/>
      <c r="I69" s="130">
        <f t="shared" si="2"/>
        <v>0</v>
      </c>
    </row>
    <row r="70" spans="2:9" x14ac:dyDescent="0.25">
      <c r="B70" s="72"/>
      <c r="C70" s="74" t="s">
        <v>854</v>
      </c>
      <c r="D70" s="167"/>
      <c r="E70" s="109"/>
      <c r="F70" s="277"/>
      <c r="G70" s="75"/>
      <c r="H70" s="122"/>
      <c r="I70" s="130">
        <f t="shared" si="2"/>
        <v>0</v>
      </c>
    </row>
    <row r="71" spans="2:9" x14ac:dyDescent="0.25">
      <c r="B71" s="72"/>
      <c r="C71" s="81"/>
      <c r="D71" s="167"/>
      <c r="E71" s="109"/>
      <c r="F71" s="277"/>
      <c r="G71" s="75"/>
      <c r="H71" s="122"/>
      <c r="I71" s="130">
        <f t="shared" si="2"/>
        <v>0</v>
      </c>
    </row>
    <row r="72" spans="2:9" x14ac:dyDescent="0.25">
      <c r="B72" s="72">
        <f>B68+0.01</f>
        <v>3.1199999999999974</v>
      </c>
      <c r="C72" s="81"/>
      <c r="D72" s="167" t="s">
        <v>853</v>
      </c>
      <c r="E72" s="109">
        <v>1</v>
      </c>
      <c r="F72" s="277">
        <v>1</v>
      </c>
      <c r="G72" s="75" t="s">
        <v>528</v>
      </c>
      <c r="H72" s="122"/>
      <c r="I72" s="130">
        <f t="shared" si="2"/>
        <v>0</v>
      </c>
    </row>
    <row r="73" spans="2:9" x14ac:dyDescent="0.25">
      <c r="B73" s="72"/>
      <c r="C73" s="81"/>
      <c r="D73" s="167"/>
      <c r="E73" s="109"/>
      <c r="F73" s="277"/>
      <c r="G73" s="75"/>
      <c r="H73" s="122"/>
      <c r="I73" s="130">
        <f t="shared" si="2"/>
        <v>0</v>
      </c>
    </row>
    <row r="74" spans="2:9" x14ac:dyDescent="0.25">
      <c r="B74" s="72">
        <f>B72+0.01</f>
        <v>3.1299999999999972</v>
      </c>
      <c r="C74" s="81"/>
      <c r="D74" s="167" t="s">
        <v>855</v>
      </c>
      <c r="E74" s="109">
        <f>E62+E66+E68</f>
        <v>48.828299999999999</v>
      </c>
      <c r="F74" s="277">
        <v>49</v>
      </c>
      <c r="G74" s="75" t="s">
        <v>826</v>
      </c>
      <c r="H74" s="122"/>
      <c r="I74" s="130">
        <f t="shared" si="2"/>
        <v>0</v>
      </c>
    </row>
    <row r="75" spans="2:9" x14ac:dyDescent="0.25">
      <c r="B75" s="72"/>
      <c r="C75" s="81"/>
      <c r="D75" s="167"/>
      <c r="E75" s="109"/>
      <c r="F75" s="277"/>
      <c r="G75" s="75"/>
      <c r="H75" s="122"/>
      <c r="I75" s="130">
        <f t="shared" si="2"/>
        <v>0</v>
      </c>
    </row>
    <row r="76" spans="2:9" x14ac:dyDescent="0.25">
      <c r="B76" s="72"/>
      <c r="C76" s="428" t="s">
        <v>856</v>
      </c>
      <c r="D76" s="429"/>
      <c r="E76" s="109"/>
      <c r="F76" s="277"/>
      <c r="G76" s="75"/>
      <c r="H76" s="122"/>
      <c r="I76" s="130">
        <f t="shared" si="2"/>
        <v>0</v>
      </c>
    </row>
    <row r="77" spans="2:9" x14ac:dyDescent="0.25">
      <c r="B77" s="72"/>
      <c r="C77" s="81"/>
      <c r="D77" s="167"/>
      <c r="E77" s="109"/>
      <c r="F77" s="277"/>
      <c r="G77" s="75"/>
      <c r="H77" s="122"/>
      <c r="I77" s="130">
        <f t="shared" si="2"/>
        <v>0</v>
      </c>
    </row>
    <row r="78" spans="2:9" ht="28.5" customHeight="1" x14ac:dyDescent="0.25">
      <c r="B78" s="72"/>
      <c r="C78" s="418" t="s">
        <v>827</v>
      </c>
      <c r="D78" s="419"/>
      <c r="E78" s="109"/>
      <c r="F78" s="277"/>
      <c r="G78" s="75"/>
      <c r="H78" s="122"/>
      <c r="I78" s="130">
        <f t="shared" si="2"/>
        <v>0</v>
      </c>
    </row>
    <row r="79" spans="2:9" ht="18" customHeight="1" x14ac:dyDescent="0.25">
      <c r="B79" s="72"/>
      <c r="C79" s="171"/>
      <c r="D79" s="112"/>
      <c r="E79" s="109"/>
      <c r="G79" s="75"/>
      <c r="H79" s="122"/>
      <c r="I79" s="130">
        <f t="shared" si="2"/>
        <v>0</v>
      </c>
    </row>
    <row r="80" spans="2:9" x14ac:dyDescent="0.25">
      <c r="B80" s="164">
        <f>B74+0.01</f>
        <v>3.139999999999997</v>
      </c>
      <c r="C80" s="171"/>
      <c r="D80" s="167" t="s">
        <v>1196</v>
      </c>
      <c r="E80" s="343">
        <f>E58</f>
        <v>77.975999999999999</v>
      </c>
      <c r="F80" s="344">
        <v>78</v>
      </c>
      <c r="G80" s="128" t="s">
        <v>659</v>
      </c>
      <c r="H80" s="130"/>
      <c r="I80" s="130">
        <f t="shared" si="2"/>
        <v>0</v>
      </c>
    </row>
    <row r="81" spans="2:9" x14ac:dyDescent="0.25">
      <c r="B81" s="72"/>
      <c r="C81" s="171"/>
      <c r="D81" s="167"/>
      <c r="E81" s="109"/>
      <c r="F81" s="109"/>
      <c r="G81" s="75"/>
      <c r="H81" s="122"/>
      <c r="I81" s="130">
        <f t="shared" si="2"/>
        <v>0</v>
      </c>
    </row>
    <row r="82" spans="2:9" x14ac:dyDescent="0.25">
      <c r="B82" s="72"/>
      <c r="C82" s="437" t="s">
        <v>858</v>
      </c>
      <c r="D82" s="438"/>
      <c r="E82" s="109"/>
      <c r="F82" s="109"/>
      <c r="G82" s="75"/>
      <c r="H82" s="122"/>
      <c r="I82" s="130">
        <f t="shared" si="2"/>
        <v>0</v>
      </c>
    </row>
    <row r="83" spans="2:9" x14ac:dyDescent="0.25">
      <c r="B83" s="72"/>
      <c r="C83" s="171"/>
      <c r="D83" s="167"/>
      <c r="E83" s="109"/>
      <c r="F83" s="109"/>
      <c r="G83" s="75"/>
      <c r="H83" s="122"/>
      <c r="I83" s="130">
        <f t="shared" si="2"/>
        <v>0</v>
      </c>
    </row>
    <row r="84" spans="2:9" x14ac:dyDescent="0.25">
      <c r="B84" s="72"/>
      <c r="C84" s="418" t="s">
        <v>859</v>
      </c>
      <c r="D84" s="419"/>
      <c r="E84" s="109"/>
      <c r="F84" s="277"/>
      <c r="G84" s="75"/>
      <c r="H84" s="122"/>
      <c r="I84" s="130">
        <f t="shared" si="2"/>
        <v>0</v>
      </c>
    </row>
    <row r="85" spans="2:9" x14ac:dyDescent="0.25">
      <c r="B85" s="72"/>
      <c r="C85" s="171"/>
      <c r="D85" s="112"/>
      <c r="E85" s="109"/>
      <c r="G85" s="75"/>
      <c r="H85" s="122"/>
      <c r="I85" s="130">
        <f t="shared" si="2"/>
        <v>0</v>
      </c>
    </row>
    <row r="86" spans="2:9" x14ac:dyDescent="0.25">
      <c r="B86" s="164">
        <f>B80+0.01</f>
        <v>3.1499999999999968</v>
      </c>
      <c r="C86" s="171"/>
      <c r="D86" s="167" t="s">
        <v>527</v>
      </c>
      <c r="E86" s="343">
        <f>E80</f>
        <v>77.975999999999999</v>
      </c>
      <c r="F86" s="344">
        <v>78</v>
      </c>
      <c r="G86" s="128" t="s">
        <v>659</v>
      </c>
      <c r="H86" s="130"/>
      <c r="I86" s="130">
        <f t="shared" si="2"/>
        <v>0</v>
      </c>
    </row>
    <row r="87" spans="2:9" x14ac:dyDescent="0.25">
      <c r="B87" s="72"/>
      <c r="C87" s="171"/>
      <c r="D87" s="167"/>
      <c r="E87" s="109"/>
      <c r="F87" s="109"/>
      <c r="G87" s="75"/>
      <c r="H87" s="122"/>
      <c r="I87" s="130">
        <f t="shared" si="2"/>
        <v>0</v>
      </c>
    </row>
    <row r="88" spans="2:9" x14ac:dyDescent="0.25">
      <c r="B88" s="72"/>
      <c r="C88" s="443" t="s">
        <v>828</v>
      </c>
      <c r="D88" s="444"/>
      <c r="E88" s="109"/>
      <c r="F88" s="109"/>
      <c r="G88" s="75"/>
      <c r="H88" s="122"/>
      <c r="I88" s="130">
        <f t="shared" si="2"/>
        <v>0</v>
      </c>
    </row>
    <row r="89" spans="2:9" x14ac:dyDescent="0.25">
      <c r="B89" s="72"/>
      <c r="C89" s="108"/>
      <c r="D89" s="364"/>
      <c r="E89" s="109"/>
      <c r="F89" s="109"/>
      <c r="G89" s="75"/>
      <c r="H89" s="122"/>
      <c r="I89" s="130">
        <f t="shared" si="2"/>
        <v>0</v>
      </c>
    </row>
    <row r="90" spans="2:9" x14ac:dyDescent="0.25">
      <c r="B90" s="72"/>
      <c r="C90" s="428" t="s">
        <v>1197</v>
      </c>
      <c r="D90" s="429"/>
      <c r="E90" s="109"/>
      <c r="F90" s="109"/>
      <c r="G90" s="75"/>
      <c r="H90" s="122"/>
      <c r="I90" s="130">
        <f t="shared" si="2"/>
        <v>0</v>
      </c>
    </row>
    <row r="91" spans="2:9" x14ac:dyDescent="0.25">
      <c r="B91" s="72"/>
      <c r="C91" s="175"/>
      <c r="D91" s="347"/>
      <c r="E91" s="109"/>
      <c r="F91" s="109"/>
      <c r="G91" s="75"/>
      <c r="H91" s="122"/>
      <c r="I91" s="130">
        <f t="shared" si="2"/>
        <v>0</v>
      </c>
    </row>
    <row r="92" spans="2:9" x14ac:dyDescent="0.25">
      <c r="B92" s="72"/>
      <c r="C92" s="434" t="s">
        <v>1181</v>
      </c>
      <c r="D92" s="435"/>
      <c r="E92" s="109"/>
      <c r="F92" s="109"/>
      <c r="G92" s="75"/>
      <c r="H92" s="122"/>
      <c r="I92" s="130">
        <f t="shared" si="2"/>
        <v>0</v>
      </c>
    </row>
    <row r="93" spans="2:9" x14ac:dyDescent="0.25">
      <c r="B93" s="72"/>
      <c r="C93" s="171"/>
      <c r="D93" s="112"/>
      <c r="E93" s="109"/>
      <c r="F93" s="344"/>
      <c r="G93" s="128"/>
      <c r="H93" s="122"/>
      <c r="I93" s="130">
        <f t="shared" si="2"/>
        <v>0</v>
      </c>
    </row>
    <row r="94" spans="2:9" x14ac:dyDescent="0.25">
      <c r="B94" s="172">
        <f>B86+0.01</f>
        <v>3.1599999999999966</v>
      </c>
      <c r="C94" s="171"/>
      <c r="D94" s="112" t="s">
        <v>1182</v>
      </c>
      <c r="E94" s="109">
        <f>1.3*0.55*12</f>
        <v>8.5800000000000018</v>
      </c>
      <c r="F94" s="344">
        <v>9</v>
      </c>
      <c r="G94" s="128" t="s">
        <v>659</v>
      </c>
      <c r="H94" s="122"/>
      <c r="I94" s="130">
        <f t="shared" si="2"/>
        <v>0</v>
      </c>
    </row>
    <row r="95" spans="2:9" x14ac:dyDescent="0.25">
      <c r="B95" s="72"/>
      <c r="C95" s="171"/>
      <c r="D95" s="112"/>
      <c r="E95" s="109"/>
      <c r="F95" s="344"/>
      <c r="G95" s="128"/>
      <c r="H95" s="122"/>
      <c r="I95" s="130">
        <f t="shared" si="2"/>
        <v>0</v>
      </c>
    </row>
    <row r="96" spans="2:9" x14ac:dyDescent="0.25">
      <c r="B96" s="172">
        <f>B94+0.01</f>
        <v>3.1699999999999964</v>
      </c>
      <c r="C96" s="171"/>
      <c r="D96" s="112" t="s">
        <v>1183</v>
      </c>
      <c r="E96" s="344">
        <f>(1.9+3.6+2.4+1.9+3.6+2.4+2.6+1.1+1.5+2.2+2.8+2.6+3.1)*0.45</f>
        <v>14.265000000000002</v>
      </c>
      <c r="F96" s="344">
        <v>14</v>
      </c>
      <c r="G96" s="128" t="s">
        <v>659</v>
      </c>
      <c r="H96" s="122"/>
      <c r="I96" s="130">
        <f t="shared" si="2"/>
        <v>0</v>
      </c>
    </row>
    <row r="97" spans="2:9" x14ac:dyDescent="0.25">
      <c r="B97" s="72"/>
      <c r="C97" s="171"/>
      <c r="D97" s="112"/>
      <c r="E97" s="109"/>
      <c r="F97" s="344"/>
      <c r="G97" s="128"/>
      <c r="H97" s="122"/>
      <c r="I97" s="130">
        <f t="shared" si="2"/>
        <v>0</v>
      </c>
    </row>
    <row r="98" spans="2:9" x14ac:dyDescent="0.25">
      <c r="B98" s="172">
        <f>B96+0.01</f>
        <v>3.1799999999999962</v>
      </c>
      <c r="C98" s="74"/>
      <c r="D98" s="112" t="s">
        <v>1198</v>
      </c>
      <c r="E98" s="109">
        <f>E80</f>
        <v>77.975999999999999</v>
      </c>
      <c r="F98" s="344">
        <v>78</v>
      </c>
      <c r="G98" s="128" t="s">
        <v>659</v>
      </c>
      <c r="H98" s="130"/>
      <c r="I98" s="130">
        <f t="shared" si="2"/>
        <v>0</v>
      </c>
    </row>
    <row r="99" spans="2:9" x14ac:dyDescent="0.25">
      <c r="B99" s="72"/>
      <c r="C99" s="74"/>
      <c r="D99" s="112"/>
      <c r="E99" s="109"/>
      <c r="F99" s="344"/>
      <c r="G99" s="128"/>
      <c r="H99" s="130"/>
      <c r="I99" s="130">
        <f t="shared" si="2"/>
        <v>0</v>
      </c>
    </row>
    <row r="100" spans="2:9" x14ac:dyDescent="0.25">
      <c r="B100" s="72"/>
      <c r="C100" s="418" t="s">
        <v>830</v>
      </c>
      <c r="D100" s="419"/>
      <c r="E100" s="109"/>
      <c r="F100" s="109"/>
      <c r="G100" s="75"/>
      <c r="H100" s="122"/>
      <c r="I100" s="130">
        <f t="shared" si="2"/>
        <v>0</v>
      </c>
    </row>
    <row r="101" spans="2:9" x14ac:dyDescent="0.25">
      <c r="B101" s="172"/>
      <c r="C101" s="338"/>
      <c r="D101" s="112"/>
      <c r="E101" s="109"/>
      <c r="F101" s="344"/>
      <c r="G101" s="128"/>
      <c r="H101" s="130"/>
      <c r="I101" s="130">
        <f t="shared" si="2"/>
        <v>0</v>
      </c>
    </row>
    <row r="102" spans="2:9" x14ac:dyDescent="0.25">
      <c r="B102" s="172">
        <f>B98+0.01</f>
        <v>3.1899999999999959</v>
      </c>
      <c r="C102" s="338"/>
      <c r="D102" s="112" t="s">
        <v>857</v>
      </c>
      <c r="E102" s="109">
        <f>(10.83+7.2)*2*0.1</f>
        <v>3.6060000000000003</v>
      </c>
      <c r="F102" s="344">
        <v>4</v>
      </c>
      <c r="G102" s="128" t="s">
        <v>659</v>
      </c>
      <c r="H102" s="130"/>
      <c r="I102" s="130">
        <f t="shared" si="2"/>
        <v>0</v>
      </c>
    </row>
    <row r="103" spans="2:9" x14ac:dyDescent="0.25">
      <c r="B103" s="72"/>
      <c r="C103" s="108"/>
      <c r="D103" s="112"/>
      <c r="E103" s="109"/>
      <c r="F103" s="344"/>
      <c r="G103" s="128"/>
      <c r="H103" s="130"/>
      <c r="I103" s="130">
        <f t="shared" si="2"/>
        <v>0</v>
      </c>
    </row>
    <row r="104" spans="2:9" ht="28.7" customHeight="1" x14ac:dyDescent="0.25">
      <c r="B104" s="72"/>
      <c r="C104" s="441" t="s">
        <v>1176</v>
      </c>
      <c r="D104" s="442"/>
      <c r="E104" s="109"/>
      <c r="F104" s="277"/>
      <c r="G104" s="75"/>
      <c r="H104" s="122"/>
      <c r="I104" s="130">
        <f t="shared" si="2"/>
        <v>0</v>
      </c>
    </row>
    <row r="105" spans="2:9" ht="13.5" customHeight="1" x14ac:dyDescent="0.25">
      <c r="B105" s="72"/>
      <c r="C105" s="345"/>
      <c r="D105" s="112"/>
      <c r="E105" s="109"/>
      <c r="F105" s="344"/>
      <c r="G105" s="128"/>
      <c r="H105" s="130"/>
      <c r="I105" s="130">
        <f t="shared" si="2"/>
        <v>0</v>
      </c>
    </row>
    <row r="106" spans="2:9" x14ac:dyDescent="0.25">
      <c r="B106" s="72"/>
      <c r="C106" s="418" t="s">
        <v>1177</v>
      </c>
      <c r="D106" s="419"/>
      <c r="E106" s="344"/>
      <c r="F106" s="128"/>
      <c r="G106" s="130"/>
      <c r="H106" s="130"/>
      <c r="I106" s="130">
        <f t="shared" si="2"/>
        <v>0</v>
      </c>
    </row>
    <row r="107" spans="2:9" x14ac:dyDescent="0.25">
      <c r="B107" s="72"/>
      <c r="C107" s="171"/>
      <c r="D107" s="112"/>
      <c r="E107" s="344"/>
      <c r="F107" s="128"/>
      <c r="G107" s="130"/>
      <c r="H107" s="130"/>
      <c r="I107" s="130">
        <f t="shared" si="2"/>
        <v>0</v>
      </c>
    </row>
    <row r="108" spans="2:9" x14ac:dyDescent="0.25">
      <c r="B108" s="172">
        <f>B102+0.01</f>
        <v>3.1999999999999957</v>
      </c>
      <c r="C108" s="171"/>
      <c r="D108" s="112" t="s">
        <v>1178</v>
      </c>
      <c r="E108" s="344">
        <f>1.3*0.55*0.77*12</f>
        <v>6.6066000000000011</v>
      </c>
      <c r="F108" s="128">
        <v>7</v>
      </c>
      <c r="G108" s="406" t="s">
        <v>826</v>
      </c>
      <c r="H108" s="130"/>
      <c r="I108" s="130">
        <f t="shared" si="2"/>
        <v>0</v>
      </c>
    </row>
    <row r="109" spans="2:9" x14ac:dyDescent="0.25">
      <c r="B109" s="72"/>
      <c r="C109" s="171"/>
      <c r="D109" s="112"/>
      <c r="E109" s="344">
        <f>(1.9+3.6+2.4+1.9+3.6+2.4+2.6+1.1+1.5+2.2+2.8+2.6+3.1)</f>
        <v>31.700000000000006</v>
      </c>
      <c r="F109" s="128"/>
      <c r="G109" s="406"/>
      <c r="H109" s="130"/>
      <c r="I109" s="130">
        <f t="shared" si="2"/>
        <v>0</v>
      </c>
    </row>
    <row r="110" spans="2:9" x14ac:dyDescent="0.25">
      <c r="B110" s="172">
        <f>B108+0.01</f>
        <v>3.2099999999999955</v>
      </c>
      <c r="C110" s="171"/>
      <c r="D110" s="112" t="s">
        <v>1179</v>
      </c>
      <c r="E110" s="344">
        <f>E109*0.45*0.5</f>
        <v>7.1325000000000012</v>
      </c>
      <c r="F110" s="128">
        <v>7</v>
      </c>
      <c r="G110" s="406" t="s">
        <v>826</v>
      </c>
      <c r="H110" s="130"/>
      <c r="I110" s="130">
        <f t="shared" si="2"/>
        <v>0</v>
      </c>
    </row>
    <row r="111" spans="2:9" x14ac:dyDescent="0.25">
      <c r="B111" s="72"/>
      <c r="C111" s="171"/>
      <c r="D111" s="112"/>
      <c r="E111" s="344"/>
      <c r="F111" s="128"/>
      <c r="G111" s="130"/>
      <c r="H111" s="130"/>
      <c r="I111" s="130">
        <f t="shared" si="2"/>
        <v>0</v>
      </c>
    </row>
    <row r="112" spans="2:9" x14ac:dyDescent="0.25">
      <c r="B112" s="72"/>
      <c r="C112" s="418" t="s">
        <v>831</v>
      </c>
      <c r="D112" s="419"/>
      <c r="E112" s="344"/>
      <c r="F112" s="128"/>
      <c r="G112" s="130"/>
      <c r="H112" s="130"/>
      <c r="I112" s="130">
        <f t="shared" si="2"/>
        <v>0</v>
      </c>
    </row>
    <row r="113" spans="2:9" x14ac:dyDescent="0.25">
      <c r="B113" s="72"/>
      <c r="C113" s="171"/>
      <c r="D113" s="112"/>
      <c r="E113" s="344"/>
      <c r="F113" s="128"/>
      <c r="G113" s="130"/>
      <c r="H113" s="130"/>
      <c r="I113" s="130">
        <f t="shared" si="2"/>
        <v>0</v>
      </c>
    </row>
    <row r="114" spans="2:9" x14ac:dyDescent="0.25">
      <c r="B114" s="172">
        <f>B110+0.01</f>
        <v>3.2199999999999953</v>
      </c>
      <c r="C114" s="345"/>
      <c r="D114" s="112" t="s">
        <v>1180</v>
      </c>
      <c r="E114" s="109">
        <f>E98</f>
        <v>77.975999999999999</v>
      </c>
      <c r="F114" s="344">
        <v>78</v>
      </c>
      <c r="G114" s="128" t="s">
        <v>659</v>
      </c>
      <c r="H114" s="130"/>
      <c r="I114" s="130">
        <f t="shared" si="2"/>
        <v>0</v>
      </c>
    </row>
    <row r="115" spans="2:9" x14ac:dyDescent="0.25">
      <c r="B115" s="72"/>
      <c r="C115" s="338"/>
      <c r="D115" s="112"/>
      <c r="E115" s="109"/>
      <c r="F115" s="344"/>
      <c r="G115" s="128"/>
      <c r="H115" s="130"/>
      <c r="I115" s="130">
        <f t="shared" si="2"/>
        <v>0</v>
      </c>
    </row>
    <row r="116" spans="2:9" ht="30" x14ac:dyDescent="0.25">
      <c r="B116" s="179">
        <f>B114+0.01</f>
        <v>3.2299999999999951</v>
      </c>
      <c r="C116" s="81"/>
      <c r="D116" s="112" t="s">
        <v>1200</v>
      </c>
      <c r="E116" s="343">
        <f>1.14+1.02+1.02+1.14</f>
        <v>4.32</v>
      </c>
      <c r="F116" s="344">
        <v>5</v>
      </c>
      <c r="G116" s="128" t="s">
        <v>660</v>
      </c>
      <c r="H116" s="130"/>
      <c r="I116" s="130">
        <f t="shared" si="2"/>
        <v>0</v>
      </c>
    </row>
    <row r="117" spans="2:9" x14ac:dyDescent="0.25">
      <c r="B117" s="172"/>
      <c r="C117" s="81"/>
      <c r="D117" s="112"/>
      <c r="E117" s="109"/>
      <c r="F117" s="344"/>
      <c r="G117" s="128"/>
      <c r="H117" s="130"/>
      <c r="I117" s="130">
        <f t="shared" si="2"/>
        <v>0</v>
      </c>
    </row>
    <row r="118" spans="2:9" ht="30" x14ac:dyDescent="0.25">
      <c r="B118" s="179">
        <f>B116+0.01</f>
        <v>3.2399999999999949</v>
      </c>
      <c r="C118" s="81"/>
      <c r="D118" s="112" t="s">
        <v>1199</v>
      </c>
      <c r="E118" s="343">
        <f>2.85+2.1</f>
        <v>4.95</v>
      </c>
      <c r="F118" s="344">
        <v>5</v>
      </c>
      <c r="G118" s="128" t="s">
        <v>660</v>
      </c>
      <c r="H118" s="130"/>
      <c r="I118" s="130">
        <f t="shared" si="2"/>
        <v>0</v>
      </c>
    </row>
    <row r="119" spans="2:9" x14ac:dyDescent="0.25">
      <c r="B119" s="172"/>
      <c r="C119" s="81"/>
      <c r="D119" s="112"/>
      <c r="E119" s="109"/>
      <c r="F119" s="344"/>
      <c r="G119" s="128"/>
      <c r="H119" s="130"/>
      <c r="I119" s="130">
        <f t="shared" si="2"/>
        <v>0</v>
      </c>
    </row>
    <row r="120" spans="2:9" x14ac:dyDescent="0.25">
      <c r="B120" s="72"/>
      <c r="C120" s="428" t="s">
        <v>833</v>
      </c>
      <c r="D120" s="429"/>
      <c r="E120" s="109"/>
      <c r="F120" s="344"/>
      <c r="G120" s="128"/>
      <c r="H120" s="130"/>
      <c r="I120" s="130">
        <f t="shared" si="2"/>
        <v>0</v>
      </c>
    </row>
    <row r="121" spans="2:9" x14ac:dyDescent="0.25">
      <c r="B121" s="72"/>
      <c r="C121" s="81"/>
      <c r="D121" s="112"/>
      <c r="E121" s="109"/>
      <c r="F121" s="344"/>
      <c r="G121" s="128"/>
      <c r="H121" s="130"/>
      <c r="I121" s="130">
        <f t="shared" si="2"/>
        <v>0</v>
      </c>
    </row>
    <row r="122" spans="2:9" x14ac:dyDescent="0.25">
      <c r="B122" s="72"/>
      <c r="C122" s="434" t="s">
        <v>834</v>
      </c>
      <c r="D122" s="435"/>
      <c r="E122" s="109"/>
      <c r="F122" s="344"/>
      <c r="G122" s="128"/>
      <c r="H122" s="130"/>
      <c r="I122" s="130">
        <f t="shared" si="2"/>
        <v>0</v>
      </c>
    </row>
    <row r="123" spans="2:9" x14ac:dyDescent="0.25">
      <c r="B123" s="72"/>
      <c r="C123" s="81"/>
      <c r="D123" s="112"/>
      <c r="E123" s="109"/>
      <c r="F123" s="344"/>
      <c r="G123" s="128"/>
      <c r="H123" s="130"/>
      <c r="I123" s="130">
        <f t="shared" si="2"/>
        <v>0</v>
      </c>
    </row>
    <row r="124" spans="2:9" x14ac:dyDescent="0.25">
      <c r="B124" s="172">
        <f>B118+0.01</f>
        <v>3.2499999999999947</v>
      </c>
      <c r="C124" s="338"/>
      <c r="D124" s="112" t="s">
        <v>832</v>
      </c>
      <c r="E124" s="109">
        <f>E114*2</f>
        <v>155.952</v>
      </c>
      <c r="F124" s="344">
        <v>156</v>
      </c>
      <c r="G124" s="128" t="s">
        <v>659</v>
      </c>
      <c r="H124" s="130"/>
      <c r="I124" s="130">
        <f t="shared" si="2"/>
        <v>0</v>
      </c>
    </row>
    <row r="125" spans="2:9" x14ac:dyDescent="0.25">
      <c r="B125" s="72"/>
      <c r="C125" s="81"/>
      <c r="D125" s="112"/>
      <c r="E125" s="109"/>
      <c r="F125" s="344"/>
      <c r="G125" s="128"/>
      <c r="H125" s="130"/>
      <c r="I125" s="130">
        <f t="shared" si="2"/>
        <v>0</v>
      </c>
    </row>
    <row r="126" spans="2:9" x14ac:dyDescent="0.25">
      <c r="B126" s="72"/>
      <c r="C126" s="428" t="s">
        <v>1186</v>
      </c>
      <c r="D126" s="429"/>
      <c r="E126" s="109"/>
      <c r="F126" s="344"/>
      <c r="G126" s="128"/>
      <c r="H126" s="130"/>
      <c r="I126" s="130">
        <f t="shared" si="2"/>
        <v>0</v>
      </c>
    </row>
    <row r="127" spans="2:9" x14ac:dyDescent="0.25">
      <c r="B127" s="72"/>
      <c r="C127" s="81"/>
      <c r="D127" s="112"/>
      <c r="E127" s="109"/>
      <c r="F127" s="344"/>
      <c r="G127" s="128"/>
      <c r="H127" s="130"/>
      <c r="I127" s="130">
        <f t="shared" si="2"/>
        <v>0</v>
      </c>
    </row>
    <row r="128" spans="2:9" x14ac:dyDescent="0.25">
      <c r="B128" s="72"/>
      <c r="C128" s="74" t="s">
        <v>1187</v>
      </c>
      <c r="D128" s="112"/>
      <c r="E128" s="109"/>
      <c r="F128" s="344"/>
      <c r="G128" s="128"/>
      <c r="H128" s="130"/>
      <c r="I128" s="130">
        <f t="shared" si="2"/>
        <v>0</v>
      </c>
    </row>
    <row r="129" spans="2:9" x14ac:dyDescent="0.25">
      <c r="B129" s="72"/>
      <c r="C129" s="81"/>
      <c r="D129" s="112"/>
      <c r="E129" s="109"/>
      <c r="F129" s="344"/>
      <c r="G129" s="128"/>
      <c r="H129" s="130"/>
      <c r="I129" s="130">
        <f t="shared" si="2"/>
        <v>0</v>
      </c>
    </row>
    <row r="130" spans="2:9" x14ac:dyDescent="0.25">
      <c r="B130" s="172">
        <f>B124+0.01</f>
        <v>3.2599999999999945</v>
      </c>
      <c r="C130" s="81"/>
      <c r="D130" s="112" t="s">
        <v>1189</v>
      </c>
      <c r="E130" s="109">
        <f>E108*150</f>
        <v>990.99000000000012</v>
      </c>
      <c r="F130" s="344">
        <v>1000</v>
      </c>
      <c r="G130" s="128" t="s">
        <v>1188</v>
      </c>
      <c r="H130" s="130"/>
      <c r="I130" s="130">
        <f t="shared" si="2"/>
        <v>0</v>
      </c>
    </row>
    <row r="131" spans="2:9" x14ac:dyDescent="0.25">
      <c r="B131" s="72"/>
      <c r="C131" s="81"/>
      <c r="D131" s="112"/>
      <c r="E131" s="109"/>
      <c r="F131" s="344"/>
      <c r="G131" s="128"/>
      <c r="H131" s="130"/>
      <c r="I131" s="130">
        <f t="shared" si="2"/>
        <v>0</v>
      </c>
    </row>
    <row r="132" spans="2:9" x14ac:dyDescent="0.25">
      <c r="B132" s="179">
        <f>B130+0.01</f>
        <v>3.2699999999999942</v>
      </c>
      <c r="C132" s="81"/>
      <c r="D132" s="112" t="s">
        <v>1190</v>
      </c>
      <c r="E132" s="109">
        <f>E110*180</f>
        <v>1283.8500000000001</v>
      </c>
      <c r="F132" s="344">
        <v>1300</v>
      </c>
      <c r="G132" s="128" t="s">
        <v>1188</v>
      </c>
      <c r="H132" s="130"/>
      <c r="I132" s="130">
        <f t="shared" si="2"/>
        <v>0</v>
      </c>
    </row>
    <row r="133" spans="2:9" x14ac:dyDescent="0.25">
      <c r="B133" s="72"/>
      <c r="C133" s="81"/>
      <c r="D133" s="112"/>
      <c r="E133" s="109"/>
      <c r="F133" s="344"/>
      <c r="G133" s="128"/>
      <c r="H133" s="130"/>
      <c r="I133" s="130">
        <f t="shared" si="2"/>
        <v>0</v>
      </c>
    </row>
    <row r="134" spans="2:9" x14ac:dyDescent="0.25">
      <c r="B134" s="72"/>
      <c r="C134" s="357" t="s">
        <v>835</v>
      </c>
      <c r="D134" s="160"/>
      <c r="E134" s="109"/>
      <c r="F134" s="344"/>
      <c r="G134" s="128"/>
      <c r="H134" s="122"/>
      <c r="I134" s="130">
        <f t="shared" si="2"/>
        <v>0</v>
      </c>
    </row>
    <row r="135" spans="2:9" x14ac:dyDescent="0.25">
      <c r="B135" s="72"/>
      <c r="C135" s="81"/>
      <c r="D135" s="160"/>
      <c r="E135" s="109"/>
      <c r="F135" s="344"/>
      <c r="G135" s="128"/>
      <c r="H135" s="122"/>
      <c r="I135" s="130">
        <f t="shared" si="2"/>
        <v>0</v>
      </c>
    </row>
    <row r="136" spans="2:9" x14ac:dyDescent="0.25">
      <c r="B136" s="72"/>
      <c r="C136" s="74" t="s">
        <v>836</v>
      </c>
      <c r="D136" s="160"/>
      <c r="E136" s="109"/>
      <c r="F136" s="344"/>
      <c r="G136" s="128"/>
      <c r="H136" s="122"/>
      <c r="I136" s="130">
        <f t="shared" si="2"/>
        <v>0</v>
      </c>
    </row>
    <row r="137" spans="2:9" x14ac:dyDescent="0.25">
      <c r="B137" s="72"/>
      <c r="C137" s="338"/>
      <c r="D137" s="160"/>
      <c r="E137" s="109"/>
      <c r="F137" s="344"/>
      <c r="G137" s="128"/>
      <c r="H137" s="122"/>
      <c r="I137" s="130">
        <f t="shared" si="2"/>
        <v>0</v>
      </c>
    </row>
    <row r="138" spans="2:9" x14ac:dyDescent="0.25">
      <c r="B138" s="172">
        <f>B132+0.01</f>
        <v>3.279999999999994</v>
      </c>
      <c r="C138" s="338"/>
      <c r="D138" s="112" t="s">
        <v>1184</v>
      </c>
      <c r="E138" s="109">
        <f>(1.3+0.55)*2*0.7*12</f>
        <v>31.08</v>
      </c>
      <c r="F138" s="277">
        <v>31</v>
      </c>
      <c r="G138" s="75" t="s">
        <v>659</v>
      </c>
      <c r="H138" s="122"/>
      <c r="I138" s="130">
        <f t="shared" si="2"/>
        <v>0</v>
      </c>
    </row>
    <row r="139" spans="2:9" x14ac:dyDescent="0.25">
      <c r="B139" s="72"/>
      <c r="C139" s="338"/>
      <c r="D139" s="160"/>
      <c r="E139" s="109"/>
      <c r="F139" s="344"/>
      <c r="G139" s="128"/>
      <c r="H139" s="122"/>
      <c r="I139" s="130">
        <f t="shared" si="2"/>
        <v>0</v>
      </c>
    </row>
    <row r="140" spans="2:9" x14ac:dyDescent="0.25">
      <c r="B140" s="179">
        <f>B138+0.01</f>
        <v>3.2899999999999938</v>
      </c>
      <c r="C140" s="338"/>
      <c r="D140" s="112" t="s">
        <v>1185</v>
      </c>
      <c r="E140" s="344">
        <f>E109*0.5*2</f>
        <v>31.700000000000006</v>
      </c>
      <c r="F140" s="277">
        <v>32</v>
      </c>
      <c r="G140" s="75" t="s">
        <v>659</v>
      </c>
      <c r="H140" s="122"/>
      <c r="I140" s="130">
        <f t="shared" si="2"/>
        <v>0</v>
      </c>
    </row>
    <row r="141" spans="2:9" x14ac:dyDescent="0.25">
      <c r="B141" s="72"/>
      <c r="C141" s="338"/>
      <c r="D141" s="160"/>
      <c r="E141" s="109"/>
      <c r="F141" s="344"/>
      <c r="G141" s="128"/>
      <c r="H141" s="122"/>
      <c r="I141" s="130">
        <f t="shared" si="2"/>
        <v>0</v>
      </c>
    </row>
    <row r="142" spans="2:9" x14ac:dyDescent="0.25">
      <c r="B142" s="179">
        <f>B140+0.01</f>
        <v>3.2999999999999936</v>
      </c>
      <c r="C142" s="338"/>
      <c r="D142" s="112" t="s">
        <v>837</v>
      </c>
      <c r="E142" s="109">
        <f>(10.83+7.2)*2</f>
        <v>36.06</v>
      </c>
      <c r="F142" s="277">
        <v>36</v>
      </c>
      <c r="G142" s="75" t="s">
        <v>660</v>
      </c>
      <c r="H142" s="122"/>
      <c r="I142" s="130">
        <f t="shared" si="2"/>
        <v>0</v>
      </c>
    </row>
    <row r="143" spans="2:9" x14ac:dyDescent="0.25">
      <c r="B143" s="72"/>
      <c r="C143" s="81"/>
      <c r="D143" s="160"/>
      <c r="E143" s="109"/>
      <c r="F143" s="344"/>
      <c r="G143" s="128"/>
      <c r="H143" s="122"/>
      <c r="I143" s="130">
        <f t="shared" si="2"/>
        <v>0</v>
      </c>
    </row>
    <row r="144" spans="2:9" x14ac:dyDescent="0.25">
      <c r="B144" s="72"/>
      <c r="C144" s="159" t="s">
        <v>838</v>
      </c>
      <c r="D144" s="160"/>
      <c r="E144" s="109"/>
      <c r="F144" s="344"/>
      <c r="G144" s="128"/>
      <c r="H144" s="122"/>
      <c r="I144" s="130">
        <f t="shared" si="2"/>
        <v>0</v>
      </c>
    </row>
    <row r="145" spans="2:9" x14ac:dyDescent="0.25">
      <c r="B145" s="72"/>
      <c r="C145" s="81"/>
      <c r="D145" s="160"/>
      <c r="E145" s="109">
        <f>E94</f>
        <v>8.5800000000000018</v>
      </c>
      <c r="F145" s="344"/>
      <c r="G145" s="128"/>
      <c r="H145" s="122"/>
      <c r="I145" s="130">
        <f t="shared" si="2"/>
        <v>0</v>
      </c>
    </row>
    <row r="146" spans="2:9" x14ac:dyDescent="0.25">
      <c r="B146" s="72"/>
      <c r="C146" s="74" t="s">
        <v>839</v>
      </c>
      <c r="D146" s="112"/>
      <c r="E146" s="109">
        <f>E96</f>
        <v>14.265000000000002</v>
      </c>
      <c r="F146" s="344"/>
      <c r="G146" s="128"/>
      <c r="H146" s="122"/>
      <c r="I146" s="130">
        <f t="shared" ref="I146:I188" si="9">F146*H146</f>
        <v>0</v>
      </c>
    </row>
    <row r="147" spans="2:9" x14ac:dyDescent="0.25">
      <c r="B147" s="72"/>
      <c r="C147" s="74"/>
      <c r="D147" s="112"/>
      <c r="E147" s="109">
        <f>E114</f>
        <v>77.975999999999999</v>
      </c>
      <c r="F147" s="344"/>
      <c r="G147" s="128"/>
      <c r="H147" s="122"/>
      <c r="I147" s="130">
        <f t="shared" si="9"/>
        <v>0</v>
      </c>
    </row>
    <row r="148" spans="2:9" x14ac:dyDescent="0.25">
      <c r="B148" s="172">
        <f>B142+0.01</f>
        <v>3.3099999999999934</v>
      </c>
      <c r="C148" s="74"/>
      <c r="D148" s="112" t="s">
        <v>527</v>
      </c>
      <c r="E148" s="109">
        <f>SUM(E145:E147)</f>
        <v>100.821</v>
      </c>
      <c r="F148" s="277">
        <v>101</v>
      </c>
      <c r="G148" s="75" t="s">
        <v>659</v>
      </c>
      <c r="H148" s="122"/>
      <c r="I148" s="130">
        <f t="shared" si="9"/>
        <v>0</v>
      </c>
    </row>
    <row r="149" spans="2:9" x14ac:dyDescent="0.25">
      <c r="B149" s="72"/>
      <c r="C149" s="338"/>
      <c r="D149" s="160"/>
      <c r="E149" s="258"/>
      <c r="F149" s="277"/>
      <c r="G149" s="75"/>
      <c r="H149" s="122"/>
      <c r="I149" s="130">
        <f t="shared" si="9"/>
        <v>0</v>
      </c>
    </row>
    <row r="150" spans="2:9" ht="16.5" x14ac:dyDescent="0.25">
      <c r="B150" s="172"/>
      <c r="C150" s="358" t="s">
        <v>845</v>
      </c>
      <c r="D150" s="359"/>
      <c r="E150" s="258"/>
      <c r="F150" s="277"/>
      <c r="G150" s="75"/>
      <c r="H150" s="122"/>
      <c r="I150" s="130">
        <f t="shared" si="9"/>
        <v>0</v>
      </c>
    </row>
    <row r="151" spans="2:9" ht="16.5" x14ac:dyDescent="0.25">
      <c r="B151" s="172"/>
      <c r="C151" s="360"/>
      <c r="D151" s="359"/>
      <c r="E151" s="258"/>
      <c r="F151" s="277"/>
      <c r="G151" s="75"/>
      <c r="H151" s="122"/>
      <c r="I151" s="130">
        <f t="shared" si="9"/>
        <v>0</v>
      </c>
    </row>
    <row r="152" spans="2:9" ht="33" customHeight="1" x14ac:dyDescent="0.25">
      <c r="B152" s="172"/>
      <c r="C152" s="441" t="s">
        <v>861</v>
      </c>
      <c r="D152" s="442"/>
      <c r="E152" s="258"/>
      <c r="F152" s="277"/>
      <c r="G152" s="75"/>
      <c r="H152" s="122"/>
      <c r="I152" s="130">
        <f t="shared" si="9"/>
        <v>0</v>
      </c>
    </row>
    <row r="153" spans="2:9" ht="16.5" x14ac:dyDescent="0.25">
      <c r="B153" s="172"/>
      <c r="C153" s="360"/>
      <c r="D153" s="359"/>
      <c r="E153" s="258"/>
      <c r="F153" s="277"/>
      <c r="G153" s="75"/>
      <c r="H153" s="122"/>
      <c r="I153" s="130">
        <f t="shared" si="9"/>
        <v>0</v>
      </c>
    </row>
    <row r="154" spans="2:9" x14ac:dyDescent="0.25">
      <c r="B154" s="172"/>
      <c r="C154" s="338" t="s">
        <v>846</v>
      </c>
      <c r="D154" s="160"/>
      <c r="E154" s="258"/>
      <c r="F154" s="277"/>
      <c r="G154" s="75"/>
      <c r="H154" s="122"/>
      <c r="I154" s="130">
        <f t="shared" si="9"/>
        <v>0</v>
      </c>
    </row>
    <row r="155" spans="2:9" x14ac:dyDescent="0.25">
      <c r="B155" s="172"/>
      <c r="C155" s="338"/>
      <c r="D155" s="160"/>
      <c r="E155" s="258"/>
      <c r="F155" s="277"/>
      <c r="G155" s="75"/>
      <c r="H155" s="122"/>
      <c r="I155" s="130">
        <f t="shared" si="9"/>
        <v>0</v>
      </c>
    </row>
    <row r="156" spans="2:9" x14ac:dyDescent="0.25">
      <c r="B156" s="172">
        <f>B148+0.01</f>
        <v>3.3199999999999932</v>
      </c>
      <c r="C156" s="81"/>
      <c r="D156" s="167" t="s">
        <v>847</v>
      </c>
      <c r="E156" s="109">
        <f>E147</f>
        <v>77.975999999999999</v>
      </c>
      <c r="F156" s="277">
        <v>78</v>
      </c>
      <c r="G156" s="75" t="s">
        <v>659</v>
      </c>
      <c r="H156" s="122"/>
      <c r="I156" s="130">
        <f t="shared" si="9"/>
        <v>0</v>
      </c>
    </row>
    <row r="157" spans="2:9" x14ac:dyDescent="0.25">
      <c r="B157" s="172"/>
      <c r="C157" s="81"/>
      <c r="D157" s="160"/>
      <c r="E157" s="258"/>
      <c r="F157" s="277"/>
      <c r="G157" s="75"/>
      <c r="H157" s="122"/>
      <c r="I157" s="130">
        <f t="shared" si="9"/>
        <v>0</v>
      </c>
    </row>
    <row r="158" spans="2:9" x14ac:dyDescent="0.25">
      <c r="B158" s="172">
        <f>B156+0.01</f>
        <v>3.329999999999993</v>
      </c>
      <c r="C158" s="73"/>
      <c r="D158" s="340" t="s">
        <v>862</v>
      </c>
      <c r="E158" s="109">
        <f>((10.83-0.35-0.35)+(7.2-0.35-0.35))*2</f>
        <v>33.260000000000005</v>
      </c>
      <c r="F158" s="277">
        <v>34</v>
      </c>
      <c r="G158" s="75" t="s">
        <v>660</v>
      </c>
      <c r="H158" s="122"/>
      <c r="I158" s="130">
        <f t="shared" si="9"/>
        <v>0</v>
      </c>
    </row>
    <row r="159" spans="2:9" x14ac:dyDescent="0.25">
      <c r="B159" s="172"/>
      <c r="C159" s="81"/>
      <c r="D159" s="160"/>
      <c r="E159" s="258"/>
      <c r="F159" s="277"/>
      <c r="G159" s="75"/>
      <c r="H159" s="122"/>
      <c r="I159" s="130">
        <f t="shared" si="9"/>
        <v>0</v>
      </c>
    </row>
    <row r="160" spans="2:9" ht="18.600000000000001" customHeight="1" x14ac:dyDescent="0.25">
      <c r="B160" s="172"/>
      <c r="C160" s="441" t="s">
        <v>863</v>
      </c>
      <c r="D160" s="442"/>
      <c r="E160" s="258"/>
      <c r="F160" s="277"/>
      <c r="G160" s="75"/>
      <c r="H160" s="122"/>
      <c r="I160" s="130">
        <f t="shared" si="9"/>
        <v>0</v>
      </c>
    </row>
    <row r="161" spans="2:9" ht="16.5" x14ac:dyDescent="0.25">
      <c r="B161" s="172"/>
      <c r="C161" s="360"/>
      <c r="D161" s="359"/>
      <c r="E161" s="258"/>
      <c r="F161" s="277"/>
      <c r="G161" s="75"/>
      <c r="H161" s="122"/>
      <c r="I161" s="130">
        <f t="shared" si="9"/>
        <v>0</v>
      </c>
    </row>
    <row r="162" spans="2:9" x14ac:dyDescent="0.25">
      <c r="B162" s="172"/>
      <c r="C162" s="338" t="s">
        <v>848</v>
      </c>
      <c r="D162" s="160"/>
      <c r="E162" s="258"/>
      <c r="F162" s="277"/>
      <c r="G162" s="75"/>
      <c r="H162" s="122"/>
      <c r="I162" s="130">
        <f t="shared" si="9"/>
        <v>0</v>
      </c>
    </row>
    <row r="163" spans="2:9" x14ac:dyDescent="0.25">
      <c r="B163" s="172"/>
      <c r="C163" s="338"/>
      <c r="D163" s="160"/>
      <c r="E163" s="258"/>
      <c r="F163" s="277"/>
      <c r="G163" s="75"/>
      <c r="H163" s="122"/>
      <c r="I163" s="130">
        <f t="shared" si="9"/>
        <v>0</v>
      </c>
    </row>
    <row r="164" spans="2:9" x14ac:dyDescent="0.25">
      <c r="B164" s="172">
        <f>B158+0.01</f>
        <v>3.3399999999999928</v>
      </c>
      <c r="C164" s="81"/>
      <c r="D164" s="167" t="s">
        <v>958</v>
      </c>
      <c r="E164" s="109">
        <f>(10.83-0.35-0.35)*(7.2-0.35-0.35)</f>
        <v>65.845000000000013</v>
      </c>
      <c r="F164" s="277">
        <v>66</v>
      </c>
      <c r="G164" s="75" t="s">
        <v>659</v>
      </c>
      <c r="H164" s="122"/>
      <c r="I164" s="130">
        <f t="shared" si="9"/>
        <v>0</v>
      </c>
    </row>
    <row r="165" spans="2:9" x14ac:dyDescent="0.25">
      <c r="B165" s="172"/>
      <c r="C165" s="73"/>
      <c r="D165" s="82"/>
      <c r="E165" s="258"/>
      <c r="F165" s="277"/>
      <c r="G165" s="75"/>
      <c r="H165" s="122"/>
      <c r="I165" s="130">
        <f t="shared" si="9"/>
        <v>0</v>
      </c>
    </row>
    <row r="166" spans="2:9" x14ac:dyDescent="0.25">
      <c r="B166" s="172">
        <f>B164+0.01</f>
        <v>3.3499999999999925</v>
      </c>
      <c r="C166" s="73"/>
      <c r="D166" s="340" t="s">
        <v>1203</v>
      </c>
      <c r="E166" s="109">
        <f>((10.83-0.35-0.35)+(7.2-0.35-0.35))*2</f>
        <v>33.260000000000005</v>
      </c>
      <c r="F166" s="277">
        <v>34</v>
      </c>
      <c r="G166" s="75" t="s">
        <v>660</v>
      </c>
      <c r="H166" s="122"/>
      <c r="I166" s="130">
        <f t="shared" si="9"/>
        <v>0</v>
      </c>
    </row>
    <row r="167" spans="2:9" x14ac:dyDescent="0.25">
      <c r="B167" s="172"/>
      <c r="C167" s="73"/>
      <c r="D167" s="82"/>
      <c r="E167" s="258"/>
      <c r="F167" s="277"/>
      <c r="G167" s="75"/>
      <c r="H167" s="122"/>
      <c r="I167" s="130">
        <f t="shared" si="9"/>
        <v>0</v>
      </c>
    </row>
    <row r="168" spans="2:9" x14ac:dyDescent="0.25">
      <c r="B168" s="172"/>
      <c r="C168" s="73"/>
      <c r="D168" s="82"/>
      <c r="E168" s="258"/>
      <c r="F168" s="277"/>
      <c r="G168" s="75"/>
      <c r="H168" s="122"/>
      <c r="I168" s="130">
        <f t="shared" si="9"/>
        <v>0</v>
      </c>
    </row>
    <row r="169" spans="2:9" x14ac:dyDescent="0.25">
      <c r="B169" s="77"/>
      <c r="C169" s="73" t="s">
        <v>549</v>
      </c>
      <c r="D169" s="160"/>
      <c r="E169" s="258"/>
      <c r="F169" s="277"/>
      <c r="G169" s="78"/>
      <c r="H169" s="79"/>
      <c r="I169" s="130">
        <f t="shared" si="9"/>
        <v>0</v>
      </c>
    </row>
    <row r="170" spans="2:9" x14ac:dyDescent="0.25">
      <c r="B170" s="77"/>
      <c r="C170" s="74"/>
      <c r="D170" s="160"/>
      <c r="E170" s="258"/>
      <c r="F170" s="277"/>
      <c r="G170" s="78"/>
      <c r="H170" s="79"/>
      <c r="I170" s="130">
        <f t="shared" si="9"/>
        <v>0</v>
      </c>
    </row>
    <row r="171" spans="2:9" x14ac:dyDescent="0.25">
      <c r="B171" s="77"/>
      <c r="C171" s="159" t="s">
        <v>550</v>
      </c>
      <c r="D171" s="160"/>
      <c r="E171" s="258"/>
      <c r="F171" s="277"/>
      <c r="G171" s="78"/>
      <c r="H171" s="79"/>
      <c r="I171" s="130">
        <f t="shared" si="9"/>
        <v>0</v>
      </c>
    </row>
    <row r="172" spans="2:9" x14ac:dyDescent="0.25">
      <c r="B172" s="77"/>
      <c r="C172" s="74"/>
      <c r="D172" s="160"/>
      <c r="E172" s="258"/>
      <c r="F172" s="277"/>
      <c r="G172" s="78"/>
      <c r="H172" s="79"/>
      <c r="I172" s="130">
        <f t="shared" si="9"/>
        <v>0</v>
      </c>
    </row>
    <row r="173" spans="2:9" x14ac:dyDescent="0.25">
      <c r="B173" s="77"/>
      <c r="C173" s="74" t="s">
        <v>551</v>
      </c>
      <c r="D173" s="160"/>
      <c r="E173" s="258"/>
      <c r="F173" s="277"/>
      <c r="G173" s="78"/>
      <c r="H173" s="79"/>
      <c r="I173" s="130">
        <f t="shared" si="9"/>
        <v>0</v>
      </c>
    </row>
    <row r="174" spans="2:9" x14ac:dyDescent="0.25">
      <c r="B174" s="77"/>
      <c r="C174" s="74"/>
      <c r="D174" s="160"/>
      <c r="E174" s="258"/>
      <c r="F174" s="277"/>
      <c r="G174" s="78"/>
      <c r="H174" s="79"/>
      <c r="I174" s="130">
        <f t="shared" si="9"/>
        <v>0</v>
      </c>
    </row>
    <row r="175" spans="2:9" x14ac:dyDescent="0.25">
      <c r="B175" s="172">
        <f>B166+0.01</f>
        <v>3.3599999999999923</v>
      </c>
      <c r="C175" s="74"/>
      <c r="D175" s="112" t="s">
        <v>527</v>
      </c>
      <c r="E175" s="258"/>
      <c r="F175" s="277">
        <v>1</v>
      </c>
      <c r="G175" s="75" t="s">
        <v>528</v>
      </c>
      <c r="H175" s="76"/>
      <c r="I175" s="130">
        <f t="shared" si="9"/>
        <v>0</v>
      </c>
    </row>
    <row r="176" spans="2:9" x14ac:dyDescent="0.25">
      <c r="B176" s="77"/>
      <c r="C176" s="74"/>
      <c r="D176" s="160"/>
      <c r="E176" s="258"/>
      <c r="F176" s="277"/>
      <c r="G176" s="78"/>
      <c r="H176" s="79"/>
      <c r="I176" s="130">
        <f t="shared" si="9"/>
        <v>0</v>
      </c>
    </row>
    <row r="177" spans="2:9" x14ac:dyDescent="0.25">
      <c r="B177" s="77"/>
      <c r="C177" s="159" t="s">
        <v>556</v>
      </c>
      <c r="D177" s="160"/>
      <c r="E177" s="258"/>
      <c r="F177" s="277"/>
      <c r="G177" s="78"/>
      <c r="H177" s="79"/>
      <c r="I177" s="130">
        <f t="shared" si="9"/>
        <v>0</v>
      </c>
    </row>
    <row r="178" spans="2:9" x14ac:dyDescent="0.25">
      <c r="B178" s="77"/>
      <c r="C178" s="74"/>
      <c r="D178" s="160"/>
      <c r="E178" s="258"/>
      <c r="F178" s="277"/>
      <c r="G178" s="78"/>
      <c r="H178" s="79"/>
      <c r="I178" s="130">
        <f t="shared" si="9"/>
        <v>0</v>
      </c>
    </row>
    <row r="179" spans="2:9" ht="35.25" customHeight="1" x14ac:dyDescent="0.25">
      <c r="B179" s="77"/>
      <c r="C179" s="420" t="s">
        <v>557</v>
      </c>
      <c r="D179" s="421"/>
      <c r="E179" s="258"/>
      <c r="F179" s="277"/>
      <c r="G179" s="78"/>
      <c r="H179" s="79"/>
      <c r="I179" s="130">
        <f t="shared" si="9"/>
        <v>0</v>
      </c>
    </row>
    <row r="180" spans="2:9" ht="17.25" customHeight="1" x14ac:dyDescent="0.25">
      <c r="B180" s="77"/>
      <c r="C180" s="170"/>
      <c r="D180" s="158"/>
      <c r="E180" s="258"/>
      <c r="F180" s="277"/>
      <c r="G180" s="78"/>
      <c r="H180" s="79"/>
      <c r="I180" s="130">
        <f t="shared" si="9"/>
        <v>0</v>
      </c>
    </row>
    <row r="181" spans="2:9" x14ac:dyDescent="0.25">
      <c r="B181" s="173">
        <f>B175+0.01</f>
        <v>3.3699999999999921</v>
      </c>
      <c r="C181" s="74"/>
      <c r="D181" s="112" t="s">
        <v>527</v>
      </c>
      <c r="E181" s="258"/>
      <c r="F181" s="277">
        <v>1</v>
      </c>
      <c r="G181" s="75" t="s">
        <v>528</v>
      </c>
      <c r="H181" s="76"/>
      <c r="I181" s="130">
        <f t="shared" si="9"/>
        <v>0</v>
      </c>
    </row>
    <row r="182" spans="2:9" x14ac:dyDescent="0.25">
      <c r="B182" s="77"/>
      <c r="C182" s="74"/>
      <c r="D182" s="160"/>
      <c r="E182" s="258"/>
      <c r="F182" s="277"/>
      <c r="G182" s="78"/>
      <c r="H182" s="79"/>
      <c r="I182" s="130">
        <f t="shared" si="9"/>
        <v>0</v>
      </c>
    </row>
    <row r="183" spans="2:9" ht="20.25" customHeight="1" x14ac:dyDescent="0.25">
      <c r="B183" s="72"/>
      <c r="C183" s="159" t="s">
        <v>529</v>
      </c>
      <c r="D183" s="82"/>
      <c r="E183" s="258"/>
      <c r="F183" s="277"/>
      <c r="G183" s="75"/>
      <c r="H183" s="122"/>
      <c r="I183" s="130">
        <f t="shared" si="9"/>
        <v>0</v>
      </c>
    </row>
    <row r="184" spans="2:9" x14ac:dyDescent="0.25">
      <c r="B184" s="72"/>
      <c r="C184" s="74"/>
      <c r="D184" s="82"/>
      <c r="E184" s="258"/>
      <c r="F184" s="277"/>
      <c r="G184" s="75"/>
      <c r="H184" s="122"/>
      <c r="I184" s="130">
        <f t="shared" si="9"/>
        <v>0</v>
      </c>
    </row>
    <row r="185" spans="2:9" ht="33.75" customHeight="1" x14ac:dyDescent="0.25">
      <c r="B185" s="72"/>
      <c r="C185" s="422" t="s">
        <v>629</v>
      </c>
      <c r="D185" s="423"/>
      <c r="E185" s="258"/>
      <c r="F185" s="277"/>
      <c r="G185" s="75"/>
      <c r="H185" s="122"/>
      <c r="I185" s="130">
        <f t="shared" si="9"/>
        <v>0</v>
      </c>
    </row>
    <row r="186" spans="2:9" ht="15" customHeight="1" x14ac:dyDescent="0.25">
      <c r="B186" s="72"/>
      <c r="C186" s="165"/>
      <c r="D186" s="82"/>
      <c r="E186" s="258"/>
      <c r="F186" s="277"/>
      <c r="G186" s="75"/>
      <c r="H186" s="122"/>
      <c r="I186" s="130">
        <f t="shared" si="9"/>
        <v>0</v>
      </c>
    </row>
    <row r="187" spans="2:9" x14ac:dyDescent="0.25">
      <c r="B187" s="172">
        <f>B181+0.01</f>
        <v>3.3799999999999919</v>
      </c>
      <c r="C187" s="74"/>
      <c r="D187" s="112" t="s">
        <v>527</v>
      </c>
      <c r="E187" s="258"/>
      <c r="F187" s="277">
        <v>1</v>
      </c>
      <c r="G187" s="75" t="s">
        <v>528</v>
      </c>
      <c r="H187" s="122"/>
      <c r="I187" s="130">
        <f t="shared" si="9"/>
        <v>0</v>
      </c>
    </row>
    <row r="188" spans="2:9" ht="15" customHeight="1" x14ac:dyDescent="0.25">
      <c r="B188" s="72"/>
      <c r="C188" s="135"/>
      <c r="D188" s="82"/>
      <c r="E188" s="258"/>
      <c r="F188" s="277"/>
      <c r="G188" s="75"/>
      <c r="H188" s="76"/>
      <c r="I188" s="130">
        <f t="shared" si="9"/>
        <v>0</v>
      </c>
    </row>
    <row r="189" spans="2:9" ht="15.75" thickBot="1" x14ac:dyDescent="0.3">
      <c r="B189" s="85"/>
      <c r="C189" s="86"/>
      <c r="D189" s="87"/>
      <c r="E189" s="222"/>
      <c r="F189" s="225"/>
      <c r="G189" s="88"/>
      <c r="H189" s="89"/>
      <c r="I189" s="76" t="str">
        <f>IF(H189="","",H189*E189)</f>
        <v/>
      </c>
    </row>
    <row r="190" spans="2:9" ht="30.75" customHeight="1" thickBot="1" x14ac:dyDescent="0.3">
      <c r="D190" s="367" t="s">
        <v>868</v>
      </c>
      <c r="H190" s="92"/>
      <c r="I190" s="124">
        <f>SUM(I18:I189)</f>
        <v>0</v>
      </c>
    </row>
  </sheetData>
  <mergeCells count="37">
    <mergeCell ref="C28:D28"/>
    <mergeCell ref="C32:D32"/>
    <mergeCell ref="C50:D50"/>
    <mergeCell ref="C34:D34"/>
    <mergeCell ref="C38:D38"/>
    <mergeCell ref="C185:D185"/>
    <mergeCell ref="C16:D16"/>
    <mergeCell ref="C18:D18"/>
    <mergeCell ref="C56:D56"/>
    <mergeCell ref="C76:D76"/>
    <mergeCell ref="C78:D78"/>
    <mergeCell ref="C60:D60"/>
    <mergeCell ref="C88:D88"/>
    <mergeCell ref="C90:D90"/>
    <mergeCell ref="C104:D104"/>
    <mergeCell ref="C92:D92"/>
    <mergeCell ref="C100:D100"/>
    <mergeCell ref="C82:D82"/>
    <mergeCell ref="C84:D84"/>
    <mergeCell ref="C106:D106"/>
    <mergeCell ref="C112:D112"/>
    <mergeCell ref="C6:D6"/>
    <mergeCell ref="C20:D20"/>
    <mergeCell ref="C122:D122"/>
    <mergeCell ref="C120:D120"/>
    <mergeCell ref="C179:D179"/>
    <mergeCell ref="C160:D160"/>
    <mergeCell ref="C7:D7"/>
    <mergeCell ref="C8:D8"/>
    <mergeCell ref="C9:D9"/>
    <mergeCell ref="C10:D10"/>
    <mergeCell ref="C152:D152"/>
    <mergeCell ref="C126:D126"/>
    <mergeCell ref="C64:D64"/>
    <mergeCell ref="C42:D42"/>
    <mergeCell ref="C46:D46"/>
    <mergeCell ref="C26:D26"/>
  </mergeCells>
  <pageMargins left="0.70866141732283472" right="0.70866141732283472" top="0.74803149606299213" bottom="0.74803149606299213" header="0.31496062992125984" footer="0.31496062992125984"/>
  <pageSetup paperSize="9" scale="68"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ADACB-1A35-41B9-B4A4-F1FD1AAA75A5}">
  <sheetPr>
    <pageSetUpPr fitToPage="1"/>
  </sheetPr>
  <dimension ref="B1:K130"/>
  <sheetViews>
    <sheetView zoomScale="80" zoomScaleNormal="80" workbookViewId="0">
      <selection activeCell="B2" sqref="B2:H3"/>
    </sheetView>
  </sheetViews>
  <sheetFormatPr defaultColWidth="9.140625" defaultRowHeight="15" x14ac:dyDescent="0.25"/>
  <cols>
    <col min="1" max="1" width="3" style="71" customWidth="1"/>
    <col min="2" max="2" width="9.140625" style="71"/>
    <col min="3" max="3" width="4.5703125" style="71" customWidth="1"/>
    <col min="4" max="4" width="72.42578125" style="71" customWidth="1"/>
    <col min="5" max="5" width="9.140625" style="90" hidden="1" customWidth="1"/>
    <col min="6" max="6" width="9.140625" style="90"/>
    <col min="7" max="7" width="9.140625" style="91"/>
    <col min="8" max="8" width="10.140625" style="71" customWidth="1"/>
    <col min="9" max="9" width="16.140625" style="71" customWidth="1"/>
    <col min="10" max="16384" width="9.140625" style="71"/>
  </cols>
  <sheetData>
    <row r="1" spans="2:9" ht="15.75" thickBot="1" x14ac:dyDescent="0.3"/>
    <row r="2" spans="2:9" ht="34.5" customHeight="1" x14ac:dyDescent="0.25">
      <c r="B2" s="361" t="str">
        <f>'Demos &amp; Altertns'!B2</f>
        <v>Todmorden Bandstand Refurbishment &amp; Bowls Pavilion New Build</v>
      </c>
      <c r="C2" s="95"/>
      <c r="D2" s="95"/>
      <c r="E2" s="96"/>
      <c r="F2" s="96"/>
      <c r="G2" s="96"/>
      <c r="H2" s="95"/>
      <c r="I2" s="97"/>
    </row>
    <row r="3" spans="2:9" ht="30" customHeight="1" x14ac:dyDescent="0.25">
      <c r="B3" s="362" t="str">
        <f>'Demos &amp; Altertns'!B3</f>
        <v>Tender Document</v>
      </c>
      <c r="C3" s="83"/>
      <c r="D3" s="83"/>
      <c r="E3" s="91"/>
      <c r="F3" s="91"/>
      <c r="G3" s="98"/>
      <c r="H3" s="99" t="str">
        <f>Summary!D15</f>
        <v>Steel Frame</v>
      </c>
      <c r="I3" s="100">
        <f>Preliminaries!G3</f>
        <v>45614</v>
      </c>
    </row>
    <row r="4" spans="2:9" ht="13.5" customHeight="1" thickBot="1" x14ac:dyDescent="0.3">
      <c r="B4" s="86">
        <v>4</v>
      </c>
      <c r="C4" s="101"/>
      <c r="D4" s="101"/>
      <c r="E4" s="102"/>
      <c r="F4" s="102"/>
      <c r="G4" s="102"/>
      <c r="H4" s="101"/>
      <c r="I4" s="169"/>
    </row>
    <row r="5" spans="2:9" ht="23.25" customHeight="1" thickBot="1" x14ac:dyDescent="0.3">
      <c r="B5" s="72"/>
      <c r="C5" s="73"/>
      <c r="D5" s="82"/>
      <c r="E5" s="227" t="s">
        <v>581</v>
      </c>
      <c r="F5" s="228" t="s">
        <v>1</v>
      </c>
      <c r="G5" s="107" t="s">
        <v>2</v>
      </c>
      <c r="H5" s="104" t="s">
        <v>3</v>
      </c>
      <c r="I5" s="105" t="s">
        <v>5</v>
      </c>
    </row>
    <row r="6" spans="2:9" ht="33.75" customHeight="1" x14ac:dyDescent="0.25">
      <c r="B6" s="72"/>
      <c r="C6" s="420" t="s">
        <v>560</v>
      </c>
      <c r="D6" s="421"/>
      <c r="E6" s="109"/>
      <c r="F6" s="109"/>
      <c r="G6" s="75"/>
      <c r="H6" s="76"/>
      <c r="I6" s="76" t="str">
        <f t="shared" ref="I6" si="0">IF(H6="","",H6*E6)</f>
        <v/>
      </c>
    </row>
    <row r="7" spans="2:9" ht="55.5" customHeight="1" x14ac:dyDescent="0.25">
      <c r="B7" s="72"/>
      <c r="C7" s="422" t="s">
        <v>824</v>
      </c>
      <c r="D7" s="423"/>
      <c r="E7" s="109"/>
      <c r="F7" s="109"/>
      <c r="G7" s="75"/>
      <c r="H7" s="122"/>
      <c r="I7" s="122"/>
    </row>
    <row r="8" spans="2:9" ht="57.75" customHeight="1" x14ac:dyDescent="0.25">
      <c r="B8" s="72"/>
      <c r="C8" s="422" t="s">
        <v>658</v>
      </c>
      <c r="D8" s="423"/>
      <c r="E8" s="109"/>
      <c r="F8" s="109"/>
      <c r="G8" s="75"/>
      <c r="H8" s="122"/>
      <c r="I8" s="122"/>
    </row>
    <row r="9" spans="2:9" ht="32.25" customHeight="1" x14ac:dyDescent="0.25">
      <c r="B9" s="72"/>
      <c r="C9" s="422" t="s">
        <v>575</v>
      </c>
      <c r="D9" s="423"/>
      <c r="E9" s="109"/>
      <c r="F9" s="109"/>
      <c r="G9" s="75"/>
      <c r="H9" s="122"/>
      <c r="I9" s="122"/>
    </row>
    <row r="10" spans="2:9" ht="32.25" customHeight="1" x14ac:dyDescent="0.25">
      <c r="B10" s="72"/>
      <c r="C10" s="422" t="s">
        <v>1416</v>
      </c>
      <c r="D10" s="423"/>
      <c r="E10" s="109"/>
      <c r="F10" s="109"/>
      <c r="G10" s="75"/>
      <c r="H10" s="122"/>
      <c r="I10" s="122"/>
    </row>
    <row r="11" spans="2:9" ht="14.25" customHeight="1" x14ac:dyDescent="0.25">
      <c r="B11" s="72"/>
      <c r="C11" s="165"/>
      <c r="D11" s="167"/>
      <c r="E11" s="109"/>
      <c r="F11" s="109"/>
      <c r="G11" s="75"/>
      <c r="H11" s="122"/>
      <c r="I11" s="122"/>
    </row>
    <row r="12" spans="2:9" x14ac:dyDescent="0.25">
      <c r="B12" s="72"/>
      <c r="C12" s="424" t="s">
        <v>815</v>
      </c>
      <c r="D12" s="425"/>
      <c r="E12" s="109"/>
      <c r="F12" s="109"/>
      <c r="G12" s="75"/>
      <c r="H12" s="122"/>
      <c r="I12" s="130"/>
    </row>
    <row r="13" spans="2:9" x14ac:dyDescent="0.25">
      <c r="B13" s="72"/>
      <c r="C13" s="393"/>
      <c r="D13" s="394"/>
      <c r="E13" s="109"/>
      <c r="F13" s="109"/>
      <c r="G13" s="75"/>
      <c r="H13" s="122"/>
      <c r="I13" s="130"/>
    </row>
    <row r="14" spans="2:9" x14ac:dyDescent="0.25">
      <c r="B14" s="72"/>
      <c r="C14" s="434" t="s">
        <v>1204</v>
      </c>
      <c r="D14" s="435"/>
      <c r="E14" s="109"/>
      <c r="F14" s="109"/>
      <c r="G14" s="75"/>
      <c r="H14" s="122"/>
      <c r="I14" s="130"/>
    </row>
    <row r="15" spans="2:9" x14ac:dyDescent="0.25">
      <c r="B15" s="72"/>
      <c r="C15" s="342"/>
      <c r="D15" s="365"/>
      <c r="E15" s="109"/>
      <c r="F15" s="109"/>
      <c r="G15" s="75"/>
      <c r="H15" s="122"/>
      <c r="I15" s="130"/>
    </row>
    <row r="16" spans="2:9" x14ac:dyDescent="0.25">
      <c r="B16" s="72"/>
      <c r="C16" s="424" t="s">
        <v>816</v>
      </c>
      <c r="D16" s="425"/>
      <c r="E16" s="109"/>
      <c r="F16" s="109"/>
      <c r="G16" s="75"/>
      <c r="H16" s="122"/>
      <c r="I16" s="130"/>
    </row>
    <row r="17" spans="2:9" x14ac:dyDescent="0.25">
      <c r="B17" s="72"/>
      <c r="C17" s="393"/>
      <c r="D17" s="394"/>
      <c r="E17" s="109"/>
      <c r="F17" s="109"/>
      <c r="G17" s="75"/>
      <c r="H17" s="122"/>
      <c r="I17" s="130"/>
    </row>
    <row r="18" spans="2:9" x14ac:dyDescent="0.25">
      <c r="B18" s="72"/>
      <c r="C18" s="469" t="s">
        <v>1214</v>
      </c>
      <c r="D18" s="470"/>
      <c r="E18" s="109"/>
      <c r="F18" s="109"/>
      <c r="G18" s="75"/>
      <c r="H18" s="122"/>
      <c r="I18" s="130">
        <f t="shared" ref="I18:I81" si="1">F18*H18</f>
        <v>0</v>
      </c>
    </row>
    <row r="19" spans="2:9" x14ac:dyDescent="0.25">
      <c r="B19" s="72"/>
      <c r="C19" s="407"/>
      <c r="D19" s="408"/>
      <c r="E19" s="109"/>
      <c r="F19" s="109"/>
      <c r="G19" s="75"/>
      <c r="H19" s="122"/>
      <c r="I19" s="130">
        <f t="shared" si="1"/>
        <v>0</v>
      </c>
    </row>
    <row r="20" spans="2:9" ht="33.75" customHeight="1" x14ac:dyDescent="0.25">
      <c r="B20" s="72"/>
      <c r="C20" s="437" t="s">
        <v>1213</v>
      </c>
      <c r="D20" s="438"/>
      <c r="E20" s="109"/>
      <c r="F20" s="109"/>
      <c r="G20" s="75"/>
      <c r="H20" s="122"/>
      <c r="I20" s="130">
        <f t="shared" si="1"/>
        <v>0</v>
      </c>
    </row>
    <row r="21" spans="2:9" ht="16.5" customHeight="1" x14ac:dyDescent="0.25">
      <c r="B21" s="72"/>
      <c r="C21" s="399"/>
      <c r="D21" s="400"/>
      <c r="E21" s="109"/>
      <c r="F21" s="109"/>
      <c r="G21" s="75"/>
      <c r="H21" s="122"/>
      <c r="I21" s="130">
        <f t="shared" si="1"/>
        <v>0</v>
      </c>
    </row>
    <row r="22" spans="2:9" ht="33" customHeight="1" x14ac:dyDescent="0.25">
      <c r="B22" s="72"/>
      <c r="C22" s="418" t="s">
        <v>1215</v>
      </c>
      <c r="D22" s="419"/>
      <c r="E22" s="109"/>
      <c r="F22" s="109"/>
      <c r="G22" s="75"/>
      <c r="H22" s="122"/>
      <c r="I22" s="130">
        <f t="shared" si="1"/>
        <v>0</v>
      </c>
    </row>
    <row r="23" spans="2:9" x14ac:dyDescent="0.25">
      <c r="B23" s="72"/>
      <c r="C23" s="108"/>
      <c r="D23" s="347"/>
      <c r="E23" s="109"/>
      <c r="F23" s="109"/>
      <c r="G23" s="75"/>
      <c r="H23" s="122"/>
      <c r="I23" s="130">
        <f t="shared" si="1"/>
        <v>0</v>
      </c>
    </row>
    <row r="24" spans="2:9" x14ac:dyDescent="0.25">
      <c r="B24" s="72">
        <f>B4+0.01</f>
        <v>4.01</v>
      </c>
      <c r="C24" s="108"/>
      <c r="D24" s="158" t="s">
        <v>527</v>
      </c>
      <c r="E24" s="343">
        <v>1</v>
      </c>
      <c r="F24" s="344">
        <v>1</v>
      </c>
      <c r="G24" s="128" t="s">
        <v>528</v>
      </c>
      <c r="H24" s="129"/>
      <c r="I24" s="130">
        <f t="shared" ref="I24" si="2">F24*H24</f>
        <v>0</v>
      </c>
    </row>
    <row r="25" spans="2:9" x14ac:dyDescent="0.25">
      <c r="B25" s="72"/>
      <c r="C25" s="108"/>
      <c r="D25" s="158"/>
      <c r="E25" s="343"/>
      <c r="F25" s="344"/>
      <c r="G25" s="128"/>
      <c r="H25" s="129"/>
      <c r="I25" s="130">
        <f t="shared" si="1"/>
        <v>0</v>
      </c>
    </row>
    <row r="26" spans="2:9" x14ac:dyDescent="0.25">
      <c r="B26" s="72"/>
      <c r="C26" s="443" t="s">
        <v>1216</v>
      </c>
      <c r="D26" s="444"/>
      <c r="E26" s="109"/>
      <c r="F26" s="109"/>
      <c r="G26" s="75"/>
      <c r="H26" s="122"/>
      <c r="I26" s="130">
        <f t="shared" si="1"/>
        <v>0</v>
      </c>
    </row>
    <row r="27" spans="2:9" x14ac:dyDescent="0.25">
      <c r="B27" s="72"/>
      <c r="C27" s="108"/>
      <c r="D27" s="400"/>
      <c r="E27" s="109"/>
      <c r="F27" s="109"/>
      <c r="G27" s="75"/>
      <c r="H27" s="122"/>
      <c r="I27" s="130">
        <f t="shared" si="1"/>
        <v>0</v>
      </c>
    </row>
    <row r="28" spans="2:9" ht="29.25" customHeight="1" x14ac:dyDescent="0.25">
      <c r="B28" s="72"/>
      <c r="C28" s="437" t="s">
        <v>1217</v>
      </c>
      <c r="D28" s="438"/>
      <c r="E28" s="109"/>
      <c r="F28" s="109"/>
      <c r="G28" s="75"/>
      <c r="H28" s="122"/>
      <c r="I28" s="130">
        <f t="shared" si="1"/>
        <v>0</v>
      </c>
    </row>
    <row r="29" spans="2:9" ht="16.5" customHeight="1" x14ac:dyDescent="0.25">
      <c r="B29" s="72"/>
      <c r="C29" s="399"/>
      <c r="D29" s="400"/>
      <c r="E29" s="109"/>
      <c r="F29" s="109"/>
      <c r="G29" s="75"/>
      <c r="H29" s="122"/>
      <c r="I29" s="130">
        <f t="shared" si="1"/>
        <v>0</v>
      </c>
    </row>
    <row r="30" spans="2:9" x14ac:dyDescent="0.25">
      <c r="B30" s="72"/>
      <c r="C30" s="434" t="s">
        <v>1218</v>
      </c>
      <c r="D30" s="444"/>
      <c r="E30" s="109"/>
      <c r="F30" s="109"/>
      <c r="G30" s="75"/>
      <c r="H30" s="122"/>
      <c r="I30" s="130">
        <f t="shared" si="1"/>
        <v>0</v>
      </c>
    </row>
    <row r="31" spans="2:9" x14ac:dyDescent="0.25">
      <c r="B31" s="72"/>
      <c r="C31" s="443"/>
      <c r="D31" s="444"/>
      <c r="E31" s="109"/>
      <c r="F31" s="109"/>
      <c r="G31" s="75"/>
      <c r="H31" s="122"/>
      <c r="I31" s="130">
        <f t="shared" si="1"/>
        <v>0</v>
      </c>
    </row>
    <row r="32" spans="2:9" x14ac:dyDescent="0.25">
      <c r="B32" s="72">
        <f>B24+0.01</f>
        <v>4.0199999999999996</v>
      </c>
      <c r="C32" s="108"/>
      <c r="D32" s="365" t="s">
        <v>1219</v>
      </c>
      <c r="E32" s="109">
        <v>12</v>
      </c>
      <c r="F32" s="162">
        <v>12</v>
      </c>
      <c r="G32" s="75" t="s">
        <v>1239</v>
      </c>
      <c r="H32" s="122"/>
      <c r="I32" s="130">
        <f t="shared" si="1"/>
        <v>0</v>
      </c>
    </row>
    <row r="33" spans="2:11" x14ac:dyDescent="0.25">
      <c r="B33" s="72"/>
      <c r="C33" s="108"/>
      <c r="D33" s="347"/>
      <c r="E33" s="109"/>
      <c r="F33" s="109"/>
      <c r="G33" s="75"/>
      <c r="H33" s="122"/>
      <c r="I33" s="130">
        <f t="shared" si="1"/>
        <v>0</v>
      </c>
    </row>
    <row r="34" spans="2:11" x14ac:dyDescent="0.25">
      <c r="B34" s="72"/>
      <c r="C34" s="443" t="s">
        <v>1208</v>
      </c>
      <c r="D34" s="444"/>
      <c r="E34" s="109"/>
      <c r="F34" s="109"/>
      <c r="G34" s="75"/>
      <c r="H34" s="122"/>
      <c r="I34" s="130">
        <f t="shared" si="1"/>
        <v>0</v>
      </c>
    </row>
    <row r="35" spans="2:11" x14ac:dyDescent="0.25">
      <c r="B35" s="72"/>
      <c r="C35" s="108"/>
      <c r="D35" s="347"/>
      <c r="E35" s="109"/>
      <c r="F35" s="109"/>
      <c r="G35" s="75"/>
      <c r="H35" s="122"/>
      <c r="I35" s="130">
        <f t="shared" si="1"/>
        <v>0</v>
      </c>
    </row>
    <row r="36" spans="2:11" x14ac:dyDescent="0.25">
      <c r="B36" s="72"/>
      <c r="C36" s="428" t="s">
        <v>1221</v>
      </c>
      <c r="D36" s="429"/>
      <c r="E36" s="109"/>
      <c r="F36" s="109"/>
      <c r="G36" s="75"/>
      <c r="H36" s="76"/>
      <c r="I36" s="130">
        <f t="shared" si="1"/>
        <v>0</v>
      </c>
    </row>
    <row r="37" spans="2:11" x14ac:dyDescent="0.25">
      <c r="B37" s="72"/>
      <c r="C37" s="175"/>
      <c r="D37" s="347"/>
      <c r="E37" s="109"/>
      <c r="F37" s="109"/>
      <c r="G37" s="75"/>
      <c r="H37" s="76"/>
      <c r="I37" s="130">
        <f t="shared" si="1"/>
        <v>0</v>
      </c>
    </row>
    <row r="38" spans="2:11" ht="61.5" customHeight="1" x14ac:dyDescent="0.25">
      <c r="B38" s="72"/>
      <c r="C38" s="422" t="s">
        <v>1220</v>
      </c>
      <c r="D38" s="423"/>
      <c r="E38" s="109"/>
      <c r="F38" s="109"/>
      <c r="G38" s="75"/>
      <c r="H38" s="76"/>
      <c r="I38" s="130">
        <f t="shared" si="1"/>
        <v>0</v>
      </c>
    </row>
    <row r="39" spans="2:11" x14ac:dyDescent="0.25">
      <c r="B39" s="72"/>
      <c r="C39" s="165"/>
      <c r="D39" s="167"/>
      <c r="E39" s="109"/>
      <c r="F39" s="109"/>
      <c r="G39" s="75"/>
      <c r="H39" s="76"/>
      <c r="I39" s="130">
        <f t="shared" si="1"/>
        <v>0</v>
      </c>
    </row>
    <row r="40" spans="2:11" x14ac:dyDescent="0.25">
      <c r="B40" s="164">
        <f>B32+0.01</f>
        <v>4.0299999999999994</v>
      </c>
      <c r="C40" s="73"/>
      <c r="D40" s="158" t="s">
        <v>527</v>
      </c>
      <c r="E40" s="343">
        <v>1</v>
      </c>
      <c r="F40" s="344">
        <v>1</v>
      </c>
      <c r="G40" s="128" t="s">
        <v>528</v>
      </c>
      <c r="H40" s="129"/>
      <c r="I40" s="130">
        <f t="shared" si="1"/>
        <v>0</v>
      </c>
    </row>
    <row r="41" spans="2:11" x14ac:dyDescent="0.25">
      <c r="B41" s="164"/>
      <c r="C41" s="73"/>
      <c r="D41" s="158"/>
      <c r="E41" s="343"/>
      <c r="F41" s="409"/>
      <c r="G41" s="128"/>
      <c r="H41" s="129"/>
      <c r="I41" s="130">
        <f t="shared" si="1"/>
        <v>0</v>
      </c>
    </row>
    <row r="42" spans="2:11" ht="33" customHeight="1" x14ac:dyDescent="0.25">
      <c r="B42" s="72"/>
      <c r="C42" s="437" t="s">
        <v>1209</v>
      </c>
      <c r="D42" s="438"/>
      <c r="E42" s="109"/>
      <c r="F42" s="277"/>
      <c r="G42" s="75"/>
      <c r="H42" s="122"/>
      <c r="I42" s="130">
        <f t="shared" si="1"/>
        <v>0</v>
      </c>
    </row>
    <row r="43" spans="2:11" x14ac:dyDescent="0.25">
      <c r="B43" s="72"/>
      <c r="C43" s="108"/>
      <c r="D43" s="167"/>
      <c r="E43" s="109"/>
      <c r="F43" s="277"/>
      <c r="G43" s="75"/>
      <c r="H43" s="122"/>
      <c r="I43" s="130">
        <f t="shared" si="1"/>
        <v>0</v>
      </c>
    </row>
    <row r="44" spans="2:11" x14ac:dyDescent="0.25">
      <c r="B44" s="72"/>
      <c r="C44" s="436" t="s">
        <v>1210</v>
      </c>
      <c r="D44" s="468"/>
      <c r="E44" s="109"/>
      <c r="F44" s="277"/>
      <c r="G44" s="75"/>
      <c r="H44" s="122"/>
      <c r="I44" s="130">
        <f t="shared" si="1"/>
        <v>0</v>
      </c>
    </row>
    <row r="45" spans="2:11" x14ac:dyDescent="0.25">
      <c r="B45" s="72"/>
      <c r="C45" s="108"/>
      <c r="D45" s="167"/>
      <c r="E45" s="109"/>
      <c r="F45" s="277"/>
      <c r="G45" s="75"/>
      <c r="H45" s="122"/>
      <c r="I45" s="130">
        <f t="shared" si="1"/>
        <v>0</v>
      </c>
    </row>
    <row r="46" spans="2:11" x14ac:dyDescent="0.25">
      <c r="B46" s="72">
        <f>B40+0.01</f>
        <v>4.0399999999999991</v>
      </c>
      <c r="C46" s="108"/>
      <c r="D46" s="167" t="s">
        <v>1225</v>
      </c>
      <c r="E46" s="109">
        <f>(10.61*23/1000)</f>
        <v>0.24402999999999997</v>
      </c>
      <c r="F46" s="413">
        <f>E46</f>
        <v>0.24402999999999997</v>
      </c>
      <c r="G46" s="75" t="s">
        <v>1222</v>
      </c>
      <c r="H46" s="122"/>
      <c r="I46" s="130">
        <f t="shared" si="1"/>
        <v>0</v>
      </c>
      <c r="K46" s="109">
        <f>(10.61*0.9)</f>
        <v>9.5489999999999995</v>
      </c>
    </row>
    <row r="47" spans="2:11" x14ac:dyDescent="0.25">
      <c r="B47" s="72"/>
      <c r="C47" s="108"/>
      <c r="D47" s="167"/>
      <c r="E47" s="109"/>
      <c r="F47" s="277"/>
      <c r="G47" s="75"/>
      <c r="H47" s="122"/>
      <c r="I47" s="130">
        <f t="shared" si="1"/>
        <v>0</v>
      </c>
    </row>
    <row r="48" spans="2:11" x14ac:dyDescent="0.25">
      <c r="B48" s="72">
        <f>B46+0.01</f>
        <v>4.0499999999999989</v>
      </c>
      <c r="C48" s="108"/>
      <c r="D48" s="167" t="s">
        <v>1228</v>
      </c>
      <c r="E48" s="109">
        <f>(7.6*19/1000)+(1.2*3*25/1000)</f>
        <v>0.2344</v>
      </c>
      <c r="F48" s="413">
        <f>E48</f>
        <v>0.2344</v>
      </c>
      <c r="G48" s="75" t="s">
        <v>1222</v>
      </c>
      <c r="H48" s="122"/>
      <c r="I48" s="130">
        <f t="shared" si="1"/>
        <v>0</v>
      </c>
      <c r="K48" s="109">
        <f>(7.6*0.77)+(1.2*3*0.94)</f>
        <v>9.2359999999999989</v>
      </c>
    </row>
    <row r="49" spans="2:11" x14ac:dyDescent="0.25">
      <c r="B49" s="72"/>
      <c r="C49" s="108"/>
      <c r="D49" s="167"/>
      <c r="E49" s="109"/>
      <c r="F49" s="277"/>
      <c r="G49" s="75"/>
      <c r="H49" s="122"/>
      <c r="I49" s="130">
        <f t="shared" si="1"/>
        <v>0</v>
      </c>
    </row>
    <row r="50" spans="2:11" x14ac:dyDescent="0.25">
      <c r="B50" s="72">
        <f>B48+0.01</f>
        <v>4.0599999999999987</v>
      </c>
      <c r="C50" s="108"/>
      <c r="D50" s="167" t="s">
        <v>1227</v>
      </c>
      <c r="E50" s="109">
        <f>(3*23/1000)</f>
        <v>6.9000000000000006E-2</v>
      </c>
      <c r="F50" s="413">
        <f>E50</f>
        <v>6.9000000000000006E-2</v>
      </c>
      <c r="G50" s="75" t="s">
        <v>1222</v>
      </c>
      <c r="H50" s="122"/>
      <c r="I50" s="130">
        <f t="shared" si="1"/>
        <v>0</v>
      </c>
      <c r="K50" s="109">
        <f>(3*0.7)</f>
        <v>2.0999999999999996</v>
      </c>
    </row>
    <row r="51" spans="2:11" x14ac:dyDescent="0.25">
      <c r="B51" s="72"/>
      <c r="C51" s="108"/>
      <c r="D51" s="167"/>
      <c r="E51" s="109"/>
      <c r="F51" s="277"/>
      <c r="G51" s="75"/>
      <c r="H51" s="122"/>
      <c r="I51" s="130">
        <f t="shared" si="1"/>
        <v>0</v>
      </c>
    </row>
    <row r="52" spans="2:11" x14ac:dyDescent="0.25">
      <c r="B52" s="72">
        <f>B50+0.01</f>
        <v>4.0699999999999985</v>
      </c>
      <c r="C52" s="108"/>
      <c r="D52" s="167" t="s">
        <v>1226</v>
      </c>
      <c r="E52" s="109">
        <f>(10.61*31/1000)+((4.66*30/1000)+(3.6*33/1000))</f>
        <v>0.58750999999999998</v>
      </c>
      <c r="F52" s="413">
        <f>E52</f>
        <v>0.58750999999999998</v>
      </c>
      <c r="G52" s="75" t="s">
        <v>1222</v>
      </c>
      <c r="H52" s="122"/>
      <c r="I52" s="130">
        <f t="shared" si="1"/>
        <v>0</v>
      </c>
      <c r="K52" s="109">
        <f>(10.61*1.09)+((4.66*0.94)+(3.6*1.22))</f>
        <v>20.337299999999999</v>
      </c>
    </row>
    <row r="53" spans="2:11" x14ac:dyDescent="0.25">
      <c r="B53" s="72"/>
      <c r="C53" s="108"/>
      <c r="D53" s="167"/>
      <c r="E53" s="109"/>
      <c r="F53" s="277"/>
      <c r="G53" s="75"/>
      <c r="H53" s="122"/>
      <c r="I53" s="130">
        <f t="shared" si="1"/>
        <v>0</v>
      </c>
    </row>
    <row r="54" spans="2:11" x14ac:dyDescent="0.25">
      <c r="B54" s="72">
        <f>B52+0.01</f>
        <v>4.0799999999999983</v>
      </c>
      <c r="C54" s="81"/>
      <c r="D54" s="167" t="s">
        <v>1224</v>
      </c>
      <c r="E54" s="109">
        <f>(3+6.6)*4*25/1000</f>
        <v>0.96</v>
      </c>
      <c r="F54" s="413">
        <f>E54</f>
        <v>0.96</v>
      </c>
      <c r="G54" s="75" t="s">
        <v>1222</v>
      </c>
      <c r="H54" s="122"/>
      <c r="I54" s="130">
        <f t="shared" si="1"/>
        <v>0</v>
      </c>
      <c r="K54" s="109">
        <f>(3+6.6)*4*0.94</f>
        <v>36.095999999999997</v>
      </c>
    </row>
    <row r="55" spans="2:11" x14ac:dyDescent="0.25">
      <c r="B55" s="72"/>
      <c r="C55" s="81"/>
      <c r="D55" s="167"/>
      <c r="E55" s="109"/>
      <c r="F55" s="277"/>
      <c r="G55" s="75"/>
      <c r="H55" s="122"/>
      <c r="I55" s="130">
        <f t="shared" si="1"/>
        <v>0</v>
      </c>
    </row>
    <row r="56" spans="2:11" ht="30" x14ac:dyDescent="0.25">
      <c r="B56" s="72">
        <f>B54+0.01</f>
        <v>4.0899999999999981</v>
      </c>
      <c r="C56" s="410"/>
      <c r="D56" s="167" t="s">
        <v>1321</v>
      </c>
      <c r="E56" s="343">
        <f>((10.6*2)+6.9)*19/1000</f>
        <v>0.53389999999999993</v>
      </c>
      <c r="F56" s="413">
        <f>E56</f>
        <v>0.53389999999999993</v>
      </c>
      <c r="G56" s="128" t="s">
        <v>1222</v>
      </c>
      <c r="H56" s="130"/>
      <c r="I56" s="130">
        <f t="shared" si="1"/>
        <v>0</v>
      </c>
      <c r="K56" s="343">
        <f>((10.6*2)+6.9)*0.76</f>
        <v>21.356000000000002</v>
      </c>
    </row>
    <row r="57" spans="2:11" x14ac:dyDescent="0.25">
      <c r="B57" s="72"/>
      <c r="C57" s="81"/>
      <c r="D57" s="167"/>
      <c r="E57" s="109"/>
      <c r="F57" s="277"/>
      <c r="G57" s="75"/>
      <c r="H57" s="122"/>
      <c r="I57" s="130">
        <f t="shared" si="1"/>
        <v>0</v>
      </c>
    </row>
    <row r="58" spans="2:11" x14ac:dyDescent="0.25">
      <c r="B58" s="172">
        <f>B56+0.01</f>
        <v>4.0999999999999979</v>
      </c>
      <c r="C58" s="81"/>
      <c r="D58" s="167" t="s">
        <v>1231</v>
      </c>
      <c r="E58" s="343">
        <f>10.6*9/1000</f>
        <v>9.5399999999999985E-2</v>
      </c>
      <c r="F58" s="413">
        <f>E58</f>
        <v>9.5399999999999985E-2</v>
      </c>
      <c r="G58" s="128" t="s">
        <v>1222</v>
      </c>
      <c r="H58" s="130"/>
      <c r="I58" s="130">
        <f t="shared" si="1"/>
        <v>0</v>
      </c>
      <c r="K58" s="343">
        <f>10.6*0.33</f>
        <v>3.4980000000000002</v>
      </c>
    </row>
    <row r="59" spans="2:11" x14ac:dyDescent="0.25">
      <c r="B59" s="72"/>
      <c r="C59" s="81"/>
      <c r="D59" s="167"/>
      <c r="E59" s="109"/>
      <c r="F59" s="277"/>
      <c r="G59" s="75"/>
      <c r="H59" s="122"/>
      <c r="I59" s="130">
        <f t="shared" si="1"/>
        <v>0</v>
      </c>
    </row>
    <row r="60" spans="2:11" x14ac:dyDescent="0.25">
      <c r="B60" s="172">
        <f>B58+0.01</f>
        <v>4.1099999999999977</v>
      </c>
      <c r="C60" s="81"/>
      <c r="D60" s="167" t="s">
        <v>1223</v>
      </c>
      <c r="E60" s="109">
        <f>((((3.2*4)+4.3)*30)+((3.2+3.2+3.2+4.3+4.3+4)*37))/1000</f>
        <v>1.3344</v>
      </c>
      <c r="F60" s="413">
        <f>E60</f>
        <v>1.3344</v>
      </c>
      <c r="G60" s="75" t="s">
        <v>1222</v>
      </c>
      <c r="H60" s="130"/>
      <c r="I60" s="130">
        <f t="shared" si="1"/>
        <v>0</v>
      </c>
      <c r="K60" s="109">
        <f>((((3.2*4)+4.3)*0.9)+((3.2+3.2+3.2+4.3+4.3+4)*0.9))</f>
        <v>35.370000000000005</v>
      </c>
    </row>
    <row r="61" spans="2:11" x14ac:dyDescent="0.25">
      <c r="B61" s="72"/>
      <c r="C61" s="81"/>
      <c r="D61" s="167"/>
      <c r="E61" s="344"/>
      <c r="F61" s="277"/>
      <c r="G61" s="75"/>
      <c r="H61" s="122"/>
      <c r="I61" s="130">
        <f t="shared" si="1"/>
        <v>0</v>
      </c>
    </row>
    <row r="62" spans="2:11" ht="15" customHeight="1" x14ac:dyDescent="0.25">
      <c r="B62" s="72">
        <f>B60+0.01</f>
        <v>4.1199999999999974</v>
      </c>
      <c r="C62" s="81"/>
      <c r="D62" s="167" t="s">
        <v>1229</v>
      </c>
      <c r="E62" s="109">
        <f>0.7*4*13/1000</f>
        <v>3.6400000000000002E-2</v>
      </c>
      <c r="F62" s="413">
        <f>E62</f>
        <v>3.6400000000000002E-2</v>
      </c>
      <c r="G62" s="75" t="s">
        <v>1222</v>
      </c>
      <c r="H62" s="130"/>
      <c r="I62" s="130">
        <f t="shared" si="1"/>
        <v>0</v>
      </c>
      <c r="K62" s="109">
        <f>0.7*4*0.47</f>
        <v>1.3159999999999998</v>
      </c>
    </row>
    <row r="63" spans="2:11" x14ac:dyDescent="0.25">
      <c r="B63" s="72"/>
      <c r="C63" s="81"/>
      <c r="D63" s="167"/>
      <c r="E63" s="109"/>
      <c r="F63" s="277"/>
      <c r="G63" s="75"/>
      <c r="H63" s="122"/>
      <c r="I63" s="130">
        <f t="shared" si="1"/>
        <v>0</v>
      </c>
    </row>
    <row r="64" spans="2:11" x14ac:dyDescent="0.25">
      <c r="B64" s="72">
        <f>B62+0.01</f>
        <v>4.1299999999999972</v>
      </c>
      <c r="C64" s="81"/>
      <c r="D64" s="167" t="s">
        <v>1230</v>
      </c>
      <c r="E64" s="109">
        <f>10.61*14/1000</f>
        <v>0.14854000000000001</v>
      </c>
      <c r="F64" s="413">
        <f>E64</f>
        <v>0.14854000000000001</v>
      </c>
      <c r="G64" s="75" t="s">
        <v>1222</v>
      </c>
      <c r="H64" s="122"/>
      <c r="I64" s="130">
        <f t="shared" si="1"/>
        <v>0</v>
      </c>
      <c r="K64" s="109">
        <f>10.61*0.36</f>
        <v>3.8195999999999994</v>
      </c>
    </row>
    <row r="65" spans="2:11" x14ac:dyDescent="0.25">
      <c r="B65" s="72"/>
      <c r="C65" s="81"/>
      <c r="D65" s="167"/>
      <c r="E65" s="109"/>
      <c r="F65" s="277"/>
      <c r="G65" s="75"/>
      <c r="H65" s="122"/>
      <c r="I65" s="130">
        <f t="shared" si="1"/>
        <v>0</v>
      </c>
    </row>
    <row r="66" spans="2:11" x14ac:dyDescent="0.25">
      <c r="B66" s="164">
        <f>B64+0.01</f>
        <v>4.139999999999997</v>
      </c>
      <c r="C66" s="171"/>
      <c r="D66" s="167" t="s">
        <v>1211</v>
      </c>
      <c r="E66" s="109">
        <f>(3.9+3+4.3+3.4+3.7+4.6+3.8+3.9)*9/1000</f>
        <v>0.27539999999999998</v>
      </c>
      <c r="F66" s="413">
        <f>E66</f>
        <v>0.27539999999999998</v>
      </c>
      <c r="G66" s="75" t="s">
        <v>1222</v>
      </c>
      <c r="H66" s="130"/>
      <c r="I66" s="130">
        <f t="shared" si="1"/>
        <v>0</v>
      </c>
      <c r="K66" s="109">
        <f>(3.9+3+4.3+3.4+3.7+4.6+3.8+3.9)*0.33</f>
        <v>10.097999999999999</v>
      </c>
    </row>
    <row r="67" spans="2:11" x14ac:dyDescent="0.25">
      <c r="B67" s="72"/>
      <c r="C67" s="171"/>
      <c r="D67" s="167"/>
      <c r="E67" s="109"/>
      <c r="F67" s="109"/>
      <c r="G67" s="75"/>
      <c r="H67" s="122"/>
      <c r="I67" s="130">
        <f t="shared" si="1"/>
        <v>0</v>
      </c>
    </row>
    <row r="68" spans="2:11" x14ac:dyDescent="0.25">
      <c r="B68" s="164">
        <f>B66+0.01</f>
        <v>4.1499999999999968</v>
      </c>
      <c r="C68" s="171"/>
      <c r="D68" s="167" t="s">
        <v>1212</v>
      </c>
      <c r="E68" s="109">
        <f>((3.1*2*2)+(2.7*2)+(1.8*2))*9/1000</f>
        <v>0.19260000000000002</v>
      </c>
      <c r="F68" s="413">
        <f>E68</f>
        <v>0.19260000000000002</v>
      </c>
      <c r="G68" s="75" t="s">
        <v>1222</v>
      </c>
      <c r="H68" s="130"/>
      <c r="I68" s="130">
        <f t="shared" si="1"/>
        <v>0</v>
      </c>
      <c r="K68" s="109">
        <f>((3.1*2*2)+(2.7*2)+(1.8*2))*0.33</f>
        <v>7.0620000000000012</v>
      </c>
    </row>
    <row r="69" spans="2:11" x14ac:dyDescent="0.25">
      <c r="B69" s="72"/>
      <c r="C69" s="171"/>
      <c r="D69" s="167"/>
      <c r="E69" s="109"/>
      <c r="F69" s="109"/>
      <c r="G69" s="75"/>
      <c r="H69" s="122"/>
      <c r="I69" s="130">
        <f t="shared" si="1"/>
        <v>0</v>
      </c>
      <c r="K69" s="411">
        <f>SUM(K46:K68)</f>
        <v>159.83790000000005</v>
      </c>
    </row>
    <row r="70" spans="2:11" x14ac:dyDescent="0.25">
      <c r="B70" s="72"/>
      <c r="C70" s="418" t="s">
        <v>1232</v>
      </c>
      <c r="D70" s="419"/>
      <c r="E70" s="109"/>
      <c r="F70" s="109"/>
      <c r="G70" s="75"/>
      <c r="H70" s="122"/>
      <c r="I70" s="130">
        <f t="shared" si="1"/>
        <v>0</v>
      </c>
      <c r="K70" s="412"/>
    </row>
    <row r="71" spans="2:11" x14ac:dyDescent="0.25">
      <c r="B71" s="72"/>
      <c r="C71" s="171"/>
      <c r="D71" s="167"/>
      <c r="E71" s="109"/>
      <c r="F71" s="109"/>
      <c r="G71" s="75"/>
      <c r="H71" s="122"/>
      <c r="I71" s="130">
        <f t="shared" si="1"/>
        <v>0</v>
      </c>
      <c r="K71" s="412"/>
    </row>
    <row r="72" spans="2:11" x14ac:dyDescent="0.25">
      <c r="B72" s="72">
        <f>B68+0.01</f>
        <v>4.1599999999999966</v>
      </c>
      <c r="C72" s="108"/>
      <c r="D72" s="167" t="s">
        <v>1225</v>
      </c>
      <c r="E72" s="109">
        <f>(10.61*23/1000)</f>
        <v>0.24402999999999997</v>
      </c>
      <c r="F72" s="413">
        <f>E72</f>
        <v>0.24402999999999997</v>
      </c>
      <c r="G72" s="75" t="s">
        <v>1222</v>
      </c>
      <c r="H72" s="122"/>
      <c r="I72" s="130">
        <f t="shared" si="1"/>
        <v>0</v>
      </c>
      <c r="K72" s="412"/>
    </row>
    <row r="73" spans="2:11" x14ac:dyDescent="0.25">
      <c r="B73" s="72"/>
      <c r="C73" s="171"/>
      <c r="D73" s="167"/>
      <c r="E73" s="109"/>
      <c r="F73" s="109"/>
      <c r="G73" s="75"/>
      <c r="H73" s="122"/>
      <c r="I73" s="130">
        <f t="shared" si="1"/>
        <v>0</v>
      </c>
      <c r="K73" s="412"/>
    </row>
    <row r="74" spans="2:11" x14ac:dyDescent="0.25">
      <c r="B74" s="72">
        <f>B72+0.01</f>
        <v>4.1699999999999964</v>
      </c>
      <c r="C74" s="108"/>
      <c r="D74" s="167" t="s">
        <v>1228</v>
      </c>
      <c r="E74" s="109">
        <f>(7.6*19/1000)+(1.2*3*25/1000)</f>
        <v>0.2344</v>
      </c>
      <c r="F74" s="413">
        <f>E74</f>
        <v>0.2344</v>
      </c>
      <c r="G74" s="75" t="s">
        <v>1222</v>
      </c>
      <c r="H74" s="122"/>
      <c r="I74" s="130">
        <f t="shared" si="1"/>
        <v>0</v>
      </c>
      <c r="K74" s="412"/>
    </row>
    <row r="75" spans="2:11" x14ac:dyDescent="0.25">
      <c r="B75" s="72"/>
      <c r="C75" s="108"/>
      <c r="D75" s="167"/>
      <c r="E75" s="109"/>
      <c r="F75" s="277"/>
      <c r="G75" s="75"/>
      <c r="H75" s="122"/>
      <c r="I75" s="130">
        <f t="shared" si="1"/>
        <v>0</v>
      </c>
      <c r="K75" s="412"/>
    </row>
    <row r="76" spans="2:11" x14ac:dyDescent="0.25">
      <c r="B76" s="72">
        <f>B74+0.01</f>
        <v>4.1799999999999962</v>
      </c>
      <c r="C76" s="108"/>
      <c r="D76" s="167" t="s">
        <v>1227</v>
      </c>
      <c r="E76" s="109">
        <f>(3*23/1000)</f>
        <v>6.9000000000000006E-2</v>
      </c>
      <c r="F76" s="413">
        <f>E76</f>
        <v>6.9000000000000006E-2</v>
      </c>
      <c r="G76" s="75" t="s">
        <v>1222</v>
      </c>
      <c r="H76" s="122"/>
      <c r="I76" s="130">
        <f t="shared" si="1"/>
        <v>0</v>
      </c>
      <c r="K76" s="412"/>
    </row>
    <row r="77" spans="2:11" x14ac:dyDescent="0.25">
      <c r="B77" s="72"/>
      <c r="C77" s="108"/>
      <c r="D77" s="167"/>
      <c r="E77" s="109"/>
      <c r="F77" s="277"/>
      <c r="G77" s="75"/>
      <c r="H77" s="122"/>
      <c r="I77" s="130">
        <f t="shared" si="1"/>
        <v>0</v>
      </c>
      <c r="K77" s="412"/>
    </row>
    <row r="78" spans="2:11" x14ac:dyDescent="0.25">
      <c r="B78" s="72">
        <f>B76+0.01</f>
        <v>4.1899999999999959</v>
      </c>
      <c r="C78" s="108"/>
      <c r="D78" s="167" t="s">
        <v>1226</v>
      </c>
      <c r="E78" s="109">
        <f>(10.61*31/1000)+((4.66*30/1000)+(3.6*33/1000))</f>
        <v>0.58750999999999998</v>
      </c>
      <c r="F78" s="413">
        <f>E78</f>
        <v>0.58750999999999998</v>
      </c>
      <c r="G78" s="75" t="s">
        <v>1222</v>
      </c>
      <c r="H78" s="122"/>
      <c r="I78" s="130">
        <f t="shared" si="1"/>
        <v>0</v>
      </c>
      <c r="K78" s="412"/>
    </row>
    <row r="79" spans="2:11" x14ac:dyDescent="0.25">
      <c r="B79" s="72"/>
      <c r="C79" s="108"/>
      <c r="D79" s="167"/>
      <c r="E79" s="109"/>
      <c r="F79" s="277"/>
      <c r="G79" s="75"/>
      <c r="H79" s="122"/>
      <c r="I79" s="130">
        <f t="shared" si="1"/>
        <v>0</v>
      </c>
      <c r="K79" s="412"/>
    </row>
    <row r="80" spans="2:11" x14ac:dyDescent="0.25">
      <c r="B80" s="172">
        <f>B78+0.01</f>
        <v>4.1999999999999957</v>
      </c>
      <c r="C80" s="81"/>
      <c r="D80" s="167" t="s">
        <v>1224</v>
      </c>
      <c r="E80" s="109">
        <f>(3+6.6)*4*25/1000</f>
        <v>0.96</v>
      </c>
      <c r="F80" s="413">
        <f>E80</f>
        <v>0.96</v>
      </c>
      <c r="G80" s="75" t="s">
        <v>1222</v>
      </c>
      <c r="H80" s="122"/>
      <c r="I80" s="130">
        <f t="shared" si="1"/>
        <v>0</v>
      </c>
      <c r="K80" s="412"/>
    </row>
    <row r="81" spans="2:11" x14ac:dyDescent="0.25">
      <c r="B81" s="72"/>
      <c r="C81" s="81"/>
      <c r="D81" s="167"/>
      <c r="E81" s="109"/>
      <c r="F81" s="277"/>
      <c r="G81" s="75"/>
      <c r="H81" s="122"/>
      <c r="I81" s="130">
        <f t="shared" si="1"/>
        <v>0</v>
      </c>
      <c r="K81" s="412"/>
    </row>
    <row r="82" spans="2:11" ht="30" x14ac:dyDescent="0.25">
      <c r="B82" s="72">
        <f>B80+0.01</f>
        <v>4.2099999999999955</v>
      </c>
      <c r="C82" s="410"/>
      <c r="D82" s="167" t="s">
        <v>1321</v>
      </c>
      <c r="E82" s="343">
        <f>((10.6*2)+6.9)*19/1000</f>
        <v>0.53389999999999993</v>
      </c>
      <c r="F82" s="413">
        <f>E82</f>
        <v>0.53389999999999993</v>
      </c>
      <c r="G82" s="128" t="s">
        <v>1222</v>
      </c>
      <c r="H82" s="130"/>
      <c r="I82" s="130">
        <f t="shared" ref="I82:I128" si="3">F82*H82</f>
        <v>0</v>
      </c>
      <c r="K82" s="412"/>
    </row>
    <row r="83" spans="2:11" x14ac:dyDescent="0.25">
      <c r="B83" s="72"/>
      <c r="C83" s="81"/>
      <c r="D83" s="167"/>
      <c r="E83" s="109"/>
      <c r="F83" s="277"/>
      <c r="G83" s="75"/>
      <c r="H83" s="122"/>
      <c r="I83" s="130">
        <f t="shared" si="3"/>
        <v>0</v>
      </c>
      <c r="K83" s="412"/>
    </row>
    <row r="84" spans="2:11" x14ac:dyDescent="0.25">
      <c r="B84" s="172">
        <f>B82+0.01</f>
        <v>4.2199999999999953</v>
      </c>
      <c r="C84" s="81"/>
      <c r="D84" s="167" t="s">
        <v>1231</v>
      </c>
      <c r="E84" s="343">
        <f>10.6*9/1000</f>
        <v>9.5399999999999985E-2</v>
      </c>
      <c r="F84" s="413">
        <f>E84</f>
        <v>9.5399999999999985E-2</v>
      </c>
      <c r="G84" s="128" t="s">
        <v>1222</v>
      </c>
      <c r="H84" s="130"/>
      <c r="I84" s="130">
        <f t="shared" si="3"/>
        <v>0</v>
      </c>
      <c r="K84" s="412"/>
    </row>
    <row r="85" spans="2:11" x14ac:dyDescent="0.25">
      <c r="B85" s="72"/>
      <c r="C85" s="81"/>
      <c r="D85" s="167"/>
      <c r="E85" s="109"/>
      <c r="F85" s="277"/>
      <c r="G85" s="75"/>
      <c r="H85" s="122"/>
      <c r="I85" s="130">
        <f t="shared" si="3"/>
        <v>0</v>
      </c>
      <c r="K85" s="412"/>
    </row>
    <row r="86" spans="2:11" x14ac:dyDescent="0.25">
      <c r="B86" s="172">
        <f>B84+0.01</f>
        <v>4.2299999999999951</v>
      </c>
      <c r="C86" s="81"/>
      <c r="D86" s="167" t="s">
        <v>1223</v>
      </c>
      <c r="E86" s="109">
        <f>((((3.2*4)+4.3)*30)+((3.2+3.2+3.2+4.3+4.3+4)*37))/1000</f>
        <v>1.3344</v>
      </c>
      <c r="F86" s="413">
        <f>E86</f>
        <v>1.3344</v>
      </c>
      <c r="G86" s="75" t="s">
        <v>1222</v>
      </c>
      <c r="H86" s="130"/>
      <c r="I86" s="130">
        <f t="shared" si="3"/>
        <v>0</v>
      </c>
      <c r="K86" s="412"/>
    </row>
    <row r="87" spans="2:11" x14ac:dyDescent="0.25">
      <c r="B87" s="72"/>
      <c r="C87" s="81"/>
      <c r="D87" s="167"/>
      <c r="E87" s="344"/>
      <c r="F87" s="277"/>
      <c r="G87" s="75"/>
      <c r="H87" s="122"/>
      <c r="I87" s="130">
        <f t="shared" si="3"/>
        <v>0</v>
      </c>
      <c r="K87" s="412"/>
    </row>
    <row r="88" spans="2:11" ht="16.5" customHeight="1" x14ac:dyDescent="0.25">
      <c r="B88" s="72">
        <f>B86+0.01</f>
        <v>4.2399999999999949</v>
      </c>
      <c r="C88" s="81"/>
      <c r="D88" s="167" t="s">
        <v>1229</v>
      </c>
      <c r="E88" s="109">
        <f>0.7*4*13/1000</f>
        <v>3.6400000000000002E-2</v>
      </c>
      <c r="F88" s="413">
        <f>E88</f>
        <v>3.6400000000000002E-2</v>
      </c>
      <c r="G88" s="75" t="s">
        <v>1222</v>
      </c>
      <c r="H88" s="130"/>
      <c r="I88" s="130">
        <f t="shared" si="3"/>
        <v>0</v>
      </c>
      <c r="K88" s="412"/>
    </row>
    <row r="89" spans="2:11" x14ac:dyDescent="0.25">
      <c r="B89" s="72"/>
      <c r="C89" s="81"/>
      <c r="D89" s="167"/>
      <c r="E89" s="109"/>
      <c r="F89" s="277"/>
      <c r="G89" s="75"/>
      <c r="H89" s="122"/>
      <c r="I89" s="130">
        <f t="shared" si="3"/>
        <v>0</v>
      </c>
      <c r="K89" s="412"/>
    </row>
    <row r="90" spans="2:11" x14ac:dyDescent="0.25">
      <c r="B90" s="72">
        <f>B88+0.01</f>
        <v>4.2499999999999947</v>
      </c>
      <c r="C90" s="81"/>
      <c r="D90" s="167" t="s">
        <v>1230</v>
      </c>
      <c r="E90" s="109">
        <f>10.61*14/1000</f>
        <v>0.14854000000000001</v>
      </c>
      <c r="F90" s="413">
        <f>E90</f>
        <v>0.14854000000000001</v>
      </c>
      <c r="G90" s="75" t="s">
        <v>1222</v>
      </c>
      <c r="H90" s="122"/>
      <c r="I90" s="130">
        <f t="shared" si="3"/>
        <v>0</v>
      </c>
      <c r="K90" s="412"/>
    </row>
    <row r="91" spans="2:11" x14ac:dyDescent="0.25">
      <c r="B91" s="72"/>
      <c r="C91" s="81"/>
      <c r="D91" s="167"/>
      <c r="E91" s="109"/>
      <c r="F91" s="277"/>
      <c r="G91" s="75"/>
      <c r="H91" s="122"/>
      <c r="I91" s="130">
        <f t="shared" si="3"/>
        <v>0</v>
      </c>
      <c r="K91" s="412"/>
    </row>
    <row r="92" spans="2:11" x14ac:dyDescent="0.25">
      <c r="B92" s="164">
        <f>B90+0.01</f>
        <v>4.2599999999999945</v>
      </c>
      <c r="C92" s="171"/>
      <c r="D92" s="167" t="s">
        <v>1211</v>
      </c>
      <c r="E92" s="109">
        <f>(3.9+3+4.3+3.4+3.7+4.6+3.8+3.9)*9/1000</f>
        <v>0.27539999999999998</v>
      </c>
      <c r="F92" s="413">
        <f>E92</f>
        <v>0.27539999999999998</v>
      </c>
      <c r="G92" s="75" t="s">
        <v>1222</v>
      </c>
      <c r="H92" s="130"/>
      <c r="I92" s="130">
        <f t="shared" si="3"/>
        <v>0</v>
      </c>
      <c r="K92" s="412"/>
    </row>
    <row r="93" spans="2:11" x14ac:dyDescent="0.25">
      <c r="B93" s="72"/>
      <c r="C93" s="171"/>
      <c r="D93" s="167"/>
      <c r="E93" s="109"/>
      <c r="F93" s="109"/>
      <c r="G93" s="75"/>
      <c r="H93" s="122"/>
      <c r="I93" s="130">
        <f t="shared" si="3"/>
        <v>0</v>
      </c>
      <c r="K93" s="412"/>
    </row>
    <row r="94" spans="2:11" x14ac:dyDescent="0.25">
      <c r="B94" s="164">
        <f>B92+0.01</f>
        <v>4.2699999999999942</v>
      </c>
      <c r="C94" s="171"/>
      <c r="D94" s="167" t="s">
        <v>1212</v>
      </c>
      <c r="E94" s="109">
        <f>((3.1*2*2)+(2.7*2)+(1.8*2))*9/1000</f>
        <v>0.19260000000000002</v>
      </c>
      <c r="F94" s="413">
        <f>E94</f>
        <v>0.19260000000000002</v>
      </c>
      <c r="G94" s="75" t="s">
        <v>1222</v>
      </c>
      <c r="H94" s="130"/>
      <c r="I94" s="130">
        <f t="shared" si="3"/>
        <v>0</v>
      </c>
      <c r="K94" s="412"/>
    </row>
    <row r="95" spans="2:11" x14ac:dyDescent="0.25">
      <c r="B95" s="72"/>
      <c r="C95" s="171"/>
      <c r="D95" s="167"/>
      <c r="E95" s="109">
        <f>SUM(E72:E94)</f>
        <v>4.7115800000000005</v>
      </c>
      <c r="F95" s="109"/>
      <c r="G95" s="75"/>
      <c r="H95" s="122"/>
      <c r="I95" s="130">
        <f t="shared" si="3"/>
        <v>0</v>
      </c>
      <c r="K95" s="412"/>
    </row>
    <row r="96" spans="2:11" x14ac:dyDescent="0.25">
      <c r="B96" s="72"/>
      <c r="C96" s="418" t="s">
        <v>1233</v>
      </c>
      <c r="D96" s="419"/>
      <c r="E96" s="109"/>
      <c r="F96" s="109"/>
      <c r="G96" s="75"/>
      <c r="H96" s="122"/>
      <c r="I96" s="130">
        <f t="shared" si="3"/>
        <v>0</v>
      </c>
      <c r="K96" s="412"/>
    </row>
    <row r="97" spans="2:11" x14ac:dyDescent="0.25">
      <c r="B97" s="72"/>
      <c r="C97" s="171"/>
      <c r="D97" s="167"/>
      <c r="E97" s="109"/>
      <c r="F97" s="109"/>
      <c r="G97" s="75"/>
      <c r="H97" s="122"/>
      <c r="I97" s="130">
        <f t="shared" si="3"/>
        <v>0</v>
      </c>
      <c r="K97" s="412"/>
    </row>
    <row r="98" spans="2:11" ht="27" customHeight="1" x14ac:dyDescent="0.25">
      <c r="B98" s="164">
        <f>B94+0.01</f>
        <v>4.279999999999994</v>
      </c>
      <c r="C98" s="171"/>
      <c r="D98" s="167" t="s">
        <v>1234</v>
      </c>
      <c r="E98" s="343">
        <f>E95*15%</f>
        <v>0.70673700000000006</v>
      </c>
      <c r="F98" s="343">
        <f>E98</f>
        <v>0.70673700000000006</v>
      </c>
      <c r="G98" s="128" t="s">
        <v>1222</v>
      </c>
      <c r="H98" s="130"/>
      <c r="I98" s="130">
        <f t="shared" si="3"/>
        <v>0</v>
      </c>
      <c r="K98" s="412"/>
    </row>
    <row r="99" spans="2:11" x14ac:dyDescent="0.25">
      <c r="B99" s="72"/>
      <c r="C99" s="171"/>
      <c r="D99" s="167"/>
      <c r="E99" s="109"/>
      <c r="F99" s="109"/>
      <c r="G99" s="75"/>
      <c r="H99" s="122"/>
      <c r="I99" s="130">
        <f t="shared" si="3"/>
        <v>0</v>
      </c>
      <c r="K99" s="412"/>
    </row>
    <row r="100" spans="2:11" x14ac:dyDescent="0.25">
      <c r="B100" s="72"/>
      <c r="C100" s="418" t="s">
        <v>1235</v>
      </c>
      <c r="D100" s="419"/>
      <c r="E100" s="109"/>
      <c r="F100" s="109"/>
      <c r="G100" s="75"/>
      <c r="H100" s="122"/>
      <c r="I100" s="130">
        <f t="shared" si="3"/>
        <v>0</v>
      </c>
      <c r="K100" s="412"/>
    </row>
    <row r="101" spans="2:11" x14ac:dyDescent="0.25">
      <c r="B101" s="72"/>
      <c r="C101" s="171"/>
      <c r="D101" s="167"/>
      <c r="E101" s="109"/>
      <c r="F101" s="109"/>
      <c r="G101" s="75"/>
      <c r="H101" s="122"/>
      <c r="I101" s="130">
        <f t="shared" si="3"/>
        <v>0</v>
      </c>
      <c r="K101" s="412"/>
    </row>
    <row r="102" spans="2:11" ht="45" x14ac:dyDescent="0.25">
      <c r="B102" s="164">
        <f>B98+0.01</f>
        <v>4.2899999999999938</v>
      </c>
      <c r="C102" s="171"/>
      <c r="D102" s="167" t="s">
        <v>1236</v>
      </c>
      <c r="E102" s="343">
        <f>K69</f>
        <v>159.83790000000005</v>
      </c>
      <c r="F102" s="344">
        <v>160</v>
      </c>
      <c r="G102" s="128" t="s">
        <v>659</v>
      </c>
      <c r="H102" s="130"/>
      <c r="I102" s="130">
        <f t="shared" si="3"/>
        <v>0</v>
      </c>
      <c r="K102" s="412"/>
    </row>
    <row r="103" spans="2:11" x14ac:dyDescent="0.25">
      <c r="B103" s="72"/>
      <c r="C103" s="171"/>
      <c r="D103" s="167"/>
      <c r="E103" s="109"/>
      <c r="F103" s="109"/>
      <c r="G103" s="75"/>
      <c r="H103" s="122"/>
      <c r="I103" s="130">
        <f t="shared" si="3"/>
        <v>0</v>
      </c>
      <c r="K103" s="412"/>
    </row>
    <row r="104" spans="2:11" x14ac:dyDescent="0.25">
      <c r="B104" s="72"/>
      <c r="C104" s="418" t="s">
        <v>1237</v>
      </c>
      <c r="D104" s="419"/>
      <c r="E104" s="109"/>
      <c r="F104" s="109"/>
      <c r="G104" s="75"/>
      <c r="H104" s="122"/>
      <c r="I104" s="130">
        <f t="shared" si="3"/>
        <v>0</v>
      </c>
      <c r="K104" s="412"/>
    </row>
    <row r="105" spans="2:11" x14ac:dyDescent="0.25">
      <c r="B105" s="72"/>
      <c r="C105" s="171"/>
      <c r="D105" s="167"/>
      <c r="E105" s="109"/>
      <c r="F105" s="109"/>
      <c r="G105" s="75"/>
      <c r="H105" s="122"/>
      <c r="I105" s="130">
        <f t="shared" si="3"/>
        <v>0</v>
      </c>
      <c r="K105" s="412"/>
    </row>
    <row r="106" spans="2:11" ht="45" x14ac:dyDescent="0.25">
      <c r="B106" s="179">
        <f>B102+0.01</f>
        <v>4.2999999999999936</v>
      </c>
      <c r="C106" s="171"/>
      <c r="D106" s="167" t="s">
        <v>1238</v>
      </c>
      <c r="E106" s="343">
        <v>12</v>
      </c>
      <c r="F106" s="344">
        <v>12</v>
      </c>
      <c r="G106" s="128" t="s">
        <v>765</v>
      </c>
      <c r="H106" s="130"/>
      <c r="I106" s="130">
        <f t="shared" si="3"/>
        <v>0</v>
      </c>
      <c r="K106" s="412"/>
    </row>
    <row r="107" spans="2:11" x14ac:dyDescent="0.25">
      <c r="B107" s="72"/>
      <c r="C107" s="171"/>
      <c r="D107" s="167"/>
      <c r="E107" s="109"/>
      <c r="F107" s="109"/>
      <c r="G107" s="75"/>
      <c r="H107" s="122"/>
      <c r="I107" s="130">
        <f t="shared" si="3"/>
        <v>0</v>
      </c>
      <c r="K107" s="412"/>
    </row>
    <row r="108" spans="2:11" x14ac:dyDescent="0.25">
      <c r="B108" s="172"/>
      <c r="C108" s="73"/>
      <c r="D108" s="82"/>
      <c r="E108" s="109"/>
      <c r="F108" s="109"/>
      <c r="G108" s="75"/>
      <c r="H108" s="122"/>
      <c r="I108" s="130">
        <f t="shared" si="3"/>
        <v>0</v>
      </c>
    </row>
    <row r="109" spans="2:11" x14ac:dyDescent="0.25">
      <c r="B109" s="77"/>
      <c r="C109" s="73" t="s">
        <v>549</v>
      </c>
      <c r="D109" s="160"/>
      <c r="E109" s="109"/>
      <c r="F109" s="109"/>
      <c r="G109" s="78"/>
      <c r="H109" s="79"/>
      <c r="I109" s="130">
        <f t="shared" si="3"/>
        <v>0</v>
      </c>
    </row>
    <row r="110" spans="2:11" x14ac:dyDescent="0.25">
      <c r="B110" s="77"/>
      <c r="C110" s="74"/>
      <c r="D110" s="160"/>
      <c r="E110" s="109"/>
      <c r="F110" s="109"/>
      <c r="G110" s="78"/>
      <c r="H110" s="79"/>
      <c r="I110" s="130">
        <f t="shared" si="3"/>
        <v>0</v>
      </c>
    </row>
    <row r="111" spans="2:11" x14ac:dyDescent="0.25">
      <c r="B111" s="77"/>
      <c r="C111" s="159" t="s">
        <v>550</v>
      </c>
      <c r="D111" s="160"/>
      <c r="E111" s="109"/>
      <c r="F111" s="109"/>
      <c r="G111" s="78"/>
      <c r="H111" s="79"/>
      <c r="I111" s="130">
        <f t="shared" si="3"/>
        <v>0</v>
      </c>
    </row>
    <row r="112" spans="2:11" x14ac:dyDescent="0.25">
      <c r="B112" s="77"/>
      <c r="C112" s="74"/>
      <c r="D112" s="160"/>
      <c r="E112" s="109"/>
      <c r="F112" s="109"/>
      <c r="G112" s="78"/>
      <c r="H112" s="79"/>
      <c r="I112" s="130">
        <f t="shared" si="3"/>
        <v>0</v>
      </c>
    </row>
    <row r="113" spans="2:9" x14ac:dyDescent="0.25">
      <c r="B113" s="77"/>
      <c r="C113" s="74" t="s">
        <v>551</v>
      </c>
      <c r="D113" s="160"/>
      <c r="E113" s="109"/>
      <c r="F113" s="109"/>
      <c r="G113" s="78"/>
      <c r="H113" s="79"/>
      <c r="I113" s="130">
        <f t="shared" si="3"/>
        <v>0</v>
      </c>
    </row>
    <row r="114" spans="2:9" x14ac:dyDescent="0.25">
      <c r="B114" s="77"/>
      <c r="C114" s="74"/>
      <c r="D114" s="160"/>
      <c r="E114" s="109"/>
      <c r="F114" s="109"/>
      <c r="G114" s="78"/>
      <c r="H114" s="79"/>
      <c r="I114" s="130">
        <f t="shared" si="3"/>
        <v>0</v>
      </c>
    </row>
    <row r="115" spans="2:9" x14ac:dyDescent="0.25">
      <c r="B115" s="172">
        <f>B106+0.01</f>
        <v>4.3099999999999934</v>
      </c>
      <c r="C115" s="74"/>
      <c r="D115" s="112" t="s">
        <v>527</v>
      </c>
      <c r="E115" s="109"/>
      <c r="F115" s="109"/>
      <c r="G115" s="75" t="s">
        <v>528</v>
      </c>
      <c r="H115" s="76"/>
      <c r="I115" s="130">
        <f t="shared" si="3"/>
        <v>0</v>
      </c>
    </row>
    <row r="116" spans="2:9" x14ac:dyDescent="0.25">
      <c r="B116" s="77"/>
      <c r="C116" s="74"/>
      <c r="D116" s="160"/>
      <c r="E116" s="109"/>
      <c r="F116" s="109"/>
      <c r="G116" s="78"/>
      <c r="H116" s="79"/>
      <c r="I116" s="130">
        <f t="shared" si="3"/>
        <v>0</v>
      </c>
    </row>
    <row r="117" spans="2:9" x14ac:dyDescent="0.25">
      <c r="B117" s="77"/>
      <c r="C117" s="159" t="s">
        <v>556</v>
      </c>
      <c r="D117" s="160"/>
      <c r="E117" s="109"/>
      <c r="F117" s="109"/>
      <c r="G117" s="78"/>
      <c r="H117" s="79"/>
      <c r="I117" s="130">
        <f t="shared" si="3"/>
        <v>0</v>
      </c>
    </row>
    <row r="118" spans="2:9" x14ac:dyDescent="0.25">
      <c r="B118" s="77"/>
      <c r="C118" s="74"/>
      <c r="D118" s="160"/>
      <c r="E118" s="109"/>
      <c r="F118" s="109"/>
      <c r="G118" s="78"/>
      <c r="H118" s="79"/>
      <c r="I118" s="130">
        <f t="shared" si="3"/>
        <v>0</v>
      </c>
    </row>
    <row r="119" spans="2:9" ht="35.25" customHeight="1" x14ac:dyDescent="0.25">
      <c r="B119" s="77"/>
      <c r="C119" s="420" t="s">
        <v>557</v>
      </c>
      <c r="D119" s="421"/>
      <c r="E119" s="109"/>
      <c r="F119" s="109"/>
      <c r="G119" s="78"/>
      <c r="H119" s="79"/>
      <c r="I119" s="130">
        <f t="shared" si="3"/>
        <v>0</v>
      </c>
    </row>
    <row r="120" spans="2:9" ht="17.25" customHeight="1" x14ac:dyDescent="0.25">
      <c r="B120" s="77"/>
      <c r="C120" s="170"/>
      <c r="D120" s="158"/>
      <c r="E120" s="109"/>
      <c r="F120" s="109"/>
      <c r="G120" s="78"/>
      <c r="H120" s="79"/>
      <c r="I120" s="130">
        <f t="shared" si="3"/>
        <v>0</v>
      </c>
    </row>
    <row r="121" spans="2:9" x14ac:dyDescent="0.25">
      <c r="B121" s="173">
        <f>B115+0.01</f>
        <v>4.3199999999999932</v>
      </c>
      <c r="C121" s="74"/>
      <c r="D121" s="112" t="s">
        <v>527</v>
      </c>
      <c r="E121" s="109"/>
      <c r="F121" s="109"/>
      <c r="G121" s="75" t="s">
        <v>528</v>
      </c>
      <c r="H121" s="76"/>
      <c r="I121" s="130">
        <f t="shared" si="3"/>
        <v>0</v>
      </c>
    </row>
    <row r="122" spans="2:9" x14ac:dyDescent="0.25">
      <c r="B122" s="77"/>
      <c r="C122" s="74"/>
      <c r="D122" s="160"/>
      <c r="E122" s="109"/>
      <c r="F122" s="109"/>
      <c r="G122" s="78"/>
      <c r="H122" s="79"/>
      <c r="I122" s="130">
        <f t="shared" si="3"/>
        <v>0</v>
      </c>
    </row>
    <row r="123" spans="2:9" ht="20.25" customHeight="1" x14ac:dyDescent="0.25">
      <c r="B123" s="72"/>
      <c r="C123" s="159" t="s">
        <v>529</v>
      </c>
      <c r="D123" s="82"/>
      <c r="E123" s="109"/>
      <c r="F123" s="109"/>
      <c r="G123" s="75"/>
      <c r="H123" s="122"/>
      <c r="I123" s="130">
        <f t="shared" si="3"/>
        <v>0</v>
      </c>
    </row>
    <row r="124" spans="2:9" x14ac:dyDescent="0.25">
      <c r="B124" s="72"/>
      <c r="C124" s="74"/>
      <c r="D124" s="82"/>
      <c r="E124" s="109"/>
      <c r="F124" s="109"/>
      <c r="G124" s="75"/>
      <c r="H124" s="122"/>
      <c r="I124" s="130">
        <f t="shared" si="3"/>
        <v>0</v>
      </c>
    </row>
    <row r="125" spans="2:9" ht="33.75" customHeight="1" x14ac:dyDescent="0.25">
      <c r="B125" s="72"/>
      <c r="C125" s="422" t="s">
        <v>629</v>
      </c>
      <c r="D125" s="423"/>
      <c r="E125" s="109"/>
      <c r="F125" s="109"/>
      <c r="G125" s="75"/>
      <c r="H125" s="122"/>
      <c r="I125" s="130">
        <f t="shared" si="3"/>
        <v>0</v>
      </c>
    </row>
    <row r="126" spans="2:9" ht="15" customHeight="1" x14ac:dyDescent="0.25">
      <c r="B126" s="72"/>
      <c r="C126" s="165"/>
      <c r="D126" s="82"/>
      <c r="E126" s="109"/>
      <c r="F126" s="109"/>
      <c r="G126" s="75"/>
      <c r="H126" s="122"/>
      <c r="I126" s="130">
        <f t="shared" si="3"/>
        <v>0</v>
      </c>
    </row>
    <row r="127" spans="2:9" x14ac:dyDescent="0.25">
      <c r="B127" s="172">
        <f>B121+0.01</f>
        <v>4.329999999999993</v>
      </c>
      <c r="C127" s="74"/>
      <c r="D127" s="112" t="s">
        <v>527</v>
      </c>
      <c r="E127" s="109"/>
      <c r="F127" s="109"/>
      <c r="G127" s="75" t="s">
        <v>528</v>
      </c>
      <c r="H127" s="122"/>
      <c r="I127" s="130">
        <f t="shared" si="3"/>
        <v>0</v>
      </c>
    </row>
    <row r="128" spans="2:9" ht="15" customHeight="1" x14ac:dyDescent="0.25">
      <c r="B128" s="72"/>
      <c r="C128" s="135"/>
      <c r="D128" s="82"/>
      <c r="E128" s="109"/>
      <c r="F128" s="109"/>
      <c r="G128" s="75"/>
      <c r="H128" s="76"/>
      <c r="I128" s="130">
        <f t="shared" si="3"/>
        <v>0</v>
      </c>
    </row>
    <row r="129" spans="2:9" ht="15.75" thickBot="1" x14ac:dyDescent="0.3">
      <c r="B129" s="85"/>
      <c r="C129" s="86"/>
      <c r="D129" s="87"/>
      <c r="E129" s="222"/>
      <c r="F129" s="225"/>
      <c r="G129" s="88"/>
      <c r="H129" s="89"/>
      <c r="I129" s="76" t="str">
        <f>IF(H129="","",H129*E129)</f>
        <v/>
      </c>
    </row>
    <row r="130" spans="2:9" ht="30.75" customHeight="1" thickBot="1" x14ac:dyDescent="0.3">
      <c r="D130" s="367" t="s">
        <v>1240</v>
      </c>
      <c r="H130" s="92"/>
      <c r="I130" s="124">
        <f>SUM(I22:I129)</f>
        <v>0</v>
      </c>
    </row>
  </sheetData>
  <mergeCells count="26">
    <mergeCell ref="C44:D44"/>
    <mergeCell ref="C42:D42"/>
    <mergeCell ref="C70:D70"/>
    <mergeCell ref="C119:D119"/>
    <mergeCell ref="C125:D125"/>
    <mergeCell ref="C96:D96"/>
    <mergeCell ref="C100:D100"/>
    <mergeCell ref="C104:D104"/>
    <mergeCell ref="C30:D30"/>
    <mergeCell ref="C31:D31"/>
    <mergeCell ref="C34:D34"/>
    <mergeCell ref="C36:D36"/>
    <mergeCell ref="C38:D38"/>
    <mergeCell ref="C6:D6"/>
    <mergeCell ref="C7:D7"/>
    <mergeCell ref="C8:D8"/>
    <mergeCell ref="C9:D9"/>
    <mergeCell ref="C10:D10"/>
    <mergeCell ref="C12:D12"/>
    <mergeCell ref="C14:D14"/>
    <mergeCell ref="C16:D16"/>
    <mergeCell ref="C18:D18"/>
    <mergeCell ref="C28:D28"/>
    <mergeCell ref="C26:D26"/>
    <mergeCell ref="C22:D22"/>
    <mergeCell ref="C20:D20"/>
  </mergeCells>
  <pageMargins left="0.70866141732283472" right="0.70866141732283472" top="0.74803149606299213" bottom="0.74803149606299213" header="0.31496062992125984" footer="0.31496062992125984"/>
  <pageSetup paperSize="9" scale="68"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269"/>
  <sheetViews>
    <sheetView zoomScale="80" zoomScaleNormal="80" workbookViewId="0">
      <selection activeCell="I3" sqref="I3"/>
    </sheetView>
  </sheetViews>
  <sheetFormatPr defaultColWidth="9.140625" defaultRowHeight="15" x14ac:dyDescent="0.25"/>
  <cols>
    <col min="1" max="1" width="3" style="71" customWidth="1"/>
    <col min="2" max="2" width="6.85546875" style="71" customWidth="1"/>
    <col min="3" max="3" width="4.5703125" style="71" customWidth="1"/>
    <col min="4" max="4" width="72.42578125" style="71" customWidth="1"/>
    <col min="5" max="5" width="9.140625" style="90" hidden="1" customWidth="1"/>
    <col min="6" max="6" width="11.5703125" style="90" customWidth="1"/>
    <col min="7" max="7" width="9.140625" style="91"/>
    <col min="8" max="8" width="10.140625" style="71" customWidth="1"/>
    <col min="9" max="9" width="16.140625" style="71" customWidth="1"/>
    <col min="10" max="10" width="9.140625" style="71"/>
    <col min="11" max="11" width="0" style="71" hidden="1" customWidth="1"/>
    <col min="12" max="16384" width="9.140625" style="71"/>
  </cols>
  <sheetData>
    <row r="1" spans="2:9" ht="15.75" thickBot="1" x14ac:dyDescent="0.3"/>
    <row r="2" spans="2:9" ht="34.5" customHeight="1" x14ac:dyDescent="0.25">
      <c r="B2" s="94" t="str">
        <f>+Summary!B2</f>
        <v>Todmorden Bandstand Refurbishment &amp; Bowls Pavilion New Build</v>
      </c>
      <c r="C2" s="95"/>
      <c r="D2" s="95"/>
      <c r="E2" s="96"/>
      <c r="F2" s="96"/>
      <c r="G2" s="96"/>
      <c r="H2" s="95"/>
      <c r="I2" s="97"/>
    </row>
    <row r="3" spans="2:9" ht="30" customHeight="1" x14ac:dyDescent="0.25">
      <c r="B3" s="73" t="str">
        <f>+Summary!B3</f>
        <v>Tender Document</v>
      </c>
      <c r="C3" s="83"/>
      <c r="D3" s="83"/>
      <c r="E3" s="91"/>
      <c r="F3" s="91"/>
      <c r="G3" s="98"/>
      <c r="H3" s="99" t="str">
        <f>+Summary!D17</f>
        <v>External Walls</v>
      </c>
      <c r="I3" s="100">
        <f>+Summary!G3</f>
        <v>45614</v>
      </c>
    </row>
    <row r="4" spans="2:9" ht="13.5" customHeight="1" thickBot="1" x14ac:dyDescent="0.3">
      <c r="B4" s="86">
        <v>5</v>
      </c>
      <c r="C4" s="101"/>
      <c r="D4" s="101"/>
      <c r="E4" s="102"/>
      <c r="F4" s="102"/>
      <c r="G4" s="102"/>
      <c r="H4" s="101"/>
      <c r="I4" s="169"/>
    </row>
    <row r="5" spans="2:9" ht="23.25" customHeight="1" thickBot="1" x14ac:dyDescent="0.3">
      <c r="B5" s="72"/>
      <c r="C5" s="73"/>
      <c r="D5" s="82"/>
      <c r="E5" s="106" t="s">
        <v>581</v>
      </c>
      <c r="F5" s="106" t="s">
        <v>1</v>
      </c>
      <c r="G5" s="107" t="s">
        <v>2</v>
      </c>
      <c r="H5" s="104" t="s">
        <v>3</v>
      </c>
      <c r="I5" s="105" t="s">
        <v>5</v>
      </c>
    </row>
    <row r="6" spans="2:9" ht="33.75" customHeight="1" x14ac:dyDescent="0.25">
      <c r="B6" s="72"/>
      <c r="C6" s="420" t="s">
        <v>560</v>
      </c>
      <c r="D6" s="421"/>
      <c r="E6" s="75"/>
      <c r="F6" s="75"/>
      <c r="G6" s="75"/>
      <c r="H6" s="76"/>
      <c r="I6" s="76" t="str">
        <f t="shared" ref="I6" si="0">IF(H6="","",H6*E6)</f>
        <v/>
      </c>
    </row>
    <row r="7" spans="2:9" ht="66" customHeight="1" x14ac:dyDescent="0.25">
      <c r="B7" s="72"/>
      <c r="C7" s="422" t="s">
        <v>586</v>
      </c>
      <c r="D7" s="423"/>
      <c r="E7" s="75"/>
      <c r="F7" s="75"/>
      <c r="G7" s="75"/>
      <c r="H7" s="76"/>
      <c r="I7" s="76"/>
    </row>
    <row r="8" spans="2:9" ht="61.5" customHeight="1" x14ac:dyDescent="0.25">
      <c r="B8" s="72"/>
      <c r="C8" s="422" t="s">
        <v>658</v>
      </c>
      <c r="D8" s="423"/>
      <c r="E8" s="154"/>
      <c r="F8" s="75"/>
      <c r="G8" s="75"/>
      <c r="H8" s="122"/>
      <c r="I8" s="122"/>
    </row>
    <row r="9" spans="2:9" ht="32.25" customHeight="1" x14ac:dyDescent="0.25">
      <c r="B9" s="72"/>
      <c r="C9" s="422" t="s">
        <v>575</v>
      </c>
      <c r="D9" s="423"/>
      <c r="E9" s="154"/>
      <c r="F9" s="75"/>
      <c r="G9" s="75"/>
      <c r="H9" s="122"/>
      <c r="I9" s="122"/>
    </row>
    <row r="10" spans="2:9" ht="33.75" customHeight="1" x14ac:dyDescent="0.25">
      <c r="B10" s="72"/>
      <c r="C10" s="422" t="s">
        <v>692</v>
      </c>
      <c r="D10" s="423"/>
      <c r="E10" s="154"/>
      <c r="F10" s="75"/>
      <c r="G10" s="75"/>
      <c r="H10" s="122"/>
      <c r="I10" s="122"/>
    </row>
    <row r="11" spans="2:9" ht="33.75" customHeight="1" x14ac:dyDescent="0.25">
      <c r="B11" s="72"/>
      <c r="C11" s="422" t="s">
        <v>904</v>
      </c>
      <c r="D11" s="423"/>
      <c r="E11" s="154"/>
      <c r="F11" s="75"/>
      <c r="G11" s="75"/>
      <c r="H11" s="122"/>
      <c r="I11" s="122"/>
    </row>
    <row r="12" spans="2:9" ht="17.25" customHeight="1" x14ac:dyDescent="0.25">
      <c r="B12" s="72"/>
      <c r="C12" s="168"/>
      <c r="D12" s="167"/>
      <c r="E12" s="75"/>
      <c r="F12" s="75"/>
      <c r="G12" s="75"/>
      <c r="H12" s="122"/>
      <c r="I12" s="122"/>
    </row>
    <row r="13" spans="2:9" ht="17.25" customHeight="1" x14ac:dyDescent="0.25">
      <c r="B13" s="72"/>
      <c r="C13" s="350" t="s">
        <v>815</v>
      </c>
      <c r="D13" s="82"/>
      <c r="E13" s="75"/>
      <c r="F13" s="75"/>
      <c r="G13" s="75"/>
      <c r="H13" s="122"/>
      <c r="I13" s="130">
        <f t="shared" ref="I13:I16" si="1">F13*H13</f>
        <v>0</v>
      </c>
    </row>
    <row r="14" spans="2:9" ht="17.25" customHeight="1" x14ac:dyDescent="0.25">
      <c r="B14" s="72"/>
      <c r="C14" s="168"/>
      <c r="D14" s="167"/>
      <c r="E14" s="75"/>
      <c r="F14" s="75"/>
      <c r="G14" s="75"/>
      <c r="H14" s="122"/>
      <c r="I14" s="122"/>
    </row>
    <row r="15" spans="2:9" ht="17.25" customHeight="1" x14ac:dyDescent="0.25">
      <c r="B15" s="72"/>
      <c r="C15" s="466" t="s">
        <v>649</v>
      </c>
      <c r="D15" s="467"/>
      <c r="E15" s="75"/>
      <c r="F15" s="75"/>
      <c r="G15" s="75"/>
      <c r="H15" s="122"/>
      <c r="I15" s="130">
        <f t="shared" si="1"/>
        <v>0</v>
      </c>
    </row>
    <row r="16" spans="2:9" ht="17.25" customHeight="1" x14ac:dyDescent="0.25">
      <c r="B16" s="72"/>
      <c r="C16" s="84"/>
      <c r="D16" s="82"/>
      <c r="E16" s="75"/>
      <c r="F16" s="75"/>
      <c r="G16" s="75"/>
      <c r="H16" s="122"/>
      <c r="I16" s="130">
        <f t="shared" si="1"/>
        <v>0</v>
      </c>
    </row>
    <row r="17" spans="2:9" ht="17.25" customHeight="1" x14ac:dyDescent="0.25">
      <c r="B17" s="72"/>
      <c r="C17" s="84" t="s">
        <v>647</v>
      </c>
      <c r="D17" s="82"/>
      <c r="E17" s="75"/>
      <c r="F17" s="75"/>
      <c r="G17" s="75"/>
      <c r="H17" s="122"/>
      <c r="I17" s="245">
        <f t="shared" ref="I17:I18" si="2">F17*H17</f>
        <v>0</v>
      </c>
    </row>
    <row r="18" spans="2:9" ht="17.25" customHeight="1" x14ac:dyDescent="0.25">
      <c r="B18" s="72"/>
      <c r="C18" s="84"/>
      <c r="D18" s="82"/>
      <c r="E18" s="75"/>
      <c r="F18" s="75"/>
      <c r="G18" s="75"/>
      <c r="H18" s="122"/>
      <c r="I18" s="245">
        <f t="shared" si="2"/>
        <v>0</v>
      </c>
    </row>
    <row r="19" spans="2:9" ht="17.25" customHeight="1" x14ac:dyDescent="0.25">
      <c r="B19" s="72"/>
      <c r="C19" s="159" t="s">
        <v>648</v>
      </c>
      <c r="D19" s="82"/>
      <c r="E19" s="220"/>
      <c r="F19" s="223"/>
      <c r="G19" s="75"/>
      <c r="H19" s="122"/>
      <c r="I19" s="122"/>
    </row>
    <row r="20" spans="2:9" ht="17.25" customHeight="1" x14ac:dyDescent="0.25">
      <c r="B20" s="72"/>
      <c r="C20" s="159"/>
      <c r="D20" s="82"/>
      <c r="E20" s="220"/>
      <c r="F20" s="223"/>
      <c r="G20" s="75"/>
      <c r="H20" s="122"/>
      <c r="I20" s="122"/>
    </row>
    <row r="21" spans="2:9" ht="17.25" customHeight="1" x14ac:dyDescent="0.25">
      <c r="B21" s="72"/>
      <c r="C21" s="74" t="s">
        <v>719</v>
      </c>
      <c r="D21" s="82"/>
      <c r="E21" s="220"/>
      <c r="F21" s="223"/>
      <c r="G21" s="75"/>
      <c r="H21" s="122"/>
      <c r="I21" s="122"/>
    </row>
    <row r="22" spans="2:9" ht="17.25" customHeight="1" x14ac:dyDescent="0.25">
      <c r="B22" s="72"/>
      <c r="C22" s="159"/>
      <c r="D22" s="82"/>
      <c r="E22" s="220"/>
      <c r="F22" s="223"/>
      <c r="G22" s="75"/>
      <c r="H22" s="122"/>
      <c r="I22" s="122"/>
    </row>
    <row r="23" spans="2:9" ht="17.25" customHeight="1" x14ac:dyDescent="0.25">
      <c r="B23" s="164">
        <f>B4+0.01</f>
        <v>5.01</v>
      </c>
      <c r="C23" s="159"/>
      <c r="D23" s="82" t="s">
        <v>527</v>
      </c>
      <c r="E23" s="220"/>
      <c r="F23" s="224">
        <v>1</v>
      </c>
      <c r="G23" s="128" t="s">
        <v>528</v>
      </c>
      <c r="H23" s="130"/>
      <c r="I23" s="130">
        <f t="shared" ref="I23:I86" si="3">F23*H23</f>
        <v>0</v>
      </c>
    </row>
    <row r="24" spans="2:9" ht="17.25" customHeight="1" x14ac:dyDescent="0.25">
      <c r="B24" s="72"/>
      <c r="C24" s="84"/>
      <c r="D24" s="82"/>
      <c r="E24" s="220"/>
      <c r="F24" s="223"/>
      <c r="G24" s="75"/>
      <c r="H24" s="122"/>
      <c r="I24" s="130">
        <f t="shared" si="3"/>
        <v>0</v>
      </c>
    </row>
    <row r="25" spans="2:9" ht="17.25" customHeight="1" x14ac:dyDescent="0.25">
      <c r="B25" s="72"/>
      <c r="C25" s="418" t="s">
        <v>716</v>
      </c>
      <c r="D25" s="419"/>
      <c r="E25" s="220"/>
      <c r="F25" s="223"/>
      <c r="G25" s="75"/>
      <c r="H25" s="122"/>
      <c r="I25" s="130">
        <f t="shared" si="3"/>
        <v>0</v>
      </c>
    </row>
    <row r="26" spans="2:9" ht="17.25" customHeight="1" x14ac:dyDescent="0.25">
      <c r="B26" s="72"/>
      <c r="C26" s="84"/>
      <c r="D26" s="82"/>
      <c r="E26" s="220"/>
      <c r="F26" s="223"/>
      <c r="G26" s="75"/>
      <c r="H26" s="122"/>
      <c r="I26" s="130">
        <f t="shared" si="3"/>
        <v>0</v>
      </c>
    </row>
    <row r="27" spans="2:9" ht="45" customHeight="1" x14ac:dyDescent="0.25">
      <c r="B27" s="164">
        <f>B23+0.01</f>
        <v>5.0199999999999996</v>
      </c>
      <c r="C27" s="84"/>
      <c r="D27" s="82" t="s">
        <v>1417</v>
      </c>
      <c r="E27" s="221"/>
      <c r="F27" s="224">
        <v>1</v>
      </c>
      <c r="G27" s="128" t="s">
        <v>528</v>
      </c>
      <c r="H27" s="130"/>
      <c r="I27" s="130">
        <f t="shared" si="3"/>
        <v>0</v>
      </c>
    </row>
    <row r="28" spans="2:9" ht="17.25" customHeight="1" x14ac:dyDescent="0.25">
      <c r="B28" s="72"/>
      <c r="C28" s="84"/>
      <c r="D28" s="82"/>
      <c r="E28" s="220"/>
      <c r="F28" s="223"/>
      <c r="G28" s="75"/>
      <c r="H28" s="122"/>
      <c r="I28" s="130">
        <f t="shared" si="3"/>
        <v>0</v>
      </c>
    </row>
    <row r="29" spans="2:9" ht="29.25" customHeight="1" x14ac:dyDescent="0.25">
      <c r="B29" s="164">
        <f>B27+0.01</f>
        <v>5.0299999999999994</v>
      </c>
      <c r="C29" s="84"/>
      <c r="D29" s="82" t="s">
        <v>1363</v>
      </c>
      <c r="E29" s="221"/>
      <c r="F29" s="224">
        <v>1</v>
      </c>
      <c r="G29" s="128" t="s">
        <v>528</v>
      </c>
      <c r="H29" s="130"/>
      <c r="I29" s="130">
        <f t="shared" si="3"/>
        <v>0</v>
      </c>
    </row>
    <row r="30" spans="2:9" ht="17.25" customHeight="1" x14ac:dyDescent="0.25">
      <c r="B30" s="72"/>
      <c r="C30" s="84"/>
      <c r="D30" s="82"/>
      <c r="E30" s="226"/>
      <c r="F30" s="223"/>
      <c r="G30" s="75"/>
      <c r="H30" s="122"/>
      <c r="I30" s="130">
        <f t="shared" si="3"/>
        <v>0</v>
      </c>
    </row>
    <row r="31" spans="2:9" ht="16.5" customHeight="1" x14ac:dyDescent="0.25">
      <c r="B31" s="164">
        <f>B29+0.01</f>
        <v>5.0399999999999991</v>
      </c>
      <c r="C31" s="84"/>
      <c r="D31" s="82" t="s">
        <v>720</v>
      </c>
      <c r="E31" s="221"/>
      <c r="F31" s="224">
        <v>1</v>
      </c>
      <c r="G31" s="128" t="s">
        <v>528</v>
      </c>
      <c r="H31" s="130"/>
      <c r="I31" s="130">
        <f t="shared" si="3"/>
        <v>0</v>
      </c>
    </row>
    <row r="32" spans="2:9" ht="17.25" customHeight="1" x14ac:dyDescent="0.25">
      <c r="B32" s="72"/>
      <c r="C32" s="84"/>
      <c r="D32" s="82"/>
      <c r="E32" s="226"/>
      <c r="F32" s="223"/>
      <c r="G32" s="75"/>
      <c r="H32" s="122"/>
      <c r="I32" s="130">
        <f t="shared" si="3"/>
        <v>0</v>
      </c>
    </row>
    <row r="33" spans="2:9" ht="43.5" customHeight="1" x14ac:dyDescent="0.25">
      <c r="B33" s="164">
        <f>B31+0.01</f>
        <v>5.0499999999999989</v>
      </c>
      <c r="C33" s="84"/>
      <c r="D33" s="158" t="s">
        <v>1364</v>
      </c>
      <c r="E33" s="221"/>
      <c r="F33" s="224">
        <v>1</v>
      </c>
      <c r="G33" s="128" t="s">
        <v>528</v>
      </c>
      <c r="H33" s="130"/>
      <c r="I33" s="130">
        <f t="shared" si="3"/>
        <v>0</v>
      </c>
    </row>
    <row r="34" spans="2:9" ht="17.25" customHeight="1" x14ac:dyDescent="0.25">
      <c r="B34" s="72"/>
      <c r="C34" s="84"/>
      <c r="D34" s="82"/>
      <c r="E34" s="226"/>
      <c r="F34" s="223"/>
      <c r="G34" s="75"/>
      <c r="H34" s="122"/>
      <c r="I34" s="130">
        <f t="shared" si="3"/>
        <v>0</v>
      </c>
    </row>
    <row r="35" spans="2:9" ht="48" customHeight="1" x14ac:dyDescent="0.25">
      <c r="B35" s="164">
        <f>B33+0.01</f>
        <v>5.0599999999999987</v>
      </c>
      <c r="C35" s="84"/>
      <c r="D35" s="158" t="s">
        <v>722</v>
      </c>
      <c r="E35" s="221"/>
      <c r="F35" s="224">
        <v>1</v>
      </c>
      <c r="G35" s="128" t="s">
        <v>528</v>
      </c>
      <c r="H35" s="130"/>
      <c r="I35" s="130">
        <f t="shared" si="3"/>
        <v>0</v>
      </c>
    </row>
    <row r="36" spans="2:9" ht="17.25" customHeight="1" x14ac:dyDescent="0.25">
      <c r="B36" s="164"/>
      <c r="C36" s="84"/>
      <c r="D36" s="158"/>
      <c r="E36" s="229"/>
      <c r="F36" s="224"/>
      <c r="G36" s="128"/>
      <c r="H36" s="130"/>
      <c r="I36" s="130">
        <f t="shared" si="3"/>
        <v>0</v>
      </c>
    </row>
    <row r="37" spans="2:9" ht="28.5" customHeight="1" x14ac:dyDescent="0.25">
      <c r="B37" s="164">
        <f>B35+0.01</f>
        <v>5.0699999999999985</v>
      </c>
      <c r="C37" s="84"/>
      <c r="D37" s="158" t="s">
        <v>721</v>
      </c>
      <c r="E37" s="221"/>
      <c r="F37" s="224">
        <v>1</v>
      </c>
      <c r="G37" s="128" t="s">
        <v>528</v>
      </c>
      <c r="H37" s="130"/>
      <c r="I37" s="130">
        <f t="shared" si="3"/>
        <v>0</v>
      </c>
    </row>
    <row r="38" spans="2:9" ht="17.25" customHeight="1" x14ac:dyDescent="0.25">
      <c r="B38" s="164"/>
      <c r="C38" s="84"/>
      <c r="D38" s="158"/>
      <c r="E38" s="229"/>
      <c r="F38" s="224"/>
      <c r="G38" s="128"/>
      <c r="H38" s="130"/>
      <c r="I38" s="130">
        <f t="shared" si="3"/>
        <v>0</v>
      </c>
    </row>
    <row r="39" spans="2:9" ht="17.25" customHeight="1" x14ac:dyDescent="0.25">
      <c r="B39" s="72"/>
      <c r="C39" s="159" t="s">
        <v>698</v>
      </c>
      <c r="D39" s="82"/>
      <c r="E39" s="75"/>
      <c r="F39" s="75"/>
      <c r="G39" s="75"/>
      <c r="H39" s="122"/>
      <c r="I39" s="130">
        <f t="shared" si="3"/>
        <v>0</v>
      </c>
    </row>
    <row r="40" spans="2:9" ht="17.25" customHeight="1" x14ac:dyDescent="0.25">
      <c r="B40" s="72"/>
      <c r="C40" s="84"/>
      <c r="D40" s="82"/>
      <c r="E40" s="75"/>
      <c r="F40" s="75"/>
      <c r="G40" s="75"/>
      <c r="H40" s="122"/>
      <c r="I40" s="130">
        <f t="shared" si="3"/>
        <v>0</v>
      </c>
    </row>
    <row r="41" spans="2:9" ht="17.25" customHeight="1" x14ac:dyDescent="0.25">
      <c r="B41" s="72"/>
      <c r="C41" s="74" t="s">
        <v>632</v>
      </c>
      <c r="D41" s="82"/>
      <c r="E41" s="75"/>
      <c r="F41" s="75"/>
      <c r="G41" s="75"/>
      <c r="H41" s="122"/>
      <c r="I41" s="130">
        <f t="shared" si="3"/>
        <v>0</v>
      </c>
    </row>
    <row r="42" spans="2:9" ht="17.25" customHeight="1" x14ac:dyDescent="0.25">
      <c r="B42" s="72"/>
      <c r="C42" s="84"/>
      <c r="D42" s="82"/>
      <c r="E42" s="75"/>
      <c r="F42" s="75"/>
      <c r="G42" s="75"/>
      <c r="H42" s="122"/>
      <c r="I42" s="130">
        <f t="shared" si="3"/>
        <v>0</v>
      </c>
    </row>
    <row r="43" spans="2:9" ht="75" customHeight="1" x14ac:dyDescent="0.25">
      <c r="B43" s="179">
        <f>B37+0.01</f>
        <v>5.0799999999999983</v>
      </c>
      <c r="C43" s="84"/>
      <c r="D43" s="251" t="s">
        <v>693</v>
      </c>
      <c r="E43" s="75"/>
      <c r="F43" s="128">
        <v>1</v>
      </c>
      <c r="G43" s="128" t="s">
        <v>528</v>
      </c>
      <c r="H43" s="130"/>
      <c r="I43" s="130">
        <f t="shared" si="3"/>
        <v>0</v>
      </c>
    </row>
    <row r="44" spans="2:9" ht="17.25" customHeight="1" x14ac:dyDescent="0.25">
      <c r="B44" s="72"/>
      <c r="C44" s="84"/>
      <c r="D44" s="82"/>
      <c r="E44" s="75"/>
      <c r="F44" s="75"/>
      <c r="G44" s="75"/>
      <c r="H44" s="122"/>
      <c r="I44" s="130">
        <f t="shared" si="3"/>
        <v>0</v>
      </c>
    </row>
    <row r="45" spans="2:9" ht="48" customHeight="1" x14ac:dyDescent="0.25">
      <c r="B45" s="164">
        <f>B43+0.01</f>
        <v>5.0899999999999981</v>
      </c>
      <c r="C45" s="84"/>
      <c r="D45" s="246" t="s">
        <v>697</v>
      </c>
      <c r="E45" s="75"/>
      <c r="F45" s="128">
        <v>1</v>
      </c>
      <c r="G45" s="128" t="s">
        <v>528</v>
      </c>
      <c r="H45" s="130"/>
      <c r="I45" s="130">
        <f t="shared" si="3"/>
        <v>0</v>
      </c>
    </row>
    <row r="46" spans="2:9" ht="17.25" customHeight="1" x14ac:dyDescent="0.25">
      <c r="B46" s="72"/>
      <c r="C46" s="84"/>
      <c r="D46" s="82"/>
      <c r="E46" s="75"/>
      <c r="F46" s="75"/>
      <c r="G46" s="75"/>
      <c r="H46" s="122"/>
      <c r="I46" s="130">
        <f t="shared" si="3"/>
        <v>0</v>
      </c>
    </row>
    <row r="47" spans="2:9" ht="47.25" customHeight="1" x14ac:dyDescent="0.25">
      <c r="B47" s="164">
        <f>B45+0.01</f>
        <v>5.0999999999999979</v>
      </c>
      <c r="C47" s="84"/>
      <c r="D47" s="246" t="s">
        <v>696</v>
      </c>
      <c r="E47" s="75"/>
      <c r="F47" s="128">
        <v>1</v>
      </c>
      <c r="G47" s="128" t="s">
        <v>528</v>
      </c>
      <c r="H47" s="130"/>
      <c r="I47" s="130">
        <f t="shared" si="3"/>
        <v>0</v>
      </c>
    </row>
    <row r="48" spans="2:9" ht="17.25" customHeight="1" x14ac:dyDescent="0.25">
      <c r="B48" s="72"/>
      <c r="C48" s="84"/>
      <c r="D48" s="82"/>
      <c r="E48" s="75"/>
      <c r="F48" s="75"/>
      <c r="G48" s="75"/>
      <c r="H48" s="122"/>
      <c r="I48" s="130">
        <f t="shared" si="3"/>
        <v>0</v>
      </c>
    </row>
    <row r="49" spans="2:9" ht="33" customHeight="1" x14ac:dyDescent="0.25">
      <c r="B49" s="179">
        <f>B47+0.01</f>
        <v>5.1099999999999977</v>
      </c>
      <c r="C49" s="84"/>
      <c r="D49" s="246" t="s">
        <v>694</v>
      </c>
      <c r="E49" s="128"/>
      <c r="F49" s="128">
        <v>1</v>
      </c>
      <c r="G49" s="128" t="s">
        <v>528</v>
      </c>
      <c r="H49" s="130"/>
      <c r="I49" s="130">
        <f t="shared" si="3"/>
        <v>0</v>
      </c>
    </row>
    <row r="50" spans="2:9" ht="17.25" customHeight="1" x14ac:dyDescent="0.25">
      <c r="B50" s="164"/>
      <c r="C50" s="84"/>
      <c r="D50" s="82"/>
      <c r="E50" s="75"/>
      <c r="F50" s="75"/>
      <c r="G50" s="75"/>
      <c r="H50" s="122"/>
      <c r="I50" s="130">
        <f t="shared" si="3"/>
        <v>0</v>
      </c>
    </row>
    <row r="51" spans="2:9" ht="61.5" customHeight="1" x14ac:dyDescent="0.25">
      <c r="B51" s="164">
        <f>B49+0.01</f>
        <v>5.1199999999999974</v>
      </c>
      <c r="C51" s="84"/>
      <c r="D51" s="246" t="s">
        <v>695</v>
      </c>
      <c r="E51" s="75"/>
      <c r="F51" s="128">
        <v>1</v>
      </c>
      <c r="G51" s="128" t="s">
        <v>528</v>
      </c>
      <c r="H51" s="130"/>
      <c r="I51" s="130">
        <f t="shared" si="3"/>
        <v>0</v>
      </c>
    </row>
    <row r="52" spans="2:9" ht="17.25" customHeight="1" x14ac:dyDescent="0.25">
      <c r="B52" s="72"/>
      <c r="C52" s="84"/>
      <c r="D52" s="82"/>
      <c r="E52" s="75"/>
      <c r="F52" s="75"/>
      <c r="G52" s="75"/>
      <c r="H52" s="122"/>
      <c r="I52" s="130">
        <f t="shared" si="3"/>
        <v>0</v>
      </c>
    </row>
    <row r="53" spans="2:9" ht="36.75" customHeight="1" x14ac:dyDescent="0.25">
      <c r="B53" s="179">
        <f>B51+0.01</f>
        <v>5.1299999999999972</v>
      </c>
      <c r="C53" s="84"/>
      <c r="D53" s="331" t="s">
        <v>1365</v>
      </c>
      <c r="E53" s="75"/>
      <c r="F53" s="128">
        <v>1</v>
      </c>
      <c r="G53" s="128" t="s">
        <v>528</v>
      </c>
      <c r="H53" s="130"/>
      <c r="I53" s="130">
        <f t="shared" si="3"/>
        <v>0</v>
      </c>
    </row>
    <row r="54" spans="2:9" ht="17.25" customHeight="1" x14ac:dyDescent="0.25">
      <c r="B54" s="72"/>
      <c r="C54" s="84"/>
      <c r="D54" s="82"/>
      <c r="E54" s="75"/>
      <c r="F54" s="75"/>
      <c r="G54" s="75"/>
      <c r="H54" s="122"/>
      <c r="I54" s="130">
        <f t="shared" si="3"/>
        <v>0</v>
      </c>
    </row>
    <row r="55" spans="2:9" ht="45" customHeight="1" x14ac:dyDescent="0.25">
      <c r="B55" s="179">
        <f>B53+0.01</f>
        <v>5.139999999999997</v>
      </c>
      <c r="C55" s="84"/>
      <c r="D55" s="246" t="s">
        <v>1366</v>
      </c>
      <c r="E55" s="75"/>
      <c r="F55" s="128">
        <v>1</v>
      </c>
      <c r="G55" s="128" t="s">
        <v>528</v>
      </c>
      <c r="H55" s="130"/>
      <c r="I55" s="130">
        <f t="shared" si="3"/>
        <v>0</v>
      </c>
    </row>
    <row r="56" spans="2:9" ht="17.25" customHeight="1" x14ac:dyDescent="0.25">
      <c r="B56" s="72"/>
      <c r="C56" s="84"/>
      <c r="D56" s="82"/>
      <c r="E56" s="75"/>
      <c r="F56" s="75"/>
      <c r="G56" s="75"/>
      <c r="H56" s="122"/>
      <c r="I56" s="130">
        <f t="shared" si="3"/>
        <v>0</v>
      </c>
    </row>
    <row r="57" spans="2:9" ht="17.25" customHeight="1" x14ac:dyDescent="0.25">
      <c r="B57" s="72"/>
      <c r="C57" s="159" t="s">
        <v>699</v>
      </c>
      <c r="D57" s="82"/>
      <c r="E57" s="75"/>
      <c r="F57" s="75"/>
      <c r="G57" s="75"/>
      <c r="H57" s="122"/>
      <c r="I57" s="130">
        <f t="shared" si="3"/>
        <v>0</v>
      </c>
    </row>
    <row r="58" spans="2:9" ht="17.25" customHeight="1" x14ac:dyDescent="0.25">
      <c r="B58" s="72"/>
      <c r="C58" s="84"/>
      <c r="D58" s="82"/>
      <c r="E58" s="75"/>
      <c r="F58" s="75"/>
      <c r="G58" s="75"/>
      <c r="H58" s="122"/>
      <c r="I58" s="130">
        <f t="shared" si="3"/>
        <v>0</v>
      </c>
    </row>
    <row r="59" spans="2:9" ht="17.25" customHeight="1" x14ac:dyDescent="0.25">
      <c r="B59" s="72"/>
      <c r="C59" s="74" t="s">
        <v>632</v>
      </c>
      <c r="D59" s="82"/>
      <c r="E59" s="75"/>
      <c r="F59" s="75"/>
      <c r="G59" s="75"/>
      <c r="H59" s="122"/>
      <c r="I59" s="130">
        <f t="shared" si="3"/>
        <v>0</v>
      </c>
    </row>
    <row r="60" spans="2:9" ht="17.25" customHeight="1" x14ac:dyDescent="0.25">
      <c r="B60" s="72"/>
      <c r="C60" s="84"/>
      <c r="D60" s="82"/>
      <c r="E60" s="75"/>
      <c r="F60" s="75"/>
      <c r="G60" s="75"/>
      <c r="H60" s="122"/>
      <c r="I60" s="130">
        <f t="shared" si="3"/>
        <v>0</v>
      </c>
    </row>
    <row r="61" spans="2:9" ht="78.75" customHeight="1" x14ac:dyDescent="0.25">
      <c r="B61" s="179">
        <f>B55+0.01</f>
        <v>5.1499999999999968</v>
      </c>
      <c r="C61" s="84"/>
      <c r="D61" s="251" t="s">
        <v>693</v>
      </c>
      <c r="E61" s="75"/>
      <c r="F61" s="128">
        <v>1</v>
      </c>
      <c r="G61" s="128" t="s">
        <v>528</v>
      </c>
      <c r="H61" s="130"/>
      <c r="I61" s="130">
        <f t="shared" si="3"/>
        <v>0</v>
      </c>
    </row>
    <row r="62" spans="2:9" ht="17.25" customHeight="1" x14ac:dyDescent="0.25">
      <c r="B62" s="72"/>
      <c r="C62" s="84"/>
      <c r="D62" s="82"/>
      <c r="E62" s="75"/>
      <c r="F62" s="75"/>
      <c r="G62" s="75"/>
      <c r="H62" s="122"/>
      <c r="I62" s="130">
        <f t="shared" si="3"/>
        <v>0</v>
      </c>
    </row>
    <row r="63" spans="2:9" ht="54.75" customHeight="1" x14ac:dyDescent="0.25">
      <c r="B63" s="179">
        <f>B61+0.01</f>
        <v>5.1599999999999966</v>
      </c>
      <c r="C63" s="84"/>
      <c r="D63" s="246" t="s">
        <v>706</v>
      </c>
      <c r="E63" s="75"/>
      <c r="F63" s="128">
        <v>1</v>
      </c>
      <c r="G63" s="128" t="s">
        <v>528</v>
      </c>
      <c r="H63" s="130"/>
      <c r="I63" s="130">
        <f t="shared" si="3"/>
        <v>0</v>
      </c>
    </row>
    <row r="64" spans="2:9" ht="17.25" customHeight="1" x14ac:dyDescent="0.25">
      <c r="B64" s="72"/>
      <c r="C64" s="84"/>
      <c r="D64" s="82"/>
      <c r="E64" s="75"/>
      <c r="F64" s="75"/>
      <c r="G64" s="75"/>
      <c r="H64" s="122"/>
      <c r="I64" s="130">
        <f t="shared" si="3"/>
        <v>0</v>
      </c>
    </row>
    <row r="65" spans="2:9" ht="33" customHeight="1" x14ac:dyDescent="0.25">
      <c r="B65" s="179">
        <f>B63+0.01</f>
        <v>5.1699999999999964</v>
      </c>
      <c r="C65" s="84"/>
      <c r="D65" s="247" t="s">
        <v>1333</v>
      </c>
      <c r="E65" s="75"/>
      <c r="F65" s="128">
        <v>1</v>
      </c>
      <c r="G65" s="128" t="s">
        <v>528</v>
      </c>
      <c r="H65" s="130"/>
      <c r="I65" s="130">
        <f t="shared" si="3"/>
        <v>0</v>
      </c>
    </row>
    <row r="66" spans="2:9" ht="17.25" customHeight="1" x14ac:dyDescent="0.25">
      <c r="B66" s="72"/>
      <c r="C66" s="84"/>
      <c r="D66" s="82"/>
      <c r="E66" s="75"/>
      <c r="F66" s="75"/>
      <c r="G66" s="75"/>
      <c r="H66" s="122"/>
      <c r="I66" s="130">
        <f t="shared" si="3"/>
        <v>0</v>
      </c>
    </row>
    <row r="67" spans="2:9" ht="34.5" customHeight="1" x14ac:dyDescent="0.25">
      <c r="B67" s="179">
        <f>B65+0.01</f>
        <v>5.1799999999999962</v>
      </c>
      <c r="C67" s="84"/>
      <c r="D67" s="247" t="s">
        <v>700</v>
      </c>
      <c r="E67" s="75"/>
      <c r="F67" s="128">
        <v>1</v>
      </c>
      <c r="G67" s="128" t="s">
        <v>528</v>
      </c>
      <c r="H67" s="130"/>
      <c r="I67" s="130">
        <f t="shared" si="3"/>
        <v>0</v>
      </c>
    </row>
    <row r="68" spans="2:9" ht="17.25" customHeight="1" x14ac:dyDescent="0.25">
      <c r="B68" s="72"/>
      <c r="C68" s="84"/>
      <c r="D68" s="82"/>
      <c r="E68" s="75"/>
      <c r="F68" s="75"/>
      <c r="G68" s="75"/>
      <c r="H68" s="122"/>
      <c r="I68" s="130">
        <f t="shared" si="3"/>
        <v>0</v>
      </c>
    </row>
    <row r="69" spans="2:9" ht="17.25" customHeight="1" x14ac:dyDescent="0.25">
      <c r="B69" s="72"/>
      <c r="C69" s="159" t="s">
        <v>701</v>
      </c>
      <c r="D69" s="82"/>
      <c r="E69" s="75"/>
      <c r="F69" s="75"/>
      <c r="G69" s="75"/>
      <c r="H69" s="122"/>
      <c r="I69" s="130">
        <f t="shared" si="3"/>
        <v>0</v>
      </c>
    </row>
    <row r="70" spans="2:9" ht="17.25" customHeight="1" x14ac:dyDescent="0.25">
      <c r="B70" s="72"/>
      <c r="C70" s="84"/>
      <c r="D70" s="82"/>
      <c r="E70" s="75"/>
      <c r="F70" s="75"/>
      <c r="G70" s="75"/>
      <c r="H70" s="122"/>
      <c r="I70" s="130">
        <f t="shared" si="3"/>
        <v>0</v>
      </c>
    </row>
    <row r="71" spans="2:9" ht="17.25" customHeight="1" x14ac:dyDescent="0.25">
      <c r="B71" s="72"/>
      <c r="C71" s="74" t="s">
        <v>632</v>
      </c>
      <c r="D71" s="82"/>
      <c r="E71" s="75"/>
      <c r="F71" s="75"/>
      <c r="G71" s="75"/>
      <c r="H71" s="122"/>
      <c r="I71" s="130">
        <f t="shared" si="3"/>
        <v>0</v>
      </c>
    </row>
    <row r="72" spans="2:9" ht="17.25" customHeight="1" x14ac:dyDescent="0.25">
      <c r="B72" s="72"/>
      <c r="C72" s="84"/>
      <c r="D72" s="82"/>
      <c r="E72" s="75"/>
      <c r="F72" s="75"/>
      <c r="G72" s="75"/>
      <c r="H72" s="122"/>
      <c r="I72" s="130">
        <f t="shared" si="3"/>
        <v>0</v>
      </c>
    </row>
    <row r="73" spans="2:9" ht="75" customHeight="1" x14ac:dyDescent="0.25">
      <c r="B73" s="179">
        <f>B67+0.01</f>
        <v>5.1899999999999959</v>
      </c>
      <c r="C73" s="84"/>
      <c r="D73" s="251" t="s">
        <v>693</v>
      </c>
      <c r="E73" s="75"/>
      <c r="F73" s="128">
        <v>1</v>
      </c>
      <c r="G73" s="128" t="s">
        <v>528</v>
      </c>
      <c r="H73" s="130"/>
      <c r="I73" s="130">
        <f t="shared" si="3"/>
        <v>0</v>
      </c>
    </row>
    <row r="74" spans="2:9" ht="17.25" customHeight="1" x14ac:dyDescent="0.25">
      <c r="B74" s="72"/>
      <c r="C74" s="84"/>
      <c r="D74" s="82"/>
      <c r="E74" s="75"/>
      <c r="F74" s="75"/>
      <c r="G74" s="75"/>
      <c r="H74" s="122"/>
      <c r="I74" s="130">
        <f t="shared" si="3"/>
        <v>0</v>
      </c>
    </row>
    <row r="75" spans="2:9" ht="78" customHeight="1" x14ac:dyDescent="0.25">
      <c r="B75" s="179">
        <f>B73+0.01</f>
        <v>5.1999999999999957</v>
      </c>
      <c r="C75" s="84"/>
      <c r="D75" s="247" t="s">
        <v>1367</v>
      </c>
      <c r="E75" s="75"/>
      <c r="F75" s="128">
        <v>1</v>
      </c>
      <c r="G75" s="128" t="s">
        <v>528</v>
      </c>
      <c r="H75" s="130"/>
      <c r="I75" s="130">
        <f t="shared" si="3"/>
        <v>0</v>
      </c>
    </row>
    <row r="76" spans="2:9" ht="17.25" customHeight="1" x14ac:dyDescent="0.25">
      <c r="B76" s="72"/>
      <c r="C76" s="84"/>
      <c r="D76" s="82"/>
      <c r="E76" s="75"/>
      <c r="F76" s="75"/>
      <c r="G76" s="75"/>
      <c r="H76" s="122"/>
      <c r="I76" s="130">
        <f t="shared" si="3"/>
        <v>0</v>
      </c>
    </row>
    <row r="77" spans="2:9" ht="14.25" customHeight="1" x14ac:dyDescent="0.25">
      <c r="B77" s="179">
        <f>B75+0.01</f>
        <v>5.2099999999999955</v>
      </c>
      <c r="C77" s="84"/>
      <c r="D77" s="247" t="s">
        <v>702</v>
      </c>
      <c r="E77" s="75"/>
      <c r="F77" s="128">
        <v>1</v>
      </c>
      <c r="G77" s="128" t="s">
        <v>528</v>
      </c>
      <c r="H77" s="130"/>
      <c r="I77" s="130">
        <f t="shared" si="3"/>
        <v>0</v>
      </c>
    </row>
    <row r="78" spans="2:9" ht="17.25" customHeight="1" x14ac:dyDescent="0.25">
      <c r="B78" s="72"/>
      <c r="C78" s="84"/>
      <c r="D78" s="82"/>
      <c r="E78" s="75"/>
      <c r="F78" s="75"/>
      <c r="G78" s="75"/>
      <c r="H78" s="122"/>
      <c r="I78" s="130">
        <f t="shared" si="3"/>
        <v>0</v>
      </c>
    </row>
    <row r="79" spans="2:9" ht="45" customHeight="1" x14ac:dyDescent="0.25">
      <c r="B79" s="179">
        <f>B77+0.01</f>
        <v>5.2199999999999953</v>
      </c>
      <c r="C79" s="84"/>
      <c r="D79" s="247" t="s">
        <v>703</v>
      </c>
      <c r="E79" s="75"/>
      <c r="F79" s="128">
        <v>1</v>
      </c>
      <c r="G79" s="128" t="s">
        <v>528</v>
      </c>
      <c r="H79" s="130"/>
      <c r="I79" s="130">
        <f t="shared" si="3"/>
        <v>0</v>
      </c>
    </row>
    <row r="80" spans="2:9" ht="17.25" customHeight="1" x14ac:dyDescent="0.25">
      <c r="B80" s="72"/>
      <c r="C80" s="84"/>
      <c r="D80" s="82"/>
      <c r="E80" s="75"/>
      <c r="F80" s="75"/>
      <c r="G80" s="75"/>
      <c r="H80" s="122"/>
      <c r="I80" s="130">
        <f t="shared" si="3"/>
        <v>0</v>
      </c>
    </row>
    <row r="81" spans="2:9" ht="28.5" customHeight="1" x14ac:dyDescent="0.25">
      <c r="B81" s="179">
        <f>B79+0.01</f>
        <v>5.2299999999999951</v>
      </c>
      <c r="C81" s="84"/>
      <c r="D81" s="82" t="s">
        <v>704</v>
      </c>
      <c r="E81" s="75"/>
      <c r="F81" s="128">
        <v>1</v>
      </c>
      <c r="G81" s="128" t="s">
        <v>528</v>
      </c>
      <c r="H81" s="130"/>
      <c r="I81" s="130">
        <f t="shared" si="3"/>
        <v>0</v>
      </c>
    </row>
    <row r="82" spans="2:9" ht="17.25" customHeight="1" x14ac:dyDescent="0.25">
      <c r="B82" s="72"/>
      <c r="C82" s="84"/>
      <c r="D82" s="82"/>
      <c r="E82" s="75"/>
      <c r="F82" s="75"/>
      <c r="G82" s="75"/>
      <c r="H82" s="122"/>
      <c r="I82" s="130">
        <f t="shared" si="3"/>
        <v>0</v>
      </c>
    </row>
    <row r="83" spans="2:9" ht="48" customHeight="1" x14ac:dyDescent="0.25">
      <c r="B83" s="179">
        <f>B81+0.01</f>
        <v>5.2399999999999949</v>
      </c>
      <c r="C83" s="84"/>
      <c r="D83" s="247" t="s">
        <v>1368</v>
      </c>
      <c r="E83" s="75"/>
      <c r="F83" s="128">
        <v>1</v>
      </c>
      <c r="G83" s="128" t="s">
        <v>528</v>
      </c>
      <c r="H83" s="130"/>
      <c r="I83" s="130">
        <f t="shared" si="3"/>
        <v>0</v>
      </c>
    </row>
    <row r="84" spans="2:9" ht="17.25" customHeight="1" x14ac:dyDescent="0.25">
      <c r="B84" s="72"/>
      <c r="C84" s="84"/>
      <c r="D84" s="82"/>
      <c r="E84" s="75"/>
      <c r="F84" s="75"/>
      <c r="G84" s="75"/>
      <c r="H84" s="122"/>
      <c r="I84" s="130">
        <f t="shared" si="3"/>
        <v>0</v>
      </c>
    </row>
    <row r="85" spans="2:9" ht="31.5" customHeight="1" x14ac:dyDescent="0.25">
      <c r="B85" s="179">
        <f>B83+0.01</f>
        <v>5.2499999999999947</v>
      </c>
      <c r="C85" s="84"/>
      <c r="D85" s="247" t="s">
        <v>705</v>
      </c>
      <c r="E85" s="75"/>
      <c r="F85" s="128">
        <v>1</v>
      </c>
      <c r="G85" s="128" t="s">
        <v>528</v>
      </c>
      <c r="H85" s="130"/>
      <c r="I85" s="130">
        <f t="shared" si="3"/>
        <v>0</v>
      </c>
    </row>
    <row r="86" spans="2:9" ht="17.25" customHeight="1" x14ac:dyDescent="0.25">
      <c r="B86" s="72"/>
      <c r="C86" s="84"/>
      <c r="D86" s="82"/>
      <c r="E86" s="75"/>
      <c r="F86" s="75"/>
      <c r="G86" s="75"/>
      <c r="H86" s="122"/>
      <c r="I86" s="130">
        <f t="shared" si="3"/>
        <v>0</v>
      </c>
    </row>
    <row r="87" spans="2:9" ht="48" customHeight="1" x14ac:dyDescent="0.25">
      <c r="B87" s="179">
        <f>B85+0.01</f>
        <v>5.2599999999999945</v>
      </c>
      <c r="C87" s="84"/>
      <c r="D87" s="246" t="s">
        <v>706</v>
      </c>
      <c r="E87" s="75"/>
      <c r="F87" s="128">
        <v>1</v>
      </c>
      <c r="G87" s="128" t="s">
        <v>528</v>
      </c>
      <c r="H87" s="130"/>
      <c r="I87" s="130">
        <f t="shared" ref="I87:I133" si="4">F87*H87</f>
        <v>0</v>
      </c>
    </row>
    <row r="88" spans="2:9" ht="17.25" customHeight="1" x14ac:dyDescent="0.25">
      <c r="B88" s="72"/>
      <c r="C88" s="84"/>
      <c r="D88" s="82"/>
      <c r="E88" s="75"/>
      <c r="F88" s="75"/>
      <c r="G88" s="75"/>
      <c r="H88" s="122"/>
      <c r="I88" s="130">
        <f t="shared" si="4"/>
        <v>0</v>
      </c>
    </row>
    <row r="89" spans="2:9" ht="35.25" customHeight="1" x14ac:dyDescent="0.25">
      <c r="B89" s="179">
        <f>B87+0.01</f>
        <v>5.2699999999999942</v>
      </c>
      <c r="C89" s="84"/>
      <c r="D89" s="246" t="s">
        <v>707</v>
      </c>
      <c r="E89" s="75"/>
      <c r="F89" s="128">
        <v>1</v>
      </c>
      <c r="G89" s="128" t="s">
        <v>528</v>
      </c>
      <c r="H89" s="130"/>
      <c r="I89" s="130">
        <f t="shared" si="4"/>
        <v>0</v>
      </c>
    </row>
    <row r="90" spans="2:9" ht="17.25" customHeight="1" x14ac:dyDescent="0.25">
      <c r="B90" s="72"/>
      <c r="C90" s="84"/>
      <c r="D90" s="82"/>
      <c r="E90" s="75"/>
      <c r="F90" s="75"/>
      <c r="G90" s="75"/>
      <c r="H90" s="122"/>
      <c r="I90" s="130">
        <f t="shared" si="4"/>
        <v>0</v>
      </c>
    </row>
    <row r="91" spans="2:9" ht="41.25" customHeight="1" x14ac:dyDescent="0.25">
      <c r="B91" s="179">
        <f>B89+0.01</f>
        <v>5.279999999999994</v>
      </c>
      <c r="C91" s="84"/>
      <c r="D91" s="246" t="s">
        <v>708</v>
      </c>
      <c r="E91" s="75"/>
      <c r="F91" s="128">
        <v>1</v>
      </c>
      <c r="G91" s="128" t="s">
        <v>528</v>
      </c>
      <c r="H91" s="130"/>
      <c r="I91" s="130">
        <f t="shared" si="4"/>
        <v>0</v>
      </c>
    </row>
    <row r="92" spans="2:9" ht="17.25" customHeight="1" x14ac:dyDescent="0.25">
      <c r="B92" s="72"/>
      <c r="C92" s="84"/>
      <c r="D92" s="82"/>
      <c r="E92" s="75"/>
      <c r="F92" s="75"/>
      <c r="G92" s="75"/>
      <c r="H92" s="122"/>
      <c r="I92" s="130">
        <f t="shared" si="4"/>
        <v>0</v>
      </c>
    </row>
    <row r="93" spans="2:9" ht="44.25" customHeight="1" x14ac:dyDescent="0.25">
      <c r="B93" s="179">
        <f>B91+0.01</f>
        <v>5.2899999999999938</v>
      </c>
      <c r="C93" s="84"/>
      <c r="D93" s="246" t="s">
        <v>784</v>
      </c>
      <c r="E93" s="75"/>
      <c r="F93" s="128">
        <v>1</v>
      </c>
      <c r="G93" s="128" t="s">
        <v>528</v>
      </c>
      <c r="H93" s="130"/>
      <c r="I93" s="130">
        <f t="shared" si="4"/>
        <v>0</v>
      </c>
    </row>
    <row r="94" spans="2:9" ht="17.25" customHeight="1" x14ac:dyDescent="0.25">
      <c r="B94" s="72"/>
      <c r="C94" s="84"/>
      <c r="D94" s="82"/>
      <c r="E94" s="75"/>
      <c r="F94" s="75"/>
      <c r="G94" s="75"/>
      <c r="H94" s="122"/>
      <c r="I94" s="130">
        <f t="shared" si="4"/>
        <v>0</v>
      </c>
    </row>
    <row r="95" spans="2:9" ht="17.25" customHeight="1" x14ac:dyDescent="0.25">
      <c r="B95" s="72"/>
      <c r="C95" s="159" t="s">
        <v>709</v>
      </c>
      <c r="D95" s="82"/>
      <c r="E95" s="75"/>
      <c r="F95" s="75"/>
      <c r="G95" s="75"/>
      <c r="H95" s="122"/>
      <c r="I95" s="130">
        <f t="shared" si="4"/>
        <v>0</v>
      </c>
    </row>
    <row r="96" spans="2:9" ht="17.25" customHeight="1" x14ac:dyDescent="0.25">
      <c r="B96" s="72"/>
      <c r="C96" s="84"/>
      <c r="D96" s="82"/>
      <c r="E96" s="75"/>
      <c r="F96" s="75"/>
      <c r="G96" s="75"/>
      <c r="H96" s="122"/>
      <c r="I96" s="130">
        <f t="shared" si="4"/>
        <v>0</v>
      </c>
    </row>
    <row r="97" spans="2:9" ht="17.25" customHeight="1" x14ac:dyDescent="0.25">
      <c r="B97" s="72"/>
      <c r="C97" s="74" t="s">
        <v>632</v>
      </c>
      <c r="D97" s="82"/>
      <c r="E97" s="75"/>
      <c r="F97" s="75"/>
      <c r="G97" s="75"/>
      <c r="H97" s="122"/>
      <c r="I97" s="130">
        <f t="shared" si="4"/>
        <v>0</v>
      </c>
    </row>
    <row r="98" spans="2:9" ht="17.25" customHeight="1" x14ac:dyDescent="0.25">
      <c r="B98" s="72"/>
      <c r="C98" s="84"/>
      <c r="D98" s="82"/>
      <c r="E98" s="75"/>
      <c r="F98" s="75"/>
      <c r="G98" s="75"/>
      <c r="H98" s="122"/>
      <c r="I98" s="130">
        <f t="shared" si="4"/>
        <v>0</v>
      </c>
    </row>
    <row r="99" spans="2:9" ht="78.75" customHeight="1" x14ac:dyDescent="0.25">
      <c r="B99" s="179">
        <f>B93+0.01</f>
        <v>5.2999999999999936</v>
      </c>
      <c r="C99" s="84"/>
      <c r="D99" s="251" t="s">
        <v>693</v>
      </c>
      <c r="E99" s="75"/>
      <c r="F99" s="128">
        <v>1</v>
      </c>
      <c r="G99" s="128" t="s">
        <v>528</v>
      </c>
      <c r="H99" s="130"/>
      <c r="I99" s="130">
        <f t="shared" si="4"/>
        <v>0</v>
      </c>
    </row>
    <row r="100" spans="2:9" ht="17.25" customHeight="1" x14ac:dyDescent="0.25">
      <c r="B100" s="72"/>
      <c r="C100" s="84"/>
      <c r="D100" s="82"/>
      <c r="E100" s="75"/>
      <c r="F100" s="75"/>
      <c r="G100" s="75"/>
      <c r="H100" s="122"/>
      <c r="I100" s="130">
        <f t="shared" si="4"/>
        <v>0</v>
      </c>
    </row>
    <row r="101" spans="2:9" ht="75" customHeight="1" x14ac:dyDescent="0.25">
      <c r="B101" s="179">
        <f>B99+0.01</f>
        <v>5.3099999999999934</v>
      </c>
      <c r="C101" s="84"/>
      <c r="D101" s="247" t="s">
        <v>710</v>
      </c>
      <c r="E101" s="75"/>
      <c r="F101" s="128">
        <v>1</v>
      </c>
      <c r="G101" s="128" t="s">
        <v>528</v>
      </c>
      <c r="H101" s="130"/>
      <c r="I101" s="130">
        <f t="shared" si="4"/>
        <v>0</v>
      </c>
    </row>
    <row r="102" spans="2:9" ht="17.25" customHeight="1" x14ac:dyDescent="0.25">
      <c r="B102" s="72"/>
      <c r="C102" s="84"/>
      <c r="D102" s="82"/>
      <c r="E102" s="75"/>
      <c r="F102" s="75"/>
      <c r="G102" s="75"/>
      <c r="H102" s="122"/>
      <c r="I102" s="130">
        <f t="shared" si="4"/>
        <v>0</v>
      </c>
    </row>
    <row r="103" spans="2:9" ht="33.75" customHeight="1" x14ac:dyDescent="0.25">
      <c r="B103" s="179">
        <f>B101+0.01</f>
        <v>5.3199999999999932</v>
      </c>
      <c r="C103" s="84"/>
      <c r="D103" s="247" t="s">
        <v>1333</v>
      </c>
      <c r="E103" s="75"/>
      <c r="F103" s="128">
        <v>1</v>
      </c>
      <c r="G103" s="128" t="s">
        <v>528</v>
      </c>
      <c r="H103" s="130"/>
      <c r="I103" s="130">
        <f t="shared" si="4"/>
        <v>0</v>
      </c>
    </row>
    <row r="104" spans="2:9" ht="17.25" customHeight="1" x14ac:dyDescent="0.25">
      <c r="B104" s="72"/>
      <c r="C104" s="84"/>
      <c r="D104" s="82"/>
      <c r="E104" s="75"/>
      <c r="F104" s="75"/>
      <c r="G104" s="75"/>
      <c r="H104" s="122"/>
      <c r="I104" s="130">
        <f t="shared" si="4"/>
        <v>0</v>
      </c>
    </row>
    <row r="105" spans="2:9" ht="27.75" customHeight="1" x14ac:dyDescent="0.25">
      <c r="B105" s="179">
        <f>B103+0.01</f>
        <v>5.329999999999993</v>
      </c>
      <c r="C105" s="84"/>
      <c r="D105" s="247" t="s">
        <v>711</v>
      </c>
      <c r="E105" s="75"/>
      <c r="F105" s="128">
        <v>1</v>
      </c>
      <c r="G105" s="128" t="s">
        <v>528</v>
      </c>
      <c r="H105" s="130"/>
      <c r="I105" s="130">
        <f t="shared" si="4"/>
        <v>0</v>
      </c>
    </row>
    <row r="106" spans="2:9" ht="17.25" customHeight="1" x14ac:dyDescent="0.25">
      <c r="B106" s="72"/>
      <c r="C106" s="84"/>
      <c r="D106" s="82"/>
      <c r="E106" s="75"/>
      <c r="F106" s="75"/>
      <c r="G106" s="75"/>
      <c r="H106" s="122"/>
      <c r="I106" s="130">
        <f t="shared" si="4"/>
        <v>0</v>
      </c>
    </row>
    <row r="107" spans="2:9" ht="79.5" customHeight="1" x14ac:dyDescent="0.25">
      <c r="B107" s="179">
        <f>B105+0.01</f>
        <v>5.3399999999999928</v>
      </c>
      <c r="C107" s="84"/>
      <c r="D107" s="247" t="s">
        <v>806</v>
      </c>
      <c r="E107" s="75"/>
      <c r="F107" s="128">
        <v>1</v>
      </c>
      <c r="G107" s="128" t="s">
        <v>528</v>
      </c>
      <c r="H107" s="130"/>
      <c r="I107" s="130">
        <f t="shared" si="4"/>
        <v>0</v>
      </c>
    </row>
    <row r="108" spans="2:9" ht="17.25" customHeight="1" x14ac:dyDescent="0.25">
      <c r="B108" s="72"/>
      <c r="C108" s="84"/>
      <c r="D108" s="82"/>
      <c r="E108" s="75"/>
      <c r="F108" s="75"/>
      <c r="G108" s="75"/>
      <c r="H108" s="122"/>
      <c r="I108" s="130">
        <f t="shared" si="4"/>
        <v>0</v>
      </c>
    </row>
    <row r="109" spans="2:9" x14ac:dyDescent="0.25">
      <c r="B109" s="77"/>
      <c r="C109" s="73" t="s">
        <v>549</v>
      </c>
      <c r="D109" s="160"/>
      <c r="E109" s="161"/>
      <c r="F109" s="161"/>
      <c r="G109" s="78"/>
      <c r="H109" s="79"/>
      <c r="I109" s="130">
        <f t="shared" si="4"/>
        <v>0</v>
      </c>
    </row>
    <row r="110" spans="2:9" x14ac:dyDescent="0.25">
      <c r="B110" s="77"/>
      <c r="C110" s="74"/>
      <c r="D110" s="160"/>
      <c r="E110" s="161"/>
      <c r="F110" s="161"/>
      <c r="G110" s="78"/>
      <c r="H110" s="79"/>
      <c r="I110" s="130">
        <f t="shared" si="4"/>
        <v>0</v>
      </c>
    </row>
    <row r="111" spans="2:9" x14ac:dyDescent="0.25">
      <c r="B111" s="77"/>
      <c r="C111" s="159" t="s">
        <v>550</v>
      </c>
      <c r="D111" s="160"/>
      <c r="E111" s="161"/>
      <c r="F111" s="161"/>
      <c r="G111" s="78"/>
      <c r="H111" s="79"/>
      <c r="I111" s="130">
        <f t="shared" si="4"/>
        <v>0</v>
      </c>
    </row>
    <row r="112" spans="2:9" x14ac:dyDescent="0.25">
      <c r="B112" s="77"/>
      <c r="C112" s="74"/>
      <c r="D112" s="160"/>
      <c r="E112" s="161"/>
      <c r="F112" s="161"/>
      <c r="G112" s="78"/>
      <c r="H112" s="79"/>
      <c r="I112" s="130">
        <f t="shared" si="4"/>
        <v>0</v>
      </c>
    </row>
    <row r="113" spans="2:9" x14ac:dyDescent="0.25">
      <c r="B113" s="77"/>
      <c r="C113" s="74" t="s">
        <v>551</v>
      </c>
      <c r="D113" s="160"/>
      <c r="E113" s="161"/>
      <c r="F113" s="161"/>
      <c r="G113" s="78"/>
      <c r="H113" s="79"/>
      <c r="I113" s="130">
        <f t="shared" si="4"/>
        <v>0</v>
      </c>
    </row>
    <row r="114" spans="2:9" x14ac:dyDescent="0.25">
      <c r="B114" s="77"/>
      <c r="C114" s="74"/>
      <c r="D114" s="160"/>
      <c r="E114" s="161"/>
      <c r="F114" s="161"/>
      <c r="G114" s="78"/>
      <c r="H114" s="79"/>
      <c r="I114" s="130">
        <f t="shared" si="4"/>
        <v>0</v>
      </c>
    </row>
    <row r="115" spans="2:9" x14ac:dyDescent="0.25">
      <c r="B115" s="173">
        <f>B107+0.01</f>
        <v>5.3499999999999925</v>
      </c>
      <c r="C115" s="74"/>
      <c r="D115" s="112" t="s">
        <v>527</v>
      </c>
      <c r="E115" s="162">
        <v>1</v>
      </c>
      <c r="F115" s="162">
        <v>1</v>
      </c>
      <c r="G115" s="75" t="s">
        <v>528</v>
      </c>
      <c r="H115" s="76"/>
      <c r="I115" s="130">
        <f t="shared" si="4"/>
        <v>0</v>
      </c>
    </row>
    <row r="116" spans="2:9" x14ac:dyDescent="0.25">
      <c r="B116" s="77"/>
      <c r="C116" s="74"/>
      <c r="D116" s="160"/>
      <c r="E116" s="161"/>
      <c r="F116" s="161"/>
      <c r="G116" s="78"/>
      <c r="H116" s="79"/>
      <c r="I116" s="130">
        <f t="shared" si="4"/>
        <v>0</v>
      </c>
    </row>
    <row r="117" spans="2:9" ht="15.75" x14ac:dyDescent="0.25">
      <c r="B117" s="77"/>
      <c r="C117" s="432" t="s">
        <v>634</v>
      </c>
      <c r="D117" s="433"/>
      <c r="E117" s="161"/>
      <c r="F117" s="161"/>
      <c r="G117" s="78"/>
      <c r="H117" s="79"/>
      <c r="I117" s="130">
        <f t="shared" si="4"/>
        <v>0</v>
      </c>
    </row>
    <row r="118" spans="2:9" x14ac:dyDescent="0.25">
      <c r="B118" s="77"/>
      <c r="C118" s="74"/>
      <c r="D118" s="160"/>
      <c r="E118" s="161"/>
      <c r="F118" s="161"/>
      <c r="G118" s="78"/>
      <c r="H118" s="79"/>
      <c r="I118" s="130">
        <f t="shared" si="4"/>
        <v>0</v>
      </c>
    </row>
    <row r="119" spans="2:9" ht="30.6" customHeight="1" x14ac:dyDescent="0.25">
      <c r="B119" s="77"/>
      <c r="C119" s="418" t="s">
        <v>656</v>
      </c>
      <c r="D119" s="419"/>
      <c r="E119" s="161"/>
      <c r="F119" s="161"/>
      <c r="G119" s="78"/>
      <c r="H119" s="79"/>
      <c r="I119" s="130">
        <f t="shared" si="4"/>
        <v>0</v>
      </c>
    </row>
    <row r="120" spans="2:9" x14ac:dyDescent="0.25">
      <c r="B120" s="77"/>
      <c r="C120" s="74"/>
      <c r="D120" s="160"/>
      <c r="E120" s="161"/>
      <c r="F120" s="161"/>
      <c r="G120" s="78"/>
      <c r="H120" s="79"/>
      <c r="I120" s="130">
        <f t="shared" si="4"/>
        <v>0</v>
      </c>
    </row>
    <row r="121" spans="2:9" x14ac:dyDescent="0.25">
      <c r="B121" s="172">
        <f>B115+0.01</f>
        <v>5.3599999999999923</v>
      </c>
      <c r="C121" s="74"/>
      <c r="D121" s="112" t="s">
        <v>527</v>
      </c>
      <c r="E121" s="162">
        <v>1</v>
      </c>
      <c r="F121" s="162">
        <v>1</v>
      </c>
      <c r="G121" s="75" t="s">
        <v>528</v>
      </c>
      <c r="H121" s="76"/>
      <c r="I121" s="130">
        <f t="shared" si="4"/>
        <v>0</v>
      </c>
    </row>
    <row r="122" spans="2:9" x14ac:dyDescent="0.25">
      <c r="B122" s="77"/>
      <c r="C122" s="74"/>
      <c r="D122" s="160"/>
      <c r="E122" s="161"/>
      <c r="F122" s="161"/>
      <c r="G122" s="78"/>
      <c r="H122" s="79"/>
      <c r="I122" s="130">
        <f t="shared" si="4"/>
        <v>0</v>
      </c>
    </row>
    <row r="123" spans="2:9" x14ac:dyDescent="0.25">
      <c r="B123" s="77"/>
      <c r="C123" s="159" t="s">
        <v>556</v>
      </c>
      <c r="D123" s="160"/>
      <c r="E123" s="161"/>
      <c r="F123" s="161"/>
      <c r="G123" s="78"/>
      <c r="H123" s="79"/>
      <c r="I123" s="130">
        <f t="shared" si="4"/>
        <v>0</v>
      </c>
    </row>
    <row r="124" spans="2:9" x14ac:dyDescent="0.25">
      <c r="B124" s="77"/>
      <c r="C124" s="74"/>
      <c r="D124" s="160"/>
      <c r="E124" s="161"/>
      <c r="F124" s="161"/>
      <c r="G124" s="78"/>
      <c r="H124" s="79"/>
      <c r="I124" s="130">
        <f t="shared" si="4"/>
        <v>0</v>
      </c>
    </row>
    <row r="125" spans="2:9" ht="36" customHeight="1" x14ac:dyDescent="0.25">
      <c r="B125" s="77"/>
      <c r="C125" s="420" t="s">
        <v>557</v>
      </c>
      <c r="D125" s="421"/>
      <c r="E125" s="161"/>
      <c r="F125" s="161"/>
      <c r="G125" s="78"/>
      <c r="H125" s="79"/>
      <c r="I125" s="130">
        <f t="shared" si="4"/>
        <v>0</v>
      </c>
    </row>
    <row r="126" spans="2:9" ht="17.25" customHeight="1" x14ac:dyDescent="0.25">
      <c r="B126" s="77"/>
      <c r="C126" s="170"/>
      <c r="D126" s="158"/>
      <c r="E126" s="161"/>
      <c r="F126" s="161"/>
      <c r="G126" s="78"/>
      <c r="H126" s="79"/>
      <c r="I126" s="130">
        <f t="shared" si="4"/>
        <v>0</v>
      </c>
    </row>
    <row r="127" spans="2:9" x14ac:dyDescent="0.25">
      <c r="B127" s="172">
        <f>B121+0.01</f>
        <v>5.3699999999999921</v>
      </c>
      <c r="C127" s="74"/>
      <c r="D127" s="112" t="s">
        <v>527</v>
      </c>
      <c r="E127" s="162">
        <v>1</v>
      </c>
      <c r="F127" s="162">
        <v>1</v>
      </c>
      <c r="G127" s="75" t="s">
        <v>528</v>
      </c>
      <c r="H127" s="76"/>
      <c r="I127" s="130">
        <f t="shared" si="4"/>
        <v>0</v>
      </c>
    </row>
    <row r="128" spans="2:9" x14ac:dyDescent="0.25">
      <c r="B128" s="77"/>
      <c r="C128" s="74"/>
      <c r="D128" s="160"/>
      <c r="E128" s="161"/>
      <c r="F128" s="161"/>
      <c r="G128" s="78"/>
      <c r="H128" s="79"/>
      <c r="I128" s="130">
        <f t="shared" si="4"/>
        <v>0</v>
      </c>
    </row>
    <row r="129" spans="2:9" ht="20.25" customHeight="1" x14ac:dyDescent="0.25">
      <c r="B129" s="72"/>
      <c r="C129" s="159" t="s">
        <v>529</v>
      </c>
      <c r="D129" s="82"/>
      <c r="E129" s="75"/>
      <c r="F129" s="75"/>
      <c r="G129" s="75"/>
      <c r="H129" s="122"/>
      <c r="I129" s="130">
        <f t="shared" si="4"/>
        <v>0</v>
      </c>
    </row>
    <row r="130" spans="2:9" x14ac:dyDescent="0.25">
      <c r="B130" s="72"/>
      <c r="C130" s="74"/>
      <c r="D130" s="82"/>
      <c r="E130" s="75"/>
      <c r="F130" s="75"/>
      <c r="G130" s="75"/>
      <c r="H130" s="122"/>
      <c r="I130" s="130">
        <f t="shared" si="4"/>
        <v>0</v>
      </c>
    </row>
    <row r="131" spans="2:9" ht="33.75" customHeight="1" x14ac:dyDescent="0.25">
      <c r="B131" s="72"/>
      <c r="C131" s="422" t="s">
        <v>629</v>
      </c>
      <c r="D131" s="423"/>
      <c r="E131" s="75"/>
      <c r="F131" s="75"/>
      <c r="G131" s="75"/>
      <c r="H131" s="122"/>
      <c r="I131" s="130">
        <f t="shared" si="4"/>
        <v>0</v>
      </c>
    </row>
    <row r="132" spans="2:9" ht="12" customHeight="1" x14ac:dyDescent="0.25">
      <c r="B132" s="72"/>
      <c r="C132" s="165"/>
      <c r="D132" s="158"/>
      <c r="E132" s="161"/>
      <c r="F132" s="161"/>
      <c r="G132" s="75"/>
      <c r="H132" s="122"/>
      <c r="I132" s="130">
        <f t="shared" si="4"/>
        <v>0</v>
      </c>
    </row>
    <row r="133" spans="2:9" x14ac:dyDescent="0.25">
      <c r="B133" s="172">
        <f>B127+0.01</f>
        <v>5.3799999999999919</v>
      </c>
      <c r="C133" s="74"/>
      <c r="D133" s="112" t="s">
        <v>527</v>
      </c>
      <c r="E133" s="162">
        <v>1</v>
      </c>
      <c r="F133" s="162">
        <v>1</v>
      </c>
      <c r="G133" s="75" t="s">
        <v>528</v>
      </c>
      <c r="H133" s="122"/>
      <c r="I133" s="130">
        <f t="shared" si="4"/>
        <v>0</v>
      </c>
    </row>
    <row r="134" spans="2:9" ht="15.75" thickBot="1" x14ac:dyDescent="0.3">
      <c r="B134" s="172"/>
      <c r="C134" s="74"/>
      <c r="D134" s="112"/>
      <c r="E134" s="162"/>
      <c r="F134" s="162"/>
      <c r="G134" s="75"/>
      <c r="H134" s="122"/>
      <c r="I134" s="245"/>
    </row>
    <row r="135" spans="2:9" ht="15.75" thickBot="1" x14ac:dyDescent="0.3">
      <c r="B135" s="172"/>
      <c r="C135" s="74"/>
      <c r="D135" s="314" t="s">
        <v>867</v>
      </c>
      <c r="E135" s="162"/>
      <c r="F135" s="162"/>
      <c r="G135" s="75"/>
      <c r="H135" s="366"/>
      <c r="I135" s="352">
        <f>SUM(I23:I134)</f>
        <v>0</v>
      </c>
    </row>
    <row r="136" spans="2:9" x14ac:dyDescent="0.25">
      <c r="B136" s="172"/>
      <c r="C136" s="74"/>
      <c r="D136" s="112"/>
      <c r="E136" s="162"/>
      <c r="F136" s="162"/>
      <c r="G136" s="75"/>
      <c r="H136" s="122"/>
      <c r="I136" s="245"/>
    </row>
    <row r="137" spans="2:9" x14ac:dyDescent="0.25">
      <c r="B137" s="172"/>
      <c r="C137" s="426" t="s">
        <v>816</v>
      </c>
      <c r="D137" s="427"/>
      <c r="E137" s="162"/>
      <c r="F137" s="162"/>
      <c r="G137" s="75"/>
      <c r="H137" s="122"/>
      <c r="I137" s="245"/>
    </row>
    <row r="138" spans="2:9" x14ac:dyDescent="0.25">
      <c r="B138" s="172"/>
      <c r="C138" s="74"/>
      <c r="D138" s="112"/>
      <c r="E138" s="162"/>
      <c r="F138" s="162"/>
      <c r="G138" s="75"/>
      <c r="H138" s="122"/>
      <c r="I138" s="245"/>
    </row>
    <row r="139" spans="2:9" x14ac:dyDescent="0.25">
      <c r="B139" s="72"/>
      <c r="C139" s="84" t="s">
        <v>840</v>
      </c>
      <c r="D139" s="160"/>
      <c r="E139" s="162"/>
      <c r="F139" s="162"/>
      <c r="G139" s="75"/>
      <c r="H139" s="122"/>
      <c r="I139" s="245"/>
    </row>
    <row r="140" spans="2:9" x14ac:dyDescent="0.25">
      <c r="B140" s="172"/>
      <c r="C140" s="74"/>
      <c r="D140" s="112"/>
      <c r="E140" s="162"/>
      <c r="F140" s="162"/>
      <c r="G140" s="75"/>
      <c r="H140" s="122"/>
      <c r="I140" s="245"/>
    </row>
    <row r="141" spans="2:9" ht="44.25" customHeight="1" x14ac:dyDescent="0.25">
      <c r="B141" s="72"/>
      <c r="C141" s="437" t="s">
        <v>1008</v>
      </c>
      <c r="D141" s="438"/>
      <c r="E141" s="162"/>
      <c r="F141" s="162"/>
      <c r="G141" s="75"/>
      <c r="H141" s="122"/>
      <c r="I141" s="245"/>
    </row>
    <row r="142" spans="2:9" x14ac:dyDescent="0.25">
      <c r="B142" s="72"/>
      <c r="C142" s="73"/>
      <c r="D142" s="82"/>
      <c r="E142" s="162"/>
      <c r="F142" s="162"/>
      <c r="G142" s="75"/>
      <c r="H142" s="122"/>
      <c r="I142" s="245"/>
    </row>
    <row r="143" spans="2:9" x14ac:dyDescent="0.25">
      <c r="B143" s="72"/>
      <c r="C143" s="74" t="s">
        <v>841</v>
      </c>
      <c r="D143" s="82"/>
      <c r="E143" s="162"/>
      <c r="F143" s="162"/>
      <c r="G143" s="75"/>
      <c r="H143" s="122"/>
      <c r="I143" s="245"/>
    </row>
    <row r="144" spans="2:9" x14ac:dyDescent="0.25">
      <c r="B144" s="72"/>
      <c r="C144" s="74"/>
      <c r="D144" s="82"/>
      <c r="E144" s="109">
        <f>((10.83+7.2)*2*0.55)-((1.14+1.14+1.02+1.02+2.95+2.1)*0.55)</f>
        <v>14.679500000000001</v>
      </c>
      <c r="F144" s="162"/>
      <c r="G144" s="75"/>
      <c r="H144" s="122"/>
      <c r="I144" s="245"/>
    </row>
    <row r="145" spans="2:9" x14ac:dyDescent="0.25">
      <c r="B145" s="172">
        <f>B133+0.01</f>
        <v>5.3899999999999917</v>
      </c>
      <c r="C145" s="73"/>
      <c r="D145" s="82" t="s">
        <v>869</v>
      </c>
      <c r="E145" s="162">
        <v>15</v>
      </c>
      <c r="F145" s="162">
        <v>15</v>
      </c>
      <c r="G145" s="75" t="s">
        <v>659</v>
      </c>
      <c r="H145" s="122"/>
      <c r="I145" s="130">
        <f>F145*H145</f>
        <v>0</v>
      </c>
    </row>
    <row r="146" spans="2:9" x14ac:dyDescent="0.25">
      <c r="B146" s="172"/>
      <c r="C146" s="73"/>
      <c r="D146" s="82"/>
      <c r="E146" s="162"/>
      <c r="F146" s="162"/>
      <c r="G146" s="75"/>
      <c r="H146" s="122"/>
      <c r="I146" s="130">
        <f t="shared" ref="I146:I215" si="5">F146*H146</f>
        <v>0</v>
      </c>
    </row>
    <row r="147" spans="2:9" x14ac:dyDescent="0.25">
      <c r="B147" s="172">
        <f>B145+0.01</f>
        <v>5.3999999999999915</v>
      </c>
      <c r="C147" s="73"/>
      <c r="D147" s="82" t="s">
        <v>870</v>
      </c>
      <c r="E147" s="162">
        <f>2.5*2.45</f>
        <v>6.125</v>
      </c>
      <c r="F147" s="162">
        <v>6</v>
      </c>
      <c r="G147" s="75" t="s">
        <v>659</v>
      </c>
      <c r="H147" s="122"/>
      <c r="I147" s="130">
        <f t="shared" si="5"/>
        <v>0</v>
      </c>
    </row>
    <row r="148" spans="2:9" x14ac:dyDescent="0.25">
      <c r="B148" s="72"/>
      <c r="C148" s="73"/>
      <c r="D148" s="82"/>
      <c r="E148" s="162"/>
      <c r="F148" s="162"/>
      <c r="G148" s="75"/>
      <c r="H148" s="122"/>
      <c r="I148" s="130">
        <f t="shared" si="5"/>
        <v>0</v>
      </c>
    </row>
    <row r="149" spans="2:9" x14ac:dyDescent="0.25">
      <c r="B149" s="172">
        <f>B147+0.01</f>
        <v>5.4099999999999913</v>
      </c>
      <c r="C149" s="73"/>
      <c r="D149" s="340" t="s">
        <v>872</v>
      </c>
      <c r="E149" s="162">
        <f>2.8*2</f>
        <v>5.6</v>
      </c>
      <c r="F149" s="162">
        <v>6</v>
      </c>
      <c r="G149" s="75" t="s">
        <v>660</v>
      </c>
      <c r="H149" s="122"/>
      <c r="I149" s="130">
        <f t="shared" si="5"/>
        <v>0</v>
      </c>
    </row>
    <row r="150" spans="2:9" x14ac:dyDescent="0.25">
      <c r="B150" s="72"/>
      <c r="C150" s="73"/>
      <c r="D150" s="82"/>
      <c r="E150" s="162"/>
      <c r="F150" s="162"/>
      <c r="G150" s="75"/>
      <c r="H150" s="122"/>
      <c r="I150" s="130">
        <f t="shared" si="5"/>
        <v>0</v>
      </c>
    </row>
    <row r="151" spans="2:9" ht="33.75" customHeight="1" x14ac:dyDescent="0.25">
      <c r="B151" s="72"/>
      <c r="C151" s="437" t="s">
        <v>1009</v>
      </c>
      <c r="D151" s="438"/>
      <c r="E151" s="162"/>
      <c r="F151" s="162"/>
      <c r="G151" s="75"/>
      <c r="H151" s="122"/>
      <c r="I151" s="130">
        <f t="shared" si="5"/>
        <v>0</v>
      </c>
    </row>
    <row r="152" spans="2:9" x14ac:dyDescent="0.25">
      <c r="B152" s="72"/>
      <c r="C152" s="73"/>
      <c r="D152" s="82"/>
      <c r="E152" s="162"/>
      <c r="F152" s="162"/>
      <c r="G152" s="75"/>
      <c r="H152" s="122"/>
      <c r="I152" s="130">
        <f t="shared" si="5"/>
        <v>0</v>
      </c>
    </row>
    <row r="153" spans="2:9" x14ac:dyDescent="0.25">
      <c r="B153" s="72"/>
      <c r="C153" s="74" t="s">
        <v>841</v>
      </c>
      <c r="D153" s="82"/>
      <c r="E153" s="162"/>
      <c r="F153" s="162"/>
      <c r="G153" s="75"/>
      <c r="H153" s="122"/>
      <c r="I153" s="130">
        <f t="shared" si="5"/>
        <v>0</v>
      </c>
    </row>
    <row r="154" spans="2:9" x14ac:dyDescent="0.25">
      <c r="B154" s="72"/>
      <c r="C154" s="74"/>
      <c r="D154" s="82"/>
      <c r="E154" s="162">
        <f>(((10.48+6.85)*2*3.1)+(((2.4*2*0.5)+(4.8*1.7))*2)-(1.02*2*2)-(1.14*2*2)-((2.7+2)*2))*2</f>
        <v>221.05199999999999</v>
      </c>
      <c r="F154" s="162"/>
      <c r="G154" s="75"/>
      <c r="H154" s="122"/>
      <c r="I154" s="130">
        <f t="shared" si="5"/>
        <v>0</v>
      </c>
    </row>
    <row r="155" spans="2:9" x14ac:dyDescent="0.25">
      <c r="B155" s="172">
        <f>B149+0.01</f>
        <v>5.419999999999991</v>
      </c>
      <c r="C155" s="73"/>
      <c r="D155" s="82" t="s">
        <v>842</v>
      </c>
      <c r="E155" s="162">
        <f>(E165*2)-E145-E147</f>
        <v>199.92699999999999</v>
      </c>
      <c r="F155" s="162">
        <v>200</v>
      </c>
      <c r="G155" s="75" t="s">
        <v>659</v>
      </c>
      <c r="H155" s="122"/>
      <c r="I155" s="130">
        <f t="shared" si="5"/>
        <v>0</v>
      </c>
    </row>
    <row r="156" spans="2:9" x14ac:dyDescent="0.25">
      <c r="B156" s="72"/>
      <c r="C156" s="73"/>
      <c r="D156" s="82"/>
      <c r="E156" s="162"/>
      <c r="F156" s="162"/>
      <c r="G156" s="75"/>
      <c r="H156" s="122"/>
      <c r="I156" s="130">
        <f t="shared" si="5"/>
        <v>0</v>
      </c>
    </row>
    <row r="157" spans="2:9" x14ac:dyDescent="0.25">
      <c r="B157" s="172">
        <f>B155+0.01</f>
        <v>5.4299999999999908</v>
      </c>
      <c r="C157" s="73"/>
      <c r="D157" s="82" t="s">
        <v>1369</v>
      </c>
      <c r="E157" s="162">
        <f>((2.5+2.5))*2.4</f>
        <v>12</v>
      </c>
      <c r="F157" s="162">
        <v>12</v>
      </c>
      <c r="G157" s="75" t="s">
        <v>659</v>
      </c>
      <c r="H157" s="122"/>
      <c r="I157" s="130">
        <f t="shared" ref="I157" si="6">F157*H157</f>
        <v>0</v>
      </c>
    </row>
    <row r="158" spans="2:9" x14ac:dyDescent="0.25">
      <c r="B158" s="72"/>
      <c r="C158" s="73"/>
      <c r="D158" s="82"/>
      <c r="E158" s="162"/>
      <c r="F158" s="162"/>
      <c r="G158" s="75"/>
      <c r="H158" s="122"/>
      <c r="I158" s="130"/>
    </row>
    <row r="159" spans="2:9" x14ac:dyDescent="0.25">
      <c r="B159" s="172">
        <f>B157+0.01</f>
        <v>5.4399999999999906</v>
      </c>
      <c r="C159" s="73"/>
      <c r="D159" s="340" t="s">
        <v>872</v>
      </c>
      <c r="E159" s="162">
        <f>1+2.1+2.1+0.91+0.83+0.83</f>
        <v>7.7700000000000005</v>
      </c>
      <c r="F159" s="162">
        <v>8</v>
      </c>
      <c r="G159" s="75" t="s">
        <v>660</v>
      </c>
      <c r="H159" s="122"/>
      <c r="I159" s="130"/>
    </row>
    <row r="160" spans="2:9" x14ac:dyDescent="0.25">
      <c r="B160" s="72"/>
      <c r="C160" s="73"/>
      <c r="D160" s="82"/>
      <c r="E160" s="162"/>
      <c r="F160" s="162"/>
      <c r="G160" s="75"/>
      <c r="H160" s="122"/>
      <c r="I160" s="130"/>
    </row>
    <row r="161" spans="2:9" x14ac:dyDescent="0.25">
      <c r="B161" s="72"/>
      <c r="C161" s="159" t="s">
        <v>838</v>
      </c>
      <c r="D161" s="82"/>
      <c r="E161" s="162"/>
      <c r="F161" s="162"/>
      <c r="G161" s="75"/>
      <c r="H161" s="122"/>
      <c r="I161" s="130">
        <f t="shared" si="5"/>
        <v>0</v>
      </c>
    </row>
    <row r="162" spans="2:9" x14ac:dyDescent="0.25">
      <c r="B162" s="72"/>
      <c r="C162" s="73"/>
      <c r="D162" s="82"/>
      <c r="E162" s="162"/>
      <c r="F162" s="162"/>
      <c r="G162" s="75"/>
      <c r="H162" s="122"/>
      <c r="I162" s="130">
        <f t="shared" si="5"/>
        <v>0</v>
      </c>
    </row>
    <row r="163" spans="2:9" ht="36" customHeight="1" x14ac:dyDescent="0.25">
      <c r="B163" s="72"/>
      <c r="C163" s="418" t="s">
        <v>843</v>
      </c>
      <c r="D163" s="419"/>
      <c r="E163" s="162"/>
      <c r="F163" s="162"/>
      <c r="G163" s="75"/>
      <c r="H163" s="122"/>
      <c r="I163" s="130">
        <f t="shared" si="5"/>
        <v>0</v>
      </c>
    </row>
    <row r="164" spans="2:9" x14ac:dyDescent="0.25">
      <c r="B164" s="72"/>
      <c r="C164" s="171"/>
      <c r="D164" s="112"/>
      <c r="E164" s="162"/>
      <c r="F164" s="162"/>
      <c r="G164" s="75"/>
      <c r="H164" s="122"/>
      <c r="I164" s="130">
        <f t="shared" si="5"/>
        <v>0</v>
      </c>
    </row>
    <row r="165" spans="2:9" x14ac:dyDescent="0.25">
      <c r="B165" s="172">
        <f>B159+0.01</f>
        <v>5.4499999999999904</v>
      </c>
      <c r="C165" s="73"/>
      <c r="D165" s="82" t="s">
        <v>844</v>
      </c>
      <c r="E165" s="162">
        <f>((10.48+6.85)*2*3.1)+(((2.4*2*0.5)+(4.8*1.7))*2)-(1.02*2*2)-(1.14*2*2)-((2.7+2)*2)</f>
        <v>110.526</v>
      </c>
      <c r="F165" s="162">
        <v>111</v>
      </c>
      <c r="G165" s="75" t="s">
        <v>659</v>
      </c>
      <c r="H165" s="122"/>
      <c r="I165" s="130">
        <f t="shared" si="5"/>
        <v>0</v>
      </c>
    </row>
    <row r="166" spans="2:9" x14ac:dyDescent="0.25">
      <c r="B166" s="172"/>
      <c r="C166" s="73"/>
      <c r="D166" s="82"/>
      <c r="E166" s="162"/>
      <c r="F166" s="162"/>
      <c r="G166" s="75"/>
      <c r="H166" s="122"/>
      <c r="I166" s="130">
        <f t="shared" si="5"/>
        <v>0</v>
      </c>
    </row>
    <row r="167" spans="2:9" ht="45.75" customHeight="1" x14ac:dyDescent="0.25">
      <c r="B167" s="72"/>
      <c r="C167" s="418" t="s">
        <v>1418</v>
      </c>
      <c r="D167" s="419"/>
      <c r="E167" s="162"/>
      <c r="F167" s="162"/>
      <c r="G167" s="75"/>
      <c r="H167" s="122"/>
      <c r="I167" s="130">
        <f t="shared" si="5"/>
        <v>0</v>
      </c>
    </row>
    <row r="168" spans="2:9" x14ac:dyDescent="0.25">
      <c r="B168" s="72"/>
      <c r="C168" s="171"/>
      <c r="D168" s="112"/>
      <c r="E168" s="162"/>
      <c r="F168" s="162"/>
      <c r="G168" s="75"/>
      <c r="H168" s="122"/>
      <c r="I168" s="130">
        <f t="shared" si="5"/>
        <v>0</v>
      </c>
    </row>
    <row r="169" spans="2:9" x14ac:dyDescent="0.25">
      <c r="B169" s="172">
        <f>B165+0.01</f>
        <v>5.4599999999999902</v>
      </c>
      <c r="C169" s="73"/>
      <c r="D169" s="82" t="s">
        <v>874</v>
      </c>
      <c r="E169" s="162">
        <f>10.48*2</f>
        <v>20.96</v>
      </c>
      <c r="F169" s="162">
        <v>22</v>
      </c>
      <c r="G169" s="75" t="s">
        <v>660</v>
      </c>
      <c r="H169" s="122"/>
      <c r="I169" s="130">
        <f t="shared" si="5"/>
        <v>0</v>
      </c>
    </row>
    <row r="170" spans="2:9" x14ac:dyDescent="0.25">
      <c r="B170" s="172"/>
      <c r="C170" s="73"/>
      <c r="D170" s="82"/>
      <c r="E170" s="162"/>
      <c r="F170" s="162"/>
      <c r="G170" s="75"/>
      <c r="H170" s="122"/>
      <c r="I170" s="130">
        <f t="shared" si="5"/>
        <v>0</v>
      </c>
    </row>
    <row r="171" spans="2:9" x14ac:dyDescent="0.25">
      <c r="B171" s="172">
        <f>B169+0.01</f>
        <v>5.46999999999999</v>
      </c>
      <c r="C171" s="73"/>
      <c r="D171" s="82" t="s">
        <v>873</v>
      </c>
      <c r="E171" s="162">
        <f>(3.5+5.7)*2</f>
        <v>18.399999999999999</v>
      </c>
      <c r="F171" s="162">
        <v>18</v>
      </c>
      <c r="G171" s="75" t="s">
        <v>660</v>
      </c>
      <c r="H171" s="122"/>
      <c r="I171" s="130">
        <f t="shared" si="5"/>
        <v>0</v>
      </c>
    </row>
    <row r="172" spans="2:9" x14ac:dyDescent="0.25">
      <c r="B172" s="172"/>
      <c r="C172" s="73"/>
      <c r="D172" s="82"/>
      <c r="E172" s="162"/>
      <c r="F172" s="162"/>
      <c r="G172" s="75"/>
      <c r="H172" s="122"/>
      <c r="I172" s="130">
        <f t="shared" si="5"/>
        <v>0</v>
      </c>
    </row>
    <row r="173" spans="2:9" ht="43.5" customHeight="1" x14ac:dyDescent="0.25">
      <c r="B173" s="72"/>
      <c r="C173" s="418" t="s">
        <v>1419</v>
      </c>
      <c r="D173" s="419"/>
      <c r="E173" s="162"/>
      <c r="F173" s="162"/>
      <c r="G173" s="75"/>
      <c r="H173" s="122"/>
      <c r="I173" s="130">
        <f t="shared" si="5"/>
        <v>0</v>
      </c>
    </row>
    <row r="174" spans="2:9" x14ac:dyDescent="0.25">
      <c r="B174" s="72"/>
      <c r="C174" s="171"/>
      <c r="D174" s="112"/>
      <c r="E174" s="162"/>
      <c r="F174" s="162"/>
      <c r="G174" s="75"/>
      <c r="H174" s="122"/>
      <c r="I174" s="130">
        <f t="shared" si="5"/>
        <v>0</v>
      </c>
    </row>
    <row r="175" spans="2:9" x14ac:dyDescent="0.25">
      <c r="B175" s="172">
        <f>B171+0.01</f>
        <v>5.4799999999999898</v>
      </c>
      <c r="C175" s="73"/>
      <c r="D175" s="82" t="s">
        <v>844</v>
      </c>
      <c r="E175" s="162">
        <f>((1.02+2)*2*2)+((1.14+2)*2*2)+((2.7+2+2)*2)+((0.91+0.88)*2)+((0.84+1.15)*2)</f>
        <v>45.599999999999994</v>
      </c>
      <c r="F175" s="162">
        <v>46</v>
      </c>
      <c r="G175" s="75" t="s">
        <v>660</v>
      </c>
      <c r="H175" s="122"/>
      <c r="I175" s="130">
        <f t="shared" si="5"/>
        <v>0</v>
      </c>
    </row>
    <row r="176" spans="2:9" x14ac:dyDescent="0.25">
      <c r="B176" s="172"/>
      <c r="C176" s="73"/>
      <c r="D176" s="82"/>
      <c r="E176" s="162"/>
      <c r="F176" s="162"/>
      <c r="G176" s="75"/>
      <c r="H176" s="122"/>
      <c r="I176" s="130">
        <f t="shared" si="5"/>
        <v>0</v>
      </c>
    </row>
    <row r="177" spans="2:9" x14ac:dyDescent="0.25">
      <c r="B177" s="172"/>
      <c r="C177" s="428" t="s">
        <v>864</v>
      </c>
      <c r="D177" s="429"/>
      <c r="E177" s="162"/>
      <c r="F177" s="162"/>
      <c r="G177" s="75"/>
      <c r="H177" s="122"/>
      <c r="I177" s="130">
        <f t="shared" si="5"/>
        <v>0</v>
      </c>
    </row>
    <row r="178" spans="2:9" x14ac:dyDescent="0.25">
      <c r="B178" s="172"/>
      <c r="C178" s="73"/>
      <c r="D178" s="82"/>
      <c r="E178" s="162"/>
      <c r="F178" s="162"/>
      <c r="G178" s="75"/>
      <c r="H178" s="122"/>
      <c r="I178" s="130">
        <f t="shared" si="5"/>
        <v>0</v>
      </c>
    </row>
    <row r="179" spans="2:9" ht="30.75" customHeight="1" x14ac:dyDescent="0.25">
      <c r="B179" s="172"/>
      <c r="C179" s="418" t="s">
        <v>865</v>
      </c>
      <c r="D179" s="419"/>
      <c r="E179" s="162"/>
      <c r="F179" s="162"/>
      <c r="G179" s="75"/>
      <c r="H179" s="122"/>
      <c r="I179" s="130">
        <f t="shared" si="5"/>
        <v>0</v>
      </c>
    </row>
    <row r="180" spans="2:9" x14ac:dyDescent="0.25">
      <c r="B180" s="172"/>
      <c r="C180" s="73"/>
      <c r="D180" s="82"/>
      <c r="E180" s="162">
        <f>((10.48+6.85)*2*3.1)+(((2.4*2*0.5)+(4.8*1.7))*2)-(1.02*2*2)-(1.14*2*2)-((2.7+2)*2)</f>
        <v>110.526</v>
      </c>
      <c r="F180" s="162"/>
      <c r="G180" s="75"/>
      <c r="H180" s="122"/>
      <c r="I180" s="130">
        <f t="shared" si="5"/>
        <v>0</v>
      </c>
    </row>
    <row r="181" spans="2:9" x14ac:dyDescent="0.25">
      <c r="B181" s="172">
        <f>B175+0.01</f>
        <v>5.4899999999999896</v>
      </c>
      <c r="C181" s="73"/>
      <c r="D181" s="82" t="s">
        <v>866</v>
      </c>
      <c r="E181" s="162">
        <f>E165</f>
        <v>110.526</v>
      </c>
      <c r="F181" s="162">
        <v>111</v>
      </c>
      <c r="G181" s="75" t="s">
        <v>659</v>
      </c>
      <c r="H181" s="122"/>
      <c r="I181" s="130">
        <f t="shared" si="5"/>
        <v>0</v>
      </c>
    </row>
    <row r="182" spans="2:9" x14ac:dyDescent="0.25">
      <c r="B182" s="172"/>
      <c r="C182" s="74"/>
      <c r="D182" s="112"/>
      <c r="E182" s="162"/>
      <c r="F182" s="162"/>
      <c r="G182" s="75"/>
      <c r="H182" s="122"/>
      <c r="I182" s="130">
        <f t="shared" si="5"/>
        <v>0</v>
      </c>
    </row>
    <row r="183" spans="2:9" ht="48" customHeight="1" x14ac:dyDescent="0.25">
      <c r="B183" s="72"/>
      <c r="C183" s="437" t="s">
        <v>1420</v>
      </c>
      <c r="D183" s="438"/>
      <c r="E183" s="162"/>
      <c r="F183" s="162"/>
      <c r="G183" s="75"/>
      <c r="H183" s="122"/>
      <c r="I183" s="130">
        <f t="shared" si="5"/>
        <v>0</v>
      </c>
    </row>
    <row r="184" spans="2:9" ht="14.25" customHeight="1" x14ac:dyDescent="0.25">
      <c r="B184" s="72"/>
      <c r="C184" s="73"/>
      <c r="D184" s="82"/>
      <c r="E184" s="162"/>
      <c r="F184" s="162"/>
      <c r="G184" s="75"/>
      <c r="H184" s="122"/>
      <c r="I184" s="130">
        <f t="shared" si="5"/>
        <v>0</v>
      </c>
    </row>
    <row r="185" spans="2:9" ht="13.5" customHeight="1" x14ac:dyDescent="0.25">
      <c r="B185" s="72"/>
      <c r="C185" s="418" t="s">
        <v>1241</v>
      </c>
      <c r="D185" s="419"/>
      <c r="E185" s="162"/>
      <c r="F185" s="162"/>
      <c r="G185" s="75"/>
      <c r="H185" s="122"/>
      <c r="I185" s="130">
        <f t="shared" si="5"/>
        <v>0</v>
      </c>
    </row>
    <row r="186" spans="2:9" x14ac:dyDescent="0.25">
      <c r="B186" s="72"/>
      <c r="C186" s="74"/>
      <c r="D186" s="82"/>
      <c r="E186" s="162"/>
      <c r="F186" s="162"/>
      <c r="G186" s="75"/>
      <c r="H186" s="122"/>
      <c r="I186" s="130">
        <f t="shared" si="5"/>
        <v>0</v>
      </c>
    </row>
    <row r="187" spans="2:9" x14ac:dyDescent="0.25">
      <c r="B187" s="172">
        <f>B181+0.01</f>
        <v>5.4999999999999893</v>
      </c>
      <c r="C187" s="74"/>
      <c r="D187" s="82" t="s">
        <v>1242</v>
      </c>
      <c r="E187" s="162">
        <v>1</v>
      </c>
      <c r="F187" s="162">
        <v>1</v>
      </c>
      <c r="G187" s="75" t="s">
        <v>582</v>
      </c>
      <c r="H187" s="122"/>
      <c r="I187" s="130">
        <f t="shared" si="5"/>
        <v>0</v>
      </c>
    </row>
    <row r="188" spans="2:9" x14ac:dyDescent="0.25">
      <c r="B188" s="72"/>
      <c r="C188" s="73"/>
      <c r="D188" s="82"/>
      <c r="E188" s="162"/>
      <c r="F188" s="162"/>
      <c r="G188" s="75"/>
      <c r="H188" s="122"/>
      <c r="I188" s="130">
        <f t="shared" si="5"/>
        <v>0</v>
      </c>
    </row>
    <row r="189" spans="2:9" x14ac:dyDescent="0.25">
      <c r="B189" s="72">
        <f>B187+0.01</f>
        <v>5.5099999999999891</v>
      </c>
      <c r="C189" s="74"/>
      <c r="D189" s="82" t="s">
        <v>1244</v>
      </c>
      <c r="E189" s="162">
        <v>1</v>
      </c>
      <c r="F189" s="162">
        <v>1</v>
      </c>
      <c r="G189" s="75" t="s">
        <v>582</v>
      </c>
      <c r="H189" s="122"/>
      <c r="I189" s="130">
        <f t="shared" si="5"/>
        <v>0</v>
      </c>
    </row>
    <row r="190" spans="2:9" x14ac:dyDescent="0.25">
      <c r="B190" s="72"/>
      <c r="C190" s="73"/>
      <c r="D190" s="82"/>
      <c r="E190" s="162"/>
      <c r="F190" s="162"/>
      <c r="G190" s="75"/>
      <c r="H190" s="122"/>
      <c r="I190" s="130">
        <f t="shared" si="5"/>
        <v>0</v>
      </c>
    </row>
    <row r="191" spans="2:9" x14ac:dyDescent="0.25">
      <c r="B191" s="172">
        <f>B189+0.01</f>
        <v>5.5199999999999889</v>
      </c>
      <c r="C191" s="73"/>
      <c r="D191" s="82" t="s">
        <v>1245</v>
      </c>
      <c r="E191" s="162">
        <v>1</v>
      </c>
      <c r="F191" s="162">
        <v>1</v>
      </c>
      <c r="G191" s="75" t="s">
        <v>582</v>
      </c>
      <c r="H191" s="122"/>
      <c r="I191" s="130">
        <f t="shared" si="5"/>
        <v>0</v>
      </c>
    </row>
    <row r="192" spans="2:9" x14ac:dyDescent="0.25">
      <c r="B192" s="172"/>
      <c r="C192" s="74"/>
      <c r="D192" s="82"/>
      <c r="E192" s="162"/>
      <c r="F192" s="162"/>
      <c r="G192" s="75"/>
      <c r="H192" s="122"/>
      <c r="I192" s="130">
        <f t="shared" si="5"/>
        <v>0</v>
      </c>
    </row>
    <row r="193" spans="2:9" x14ac:dyDescent="0.25">
      <c r="B193" s="172">
        <f>B191+0.01</f>
        <v>5.5299999999999887</v>
      </c>
      <c r="C193" s="74"/>
      <c r="D193" s="82" t="s">
        <v>1243</v>
      </c>
      <c r="E193" s="162">
        <v>1</v>
      </c>
      <c r="F193" s="162">
        <v>1</v>
      </c>
      <c r="G193" s="75" t="s">
        <v>582</v>
      </c>
      <c r="H193" s="122"/>
      <c r="I193" s="130">
        <f t="shared" si="5"/>
        <v>0</v>
      </c>
    </row>
    <row r="194" spans="2:9" x14ac:dyDescent="0.25">
      <c r="B194" s="172"/>
      <c r="C194" s="74"/>
      <c r="D194" s="112"/>
      <c r="E194" s="162"/>
      <c r="F194" s="162"/>
      <c r="G194" s="75"/>
      <c r="H194" s="122"/>
      <c r="I194" s="130">
        <f t="shared" si="5"/>
        <v>0</v>
      </c>
    </row>
    <row r="195" spans="2:9" x14ac:dyDescent="0.25">
      <c r="B195" s="172">
        <f>B193+0.01</f>
        <v>5.5399999999999885</v>
      </c>
      <c r="C195" s="74"/>
      <c r="D195" s="82" t="s">
        <v>1246</v>
      </c>
      <c r="E195" s="162">
        <v>1</v>
      </c>
      <c r="F195" s="162">
        <v>1</v>
      </c>
      <c r="G195" s="75" t="s">
        <v>582</v>
      </c>
      <c r="H195" s="122"/>
      <c r="I195" s="130">
        <f t="shared" ref="I195" si="7">F195*H195</f>
        <v>0</v>
      </c>
    </row>
    <row r="196" spans="2:9" x14ac:dyDescent="0.25">
      <c r="B196" s="172"/>
      <c r="C196" s="74"/>
      <c r="D196" s="112"/>
      <c r="E196" s="162"/>
      <c r="F196" s="162"/>
      <c r="G196" s="75"/>
      <c r="H196" s="122"/>
      <c r="I196" s="130"/>
    </row>
    <row r="197" spans="2:9" ht="60.75" customHeight="1" x14ac:dyDescent="0.25">
      <c r="B197" s="72"/>
      <c r="C197" s="437" t="s">
        <v>1421</v>
      </c>
      <c r="D197" s="438"/>
      <c r="E197" s="162"/>
      <c r="F197" s="162"/>
      <c r="G197" s="75"/>
      <c r="H197" s="122"/>
      <c r="I197" s="130">
        <f t="shared" si="5"/>
        <v>0</v>
      </c>
    </row>
    <row r="198" spans="2:9" x14ac:dyDescent="0.25">
      <c r="B198" s="72"/>
      <c r="C198" s="73"/>
      <c r="D198" s="82"/>
      <c r="E198" s="162"/>
      <c r="F198" s="162"/>
      <c r="G198" s="75"/>
      <c r="H198" s="122"/>
      <c r="I198" s="130">
        <f t="shared" si="5"/>
        <v>0</v>
      </c>
    </row>
    <row r="199" spans="2:9" x14ac:dyDescent="0.25">
      <c r="B199" s="72"/>
      <c r="C199" s="74" t="s">
        <v>871</v>
      </c>
      <c r="D199" s="82"/>
      <c r="E199" s="162"/>
      <c r="F199" s="162"/>
      <c r="G199" s="75"/>
      <c r="H199" s="122"/>
      <c r="I199" s="130">
        <f t="shared" si="5"/>
        <v>0</v>
      </c>
    </row>
    <row r="200" spans="2:9" x14ac:dyDescent="0.25">
      <c r="B200" s="72"/>
      <c r="C200" s="74"/>
      <c r="D200" s="82"/>
      <c r="E200" s="162"/>
      <c r="F200" s="162"/>
      <c r="G200" s="75"/>
      <c r="H200" s="122"/>
      <c r="I200" s="130">
        <f t="shared" si="5"/>
        <v>0</v>
      </c>
    </row>
    <row r="201" spans="2:9" x14ac:dyDescent="0.25">
      <c r="B201" s="172">
        <f>B195+0.01</f>
        <v>5.5499999999999883</v>
      </c>
      <c r="C201" s="74"/>
      <c r="D201" s="82" t="s">
        <v>1247</v>
      </c>
      <c r="E201" s="344">
        <f>2949+1949</f>
        <v>4898</v>
      </c>
      <c r="F201" s="344">
        <v>1</v>
      </c>
      <c r="G201" s="128" t="s">
        <v>582</v>
      </c>
      <c r="H201" s="130"/>
      <c r="I201" s="130">
        <f t="shared" si="5"/>
        <v>0</v>
      </c>
    </row>
    <row r="202" spans="2:9" x14ac:dyDescent="0.25">
      <c r="B202" s="172"/>
      <c r="C202" s="74"/>
      <c r="D202" s="112"/>
      <c r="E202" s="162"/>
      <c r="F202" s="162"/>
      <c r="G202" s="75"/>
      <c r="H202" s="122"/>
      <c r="I202" s="130">
        <f t="shared" si="5"/>
        <v>0</v>
      </c>
    </row>
    <row r="203" spans="2:9" x14ac:dyDescent="0.25">
      <c r="B203" s="172"/>
      <c r="C203" s="428" t="s">
        <v>880</v>
      </c>
      <c r="D203" s="429"/>
      <c r="E203" s="162"/>
      <c r="F203" s="162"/>
      <c r="G203" s="75"/>
      <c r="H203" s="122"/>
      <c r="I203" s="130">
        <f t="shared" si="5"/>
        <v>0</v>
      </c>
    </row>
    <row r="204" spans="2:9" x14ac:dyDescent="0.25">
      <c r="B204" s="172"/>
      <c r="C204" s="74"/>
      <c r="D204" s="112"/>
      <c r="E204" s="162"/>
      <c r="F204" s="162"/>
      <c r="G204" s="75"/>
      <c r="H204" s="122"/>
      <c r="I204" s="130">
        <f t="shared" si="5"/>
        <v>0</v>
      </c>
    </row>
    <row r="205" spans="2:9" x14ac:dyDescent="0.25">
      <c r="B205" s="72"/>
      <c r="C205" s="74" t="s">
        <v>879</v>
      </c>
      <c r="D205" s="82"/>
      <c r="E205" s="162"/>
      <c r="F205" s="162"/>
      <c r="G205" s="75"/>
      <c r="H205" s="122"/>
      <c r="I205" s="130">
        <f t="shared" si="5"/>
        <v>0</v>
      </c>
    </row>
    <row r="206" spans="2:9" x14ac:dyDescent="0.25">
      <c r="B206" s="72"/>
      <c r="C206" s="74"/>
      <c r="D206" s="82"/>
      <c r="E206" s="162"/>
      <c r="F206" s="162"/>
      <c r="G206" s="75"/>
      <c r="H206" s="122"/>
      <c r="I206" s="130">
        <f t="shared" si="5"/>
        <v>0</v>
      </c>
    </row>
    <row r="207" spans="2:9" x14ac:dyDescent="0.25">
      <c r="B207" s="172">
        <f>B201+0.01</f>
        <v>5.5599999999999881</v>
      </c>
      <c r="C207" s="73"/>
      <c r="D207" s="82" t="s">
        <v>881</v>
      </c>
      <c r="E207" s="162">
        <f>(1.52*2)+(1.64*2)+1.52+1.41+(2.4+3.15)</f>
        <v>14.8</v>
      </c>
      <c r="F207" s="162">
        <v>15</v>
      </c>
      <c r="G207" s="75" t="s">
        <v>660</v>
      </c>
      <c r="H207" s="122"/>
      <c r="I207" s="130">
        <f t="shared" si="5"/>
        <v>0</v>
      </c>
    </row>
    <row r="208" spans="2:9" x14ac:dyDescent="0.25">
      <c r="B208" s="172"/>
      <c r="C208" s="73"/>
      <c r="D208" s="82"/>
      <c r="E208" s="162"/>
      <c r="F208" s="162"/>
      <c r="G208" s="75"/>
      <c r="H208" s="122"/>
      <c r="I208" s="130">
        <f t="shared" si="5"/>
        <v>0</v>
      </c>
    </row>
    <row r="209" spans="2:9" x14ac:dyDescent="0.25">
      <c r="B209" s="72"/>
      <c r="C209" s="74" t="s">
        <v>878</v>
      </c>
      <c r="D209" s="82"/>
      <c r="E209" s="162"/>
      <c r="F209" s="162"/>
      <c r="G209" s="75"/>
      <c r="H209" s="122"/>
      <c r="I209" s="130">
        <f t="shared" si="5"/>
        <v>0</v>
      </c>
    </row>
    <row r="210" spans="2:9" x14ac:dyDescent="0.25">
      <c r="B210" s="72"/>
      <c r="C210" s="165"/>
      <c r="D210" s="82"/>
      <c r="E210" s="162"/>
      <c r="F210" s="162"/>
      <c r="G210" s="75"/>
      <c r="H210" s="122"/>
      <c r="I210" s="130">
        <f t="shared" si="5"/>
        <v>0</v>
      </c>
    </row>
    <row r="211" spans="2:9" x14ac:dyDescent="0.25">
      <c r="B211" s="172">
        <f>B207+0.01</f>
        <v>5.5699999999999878</v>
      </c>
      <c r="C211" s="73"/>
      <c r="D211" s="82" t="s">
        <v>882</v>
      </c>
      <c r="E211" s="162">
        <f>((10.48+6.85)*2)-(1.02*2)-(1.14*2)-(2.8+1.8)</f>
        <v>25.739999999999995</v>
      </c>
      <c r="F211" s="162">
        <v>26</v>
      </c>
      <c r="G211" s="75" t="s">
        <v>660</v>
      </c>
      <c r="H211" s="122"/>
      <c r="I211" s="130">
        <f t="shared" si="5"/>
        <v>0</v>
      </c>
    </row>
    <row r="212" spans="2:9" x14ac:dyDescent="0.25">
      <c r="B212" s="172"/>
      <c r="C212" s="73"/>
      <c r="D212" s="82"/>
      <c r="E212" s="162"/>
      <c r="F212" s="162"/>
      <c r="G212" s="75"/>
      <c r="H212" s="122"/>
      <c r="I212" s="130">
        <f t="shared" si="5"/>
        <v>0</v>
      </c>
    </row>
    <row r="213" spans="2:9" x14ac:dyDescent="0.25">
      <c r="B213" s="72"/>
      <c r="C213" s="461" t="s">
        <v>875</v>
      </c>
      <c r="D213" s="462"/>
      <c r="E213" s="162"/>
      <c r="F213" s="162"/>
      <c r="G213" s="75"/>
      <c r="H213" s="122"/>
      <c r="I213" s="130">
        <f t="shared" si="5"/>
        <v>0</v>
      </c>
    </row>
    <row r="214" spans="2:9" x14ac:dyDescent="0.25">
      <c r="B214" s="72"/>
      <c r="C214" s="370"/>
      <c r="D214" s="82"/>
      <c r="E214" s="162"/>
      <c r="F214" s="162"/>
      <c r="G214" s="75"/>
      <c r="H214" s="122"/>
      <c r="I214" s="130">
        <f t="shared" si="5"/>
        <v>0</v>
      </c>
    </row>
    <row r="215" spans="2:9" ht="78.75" customHeight="1" x14ac:dyDescent="0.25">
      <c r="B215" s="72"/>
      <c r="C215" s="441" t="s">
        <v>1289</v>
      </c>
      <c r="D215" s="442"/>
      <c r="E215" s="162"/>
      <c r="F215" s="162"/>
      <c r="G215" s="75"/>
      <c r="H215" s="122"/>
      <c r="I215" s="130">
        <f t="shared" si="5"/>
        <v>0</v>
      </c>
    </row>
    <row r="216" spans="2:9" x14ac:dyDescent="0.25">
      <c r="B216" s="172"/>
      <c r="C216" s="74"/>
      <c r="D216" s="112"/>
      <c r="E216" s="162"/>
      <c r="F216" s="162"/>
      <c r="G216" s="75"/>
      <c r="H216" s="122"/>
      <c r="I216" s="130">
        <f t="shared" ref="I216:I267" si="8">F216*H216</f>
        <v>0</v>
      </c>
    </row>
    <row r="217" spans="2:9" x14ac:dyDescent="0.25">
      <c r="B217" s="72"/>
      <c r="C217" s="463" t="s">
        <v>876</v>
      </c>
      <c r="D217" s="464"/>
      <c r="E217" s="162"/>
      <c r="F217" s="162"/>
      <c r="G217" s="75"/>
      <c r="H217" s="122"/>
      <c r="I217" s="130">
        <f t="shared" si="8"/>
        <v>0</v>
      </c>
    </row>
    <row r="218" spans="2:9" x14ac:dyDescent="0.25">
      <c r="B218" s="172"/>
      <c r="C218" s="74"/>
      <c r="D218" s="112"/>
      <c r="E218" s="162"/>
      <c r="F218" s="162"/>
      <c r="G218" s="75"/>
      <c r="H218" s="122"/>
      <c r="I218" s="130">
        <f t="shared" si="8"/>
        <v>0</v>
      </c>
    </row>
    <row r="219" spans="2:9" x14ac:dyDescent="0.25">
      <c r="B219" s="172">
        <f>B211+0.01</f>
        <v>5.5799999999999876</v>
      </c>
      <c r="C219" s="74"/>
      <c r="D219" s="112" t="s">
        <v>877</v>
      </c>
      <c r="E219" s="162">
        <f>(7.3*2.1*2)+(5.5*2.1)+(((2.4*2*0.5)+(4.8*1.7))*2)</f>
        <v>63.33</v>
      </c>
      <c r="F219" s="162">
        <v>63</v>
      </c>
      <c r="G219" s="75" t="s">
        <v>659</v>
      </c>
      <c r="H219" s="122"/>
      <c r="I219" s="130">
        <f t="shared" si="8"/>
        <v>0</v>
      </c>
    </row>
    <row r="220" spans="2:9" x14ac:dyDescent="0.25">
      <c r="B220" s="172"/>
      <c r="C220" s="74"/>
      <c r="D220" s="112"/>
      <c r="E220" s="162"/>
      <c r="F220" s="162"/>
      <c r="G220" s="75"/>
      <c r="H220" s="122"/>
      <c r="I220" s="130">
        <f t="shared" si="8"/>
        <v>0</v>
      </c>
    </row>
    <row r="221" spans="2:9" ht="30" x14ac:dyDescent="0.25">
      <c r="B221" s="179">
        <f>B219+0.01</f>
        <v>5.5899999999999874</v>
      </c>
      <c r="C221" s="74"/>
      <c r="D221" s="340" t="s">
        <v>1370</v>
      </c>
      <c r="E221" s="344">
        <f>(7.3*2)+5.5</f>
        <v>20.100000000000001</v>
      </c>
      <c r="F221" s="344">
        <v>20</v>
      </c>
      <c r="G221" s="128" t="s">
        <v>660</v>
      </c>
      <c r="H221" s="130"/>
      <c r="I221" s="130">
        <f t="shared" ref="I221" si="9">F221*H221</f>
        <v>0</v>
      </c>
    </row>
    <row r="222" spans="2:9" x14ac:dyDescent="0.25">
      <c r="B222" s="172"/>
      <c r="C222" s="74"/>
      <c r="D222" s="112"/>
      <c r="E222" s="162"/>
      <c r="F222" s="162"/>
      <c r="G222" s="75"/>
      <c r="H222" s="122"/>
      <c r="I222" s="130"/>
    </row>
    <row r="223" spans="2:9" ht="92.25" customHeight="1" x14ac:dyDescent="0.25">
      <c r="B223" s="179">
        <f>B221+0.01</f>
        <v>5.5999999999999872</v>
      </c>
      <c r="C223" s="74"/>
      <c r="D223" s="379" t="s">
        <v>1422</v>
      </c>
      <c r="E223" s="344">
        <v>1</v>
      </c>
      <c r="F223" s="344">
        <v>1</v>
      </c>
      <c r="G223" s="128" t="s">
        <v>582</v>
      </c>
      <c r="H223" s="130"/>
      <c r="I223" s="130">
        <f t="shared" si="8"/>
        <v>0</v>
      </c>
    </row>
    <row r="224" spans="2:9" x14ac:dyDescent="0.25">
      <c r="B224" s="172"/>
      <c r="C224" s="74"/>
      <c r="D224" s="112"/>
      <c r="E224" s="162"/>
      <c r="F224" s="162"/>
      <c r="G224" s="75"/>
      <c r="H224" s="122"/>
      <c r="I224" s="130">
        <f t="shared" si="8"/>
        <v>0</v>
      </c>
    </row>
    <row r="225" spans="2:9" ht="30" x14ac:dyDescent="0.25">
      <c r="B225" s="179">
        <f>B223+0.01</f>
        <v>5.609999999999987</v>
      </c>
      <c r="C225" s="74"/>
      <c r="D225" s="340" t="s">
        <v>1423</v>
      </c>
      <c r="E225" s="344">
        <v>1</v>
      </c>
      <c r="F225" s="344">
        <v>1</v>
      </c>
      <c r="G225" s="128" t="s">
        <v>582</v>
      </c>
      <c r="H225" s="130"/>
      <c r="I225" s="130">
        <f t="shared" si="8"/>
        <v>0</v>
      </c>
    </row>
    <row r="226" spans="2:9" x14ac:dyDescent="0.25">
      <c r="B226" s="172"/>
      <c r="C226" s="74"/>
      <c r="D226" s="112"/>
      <c r="E226" s="162"/>
      <c r="F226" s="162"/>
      <c r="G226" s="75"/>
      <c r="H226" s="122"/>
      <c r="I226" s="130">
        <f t="shared" si="8"/>
        <v>0</v>
      </c>
    </row>
    <row r="227" spans="2:9" ht="30" x14ac:dyDescent="0.25">
      <c r="B227" s="179">
        <f>B225+0.01</f>
        <v>5.6199999999999868</v>
      </c>
      <c r="C227" s="74"/>
      <c r="D227" s="340" t="s">
        <v>1424</v>
      </c>
      <c r="E227" s="344">
        <v>2</v>
      </c>
      <c r="F227" s="344">
        <v>2</v>
      </c>
      <c r="G227" s="128" t="s">
        <v>582</v>
      </c>
      <c r="H227" s="130"/>
      <c r="I227" s="130">
        <f t="shared" si="8"/>
        <v>0</v>
      </c>
    </row>
    <row r="228" spans="2:9" x14ac:dyDescent="0.25">
      <c r="B228" s="172"/>
      <c r="C228" s="74"/>
      <c r="D228" s="112"/>
      <c r="E228" s="162"/>
      <c r="F228" s="162"/>
      <c r="G228" s="75"/>
      <c r="H228" s="122"/>
      <c r="I228" s="130">
        <f t="shared" si="8"/>
        <v>0</v>
      </c>
    </row>
    <row r="229" spans="2:9" ht="30" x14ac:dyDescent="0.25">
      <c r="B229" s="179">
        <f>B227+0.01</f>
        <v>5.6299999999999866</v>
      </c>
      <c r="C229" s="74"/>
      <c r="D229" s="340" t="s">
        <v>1425</v>
      </c>
      <c r="E229" s="344">
        <v>2</v>
      </c>
      <c r="F229" s="344">
        <v>2</v>
      </c>
      <c r="G229" s="128" t="s">
        <v>582</v>
      </c>
      <c r="H229" s="130"/>
      <c r="I229" s="130">
        <f t="shared" si="8"/>
        <v>0</v>
      </c>
    </row>
    <row r="230" spans="2:9" x14ac:dyDescent="0.25">
      <c r="B230" s="172"/>
      <c r="C230" s="74"/>
      <c r="D230" s="112"/>
      <c r="E230" s="162"/>
      <c r="F230" s="162"/>
      <c r="G230" s="75"/>
      <c r="H230" s="122"/>
      <c r="I230" s="130">
        <f t="shared" si="8"/>
        <v>0</v>
      </c>
    </row>
    <row r="231" spans="2:9" ht="45" x14ac:dyDescent="0.25">
      <c r="B231" s="179">
        <f>B229+0.01</f>
        <v>5.6399999999999864</v>
      </c>
      <c r="C231" s="74"/>
      <c r="D231" s="340" t="s">
        <v>1295</v>
      </c>
      <c r="E231" s="344">
        <v>2</v>
      </c>
      <c r="F231" s="344">
        <v>2</v>
      </c>
      <c r="G231" s="128" t="s">
        <v>582</v>
      </c>
      <c r="H231" s="130"/>
      <c r="I231" s="130">
        <f t="shared" si="8"/>
        <v>0</v>
      </c>
    </row>
    <row r="232" spans="2:9" x14ac:dyDescent="0.25">
      <c r="B232" s="179"/>
      <c r="C232" s="74"/>
      <c r="D232" s="340"/>
      <c r="E232" s="344"/>
      <c r="F232" s="344"/>
      <c r="G232" s="128"/>
      <c r="H232" s="130"/>
      <c r="I232" s="130"/>
    </row>
    <row r="233" spans="2:9" x14ac:dyDescent="0.25">
      <c r="B233" s="172"/>
      <c r="C233" s="465" t="s">
        <v>774</v>
      </c>
      <c r="D233" s="446"/>
      <c r="E233" s="162"/>
      <c r="F233" s="162"/>
      <c r="G233" s="75"/>
      <c r="H233" s="122"/>
      <c r="I233" s="130">
        <f t="shared" si="8"/>
        <v>0</v>
      </c>
    </row>
    <row r="234" spans="2:9" x14ac:dyDescent="0.25">
      <c r="B234" s="172"/>
      <c r="C234" s="74"/>
      <c r="D234" s="112"/>
      <c r="E234" s="162"/>
      <c r="F234" s="162"/>
      <c r="G234" s="75"/>
      <c r="H234" s="122"/>
      <c r="I234" s="130">
        <f t="shared" si="8"/>
        <v>0</v>
      </c>
    </row>
    <row r="235" spans="2:9" ht="48" customHeight="1" x14ac:dyDescent="0.25">
      <c r="B235" s="172"/>
      <c r="C235" s="418" t="s">
        <v>1294</v>
      </c>
      <c r="D235" s="419"/>
      <c r="E235" s="162"/>
      <c r="F235" s="162"/>
      <c r="G235" s="75"/>
      <c r="H235" s="122"/>
      <c r="I235" s="130">
        <f t="shared" si="8"/>
        <v>0</v>
      </c>
    </row>
    <row r="236" spans="2:9" x14ac:dyDescent="0.25">
      <c r="B236" s="172"/>
      <c r="C236" s="74"/>
      <c r="D236" s="112"/>
      <c r="E236" s="162"/>
      <c r="F236" s="162"/>
      <c r="G236" s="75"/>
      <c r="H236" s="122"/>
      <c r="I236" s="130">
        <f t="shared" si="8"/>
        <v>0</v>
      </c>
    </row>
    <row r="237" spans="2:9" x14ac:dyDescent="0.25">
      <c r="B237" s="172">
        <f>B231+0.01</f>
        <v>5.6499999999999861</v>
      </c>
      <c r="C237" s="74"/>
      <c r="D237" s="112" t="s">
        <v>883</v>
      </c>
      <c r="E237" s="162">
        <f>11.2*2.1</f>
        <v>23.52</v>
      </c>
      <c r="F237" s="162">
        <v>24</v>
      </c>
      <c r="G237" s="75" t="s">
        <v>659</v>
      </c>
      <c r="H237" s="122"/>
      <c r="I237" s="130">
        <f t="shared" si="8"/>
        <v>0</v>
      </c>
    </row>
    <row r="238" spans="2:9" x14ac:dyDescent="0.25">
      <c r="B238" s="172"/>
      <c r="C238" s="74"/>
      <c r="D238" s="112"/>
      <c r="E238" s="162"/>
      <c r="F238" s="162"/>
      <c r="G238" s="75"/>
      <c r="H238" s="122"/>
      <c r="I238" s="130"/>
    </row>
    <row r="239" spans="2:9" ht="39" customHeight="1" x14ac:dyDescent="0.25">
      <c r="B239" s="179">
        <f>B237+0.01</f>
        <v>5.6599999999999859</v>
      </c>
      <c r="C239" s="74"/>
      <c r="D239" s="340" t="s">
        <v>1371</v>
      </c>
      <c r="E239" s="344">
        <v>11.2</v>
      </c>
      <c r="F239" s="344">
        <v>11</v>
      </c>
      <c r="G239" s="128" t="s">
        <v>660</v>
      </c>
      <c r="H239" s="130"/>
      <c r="I239" s="130">
        <f t="shared" si="8"/>
        <v>0</v>
      </c>
    </row>
    <row r="240" spans="2:9" ht="14.25" customHeight="1" x14ac:dyDescent="0.25">
      <c r="B240" s="179"/>
      <c r="C240" s="74"/>
      <c r="D240" s="340"/>
      <c r="E240" s="344"/>
      <c r="F240" s="344"/>
      <c r="G240" s="128"/>
      <c r="H240" s="130"/>
      <c r="I240" s="130"/>
    </row>
    <row r="241" spans="2:9" ht="15" customHeight="1" x14ac:dyDescent="0.25">
      <c r="B241" s="179"/>
      <c r="C241" s="74"/>
      <c r="D241" s="340"/>
      <c r="E241" s="344"/>
      <c r="F241" s="344"/>
      <c r="G241" s="128"/>
      <c r="H241" s="130"/>
      <c r="I241" s="130"/>
    </row>
    <row r="242" spans="2:9" x14ac:dyDescent="0.25">
      <c r="B242" s="77"/>
      <c r="C242" s="73" t="s">
        <v>549</v>
      </c>
      <c r="D242" s="160"/>
      <c r="E242" s="161"/>
      <c r="F242" s="161"/>
      <c r="G242" s="78"/>
      <c r="H242" s="79"/>
      <c r="I242" s="130">
        <f t="shared" si="8"/>
        <v>0</v>
      </c>
    </row>
    <row r="243" spans="2:9" x14ac:dyDescent="0.25">
      <c r="B243" s="77"/>
      <c r="C243" s="74"/>
      <c r="D243" s="160"/>
      <c r="E243" s="161"/>
      <c r="F243" s="161"/>
      <c r="G243" s="78"/>
      <c r="H243" s="79"/>
      <c r="I243" s="130">
        <f t="shared" si="8"/>
        <v>0</v>
      </c>
    </row>
    <row r="244" spans="2:9" x14ac:dyDescent="0.25">
      <c r="B244" s="77"/>
      <c r="C244" s="159" t="s">
        <v>550</v>
      </c>
      <c r="D244" s="160"/>
      <c r="E244" s="161"/>
      <c r="F244" s="161"/>
      <c r="G244" s="78"/>
      <c r="H244" s="79"/>
      <c r="I244" s="130">
        <f t="shared" si="8"/>
        <v>0</v>
      </c>
    </row>
    <row r="245" spans="2:9" x14ac:dyDescent="0.25">
      <c r="B245" s="77"/>
      <c r="C245" s="74"/>
      <c r="D245" s="160"/>
      <c r="E245" s="161"/>
      <c r="F245" s="161"/>
      <c r="G245" s="78"/>
      <c r="H245" s="79"/>
      <c r="I245" s="130">
        <f t="shared" si="8"/>
        <v>0</v>
      </c>
    </row>
    <row r="246" spans="2:9" x14ac:dyDescent="0.25">
      <c r="B246" s="77"/>
      <c r="C246" s="74" t="s">
        <v>551</v>
      </c>
      <c r="D246" s="160"/>
      <c r="E246" s="161"/>
      <c r="F246" s="161"/>
      <c r="G246" s="78"/>
      <c r="H246" s="79"/>
      <c r="I246" s="130">
        <f t="shared" si="8"/>
        <v>0</v>
      </c>
    </row>
    <row r="247" spans="2:9" x14ac:dyDescent="0.25">
      <c r="B247" s="77"/>
      <c r="C247" s="74"/>
      <c r="D247" s="160"/>
      <c r="E247" s="161"/>
      <c r="F247" s="161"/>
      <c r="G247" s="78"/>
      <c r="H247" s="79"/>
      <c r="I247" s="130">
        <f t="shared" si="8"/>
        <v>0</v>
      </c>
    </row>
    <row r="248" spans="2:9" x14ac:dyDescent="0.25">
      <c r="B248" s="173">
        <f>B239+0.01</f>
        <v>5.6699999999999857</v>
      </c>
      <c r="C248" s="74"/>
      <c r="D248" s="112" t="s">
        <v>527</v>
      </c>
      <c r="E248" s="162">
        <v>1</v>
      </c>
      <c r="F248" s="162">
        <v>1</v>
      </c>
      <c r="G248" s="75" t="s">
        <v>528</v>
      </c>
      <c r="H248" s="76"/>
      <c r="I248" s="130">
        <f t="shared" si="8"/>
        <v>0</v>
      </c>
    </row>
    <row r="249" spans="2:9" x14ac:dyDescent="0.25">
      <c r="B249" s="77"/>
      <c r="C249" s="74"/>
      <c r="D249" s="160"/>
      <c r="E249" s="161"/>
      <c r="F249" s="161"/>
      <c r="G249" s="78"/>
      <c r="H249" s="79"/>
      <c r="I249" s="130">
        <f t="shared" si="8"/>
        <v>0</v>
      </c>
    </row>
    <row r="250" spans="2:9" ht="15.75" x14ac:dyDescent="0.25">
      <c r="B250" s="77"/>
      <c r="C250" s="432" t="s">
        <v>634</v>
      </c>
      <c r="D250" s="433"/>
      <c r="E250" s="161"/>
      <c r="F250" s="161"/>
      <c r="G250" s="78"/>
      <c r="H250" s="79"/>
      <c r="I250" s="130">
        <f t="shared" si="8"/>
        <v>0</v>
      </c>
    </row>
    <row r="251" spans="2:9" x14ac:dyDescent="0.25">
      <c r="B251" s="77"/>
      <c r="C251" s="74"/>
      <c r="D251" s="160"/>
      <c r="E251" s="161"/>
      <c r="F251" s="161"/>
      <c r="G251" s="78"/>
      <c r="H251" s="79"/>
      <c r="I251" s="130">
        <f t="shared" si="8"/>
        <v>0</v>
      </c>
    </row>
    <row r="252" spans="2:9" x14ac:dyDescent="0.25">
      <c r="B252" s="77"/>
      <c r="C252" s="418" t="s">
        <v>656</v>
      </c>
      <c r="D252" s="419"/>
      <c r="E252" s="161"/>
      <c r="F252" s="161"/>
      <c r="G252" s="78"/>
      <c r="H252" s="79"/>
      <c r="I252" s="130">
        <f t="shared" si="8"/>
        <v>0</v>
      </c>
    </row>
    <row r="253" spans="2:9" x14ac:dyDescent="0.25">
      <c r="B253" s="77"/>
      <c r="C253" s="74"/>
      <c r="D253" s="160"/>
      <c r="E253" s="161"/>
      <c r="F253" s="161"/>
      <c r="G253" s="78"/>
      <c r="H253" s="79"/>
      <c r="I253" s="130">
        <f t="shared" si="8"/>
        <v>0</v>
      </c>
    </row>
    <row r="254" spans="2:9" x14ac:dyDescent="0.25">
      <c r="B254" s="172">
        <f>B248+0.01</f>
        <v>5.6799999999999855</v>
      </c>
      <c r="C254" s="74"/>
      <c r="D254" s="112" t="s">
        <v>527</v>
      </c>
      <c r="E254" s="162">
        <v>1</v>
      </c>
      <c r="F254" s="162">
        <v>1</v>
      </c>
      <c r="G254" s="75" t="s">
        <v>528</v>
      </c>
      <c r="H254" s="76"/>
      <c r="I254" s="130">
        <f t="shared" si="8"/>
        <v>0</v>
      </c>
    </row>
    <row r="255" spans="2:9" x14ac:dyDescent="0.25">
      <c r="B255" s="77"/>
      <c r="C255" s="74"/>
      <c r="D255" s="160"/>
      <c r="E255" s="161"/>
      <c r="F255" s="161"/>
      <c r="G255" s="78"/>
      <c r="H255" s="79"/>
      <c r="I255" s="130">
        <f t="shared" si="8"/>
        <v>0</v>
      </c>
    </row>
    <row r="256" spans="2:9" x14ac:dyDescent="0.25">
      <c r="B256" s="77"/>
      <c r="C256" s="159" t="s">
        <v>556</v>
      </c>
      <c r="D256" s="160"/>
      <c r="E256" s="161"/>
      <c r="F256" s="161"/>
      <c r="G256" s="78"/>
      <c r="H256" s="79"/>
      <c r="I256" s="130">
        <f t="shared" si="8"/>
        <v>0</v>
      </c>
    </row>
    <row r="257" spans="2:9" x14ac:dyDescent="0.25">
      <c r="B257" s="77"/>
      <c r="C257" s="74"/>
      <c r="D257" s="160"/>
      <c r="E257" s="161"/>
      <c r="F257" s="161"/>
      <c r="G257" s="78"/>
      <c r="H257" s="79"/>
      <c r="I257" s="130">
        <f t="shared" si="8"/>
        <v>0</v>
      </c>
    </row>
    <row r="258" spans="2:9" x14ac:dyDescent="0.25">
      <c r="B258" s="77"/>
      <c r="C258" s="420" t="s">
        <v>557</v>
      </c>
      <c r="D258" s="421"/>
      <c r="E258" s="161"/>
      <c r="F258" s="161"/>
      <c r="G258" s="78"/>
      <c r="H258" s="79"/>
      <c r="I258" s="130">
        <f t="shared" si="8"/>
        <v>0</v>
      </c>
    </row>
    <row r="259" spans="2:9" x14ac:dyDescent="0.25">
      <c r="B259" s="77"/>
      <c r="C259" s="170"/>
      <c r="D259" s="158"/>
      <c r="E259" s="161"/>
      <c r="F259" s="161"/>
      <c r="G259" s="78"/>
      <c r="H259" s="79"/>
      <c r="I259" s="130">
        <f t="shared" si="8"/>
        <v>0</v>
      </c>
    </row>
    <row r="260" spans="2:9" x14ac:dyDescent="0.25">
      <c r="B260" s="172">
        <f>B254+0.01</f>
        <v>5.6899999999999853</v>
      </c>
      <c r="C260" s="74"/>
      <c r="D260" s="112" t="s">
        <v>527</v>
      </c>
      <c r="E260" s="162">
        <v>1</v>
      </c>
      <c r="F260" s="162">
        <v>1</v>
      </c>
      <c r="G260" s="75" t="s">
        <v>528</v>
      </c>
      <c r="H260" s="76"/>
      <c r="I260" s="130">
        <f t="shared" si="8"/>
        <v>0</v>
      </c>
    </row>
    <row r="261" spans="2:9" x14ac:dyDescent="0.25">
      <c r="B261" s="77"/>
      <c r="C261" s="74"/>
      <c r="D261" s="160"/>
      <c r="E261" s="161"/>
      <c r="F261" s="161"/>
      <c r="G261" s="78"/>
      <c r="H261" s="79"/>
      <c r="I261" s="130">
        <f t="shared" si="8"/>
        <v>0</v>
      </c>
    </row>
    <row r="262" spans="2:9" x14ac:dyDescent="0.25">
      <c r="B262" s="72"/>
      <c r="C262" s="159" t="s">
        <v>529</v>
      </c>
      <c r="D262" s="82"/>
      <c r="E262" s="75"/>
      <c r="F262" s="75"/>
      <c r="G262" s="75"/>
      <c r="H262" s="122"/>
      <c r="I262" s="130">
        <f t="shared" si="8"/>
        <v>0</v>
      </c>
    </row>
    <row r="263" spans="2:9" x14ac:dyDescent="0.25">
      <c r="B263" s="72"/>
      <c r="C263" s="74"/>
      <c r="D263" s="82"/>
      <c r="E263" s="75"/>
      <c r="F263" s="75"/>
      <c r="G263" s="75"/>
      <c r="H263" s="122"/>
      <c r="I263" s="130">
        <f t="shared" si="8"/>
        <v>0</v>
      </c>
    </row>
    <row r="264" spans="2:9" x14ac:dyDescent="0.25">
      <c r="B264" s="72"/>
      <c r="C264" s="422" t="s">
        <v>629</v>
      </c>
      <c r="D264" s="423"/>
      <c r="E264" s="75"/>
      <c r="F264" s="75"/>
      <c r="G264" s="75"/>
      <c r="H264" s="122"/>
      <c r="I264" s="130">
        <f t="shared" si="8"/>
        <v>0</v>
      </c>
    </row>
    <row r="265" spans="2:9" x14ac:dyDescent="0.25">
      <c r="B265" s="72"/>
      <c r="C265" s="165"/>
      <c r="D265" s="158"/>
      <c r="E265" s="161"/>
      <c r="F265" s="161"/>
      <c r="G265" s="75"/>
      <c r="H265" s="122"/>
      <c r="I265" s="130">
        <f t="shared" si="8"/>
        <v>0</v>
      </c>
    </row>
    <row r="266" spans="2:9" x14ac:dyDescent="0.25">
      <c r="B266" s="172">
        <f>B260+0.01</f>
        <v>5.6999999999999851</v>
      </c>
      <c r="C266" s="74"/>
      <c r="D266" s="112" t="s">
        <v>527</v>
      </c>
      <c r="E266" s="162">
        <v>1</v>
      </c>
      <c r="F266" s="162">
        <v>1</v>
      </c>
      <c r="G266" s="75" t="s">
        <v>528</v>
      </c>
      <c r="H266" s="122"/>
      <c r="I266" s="130">
        <f t="shared" si="8"/>
        <v>0</v>
      </c>
    </row>
    <row r="267" spans="2:9" ht="15" customHeight="1" x14ac:dyDescent="0.25">
      <c r="B267" s="72"/>
      <c r="C267" s="135"/>
      <c r="D267" s="160"/>
      <c r="E267" s="161"/>
      <c r="F267" s="161"/>
      <c r="G267" s="75"/>
      <c r="H267" s="76"/>
      <c r="I267" s="130">
        <f t="shared" si="8"/>
        <v>0</v>
      </c>
    </row>
    <row r="268" spans="2:9" ht="15.75" thickBot="1" x14ac:dyDescent="0.3">
      <c r="B268" s="85"/>
      <c r="C268" s="86"/>
      <c r="D268" s="87"/>
      <c r="E268" s="88"/>
      <c r="F268" s="88"/>
      <c r="G268" s="88"/>
      <c r="H268" s="89"/>
      <c r="I268" s="76" t="str">
        <f>IF(H268="","",H268*E268)</f>
        <v/>
      </c>
    </row>
    <row r="269" spans="2:9" ht="30.75" customHeight="1" thickBot="1" x14ac:dyDescent="0.3">
      <c r="D269" s="367" t="s">
        <v>902</v>
      </c>
      <c r="E269" s="162"/>
      <c r="F269" s="162"/>
      <c r="G269" s="75"/>
      <c r="H269" s="366"/>
      <c r="I269" s="124">
        <f>SUM(I145:I268)</f>
        <v>0</v>
      </c>
    </row>
  </sheetData>
  <mergeCells count="33">
    <mergeCell ref="C264:D264"/>
    <mergeCell ref="C233:D233"/>
    <mergeCell ref="C235:D235"/>
    <mergeCell ref="C250:D250"/>
    <mergeCell ref="C252:D252"/>
    <mergeCell ref="C258:D258"/>
    <mergeCell ref="C151:D151"/>
    <mergeCell ref="C137:D137"/>
    <mergeCell ref="C11:D11"/>
    <mergeCell ref="C141:D141"/>
    <mergeCell ref="C163:D163"/>
    <mergeCell ref="C117:D117"/>
    <mergeCell ref="C131:D131"/>
    <mergeCell ref="C125:D125"/>
    <mergeCell ref="C6:D6"/>
    <mergeCell ref="C8:D8"/>
    <mergeCell ref="C9:D9"/>
    <mergeCell ref="C10:D10"/>
    <mergeCell ref="C119:D119"/>
    <mergeCell ref="C15:D15"/>
    <mergeCell ref="C7:D7"/>
    <mergeCell ref="C25:D25"/>
    <mergeCell ref="C197:D197"/>
    <mergeCell ref="C167:D167"/>
    <mergeCell ref="C213:D213"/>
    <mergeCell ref="C215:D215"/>
    <mergeCell ref="C217:D217"/>
    <mergeCell ref="C203:D203"/>
    <mergeCell ref="C179:D179"/>
    <mergeCell ref="C177:D177"/>
    <mergeCell ref="C173:D173"/>
    <mergeCell ref="C183:D183"/>
    <mergeCell ref="C185:D185"/>
  </mergeCells>
  <pageMargins left="0.7" right="0.7" top="0.75" bottom="0.75" header="0.3" footer="0.3"/>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80"/>
  <sheetViews>
    <sheetView zoomScale="80" zoomScaleNormal="80" workbookViewId="0">
      <pane xSplit="1" ySplit="4" topLeftCell="B261" activePane="bottomRight" state="frozen"/>
      <selection pane="topRight" activeCell="B1" sqref="B1"/>
      <selection pane="bottomLeft" activeCell="A5" sqref="A5"/>
      <selection pane="bottomRight" activeCell="B2" sqref="B2:I3"/>
    </sheetView>
  </sheetViews>
  <sheetFormatPr defaultColWidth="9.140625" defaultRowHeight="15" x14ac:dyDescent="0.25"/>
  <cols>
    <col min="1" max="1" width="3" style="71" customWidth="1"/>
    <col min="2" max="2" width="9.140625" style="71"/>
    <col min="3" max="3" width="4.5703125" style="71" customWidth="1"/>
    <col min="4" max="4" width="59.42578125" style="71" customWidth="1"/>
    <col min="5" max="5" width="11.5703125" style="90" hidden="1" customWidth="1"/>
    <col min="6" max="6" width="11.5703125" style="90" customWidth="1"/>
    <col min="7" max="7" width="9.140625" style="91"/>
    <col min="8" max="8" width="12.42578125" style="114" customWidth="1"/>
    <col min="9" max="9" width="14.42578125" style="114" customWidth="1"/>
    <col min="10" max="10" width="10.140625" style="71" customWidth="1"/>
    <col min="11" max="16384" width="9.140625" style="71"/>
  </cols>
  <sheetData>
    <row r="1" spans="2:13" ht="15.75" thickBot="1" x14ac:dyDescent="0.3"/>
    <row r="2" spans="2:13" ht="34.5" customHeight="1" x14ac:dyDescent="0.25">
      <c r="B2" s="94" t="str">
        <f>+Summary!B2</f>
        <v>Todmorden Bandstand Refurbishment &amp; Bowls Pavilion New Build</v>
      </c>
      <c r="C2" s="95"/>
      <c r="D2" s="95"/>
      <c r="E2" s="96"/>
      <c r="F2" s="96"/>
      <c r="G2" s="96"/>
      <c r="H2" s="115"/>
      <c r="I2" s="116"/>
    </row>
    <row r="3" spans="2:13" ht="30" customHeight="1" x14ac:dyDescent="0.25">
      <c r="B3" s="73" t="str">
        <f>+Summary!B3</f>
        <v>Tender Document</v>
      </c>
      <c r="C3" s="83"/>
      <c r="D3" s="83"/>
      <c r="E3" s="91"/>
      <c r="F3" s="91"/>
      <c r="G3" s="98"/>
      <c r="H3" s="117" t="str">
        <f>+Summary!D19</f>
        <v>Roofs</v>
      </c>
      <c r="I3" s="100">
        <f>+Summary!G3</f>
        <v>45614</v>
      </c>
    </row>
    <row r="4" spans="2:13" ht="13.5" customHeight="1" thickBot="1" x14ac:dyDescent="0.3">
      <c r="B4" s="86">
        <v>6</v>
      </c>
      <c r="C4" s="101"/>
      <c r="D4" s="101"/>
      <c r="E4" s="102"/>
      <c r="F4" s="102"/>
      <c r="G4" s="102"/>
      <c r="H4" s="118"/>
      <c r="I4" s="119"/>
    </row>
    <row r="5" spans="2:13" ht="23.25" customHeight="1" thickBot="1" x14ac:dyDescent="0.3">
      <c r="B5" s="72"/>
      <c r="C5" s="73"/>
      <c r="D5" s="82"/>
      <c r="E5" s="227" t="s">
        <v>581</v>
      </c>
      <c r="F5" s="228" t="s">
        <v>1</v>
      </c>
      <c r="G5" s="107" t="s">
        <v>2</v>
      </c>
      <c r="H5" s="120" t="s">
        <v>3</v>
      </c>
      <c r="I5" s="121" t="s">
        <v>5</v>
      </c>
    </row>
    <row r="6" spans="2:13" ht="39.75" customHeight="1" x14ac:dyDescent="0.25">
      <c r="B6" s="72"/>
      <c r="C6" s="420" t="s">
        <v>560</v>
      </c>
      <c r="D6" s="421"/>
      <c r="E6" s="226"/>
      <c r="F6" s="223"/>
      <c r="G6" s="75"/>
      <c r="H6" s="122"/>
      <c r="I6" s="122" t="str">
        <f t="shared" ref="I6" si="0">IF(H6="","",H6*E6)</f>
        <v/>
      </c>
    </row>
    <row r="7" spans="2:13" ht="60" customHeight="1" x14ac:dyDescent="0.25">
      <c r="B7" s="72"/>
      <c r="C7" s="422" t="s">
        <v>586</v>
      </c>
      <c r="D7" s="423"/>
      <c r="E7" s="226"/>
      <c r="F7" s="223"/>
      <c r="G7" s="75"/>
      <c r="H7" s="122"/>
      <c r="I7" s="122"/>
    </row>
    <row r="8" spans="2:13" ht="77.25" customHeight="1" x14ac:dyDescent="0.25">
      <c r="B8" s="72"/>
      <c r="C8" s="422" t="s">
        <v>658</v>
      </c>
      <c r="D8" s="423"/>
      <c r="E8" s="220"/>
      <c r="F8" s="223"/>
      <c r="G8" s="75"/>
      <c r="H8" s="122"/>
      <c r="I8" s="122"/>
      <c r="M8" s="125"/>
    </row>
    <row r="9" spans="2:13" ht="47.25" customHeight="1" x14ac:dyDescent="0.25">
      <c r="B9" s="72"/>
      <c r="C9" s="418" t="s">
        <v>575</v>
      </c>
      <c r="D9" s="419"/>
      <c r="E9" s="220"/>
      <c r="F9" s="223"/>
      <c r="G9" s="75"/>
      <c r="H9" s="122"/>
      <c r="I9" s="122"/>
      <c r="M9" s="125"/>
    </row>
    <row r="10" spans="2:13" ht="28.5" customHeight="1" x14ac:dyDescent="0.25">
      <c r="B10" s="72"/>
      <c r="C10" s="422" t="s">
        <v>734</v>
      </c>
      <c r="D10" s="423"/>
      <c r="E10" s="220"/>
      <c r="F10" s="223"/>
      <c r="G10" s="75"/>
      <c r="H10" s="122"/>
      <c r="I10" s="122"/>
      <c r="M10" s="125"/>
    </row>
    <row r="11" spans="2:13" ht="28.5" customHeight="1" x14ac:dyDescent="0.25">
      <c r="B11" s="72"/>
      <c r="C11" s="422" t="s">
        <v>885</v>
      </c>
      <c r="D11" s="423"/>
      <c r="E11" s="220"/>
      <c r="F11" s="223"/>
      <c r="G11" s="75"/>
      <c r="H11" s="122"/>
      <c r="I11" s="122"/>
      <c r="M11" s="125"/>
    </row>
    <row r="12" spans="2:13" ht="16.5" x14ac:dyDescent="0.25">
      <c r="B12" s="72"/>
      <c r="C12" s="342" t="s">
        <v>1426</v>
      </c>
      <c r="D12" s="155"/>
      <c r="E12" s="220"/>
      <c r="F12" s="223"/>
      <c r="G12" s="75"/>
      <c r="H12" s="122"/>
      <c r="I12" s="122"/>
      <c r="M12" s="156"/>
    </row>
    <row r="13" spans="2:13" ht="16.5" x14ac:dyDescent="0.25">
      <c r="B13" s="72"/>
      <c r="C13" s="110"/>
      <c r="D13" s="155"/>
      <c r="E13" s="220"/>
      <c r="F13" s="223"/>
      <c r="G13" s="75"/>
      <c r="H13" s="122"/>
      <c r="I13" s="122"/>
      <c r="M13" s="156"/>
    </row>
    <row r="14" spans="2:13" ht="16.5" x14ac:dyDescent="0.25">
      <c r="B14" s="72"/>
      <c r="C14" s="350" t="s">
        <v>815</v>
      </c>
      <c r="D14" s="155"/>
      <c r="E14" s="220"/>
      <c r="F14" s="223"/>
      <c r="G14" s="75"/>
      <c r="H14" s="122"/>
      <c r="I14" s="122"/>
      <c r="M14" s="156"/>
    </row>
    <row r="15" spans="2:13" ht="16.5" x14ac:dyDescent="0.25">
      <c r="B15" s="72"/>
      <c r="C15" s="108"/>
      <c r="D15" s="155"/>
      <c r="E15" s="220"/>
      <c r="F15" s="223"/>
      <c r="G15" s="75"/>
      <c r="H15" s="122"/>
      <c r="I15" s="122"/>
      <c r="M15" s="156"/>
    </row>
    <row r="16" spans="2:13" ht="16.5" x14ac:dyDescent="0.25">
      <c r="B16" s="72"/>
      <c r="C16" s="159" t="s">
        <v>648</v>
      </c>
      <c r="D16" s="82"/>
      <c r="E16" s="220"/>
      <c r="F16" s="223"/>
      <c r="G16" s="75"/>
      <c r="H16" s="122"/>
      <c r="I16" s="122"/>
      <c r="M16" s="156"/>
    </row>
    <row r="17" spans="2:13" ht="16.5" x14ac:dyDescent="0.25">
      <c r="B17" s="72"/>
      <c r="C17" s="84"/>
      <c r="D17" s="82"/>
      <c r="E17" s="220"/>
      <c r="F17" s="223"/>
      <c r="G17" s="75"/>
      <c r="H17" s="122"/>
      <c r="I17" s="122"/>
      <c r="M17" s="156"/>
    </row>
    <row r="18" spans="2:13" ht="16.5" x14ac:dyDescent="0.25">
      <c r="B18" s="72"/>
      <c r="C18" s="74" t="s">
        <v>752</v>
      </c>
      <c r="D18" s="82"/>
      <c r="E18" s="220"/>
      <c r="F18" s="223"/>
      <c r="G18" s="75"/>
      <c r="H18" s="122"/>
      <c r="I18" s="122"/>
      <c r="M18" s="156"/>
    </row>
    <row r="19" spans="2:13" ht="16.5" x14ac:dyDescent="0.25">
      <c r="B19" s="72"/>
      <c r="C19" s="159"/>
      <c r="D19" s="82"/>
      <c r="E19" s="220"/>
      <c r="F19" s="223"/>
      <c r="G19" s="75"/>
      <c r="H19" s="122"/>
      <c r="I19" s="122"/>
      <c r="M19" s="156"/>
    </row>
    <row r="20" spans="2:13" ht="16.5" x14ac:dyDescent="0.25">
      <c r="B20" s="164">
        <f>B4+0.01</f>
        <v>6.01</v>
      </c>
      <c r="C20" s="159"/>
      <c r="D20" s="82" t="s">
        <v>527</v>
      </c>
      <c r="E20" s="220"/>
      <c r="F20" s="224">
        <v>1</v>
      </c>
      <c r="G20" s="128" t="s">
        <v>528</v>
      </c>
      <c r="H20" s="130"/>
      <c r="I20" s="130">
        <f>F20*H20</f>
        <v>0</v>
      </c>
      <c r="M20" s="156"/>
    </row>
    <row r="21" spans="2:13" ht="16.5" x14ac:dyDescent="0.25">
      <c r="B21" s="72"/>
      <c r="C21" s="84"/>
      <c r="D21" s="82"/>
      <c r="E21" s="220"/>
      <c r="F21" s="223"/>
      <c r="G21" s="75"/>
      <c r="H21" s="122"/>
      <c r="I21" s="130">
        <f t="shared" ref="I21:I84" si="1">F21*H21</f>
        <v>0</v>
      </c>
      <c r="M21" s="156"/>
    </row>
    <row r="22" spans="2:13" ht="32.25" customHeight="1" x14ac:dyDescent="0.25">
      <c r="B22" s="72"/>
      <c r="C22" s="418" t="s">
        <v>716</v>
      </c>
      <c r="D22" s="419"/>
      <c r="E22" s="220"/>
      <c r="F22" s="223"/>
      <c r="G22" s="75"/>
      <c r="H22" s="122"/>
      <c r="I22" s="130">
        <f t="shared" si="1"/>
        <v>0</v>
      </c>
      <c r="M22" s="156"/>
    </row>
    <row r="23" spans="2:13" ht="16.5" x14ac:dyDescent="0.25">
      <c r="B23" s="72"/>
      <c r="C23" s="84"/>
      <c r="D23" s="82"/>
      <c r="E23" s="220"/>
      <c r="F23" s="223"/>
      <c r="G23" s="75"/>
      <c r="H23" s="122"/>
      <c r="I23" s="130">
        <f t="shared" si="1"/>
        <v>0</v>
      </c>
      <c r="M23" s="156"/>
    </row>
    <row r="24" spans="2:13" ht="47.45" customHeight="1" x14ac:dyDescent="0.25">
      <c r="B24" s="164">
        <f>B20+0.01</f>
        <v>6.02</v>
      </c>
      <c r="C24" s="84"/>
      <c r="D24" s="82" t="s">
        <v>717</v>
      </c>
      <c r="E24" s="221"/>
      <c r="F24" s="224">
        <v>1</v>
      </c>
      <c r="G24" s="128" t="s">
        <v>528</v>
      </c>
      <c r="H24" s="130"/>
      <c r="I24" s="130">
        <f t="shared" si="1"/>
        <v>0</v>
      </c>
      <c r="M24" s="156"/>
    </row>
    <row r="25" spans="2:13" ht="16.5" x14ac:dyDescent="0.25">
      <c r="B25" s="72"/>
      <c r="C25" s="84"/>
      <c r="D25" s="82"/>
      <c r="E25" s="220"/>
      <c r="F25" s="223"/>
      <c r="G25" s="75"/>
      <c r="H25" s="122"/>
      <c r="I25" s="130">
        <f t="shared" si="1"/>
        <v>0</v>
      </c>
      <c r="M25" s="156"/>
    </row>
    <row r="26" spans="2:13" ht="45" x14ac:dyDescent="0.25">
      <c r="B26" s="164">
        <f>B24+0.01</f>
        <v>6.0299999999999994</v>
      </c>
      <c r="C26" s="84"/>
      <c r="D26" s="82" t="s">
        <v>718</v>
      </c>
      <c r="E26" s="221"/>
      <c r="F26" s="224">
        <v>1</v>
      </c>
      <c r="G26" s="128" t="s">
        <v>528</v>
      </c>
      <c r="H26" s="130"/>
      <c r="I26" s="130">
        <f t="shared" si="1"/>
        <v>0</v>
      </c>
      <c r="M26" s="156"/>
    </row>
    <row r="27" spans="2:13" ht="16.5" x14ac:dyDescent="0.25">
      <c r="B27" s="72"/>
      <c r="C27" s="84"/>
      <c r="D27" s="82"/>
      <c r="E27" s="220"/>
      <c r="F27" s="223"/>
      <c r="G27" s="75"/>
      <c r="H27" s="122"/>
      <c r="I27" s="130">
        <f t="shared" si="1"/>
        <v>0</v>
      </c>
      <c r="M27" s="156"/>
    </row>
    <row r="28" spans="2:13" ht="30" x14ac:dyDescent="0.25">
      <c r="B28" s="164">
        <f>B26+0.01</f>
        <v>6.0399999999999991</v>
      </c>
      <c r="C28" s="84"/>
      <c r="D28" s="82" t="s">
        <v>731</v>
      </c>
      <c r="E28" s="221"/>
      <c r="F28" s="224">
        <v>1</v>
      </c>
      <c r="G28" s="128" t="s">
        <v>528</v>
      </c>
      <c r="H28" s="130"/>
      <c r="I28" s="130">
        <f t="shared" si="1"/>
        <v>0</v>
      </c>
      <c r="M28" s="156"/>
    </row>
    <row r="29" spans="2:13" ht="16.5" x14ac:dyDescent="0.25">
      <c r="B29" s="72"/>
      <c r="C29" s="108"/>
      <c r="D29" s="155"/>
      <c r="E29" s="220"/>
      <c r="F29" s="223"/>
      <c r="G29" s="75"/>
      <c r="H29" s="122"/>
      <c r="I29" s="130">
        <f t="shared" si="1"/>
        <v>0</v>
      </c>
      <c r="M29" s="156"/>
    </row>
    <row r="30" spans="2:13" ht="30" x14ac:dyDescent="0.25">
      <c r="B30" s="164">
        <f>B28+0.01</f>
        <v>6.0499999999999989</v>
      </c>
      <c r="C30" s="108"/>
      <c r="D30" s="82" t="s">
        <v>732</v>
      </c>
      <c r="E30" s="221"/>
      <c r="F30" s="224">
        <v>1</v>
      </c>
      <c r="G30" s="128" t="s">
        <v>528</v>
      </c>
      <c r="H30" s="130"/>
      <c r="I30" s="130">
        <f t="shared" si="1"/>
        <v>0</v>
      </c>
      <c r="M30" s="156"/>
    </row>
    <row r="31" spans="2:13" ht="16.5" x14ac:dyDescent="0.25">
      <c r="B31" s="72"/>
      <c r="C31" s="108"/>
      <c r="D31" s="82"/>
      <c r="E31" s="226"/>
      <c r="F31" s="223"/>
      <c r="G31" s="75"/>
      <c r="H31" s="122"/>
      <c r="I31" s="130">
        <f t="shared" si="1"/>
        <v>0</v>
      </c>
      <c r="M31" s="156"/>
    </row>
    <row r="32" spans="2:13" ht="60" x14ac:dyDescent="0.25">
      <c r="B32" s="164">
        <f>B30+0.01</f>
        <v>6.0599999999999987</v>
      </c>
      <c r="C32" s="108"/>
      <c r="D32" s="158" t="s">
        <v>1352</v>
      </c>
      <c r="E32" s="221"/>
      <c r="F32" s="224">
        <v>1</v>
      </c>
      <c r="G32" s="128" t="s">
        <v>528</v>
      </c>
      <c r="H32" s="130"/>
      <c r="I32" s="130">
        <f t="shared" si="1"/>
        <v>0</v>
      </c>
      <c r="M32" s="156"/>
    </row>
    <row r="33" spans="2:13" ht="16.5" x14ac:dyDescent="0.25">
      <c r="B33" s="72"/>
      <c r="C33" s="108"/>
      <c r="D33" s="82"/>
      <c r="E33" s="226"/>
      <c r="F33" s="223"/>
      <c r="G33" s="75"/>
      <c r="H33" s="122"/>
      <c r="I33" s="130">
        <f t="shared" si="1"/>
        <v>0</v>
      </c>
      <c r="M33" s="156"/>
    </row>
    <row r="34" spans="2:13" ht="60" x14ac:dyDescent="0.25">
      <c r="B34" s="164">
        <f>B32+0.01</f>
        <v>6.0699999999999985</v>
      </c>
      <c r="C34" s="108"/>
      <c r="D34" s="158" t="s">
        <v>733</v>
      </c>
      <c r="E34" s="221"/>
      <c r="F34" s="224">
        <v>1</v>
      </c>
      <c r="G34" s="128" t="s">
        <v>528</v>
      </c>
      <c r="H34" s="130"/>
      <c r="I34" s="130">
        <f t="shared" si="1"/>
        <v>0</v>
      </c>
      <c r="M34" s="156"/>
    </row>
    <row r="35" spans="2:13" ht="16.5" x14ac:dyDescent="0.25">
      <c r="B35" s="72"/>
      <c r="C35" s="108"/>
      <c r="D35" s="155"/>
      <c r="E35" s="226"/>
      <c r="F35" s="75"/>
      <c r="G35" s="75"/>
      <c r="H35" s="122"/>
      <c r="I35" s="130">
        <f t="shared" si="1"/>
        <v>0</v>
      </c>
      <c r="M35" s="156"/>
    </row>
    <row r="36" spans="2:13" ht="16.5" x14ac:dyDescent="0.25">
      <c r="B36" s="72"/>
      <c r="C36" s="159" t="s">
        <v>735</v>
      </c>
      <c r="D36" s="82"/>
      <c r="E36" s="75"/>
      <c r="F36" s="75"/>
      <c r="G36" s="75"/>
      <c r="H36" s="122"/>
      <c r="I36" s="130">
        <f t="shared" si="1"/>
        <v>0</v>
      </c>
      <c r="M36" s="156"/>
    </row>
    <row r="37" spans="2:13" ht="16.5" x14ac:dyDescent="0.25">
      <c r="B37" s="72"/>
      <c r="C37" s="84"/>
      <c r="D37" s="82"/>
      <c r="E37" s="75"/>
      <c r="F37" s="75"/>
      <c r="G37" s="75"/>
      <c r="H37" s="122"/>
      <c r="I37" s="130">
        <f t="shared" si="1"/>
        <v>0</v>
      </c>
      <c r="M37" s="156"/>
    </row>
    <row r="38" spans="2:13" ht="73.5" customHeight="1" x14ac:dyDescent="0.25">
      <c r="B38" s="72"/>
      <c r="C38" s="418" t="s">
        <v>1353</v>
      </c>
      <c r="D38" s="419"/>
      <c r="E38" s="75"/>
      <c r="F38" s="75"/>
      <c r="G38" s="75"/>
      <c r="H38" s="122"/>
      <c r="I38" s="130">
        <f t="shared" si="1"/>
        <v>0</v>
      </c>
      <c r="M38" s="156"/>
    </row>
    <row r="39" spans="2:13" ht="16.5" x14ac:dyDescent="0.25">
      <c r="B39" s="72"/>
      <c r="C39" s="84"/>
      <c r="D39" s="82"/>
      <c r="E39" s="75"/>
      <c r="F39" s="75"/>
      <c r="G39" s="75"/>
      <c r="H39" s="122"/>
      <c r="I39" s="130">
        <f t="shared" si="1"/>
        <v>0</v>
      </c>
      <c r="M39" s="156"/>
    </row>
    <row r="40" spans="2:13" ht="30" x14ac:dyDescent="0.25">
      <c r="B40" s="179">
        <f>B26+0.01</f>
        <v>6.0399999999999991</v>
      </c>
      <c r="C40" s="84"/>
      <c r="D40" s="251" t="s">
        <v>728</v>
      </c>
      <c r="E40" s="128">
        <f>10.8*8.4</f>
        <v>90.720000000000013</v>
      </c>
      <c r="F40" s="224">
        <v>1</v>
      </c>
      <c r="G40" s="128" t="s">
        <v>528</v>
      </c>
      <c r="H40" s="130"/>
      <c r="I40" s="130">
        <f t="shared" si="1"/>
        <v>0</v>
      </c>
      <c r="M40" s="156"/>
    </row>
    <row r="41" spans="2:13" ht="16.5" x14ac:dyDescent="0.25">
      <c r="B41" s="72"/>
      <c r="C41" s="108"/>
      <c r="D41" s="155"/>
      <c r="E41" s="220"/>
      <c r="F41" s="223"/>
      <c r="G41" s="75"/>
      <c r="H41" s="122"/>
      <c r="I41" s="130">
        <f t="shared" si="1"/>
        <v>0</v>
      </c>
      <c r="M41" s="156"/>
    </row>
    <row r="42" spans="2:13" ht="60" x14ac:dyDescent="0.25">
      <c r="B42" s="179">
        <f>B40+0.01</f>
        <v>6.0499999999999989</v>
      </c>
      <c r="C42" s="108"/>
      <c r="D42" s="335" t="s">
        <v>730</v>
      </c>
      <c r="E42" s="220"/>
      <c r="F42" s="224">
        <v>1</v>
      </c>
      <c r="G42" s="128" t="s">
        <v>528</v>
      </c>
      <c r="H42" s="130"/>
      <c r="I42" s="130">
        <f t="shared" si="1"/>
        <v>0</v>
      </c>
      <c r="M42" s="156"/>
    </row>
    <row r="43" spans="2:13" ht="16.5" x14ac:dyDescent="0.25">
      <c r="B43" s="72"/>
      <c r="C43" s="108"/>
      <c r="D43" s="155"/>
      <c r="E43" s="220"/>
      <c r="F43" s="223"/>
      <c r="G43" s="75"/>
      <c r="H43" s="122"/>
      <c r="I43" s="130">
        <f t="shared" si="1"/>
        <v>0</v>
      </c>
      <c r="M43" s="156"/>
    </row>
    <row r="44" spans="2:13" ht="30" x14ac:dyDescent="0.25">
      <c r="B44" s="179">
        <f>B42+0.01</f>
        <v>6.0599999999999987</v>
      </c>
      <c r="C44" s="108"/>
      <c r="D44" s="335" t="s">
        <v>736</v>
      </c>
      <c r="E44" s="220"/>
      <c r="F44" s="224">
        <v>1</v>
      </c>
      <c r="G44" s="128" t="s">
        <v>528</v>
      </c>
      <c r="H44" s="130"/>
      <c r="I44" s="130">
        <f t="shared" si="1"/>
        <v>0</v>
      </c>
      <c r="M44" s="156"/>
    </row>
    <row r="45" spans="2:13" ht="16.5" x14ac:dyDescent="0.25">
      <c r="B45" s="72"/>
      <c r="C45" s="108"/>
      <c r="D45" s="155"/>
      <c r="E45" s="220"/>
      <c r="F45" s="223"/>
      <c r="G45" s="75"/>
      <c r="H45" s="122"/>
      <c r="I45" s="130">
        <f t="shared" si="1"/>
        <v>0</v>
      </c>
      <c r="M45" s="156"/>
    </row>
    <row r="46" spans="2:13" ht="48.75" customHeight="1" x14ac:dyDescent="0.25">
      <c r="B46" s="72"/>
      <c r="C46" s="418" t="s">
        <v>1354</v>
      </c>
      <c r="D46" s="419"/>
      <c r="E46" s="220"/>
      <c r="F46" s="223"/>
      <c r="G46" s="75"/>
      <c r="H46" s="122"/>
      <c r="I46" s="130">
        <f t="shared" si="1"/>
        <v>0</v>
      </c>
      <c r="M46" s="156"/>
    </row>
    <row r="47" spans="2:13" ht="16.5" x14ac:dyDescent="0.25">
      <c r="B47" s="72"/>
      <c r="C47" s="108"/>
      <c r="D47" s="155"/>
      <c r="E47" s="220"/>
      <c r="F47" s="223"/>
      <c r="G47" s="75"/>
      <c r="H47" s="122"/>
      <c r="I47" s="130">
        <f t="shared" si="1"/>
        <v>0</v>
      </c>
      <c r="M47" s="156"/>
    </row>
    <row r="48" spans="2:13" ht="30" x14ac:dyDescent="0.25">
      <c r="B48" s="179">
        <f>B44+0.01</f>
        <v>6.0699999999999985</v>
      </c>
      <c r="C48" s="108"/>
      <c r="D48" s="251" t="s">
        <v>729</v>
      </c>
      <c r="E48" s="128">
        <f>10.8*8.4</f>
        <v>90.720000000000013</v>
      </c>
      <c r="F48" s="224">
        <v>1</v>
      </c>
      <c r="G48" s="128" t="s">
        <v>528</v>
      </c>
      <c r="H48" s="130"/>
      <c r="I48" s="130">
        <f t="shared" si="1"/>
        <v>0</v>
      </c>
      <c r="M48" s="156"/>
    </row>
    <row r="49" spans="2:13" ht="16.5" x14ac:dyDescent="0.25">
      <c r="B49" s="72"/>
      <c r="C49" s="108"/>
      <c r="D49" s="155"/>
      <c r="E49" s="220"/>
      <c r="F49" s="223"/>
      <c r="G49" s="75"/>
      <c r="H49" s="122"/>
      <c r="I49" s="130">
        <f t="shared" si="1"/>
        <v>0</v>
      </c>
      <c r="M49" s="156"/>
    </row>
    <row r="50" spans="2:13" ht="121.5" customHeight="1" x14ac:dyDescent="0.25">
      <c r="B50" s="72"/>
      <c r="C50" s="418" t="s">
        <v>1355</v>
      </c>
      <c r="D50" s="419"/>
      <c r="E50" s="220"/>
      <c r="F50" s="223"/>
      <c r="G50" s="75"/>
      <c r="H50" s="122"/>
      <c r="I50" s="130">
        <f t="shared" si="1"/>
        <v>0</v>
      </c>
      <c r="M50" s="156"/>
    </row>
    <row r="51" spans="2:13" ht="16.5" x14ac:dyDescent="0.25">
      <c r="B51" s="72"/>
      <c r="C51" s="84"/>
      <c r="D51" s="82"/>
      <c r="E51" s="220"/>
      <c r="F51" s="223"/>
      <c r="G51" s="75"/>
      <c r="H51" s="122"/>
      <c r="I51" s="130">
        <f t="shared" si="1"/>
        <v>0</v>
      </c>
      <c r="M51" s="156"/>
    </row>
    <row r="52" spans="2:13" ht="46.5" customHeight="1" x14ac:dyDescent="0.25">
      <c r="B52" s="179">
        <f>B48+0.01</f>
        <v>6.0799999999999983</v>
      </c>
      <c r="C52" s="84"/>
      <c r="D52" s="251" t="s">
        <v>1356</v>
      </c>
      <c r="E52" s="128">
        <f>10.8*8.4</f>
        <v>90.720000000000013</v>
      </c>
      <c r="F52" s="224">
        <v>1</v>
      </c>
      <c r="G52" s="128" t="s">
        <v>528</v>
      </c>
      <c r="H52" s="130"/>
      <c r="I52" s="130">
        <f t="shared" si="1"/>
        <v>0</v>
      </c>
      <c r="M52" s="156"/>
    </row>
    <row r="53" spans="2:13" ht="17.25" customHeight="1" x14ac:dyDescent="0.25">
      <c r="B53" s="164"/>
      <c r="C53" s="84"/>
      <c r="D53" s="334"/>
      <c r="E53" s="221"/>
      <c r="F53" s="224"/>
      <c r="G53" s="128"/>
      <c r="H53" s="130"/>
      <c r="I53" s="130">
        <f t="shared" si="1"/>
        <v>0</v>
      </c>
      <c r="M53" s="156"/>
    </row>
    <row r="54" spans="2:13" ht="27" customHeight="1" x14ac:dyDescent="0.25">
      <c r="B54" s="179">
        <f>B52+0.01</f>
        <v>6.0899999999999981</v>
      </c>
      <c r="C54" s="84"/>
      <c r="D54" s="335" t="s">
        <v>1427</v>
      </c>
      <c r="E54" s="221">
        <f>(7.2+1.7+1.1)*2</f>
        <v>20</v>
      </c>
      <c r="F54" s="224">
        <v>1</v>
      </c>
      <c r="G54" s="128" t="s">
        <v>528</v>
      </c>
      <c r="H54" s="130"/>
      <c r="I54" s="130">
        <f t="shared" si="1"/>
        <v>0</v>
      </c>
      <c r="M54" s="156"/>
    </row>
    <row r="55" spans="2:13" ht="17.25" customHeight="1" x14ac:dyDescent="0.25">
      <c r="B55" s="164"/>
      <c r="C55" s="84"/>
      <c r="D55" s="334"/>
      <c r="E55" s="221"/>
      <c r="F55" s="224"/>
      <c r="G55" s="128"/>
      <c r="H55" s="130"/>
      <c r="I55" s="130">
        <f t="shared" si="1"/>
        <v>0</v>
      </c>
      <c r="M55" s="156"/>
    </row>
    <row r="56" spans="2:13" ht="45.75" customHeight="1" x14ac:dyDescent="0.25">
      <c r="B56" s="179">
        <f>B54+0.01</f>
        <v>6.0999999999999979</v>
      </c>
      <c r="C56" s="84"/>
      <c r="D56" s="335" t="s">
        <v>1357</v>
      </c>
      <c r="E56" s="221">
        <v>6.5</v>
      </c>
      <c r="F56" s="224">
        <v>1</v>
      </c>
      <c r="G56" s="128" t="s">
        <v>528</v>
      </c>
      <c r="H56" s="130"/>
      <c r="I56" s="130">
        <f t="shared" si="1"/>
        <v>0</v>
      </c>
      <c r="M56" s="156"/>
    </row>
    <row r="57" spans="2:13" ht="17.25" customHeight="1" x14ac:dyDescent="0.25">
      <c r="B57" s="164"/>
      <c r="C57" s="84"/>
      <c r="D57" s="334"/>
      <c r="E57" s="221"/>
      <c r="F57" s="224"/>
      <c r="G57" s="128"/>
      <c r="H57" s="130"/>
      <c r="I57" s="130">
        <f t="shared" si="1"/>
        <v>0</v>
      </c>
      <c r="M57" s="156"/>
    </row>
    <row r="58" spans="2:13" ht="88.5" customHeight="1" x14ac:dyDescent="0.25">
      <c r="B58" s="179">
        <f>B56+0.01</f>
        <v>6.1099999999999977</v>
      </c>
      <c r="C58" s="108"/>
      <c r="D58" s="335" t="s">
        <v>798</v>
      </c>
      <c r="E58" s="221">
        <f>(7.2+1.7+1.1)*2</f>
        <v>20</v>
      </c>
      <c r="F58" s="224">
        <v>1</v>
      </c>
      <c r="G58" s="128" t="s">
        <v>528</v>
      </c>
      <c r="H58" s="130"/>
      <c r="I58" s="130">
        <f t="shared" si="1"/>
        <v>0</v>
      </c>
      <c r="M58" s="156"/>
    </row>
    <row r="59" spans="2:13" ht="18" customHeight="1" x14ac:dyDescent="0.25">
      <c r="B59" s="164"/>
      <c r="C59" s="84"/>
      <c r="D59" s="334"/>
      <c r="E59" s="221"/>
      <c r="F59" s="224"/>
      <c r="G59" s="128"/>
      <c r="H59" s="130"/>
      <c r="I59" s="130">
        <f t="shared" si="1"/>
        <v>0</v>
      </c>
      <c r="M59" s="156"/>
    </row>
    <row r="60" spans="2:13" ht="120.75" customHeight="1" x14ac:dyDescent="0.25">
      <c r="B60" s="179">
        <f>B58+0.01</f>
        <v>6.1199999999999974</v>
      </c>
      <c r="C60" s="84"/>
      <c r="D60" s="346" t="s">
        <v>807</v>
      </c>
      <c r="E60" s="221">
        <v>2</v>
      </c>
      <c r="F60" s="224">
        <v>1</v>
      </c>
      <c r="G60" s="128" t="s">
        <v>528</v>
      </c>
      <c r="H60" s="130"/>
      <c r="I60" s="130">
        <f t="shared" si="1"/>
        <v>0</v>
      </c>
      <c r="M60" s="156"/>
    </row>
    <row r="61" spans="2:13" ht="18" customHeight="1" x14ac:dyDescent="0.25">
      <c r="B61" s="164"/>
      <c r="C61" s="84"/>
      <c r="D61" s="334"/>
      <c r="E61" s="221"/>
      <c r="F61" s="224"/>
      <c r="G61" s="128"/>
      <c r="H61" s="130"/>
      <c r="I61" s="130">
        <f t="shared" si="1"/>
        <v>0</v>
      </c>
      <c r="M61" s="156"/>
    </row>
    <row r="62" spans="2:13" ht="78.75" customHeight="1" x14ac:dyDescent="0.25">
      <c r="B62" s="179">
        <f>B60+0.01</f>
        <v>6.1299999999999972</v>
      </c>
      <c r="C62" s="84"/>
      <c r="D62" s="335" t="s">
        <v>737</v>
      </c>
      <c r="E62" s="221">
        <v>7.8</v>
      </c>
      <c r="F62" s="224">
        <v>1</v>
      </c>
      <c r="G62" s="128" t="s">
        <v>528</v>
      </c>
      <c r="H62" s="130"/>
      <c r="I62" s="130">
        <f t="shared" si="1"/>
        <v>0</v>
      </c>
      <c r="M62" s="156"/>
    </row>
    <row r="63" spans="2:13" ht="18" customHeight="1" x14ac:dyDescent="0.25">
      <c r="B63" s="164"/>
      <c r="C63" s="84"/>
      <c r="D63" s="334"/>
      <c r="E63" s="221"/>
      <c r="F63" s="224"/>
      <c r="G63" s="128"/>
      <c r="H63" s="130"/>
      <c r="I63" s="130">
        <f t="shared" si="1"/>
        <v>0</v>
      </c>
      <c r="M63" s="156"/>
    </row>
    <row r="64" spans="2:13" ht="104.25" customHeight="1" x14ac:dyDescent="0.25">
      <c r="B64" s="179">
        <f>B62+0.01</f>
        <v>6.139999999999997</v>
      </c>
      <c r="C64" s="84"/>
      <c r="D64" s="335" t="s">
        <v>738</v>
      </c>
      <c r="E64" s="221">
        <v>7.8</v>
      </c>
      <c r="F64" s="224">
        <v>1</v>
      </c>
      <c r="G64" s="128" t="s">
        <v>528</v>
      </c>
      <c r="H64" s="130"/>
      <c r="I64" s="130">
        <f t="shared" si="1"/>
        <v>0</v>
      </c>
      <c r="M64" s="156"/>
    </row>
    <row r="65" spans="2:13" ht="18" customHeight="1" x14ac:dyDescent="0.25">
      <c r="B65" s="164"/>
      <c r="C65" s="84"/>
      <c r="D65" s="334"/>
      <c r="E65" s="221"/>
      <c r="F65" s="224"/>
      <c r="G65" s="128"/>
      <c r="H65" s="130"/>
      <c r="I65" s="130">
        <f t="shared" si="1"/>
        <v>0</v>
      </c>
      <c r="M65" s="156"/>
    </row>
    <row r="66" spans="2:13" ht="39" customHeight="1" x14ac:dyDescent="0.25">
      <c r="B66" s="72"/>
      <c r="C66" s="418" t="s">
        <v>585</v>
      </c>
      <c r="D66" s="419"/>
      <c r="E66" s="220"/>
      <c r="F66" s="223"/>
      <c r="G66" s="75"/>
      <c r="H66" s="122"/>
      <c r="I66" s="130">
        <f t="shared" si="1"/>
        <v>0</v>
      </c>
      <c r="M66" s="156"/>
    </row>
    <row r="67" spans="2:13" ht="17.25" customHeight="1" x14ac:dyDescent="0.25">
      <c r="B67" s="72"/>
      <c r="C67" s="171"/>
      <c r="D67" s="174"/>
      <c r="E67" s="220"/>
      <c r="F67" s="223"/>
      <c r="G67" s="75"/>
      <c r="H67" s="122"/>
      <c r="I67" s="130">
        <f t="shared" si="1"/>
        <v>0</v>
      </c>
      <c r="M67" s="156"/>
    </row>
    <row r="68" spans="2:13" ht="17.25" customHeight="1" x14ac:dyDescent="0.25">
      <c r="B68" s="164">
        <f>B64+0.01</f>
        <v>6.1499999999999968</v>
      </c>
      <c r="C68" s="81"/>
      <c r="D68" s="163" t="s">
        <v>527</v>
      </c>
      <c r="E68" s="220">
        <v>1</v>
      </c>
      <c r="F68" s="223">
        <v>1</v>
      </c>
      <c r="G68" s="75" t="s">
        <v>528</v>
      </c>
      <c r="H68" s="122"/>
      <c r="I68" s="130">
        <f t="shared" si="1"/>
        <v>0</v>
      </c>
      <c r="M68" s="156"/>
    </row>
    <row r="69" spans="2:13" ht="16.5" x14ac:dyDescent="0.25">
      <c r="B69" s="72"/>
      <c r="C69" s="84"/>
      <c r="D69" s="82"/>
      <c r="E69" s="75"/>
      <c r="F69" s="75"/>
      <c r="G69" s="75"/>
      <c r="H69" s="122"/>
      <c r="I69" s="130">
        <f t="shared" si="1"/>
        <v>0</v>
      </c>
      <c r="M69" s="156"/>
    </row>
    <row r="70" spans="2:13" ht="75.75" customHeight="1" x14ac:dyDescent="0.25">
      <c r="B70" s="72"/>
      <c r="C70" s="418" t="s">
        <v>727</v>
      </c>
      <c r="D70" s="419"/>
      <c r="E70" s="220"/>
      <c r="F70" s="223"/>
      <c r="G70" s="75"/>
      <c r="H70" s="122"/>
      <c r="I70" s="130">
        <f t="shared" si="1"/>
        <v>0</v>
      </c>
      <c r="M70" s="156"/>
    </row>
    <row r="71" spans="2:13" ht="16.5" x14ac:dyDescent="0.25">
      <c r="B71" s="72"/>
      <c r="C71" s="74"/>
      <c r="D71" s="155"/>
      <c r="E71" s="220"/>
      <c r="F71" s="223"/>
      <c r="G71" s="75"/>
      <c r="H71" s="122"/>
      <c r="I71" s="130">
        <f t="shared" si="1"/>
        <v>0</v>
      </c>
      <c r="M71" s="156"/>
    </row>
    <row r="72" spans="2:13" ht="30" customHeight="1" x14ac:dyDescent="0.25">
      <c r="B72" s="164">
        <f>B68+0.01</f>
        <v>6.1599999999999966</v>
      </c>
      <c r="C72" s="108"/>
      <c r="D72" s="82" t="s">
        <v>739</v>
      </c>
      <c r="E72" s="221">
        <f>6.5</f>
        <v>6.5</v>
      </c>
      <c r="F72" s="224">
        <v>7</v>
      </c>
      <c r="G72" s="128" t="s">
        <v>660</v>
      </c>
      <c r="H72" s="130"/>
      <c r="I72" s="130">
        <f t="shared" si="1"/>
        <v>0</v>
      </c>
      <c r="M72" s="156"/>
    </row>
    <row r="73" spans="2:13" ht="16.5" x14ac:dyDescent="0.25">
      <c r="B73" s="72"/>
      <c r="C73" s="108"/>
      <c r="D73" s="155"/>
      <c r="E73" s="220"/>
      <c r="F73" s="223"/>
      <c r="G73" s="75"/>
      <c r="H73" s="122"/>
      <c r="I73" s="130">
        <f t="shared" si="1"/>
        <v>0</v>
      </c>
      <c r="M73" s="156"/>
    </row>
    <row r="74" spans="2:13" ht="16.5" x14ac:dyDescent="0.25">
      <c r="B74" s="164">
        <f>B72+0.01</f>
        <v>6.1699999999999964</v>
      </c>
      <c r="C74" s="108"/>
      <c r="D74" s="335" t="s">
        <v>723</v>
      </c>
      <c r="E74" s="220">
        <v>2</v>
      </c>
      <c r="F74" s="223">
        <v>2</v>
      </c>
      <c r="G74" s="75" t="s">
        <v>582</v>
      </c>
      <c r="H74" s="122"/>
      <c r="I74" s="130">
        <f t="shared" si="1"/>
        <v>0</v>
      </c>
      <c r="M74" s="156"/>
    </row>
    <row r="75" spans="2:13" ht="16.5" x14ac:dyDescent="0.25">
      <c r="B75" s="72"/>
      <c r="C75" s="108"/>
      <c r="D75" s="332"/>
      <c r="E75" s="220"/>
      <c r="F75" s="223"/>
      <c r="G75" s="75"/>
      <c r="H75" s="122"/>
      <c r="I75" s="130">
        <f t="shared" si="1"/>
        <v>0</v>
      </c>
      <c r="M75" s="156"/>
    </row>
    <row r="76" spans="2:13" ht="16.5" x14ac:dyDescent="0.25">
      <c r="B76" s="164">
        <f>B74+0.01</f>
        <v>6.1799999999999962</v>
      </c>
      <c r="C76" s="108"/>
      <c r="D76" s="335" t="s">
        <v>724</v>
      </c>
      <c r="E76" s="220">
        <v>2</v>
      </c>
      <c r="F76" s="223">
        <v>2</v>
      </c>
      <c r="G76" s="75" t="s">
        <v>582</v>
      </c>
      <c r="H76" s="122"/>
      <c r="I76" s="130">
        <f t="shared" si="1"/>
        <v>0</v>
      </c>
      <c r="M76" s="156"/>
    </row>
    <row r="77" spans="2:13" ht="16.5" x14ac:dyDescent="0.25">
      <c r="B77" s="72"/>
      <c r="C77" s="108"/>
      <c r="D77" s="155"/>
      <c r="E77" s="220"/>
      <c r="F77" s="223"/>
      <c r="G77" s="75"/>
      <c r="H77" s="122"/>
      <c r="I77" s="130">
        <f t="shared" si="1"/>
        <v>0</v>
      </c>
      <c r="M77" s="156"/>
    </row>
    <row r="78" spans="2:13" ht="30" x14ac:dyDescent="0.25">
      <c r="B78" s="179">
        <f>B76+0.01</f>
        <v>6.1899999999999959</v>
      </c>
      <c r="C78" s="108"/>
      <c r="D78" s="82" t="s">
        <v>740</v>
      </c>
      <c r="E78" s="220">
        <f>4.5*2</f>
        <v>9</v>
      </c>
      <c r="F78" s="223">
        <v>9</v>
      </c>
      <c r="G78" s="75" t="s">
        <v>660</v>
      </c>
      <c r="H78" s="122"/>
      <c r="I78" s="130">
        <f t="shared" si="1"/>
        <v>0</v>
      </c>
      <c r="M78" s="156"/>
    </row>
    <row r="79" spans="2:13" ht="16.5" x14ac:dyDescent="0.25">
      <c r="B79" s="72"/>
      <c r="C79" s="108"/>
      <c r="D79" s="155"/>
      <c r="E79" s="220"/>
      <c r="F79" s="223"/>
      <c r="G79" s="75"/>
      <c r="H79" s="122"/>
      <c r="I79" s="130">
        <f t="shared" si="1"/>
        <v>0</v>
      </c>
      <c r="M79" s="156"/>
    </row>
    <row r="80" spans="2:13" ht="16.5" x14ac:dyDescent="0.25">
      <c r="B80" s="179">
        <f>B78+0.01</f>
        <v>6.1999999999999957</v>
      </c>
      <c r="C80" s="108"/>
      <c r="D80" s="333" t="s">
        <v>725</v>
      </c>
      <c r="E80" s="220">
        <v>4</v>
      </c>
      <c r="F80" s="223">
        <v>4</v>
      </c>
      <c r="G80" s="75" t="s">
        <v>582</v>
      </c>
      <c r="H80" s="122"/>
      <c r="I80" s="130">
        <f t="shared" si="1"/>
        <v>0</v>
      </c>
      <c r="M80" s="156"/>
    </row>
    <row r="81" spans="2:13" ht="16.5" x14ac:dyDescent="0.25">
      <c r="B81" s="72"/>
      <c r="C81" s="108"/>
      <c r="D81" s="155"/>
      <c r="E81" s="220"/>
      <c r="F81" s="223"/>
      <c r="G81" s="75"/>
      <c r="H81" s="122"/>
      <c r="I81" s="130">
        <f t="shared" si="1"/>
        <v>0</v>
      </c>
      <c r="M81" s="156"/>
    </row>
    <row r="82" spans="2:13" ht="16.5" x14ac:dyDescent="0.25">
      <c r="B82" s="179">
        <f>B80+0.01</f>
        <v>6.2099999999999955</v>
      </c>
      <c r="C82" s="108"/>
      <c r="D82" s="333" t="s">
        <v>726</v>
      </c>
      <c r="E82" s="220">
        <v>2</v>
      </c>
      <c r="F82" s="223">
        <v>2</v>
      </c>
      <c r="G82" s="75" t="s">
        <v>582</v>
      </c>
      <c r="H82" s="122"/>
      <c r="I82" s="130">
        <f t="shared" si="1"/>
        <v>0</v>
      </c>
      <c r="M82" s="156"/>
    </row>
    <row r="83" spans="2:13" ht="16.5" x14ac:dyDescent="0.25">
      <c r="B83" s="72"/>
      <c r="C83" s="108"/>
      <c r="D83" s="160"/>
      <c r="E83" s="162"/>
      <c r="F83" s="162"/>
      <c r="G83" s="75"/>
      <c r="H83" s="122"/>
      <c r="I83" s="130">
        <f t="shared" si="1"/>
        <v>0</v>
      </c>
      <c r="M83" s="156"/>
    </row>
    <row r="84" spans="2:13" ht="16.5" x14ac:dyDescent="0.25">
      <c r="B84" s="72"/>
      <c r="C84" s="108"/>
      <c r="D84" s="160"/>
      <c r="E84" s="162"/>
      <c r="F84" s="162"/>
      <c r="G84" s="75"/>
      <c r="H84" s="122"/>
      <c r="I84" s="130">
        <f t="shared" si="1"/>
        <v>0</v>
      </c>
      <c r="M84" s="156"/>
    </row>
    <row r="85" spans="2:13" ht="16.5" x14ac:dyDescent="0.25">
      <c r="B85" s="77"/>
      <c r="C85" s="73" t="s">
        <v>549</v>
      </c>
      <c r="D85" s="160"/>
      <c r="E85" s="162"/>
      <c r="F85" s="162"/>
      <c r="G85" s="78"/>
      <c r="H85" s="79"/>
      <c r="I85" s="130">
        <f t="shared" ref="I85:I109" si="2">F85*H85</f>
        <v>0</v>
      </c>
      <c r="J85" s="83"/>
      <c r="M85" s="126"/>
    </row>
    <row r="86" spans="2:13" ht="16.5" x14ac:dyDescent="0.25">
      <c r="B86" s="77"/>
      <c r="C86" s="74"/>
      <c r="D86" s="160"/>
      <c r="E86" s="162"/>
      <c r="F86" s="162"/>
      <c r="G86" s="78"/>
      <c r="H86" s="79"/>
      <c r="I86" s="130">
        <f t="shared" si="2"/>
        <v>0</v>
      </c>
      <c r="J86" s="83"/>
      <c r="M86" s="126"/>
    </row>
    <row r="87" spans="2:13" ht="16.5" x14ac:dyDescent="0.25">
      <c r="B87" s="77"/>
      <c r="C87" s="159" t="s">
        <v>550</v>
      </c>
      <c r="D87" s="160"/>
      <c r="E87" s="162"/>
      <c r="F87" s="162"/>
      <c r="G87" s="78"/>
      <c r="H87" s="79"/>
      <c r="I87" s="130">
        <f t="shared" si="2"/>
        <v>0</v>
      </c>
      <c r="J87" s="83"/>
      <c r="M87" s="126"/>
    </row>
    <row r="88" spans="2:13" ht="16.5" x14ac:dyDescent="0.25">
      <c r="B88" s="77"/>
      <c r="C88" s="74"/>
      <c r="D88" s="160"/>
      <c r="E88" s="162"/>
      <c r="F88" s="162"/>
      <c r="G88" s="78"/>
      <c r="H88" s="79"/>
      <c r="I88" s="130">
        <f t="shared" si="2"/>
        <v>0</v>
      </c>
      <c r="J88" s="83"/>
      <c r="M88" s="126"/>
    </row>
    <row r="89" spans="2:13" ht="16.5" x14ac:dyDescent="0.25">
      <c r="B89" s="77"/>
      <c r="C89" s="74" t="s">
        <v>551</v>
      </c>
      <c r="D89" s="160"/>
      <c r="E89" s="162"/>
      <c r="F89" s="162"/>
      <c r="G89" s="78"/>
      <c r="H89" s="79"/>
      <c r="I89" s="130">
        <f t="shared" si="2"/>
        <v>0</v>
      </c>
      <c r="J89" s="83"/>
      <c r="M89" s="126"/>
    </row>
    <row r="90" spans="2:13" ht="16.5" x14ac:dyDescent="0.25">
      <c r="B90" s="77"/>
      <c r="C90" s="74"/>
      <c r="D90" s="160"/>
      <c r="E90" s="162"/>
      <c r="F90" s="162"/>
      <c r="G90" s="78"/>
      <c r="H90" s="79"/>
      <c r="I90" s="130">
        <f t="shared" si="2"/>
        <v>0</v>
      </c>
      <c r="J90" s="83"/>
      <c r="M90" s="126"/>
    </row>
    <row r="91" spans="2:13" ht="16.5" x14ac:dyDescent="0.25">
      <c r="B91" s="173">
        <f>B82+0.01</f>
        <v>6.2199999999999953</v>
      </c>
      <c r="C91" s="74"/>
      <c r="D91" s="112" t="s">
        <v>527</v>
      </c>
      <c r="E91" s="162"/>
      <c r="F91" s="162">
        <v>1</v>
      </c>
      <c r="G91" s="75" t="s">
        <v>528</v>
      </c>
      <c r="H91" s="76"/>
      <c r="I91" s="130">
        <f t="shared" si="2"/>
        <v>0</v>
      </c>
      <c r="J91" s="83"/>
      <c r="M91" s="126"/>
    </row>
    <row r="92" spans="2:13" ht="16.5" x14ac:dyDescent="0.25">
      <c r="B92" s="77"/>
      <c r="C92" s="74"/>
      <c r="D92" s="160"/>
      <c r="E92" s="162"/>
      <c r="F92" s="162"/>
      <c r="G92" s="78"/>
      <c r="H92" s="79"/>
      <c r="I92" s="130">
        <f t="shared" si="2"/>
        <v>0</v>
      </c>
      <c r="J92" s="83"/>
      <c r="M92" s="126"/>
    </row>
    <row r="93" spans="2:13" ht="16.5" x14ac:dyDescent="0.25">
      <c r="B93" s="77"/>
      <c r="C93" s="432" t="s">
        <v>634</v>
      </c>
      <c r="D93" s="433"/>
      <c r="E93" s="162"/>
      <c r="F93" s="162"/>
      <c r="G93" s="78"/>
      <c r="H93" s="79"/>
      <c r="I93" s="130">
        <f t="shared" si="2"/>
        <v>0</v>
      </c>
      <c r="J93" s="83"/>
      <c r="M93" s="126"/>
    </row>
    <row r="94" spans="2:13" ht="16.5" x14ac:dyDescent="0.25">
      <c r="B94" s="77"/>
      <c r="C94" s="74"/>
      <c r="D94" s="160"/>
      <c r="E94" s="162"/>
      <c r="F94" s="162"/>
      <c r="G94" s="78"/>
      <c r="H94" s="79"/>
      <c r="I94" s="130">
        <f t="shared" si="2"/>
        <v>0</v>
      </c>
      <c r="J94" s="83"/>
      <c r="M94" s="126"/>
    </row>
    <row r="95" spans="2:13" ht="28.5" customHeight="1" x14ac:dyDescent="0.25">
      <c r="B95" s="77"/>
      <c r="C95" s="418" t="s">
        <v>656</v>
      </c>
      <c r="D95" s="419"/>
      <c r="E95" s="162"/>
      <c r="F95" s="162"/>
      <c r="G95" s="78"/>
      <c r="H95" s="79"/>
      <c r="I95" s="130">
        <f t="shared" si="2"/>
        <v>0</v>
      </c>
      <c r="J95" s="83"/>
      <c r="M95" s="126"/>
    </row>
    <row r="96" spans="2:13" ht="16.5" x14ac:dyDescent="0.25">
      <c r="B96" s="77"/>
      <c r="C96" s="74"/>
      <c r="D96" s="160"/>
      <c r="E96" s="162"/>
      <c r="F96" s="162"/>
      <c r="G96" s="78"/>
      <c r="H96" s="79"/>
      <c r="I96" s="130">
        <f t="shared" si="2"/>
        <v>0</v>
      </c>
      <c r="J96" s="83"/>
      <c r="M96" s="126"/>
    </row>
    <row r="97" spans="2:13" ht="16.5" x14ac:dyDescent="0.25">
      <c r="B97" s="172">
        <f>B91+0.01</f>
        <v>6.2299999999999951</v>
      </c>
      <c r="C97" s="74"/>
      <c r="D97" s="112" t="s">
        <v>527</v>
      </c>
      <c r="E97" s="162"/>
      <c r="F97" s="344">
        <v>1</v>
      </c>
      <c r="G97" s="75" t="s">
        <v>528</v>
      </c>
      <c r="H97" s="76"/>
      <c r="I97" s="130">
        <f t="shared" si="2"/>
        <v>0</v>
      </c>
      <c r="J97" s="83"/>
      <c r="M97" s="126"/>
    </row>
    <row r="98" spans="2:13" ht="16.5" x14ac:dyDescent="0.25">
      <c r="B98" s="77"/>
      <c r="C98" s="74"/>
      <c r="D98" s="160"/>
      <c r="E98" s="162"/>
      <c r="F98" s="162"/>
      <c r="G98" s="78"/>
      <c r="H98" s="79"/>
      <c r="I98" s="130">
        <f t="shared" si="2"/>
        <v>0</v>
      </c>
      <c r="J98" s="83"/>
      <c r="M98" s="126"/>
    </row>
    <row r="99" spans="2:13" ht="16.5" x14ac:dyDescent="0.25">
      <c r="B99" s="77"/>
      <c r="C99" s="159" t="s">
        <v>556</v>
      </c>
      <c r="D99" s="160"/>
      <c r="E99" s="162"/>
      <c r="F99" s="162"/>
      <c r="G99" s="78"/>
      <c r="H99" s="79"/>
      <c r="I99" s="130">
        <f t="shared" si="2"/>
        <v>0</v>
      </c>
      <c r="J99" s="83"/>
      <c r="M99" s="126"/>
    </row>
    <row r="100" spans="2:13" ht="16.5" x14ac:dyDescent="0.25">
      <c r="B100" s="77"/>
      <c r="C100" s="74"/>
      <c r="D100" s="160"/>
      <c r="E100" s="162"/>
      <c r="F100" s="162"/>
      <c r="G100" s="78"/>
      <c r="H100" s="79"/>
      <c r="I100" s="130">
        <f t="shared" si="2"/>
        <v>0</v>
      </c>
      <c r="J100" s="83"/>
      <c r="M100" s="126"/>
    </row>
    <row r="101" spans="2:13" ht="33.75" customHeight="1" x14ac:dyDescent="0.25">
      <c r="B101" s="77"/>
      <c r="C101" s="420" t="s">
        <v>557</v>
      </c>
      <c r="D101" s="421"/>
      <c r="E101" s="162"/>
      <c r="F101" s="162"/>
      <c r="G101" s="78"/>
      <c r="H101" s="79"/>
      <c r="I101" s="130">
        <f t="shared" si="2"/>
        <v>0</v>
      </c>
      <c r="J101" s="83"/>
      <c r="M101" s="126"/>
    </row>
    <row r="102" spans="2:13" ht="14.45" customHeight="1" x14ac:dyDescent="0.25">
      <c r="B102" s="77"/>
      <c r="C102" s="170"/>
      <c r="D102" s="158"/>
      <c r="E102" s="162"/>
      <c r="F102" s="162"/>
      <c r="G102" s="78"/>
      <c r="H102" s="79"/>
      <c r="I102" s="130">
        <f t="shared" si="2"/>
        <v>0</v>
      </c>
      <c r="J102" s="83"/>
      <c r="M102" s="126"/>
    </row>
    <row r="103" spans="2:13" ht="16.5" x14ac:dyDescent="0.25">
      <c r="B103" s="173">
        <f>B97+0.01</f>
        <v>6.2399999999999949</v>
      </c>
      <c r="C103" s="74"/>
      <c r="D103" s="112" t="s">
        <v>527</v>
      </c>
      <c r="E103" s="162"/>
      <c r="F103" s="344">
        <v>1</v>
      </c>
      <c r="G103" s="75" t="s">
        <v>528</v>
      </c>
      <c r="H103" s="76"/>
      <c r="I103" s="130">
        <f t="shared" si="2"/>
        <v>0</v>
      </c>
      <c r="J103" s="83"/>
      <c r="M103" s="126"/>
    </row>
    <row r="104" spans="2:13" ht="16.5" x14ac:dyDescent="0.25">
      <c r="B104" s="77"/>
      <c r="C104" s="74"/>
      <c r="D104" s="160"/>
      <c r="E104" s="162"/>
      <c r="F104" s="162"/>
      <c r="G104" s="78"/>
      <c r="H104" s="79"/>
      <c r="I104" s="130">
        <f t="shared" si="2"/>
        <v>0</v>
      </c>
      <c r="J104" s="83"/>
      <c r="M104" s="126"/>
    </row>
    <row r="105" spans="2:13" ht="16.5" x14ac:dyDescent="0.25">
      <c r="B105" s="72"/>
      <c r="C105" s="159" t="s">
        <v>529</v>
      </c>
      <c r="D105" s="82"/>
      <c r="E105" s="162"/>
      <c r="F105" s="162"/>
      <c r="G105" s="75"/>
      <c r="H105" s="122"/>
      <c r="I105" s="130">
        <f t="shared" si="2"/>
        <v>0</v>
      </c>
      <c r="J105" s="83"/>
      <c r="M105" s="126"/>
    </row>
    <row r="106" spans="2:13" ht="16.5" x14ac:dyDescent="0.25">
      <c r="B106" s="72"/>
      <c r="C106" s="74"/>
      <c r="D106" s="82"/>
      <c r="E106" s="162"/>
      <c r="F106" s="162"/>
      <c r="G106" s="75"/>
      <c r="H106" s="122"/>
      <c r="I106" s="130">
        <f t="shared" si="2"/>
        <v>0</v>
      </c>
      <c r="J106" s="83"/>
      <c r="M106" s="127"/>
    </row>
    <row r="107" spans="2:13" ht="37.5" customHeight="1" x14ac:dyDescent="0.25">
      <c r="B107" s="72"/>
      <c r="C107" s="422" t="s">
        <v>629</v>
      </c>
      <c r="D107" s="423"/>
      <c r="E107" s="162"/>
      <c r="F107" s="162"/>
      <c r="G107" s="75"/>
      <c r="H107" s="122"/>
      <c r="I107" s="130">
        <f t="shared" si="2"/>
        <v>0</v>
      </c>
      <c r="J107" s="83"/>
      <c r="M107" s="127"/>
    </row>
    <row r="108" spans="2:13" ht="13.7" customHeight="1" x14ac:dyDescent="0.25">
      <c r="B108" s="72"/>
      <c r="C108" s="165"/>
      <c r="D108" s="82"/>
      <c r="E108" s="162"/>
      <c r="F108" s="162"/>
      <c r="G108" s="75"/>
      <c r="H108" s="122"/>
      <c r="I108" s="130">
        <f t="shared" si="2"/>
        <v>0</v>
      </c>
      <c r="J108" s="83"/>
      <c r="M108" s="127"/>
    </row>
    <row r="109" spans="2:13" x14ac:dyDescent="0.25">
      <c r="B109" s="173">
        <f>B103+0.01</f>
        <v>6.2499999999999947</v>
      </c>
      <c r="C109" s="74"/>
      <c r="D109" s="112" t="s">
        <v>527</v>
      </c>
      <c r="E109" s="162"/>
      <c r="F109" s="344">
        <v>1</v>
      </c>
      <c r="G109" s="75" t="s">
        <v>528</v>
      </c>
      <c r="H109" s="122"/>
      <c r="I109" s="130">
        <f t="shared" si="2"/>
        <v>0</v>
      </c>
      <c r="J109" s="83"/>
    </row>
    <row r="110" spans="2:13" ht="15" customHeight="1" thickBot="1" x14ac:dyDescent="0.3">
      <c r="B110" s="72"/>
      <c r="C110" s="135"/>
      <c r="D110" s="82"/>
      <c r="E110" s="162"/>
      <c r="F110" s="162"/>
      <c r="G110" s="75"/>
      <c r="H110" s="122"/>
      <c r="I110" s="130">
        <f t="shared" ref="I110" si="3">F110*H110</f>
        <v>0</v>
      </c>
    </row>
    <row r="111" spans="2:13" ht="15" customHeight="1" thickBot="1" x14ac:dyDescent="0.3">
      <c r="B111" s="72"/>
      <c r="C111" s="135"/>
      <c r="D111" s="314" t="s">
        <v>884</v>
      </c>
      <c r="E111" s="162"/>
      <c r="F111" s="162"/>
      <c r="G111" s="75"/>
      <c r="H111" s="366"/>
      <c r="I111" s="352">
        <f>SUM(I12:I110)</f>
        <v>0</v>
      </c>
    </row>
    <row r="112" spans="2:13" ht="15" customHeight="1" x14ac:dyDescent="0.25">
      <c r="B112" s="72"/>
      <c r="C112" s="135"/>
      <c r="D112" s="82"/>
      <c r="E112" s="161"/>
      <c r="F112" s="161"/>
      <c r="G112" s="75"/>
      <c r="H112" s="122"/>
      <c r="I112" s="130"/>
    </row>
    <row r="113" spans="2:9" ht="15" customHeight="1" x14ac:dyDescent="0.25">
      <c r="B113" s="72"/>
      <c r="C113" s="135"/>
      <c r="D113" s="82"/>
      <c r="E113" s="161"/>
      <c r="F113" s="161"/>
      <c r="G113" s="75"/>
      <c r="H113" s="122"/>
      <c r="I113" s="130"/>
    </row>
    <row r="114" spans="2:9" ht="15" customHeight="1" x14ac:dyDescent="0.25">
      <c r="B114" s="72"/>
      <c r="C114" s="426" t="s">
        <v>816</v>
      </c>
      <c r="D114" s="427"/>
      <c r="E114" s="161"/>
      <c r="F114" s="161"/>
      <c r="G114" s="75"/>
      <c r="H114" s="122"/>
      <c r="I114" s="130"/>
    </row>
    <row r="115" spans="2:9" ht="15" customHeight="1" x14ac:dyDescent="0.25">
      <c r="B115" s="72"/>
      <c r="C115" s="135"/>
      <c r="D115" s="82"/>
      <c r="E115" s="161"/>
      <c r="F115" s="161"/>
      <c r="G115" s="75"/>
      <c r="H115" s="122"/>
      <c r="I115" s="130"/>
    </row>
    <row r="116" spans="2:9" ht="15" customHeight="1" x14ac:dyDescent="0.25">
      <c r="B116" s="371"/>
      <c r="C116" s="372" t="s">
        <v>886</v>
      </c>
      <c r="D116" s="207"/>
      <c r="E116" s="161"/>
      <c r="F116" s="161"/>
      <c r="G116" s="75"/>
      <c r="H116" s="122"/>
      <c r="I116" s="130"/>
    </row>
    <row r="117" spans="2:9" ht="15" customHeight="1" x14ac:dyDescent="0.25">
      <c r="B117" s="371"/>
      <c r="C117" s="373"/>
      <c r="D117" s="82"/>
      <c r="E117" s="161"/>
      <c r="F117" s="161"/>
      <c r="G117" s="75"/>
      <c r="H117" s="122"/>
      <c r="I117" s="130"/>
    </row>
    <row r="118" spans="2:9" ht="73.5" customHeight="1" x14ac:dyDescent="0.25">
      <c r="B118" s="371"/>
      <c r="C118" s="451" t="s">
        <v>887</v>
      </c>
      <c r="D118" s="452"/>
      <c r="E118" s="161"/>
      <c r="F118" s="161"/>
      <c r="G118" s="75"/>
      <c r="H118" s="122"/>
      <c r="I118" s="130"/>
    </row>
    <row r="119" spans="2:9" ht="63.75" customHeight="1" x14ac:dyDescent="0.25">
      <c r="B119" s="371"/>
      <c r="C119" s="451" t="s">
        <v>1358</v>
      </c>
      <c r="D119" s="452"/>
      <c r="E119" s="161"/>
      <c r="F119" s="161"/>
      <c r="G119" s="75"/>
      <c r="H119" s="122"/>
      <c r="I119" s="130"/>
    </row>
    <row r="120" spans="2:9" ht="15" customHeight="1" x14ac:dyDescent="0.25">
      <c r="B120" s="371"/>
      <c r="C120" s="373"/>
      <c r="D120" s="82"/>
      <c r="E120" s="161"/>
      <c r="F120" s="161"/>
      <c r="G120" s="75"/>
      <c r="H120" s="122"/>
      <c r="I120" s="130"/>
    </row>
    <row r="121" spans="2:9" ht="15" customHeight="1" x14ac:dyDescent="0.25">
      <c r="B121" s="371"/>
      <c r="C121" s="176" t="s">
        <v>888</v>
      </c>
      <c r="D121" s="212"/>
      <c r="E121" s="161"/>
      <c r="F121" s="161"/>
      <c r="G121" s="75"/>
      <c r="H121" s="122"/>
      <c r="I121" s="130"/>
    </row>
    <row r="122" spans="2:9" ht="15" customHeight="1" x14ac:dyDescent="0.25">
      <c r="B122" s="371"/>
      <c r="C122" s="211"/>
      <c r="D122" s="212"/>
      <c r="E122" s="161"/>
      <c r="F122" s="161"/>
      <c r="G122" s="75"/>
      <c r="H122" s="122"/>
      <c r="I122" s="130"/>
    </row>
    <row r="123" spans="2:9" ht="74.25" customHeight="1" x14ac:dyDescent="0.25">
      <c r="B123" s="371"/>
      <c r="C123" s="451" t="s">
        <v>1288</v>
      </c>
      <c r="D123" s="452"/>
      <c r="E123" s="161"/>
      <c r="F123" s="161"/>
      <c r="G123" s="75"/>
      <c r="H123" s="122"/>
      <c r="I123" s="130"/>
    </row>
    <row r="124" spans="2:9" ht="15" customHeight="1" x14ac:dyDescent="0.25">
      <c r="B124" s="371"/>
      <c r="C124" s="178"/>
      <c r="D124" s="369"/>
      <c r="E124" s="161"/>
      <c r="F124" s="161"/>
      <c r="G124" s="75"/>
      <c r="H124" s="122"/>
      <c r="I124" s="130"/>
    </row>
    <row r="125" spans="2:9" ht="15" customHeight="1" x14ac:dyDescent="0.25">
      <c r="B125" s="375">
        <f>B109+0.01</f>
        <v>6.2599999999999945</v>
      </c>
      <c r="C125" s="211"/>
      <c r="D125" s="215" t="s">
        <v>527</v>
      </c>
      <c r="E125" s="161"/>
      <c r="F125" s="162">
        <v>1</v>
      </c>
      <c r="G125" s="75" t="s">
        <v>528</v>
      </c>
      <c r="H125" s="122"/>
      <c r="I125" s="130">
        <f t="shared" ref="I125:I247" si="4">F125*H125</f>
        <v>0</v>
      </c>
    </row>
    <row r="126" spans="2:9" ht="15" customHeight="1" x14ac:dyDescent="0.25">
      <c r="B126" s="72"/>
      <c r="C126" s="135"/>
      <c r="D126" s="82"/>
      <c r="E126" s="161"/>
      <c r="F126" s="161"/>
      <c r="G126" s="75"/>
      <c r="H126" s="122"/>
      <c r="I126" s="130">
        <f t="shared" si="4"/>
        <v>0</v>
      </c>
    </row>
    <row r="127" spans="2:9" ht="15" customHeight="1" x14ac:dyDescent="0.25">
      <c r="B127" s="72"/>
      <c r="C127" s="445" t="s">
        <v>1252</v>
      </c>
      <c r="D127" s="446"/>
      <c r="E127" s="162"/>
      <c r="F127" s="162"/>
      <c r="G127" s="75"/>
      <c r="H127" s="122"/>
      <c r="I127" s="130"/>
    </row>
    <row r="128" spans="2:9" ht="15" customHeight="1" x14ac:dyDescent="0.25">
      <c r="B128" s="72"/>
      <c r="C128" s="74"/>
      <c r="D128" s="111"/>
      <c r="E128" s="162"/>
      <c r="F128" s="162"/>
      <c r="G128" s="75"/>
      <c r="H128" s="122"/>
      <c r="I128" s="130"/>
    </row>
    <row r="129" spans="2:9" ht="32.25" customHeight="1" x14ac:dyDescent="0.25">
      <c r="B129" s="72"/>
      <c r="C129" s="437" t="s">
        <v>1428</v>
      </c>
      <c r="D129" s="438"/>
      <c r="E129" s="162"/>
      <c r="F129" s="162"/>
      <c r="G129" s="75"/>
      <c r="H129" s="122"/>
      <c r="I129" s="130"/>
    </row>
    <row r="130" spans="2:9" ht="15" customHeight="1" x14ac:dyDescent="0.25">
      <c r="B130" s="72"/>
      <c r="C130" s="74"/>
      <c r="D130" s="111"/>
      <c r="E130" s="162"/>
      <c r="F130" s="162"/>
      <c r="G130" s="75"/>
      <c r="H130" s="122"/>
      <c r="I130" s="130"/>
    </row>
    <row r="131" spans="2:9" ht="28.5" customHeight="1" x14ac:dyDescent="0.25">
      <c r="B131" s="72"/>
      <c r="C131" s="418" t="s">
        <v>1264</v>
      </c>
      <c r="D131" s="419"/>
      <c r="E131" s="162"/>
      <c r="F131" s="162"/>
      <c r="G131" s="75"/>
      <c r="H131" s="122"/>
      <c r="I131" s="130"/>
    </row>
    <row r="132" spans="2:9" ht="15" customHeight="1" x14ac:dyDescent="0.25">
      <c r="B132" s="72"/>
      <c r="C132" s="74"/>
      <c r="D132" s="111"/>
      <c r="E132" s="162"/>
      <c r="F132" s="162"/>
      <c r="G132" s="75"/>
      <c r="H132" s="122"/>
      <c r="I132" s="130"/>
    </row>
    <row r="133" spans="2:9" ht="15" customHeight="1" x14ac:dyDescent="0.25">
      <c r="B133" s="172">
        <f>B125+0.01</f>
        <v>6.2699999999999942</v>
      </c>
      <c r="C133" s="74"/>
      <c r="D133" s="82" t="s">
        <v>1265</v>
      </c>
      <c r="E133" s="344">
        <f>(10.61*(7+14))-7.31</f>
        <v>215.5</v>
      </c>
      <c r="F133" s="344">
        <v>216</v>
      </c>
      <c r="G133" s="128" t="s">
        <v>660</v>
      </c>
      <c r="H133" s="130"/>
      <c r="I133" s="130">
        <f>F133*H133</f>
        <v>0</v>
      </c>
    </row>
    <row r="134" spans="2:9" ht="15" customHeight="1" x14ac:dyDescent="0.25">
      <c r="B134" s="72"/>
      <c r="C134" s="135"/>
      <c r="D134" s="82"/>
      <c r="E134" s="161"/>
      <c r="F134" s="161"/>
      <c r="G134" s="75"/>
      <c r="H134" s="122"/>
      <c r="I134" s="130"/>
    </row>
    <row r="135" spans="2:9" ht="29.25" customHeight="1" x14ac:dyDescent="0.25">
      <c r="B135" s="72"/>
      <c r="C135" s="418" t="s">
        <v>1267</v>
      </c>
      <c r="D135" s="419"/>
      <c r="E135" s="162"/>
      <c r="F135" s="162"/>
      <c r="G135" s="75"/>
      <c r="H135" s="122"/>
      <c r="I135" s="130"/>
    </row>
    <row r="136" spans="2:9" ht="15" customHeight="1" x14ac:dyDescent="0.25">
      <c r="B136" s="72"/>
      <c r="C136" s="74"/>
      <c r="D136" s="111"/>
      <c r="E136" s="162"/>
      <c r="F136" s="162"/>
      <c r="G136" s="75"/>
      <c r="H136" s="122"/>
      <c r="I136" s="130"/>
    </row>
    <row r="137" spans="2:9" ht="32.25" customHeight="1" x14ac:dyDescent="0.25">
      <c r="B137" s="179">
        <f>B133+0.01</f>
        <v>6.279999999999994</v>
      </c>
      <c r="C137" s="74"/>
      <c r="D137" s="82" t="s">
        <v>1268</v>
      </c>
      <c r="E137" s="344">
        <f>7.31+(1.4*2)</f>
        <v>10.11</v>
      </c>
      <c r="F137" s="344">
        <v>10</v>
      </c>
      <c r="G137" s="128" t="s">
        <v>660</v>
      </c>
      <c r="H137" s="130"/>
      <c r="I137" s="130">
        <f>F137*H137</f>
        <v>0</v>
      </c>
    </row>
    <row r="138" spans="2:9" ht="15" customHeight="1" x14ac:dyDescent="0.25">
      <c r="B138" s="72"/>
      <c r="C138" s="135"/>
      <c r="D138" s="82"/>
      <c r="E138" s="161"/>
      <c r="F138" s="161"/>
      <c r="G138" s="75"/>
      <c r="H138" s="122"/>
      <c r="I138" s="130"/>
    </row>
    <row r="139" spans="2:9" ht="15" customHeight="1" x14ac:dyDescent="0.25">
      <c r="B139" s="72"/>
      <c r="C139" s="434" t="s">
        <v>1255</v>
      </c>
      <c r="D139" s="435"/>
      <c r="E139" s="162"/>
      <c r="F139" s="162"/>
      <c r="G139" s="75"/>
      <c r="H139" s="122"/>
      <c r="I139" s="130"/>
    </row>
    <row r="140" spans="2:9" ht="15" customHeight="1" x14ac:dyDescent="0.25">
      <c r="B140" s="72"/>
      <c r="C140" s="74"/>
      <c r="D140" s="111"/>
      <c r="E140" s="162"/>
      <c r="F140" s="162"/>
      <c r="G140" s="75"/>
      <c r="H140" s="122"/>
      <c r="I140" s="130"/>
    </row>
    <row r="141" spans="2:9" ht="15" customHeight="1" x14ac:dyDescent="0.25">
      <c r="B141" s="179">
        <f>B137+0.01</f>
        <v>6.2899999999999938</v>
      </c>
      <c r="C141" s="74"/>
      <c r="D141" s="82" t="s">
        <v>1265</v>
      </c>
      <c r="E141" s="162">
        <f>(2.7+6.5)*3*3</f>
        <v>82.8</v>
      </c>
      <c r="F141" s="344">
        <v>83</v>
      </c>
      <c r="G141" s="128" t="s">
        <v>660</v>
      </c>
      <c r="H141" s="130"/>
      <c r="I141" s="130">
        <f>F141*H141</f>
        <v>0</v>
      </c>
    </row>
    <row r="142" spans="2:9" ht="15" customHeight="1" x14ac:dyDescent="0.25">
      <c r="B142" s="179"/>
      <c r="C142" s="74"/>
      <c r="D142" s="82"/>
      <c r="E142" s="162"/>
      <c r="F142" s="344"/>
      <c r="G142" s="128"/>
      <c r="H142" s="130"/>
      <c r="I142" s="130"/>
    </row>
    <row r="143" spans="2:9" ht="15" customHeight="1" x14ac:dyDescent="0.25">
      <c r="B143" s="72"/>
      <c r="C143" s="434" t="s">
        <v>1260</v>
      </c>
      <c r="D143" s="435"/>
      <c r="E143" s="162"/>
      <c r="F143" s="162"/>
      <c r="G143" s="75"/>
      <c r="H143" s="122"/>
      <c r="I143" s="130"/>
    </row>
    <row r="144" spans="2:9" ht="15" customHeight="1" x14ac:dyDescent="0.25">
      <c r="B144" s="72"/>
      <c r="C144" s="74"/>
      <c r="D144" s="111"/>
      <c r="E144" s="162"/>
      <c r="F144" s="162"/>
      <c r="G144" s="75"/>
      <c r="H144" s="122"/>
      <c r="I144" s="130"/>
    </row>
    <row r="145" spans="2:9" ht="15" customHeight="1" x14ac:dyDescent="0.25">
      <c r="B145" s="179">
        <f>B141+0.01</f>
        <v>6.2999999999999936</v>
      </c>
      <c r="C145" s="74"/>
      <c r="D145" s="82" t="s">
        <v>1269</v>
      </c>
      <c r="E145" s="162">
        <f>((7+14)*2*3)</f>
        <v>126</v>
      </c>
      <c r="F145" s="344">
        <v>126</v>
      </c>
      <c r="G145" s="128" t="s">
        <v>582</v>
      </c>
      <c r="H145" s="130"/>
      <c r="I145" s="130">
        <f>F145*H145</f>
        <v>0</v>
      </c>
    </row>
    <row r="146" spans="2:9" ht="15" customHeight="1" x14ac:dyDescent="0.25">
      <c r="B146" s="72"/>
      <c r="C146" s="74"/>
      <c r="D146" s="111"/>
      <c r="E146" s="162"/>
      <c r="F146" s="162"/>
      <c r="G146" s="75"/>
      <c r="H146" s="122"/>
      <c r="I146" s="130"/>
    </row>
    <row r="147" spans="2:9" ht="15" customHeight="1" x14ac:dyDescent="0.25">
      <c r="B147" s="179">
        <f>B145+0.01</f>
        <v>6.3099999999999934</v>
      </c>
      <c r="C147" s="74"/>
      <c r="D147" s="82" t="s">
        <v>1270</v>
      </c>
      <c r="E147" s="162">
        <v>6</v>
      </c>
      <c r="F147" s="344">
        <v>6</v>
      </c>
      <c r="G147" s="128" t="s">
        <v>582</v>
      </c>
      <c r="H147" s="130"/>
      <c r="I147" s="130">
        <f>F147*H147</f>
        <v>0</v>
      </c>
    </row>
    <row r="148" spans="2:9" ht="15" customHeight="1" x14ac:dyDescent="0.25">
      <c r="B148" s="179"/>
      <c r="C148" s="74"/>
      <c r="D148" s="82"/>
      <c r="E148" s="162"/>
      <c r="F148" s="344"/>
      <c r="G148" s="128"/>
      <c r="H148" s="130"/>
      <c r="I148" s="130"/>
    </row>
    <row r="149" spans="2:9" ht="28.5" customHeight="1" x14ac:dyDescent="0.25">
      <c r="B149" s="72"/>
      <c r="C149" s="418" t="s">
        <v>1271</v>
      </c>
      <c r="D149" s="419"/>
      <c r="E149" s="162"/>
      <c r="F149" s="162"/>
      <c r="G149" s="75"/>
      <c r="H149" s="122"/>
      <c r="I149" s="130"/>
    </row>
    <row r="150" spans="2:9" ht="15" customHeight="1" x14ac:dyDescent="0.25">
      <c r="B150" s="72"/>
      <c r="C150" s="74"/>
      <c r="D150" s="111"/>
      <c r="E150" s="162"/>
      <c r="F150" s="162"/>
      <c r="G150" s="75"/>
      <c r="H150" s="122"/>
      <c r="I150" s="130"/>
    </row>
    <row r="151" spans="2:9" ht="15" customHeight="1" x14ac:dyDescent="0.25">
      <c r="B151" s="172">
        <f>B147+0.01</f>
        <v>6.3199999999999932</v>
      </c>
      <c r="C151" s="74"/>
      <c r="D151" s="82" t="s">
        <v>1273</v>
      </c>
      <c r="E151" s="344">
        <f>10.61*2</f>
        <v>21.22</v>
      </c>
      <c r="F151" s="344">
        <v>21</v>
      </c>
      <c r="G151" s="128" t="s">
        <v>660</v>
      </c>
      <c r="H151" s="130"/>
      <c r="I151" s="130">
        <f>F151*H151</f>
        <v>0</v>
      </c>
    </row>
    <row r="152" spans="2:9" ht="15" customHeight="1" x14ac:dyDescent="0.25">
      <c r="B152" s="179"/>
      <c r="C152" s="74"/>
      <c r="D152" s="82"/>
      <c r="E152" s="162"/>
      <c r="F152" s="344"/>
      <c r="G152" s="128"/>
      <c r="H152" s="130"/>
      <c r="I152" s="130"/>
    </row>
    <row r="153" spans="2:9" ht="30" customHeight="1" x14ac:dyDescent="0.25">
      <c r="B153" s="179"/>
      <c r="C153" s="418" t="s">
        <v>1272</v>
      </c>
      <c r="D153" s="419"/>
      <c r="E153" s="162"/>
      <c r="F153" s="344"/>
      <c r="G153" s="128"/>
      <c r="H153" s="130"/>
      <c r="I153" s="130"/>
    </row>
    <row r="154" spans="2:9" ht="15.75" customHeight="1" x14ac:dyDescent="0.25">
      <c r="B154" s="371"/>
      <c r="C154" s="453"/>
      <c r="D154" s="454"/>
      <c r="E154" s="161"/>
      <c r="F154" s="161"/>
      <c r="G154" s="75"/>
      <c r="H154" s="122"/>
      <c r="I154" s="130">
        <f t="shared" si="4"/>
        <v>0</v>
      </c>
    </row>
    <row r="155" spans="2:9" ht="44.25" customHeight="1" x14ac:dyDescent="0.25">
      <c r="B155" s="179">
        <f>B151+0.01</f>
        <v>6.329999999999993</v>
      </c>
      <c r="C155" s="178"/>
      <c r="D155" s="82" t="s">
        <v>1274</v>
      </c>
      <c r="E155" s="344">
        <f>10.61*3</f>
        <v>31.83</v>
      </c>
      <c r="F155" s="344">
        <v>32</v>
      </c>
      <c r="G155" s="128" t="s">
        <v>660</v>
      </c>
      <c r="H155" s="130"/>
      <c r="I155" s="130">
        <f t="shared" si="4"/>
        <v>0</v>
      </c>
    </row>
    <row r="156" spans="2:9" ht="14.25" customHeight="1" x14ac:dyDescent="0.25">
      <c r="B156" s="371"/>
      <c r="C156" s="451"/>
      <c r="D156" s="452"/>
      <c r="E156" s="161"/>
      <c r="F156" s="161"/>
      <c r="G156" s="75"/>
      <c r="H156" s="122"/>
      <c r="I156" s="130">
        <f t="shared" si="4"/>
        <v>0</v>
      </c>
    </row>
    <row r="157" spans="2:9" ht="12.75" customHeight="1" x14ac:dyDescent="0.25">
      <c r="B157" s="72"/>
      <c r="C157" s="434" t="s">
        <v>1255</v>
      </c>
      <c r="D157" s="435"/>
      <c r="E157" s="162"/>
      <c r="F157" s="162"/>
      <c r="G157" s="75"/>
      <c r="H157" s="122"/>
      <c r="I157" s="130"/>
    </row>
    <row r="158" spans="2:9" ht="15" customHeight="1" x14ac:dyDescent="0.25">
      <c r="B158" s="72"/>
      <c r="C158" s="74"/>
      <c r="D158" s="111"/>
      <c r="E158" s="162"/>
      <c r="F158" s="162"/>
      <c r="G158" s="75"/>
      <c r="H158" s="122"/>
      <c r="I158" s="130"/>
    </row>
    <row r="159" spans="2:9" ht="15" customHeight="1" x14ac:dyDescent="0.25">
      <c r="B159" s="179">
        <f>B155+0.01</f>
        <v>6.3399999999999928</v>
      </c>
      <c r="C159" s="74"/>
      <c r="D159" s="82" t="s">
        <v>1275</v>
      </c>
      <c r="E159" s="162">
        <f>2.12*4*3</f>
        <v>25.44</v>
      </c>
      <c r="F159" s="344">
        <v>25</v>
      </c>
      <c r="G159" s="128" t="s">
        <v>660</v>
      </c>
      <c r="H159" s="130"/>
      <c r="I159" s="130">
        <f>F159*H159</f>
        <v>0</v>
      </c>
    </row>
    <row r="160" spans="2:9" ht="15" customHeight="1" x14ac:dyDescent="0.25">
      <c r="B160" s="374"/>
      <c r="C160" s="373"/>
      <c r="D160" s="82"/>
      <c r="E160" s="161"/>
      <c r="F160" s="161"/>
      <c r="G160" s="75"/>
      <c r="H160" s="122"/>
      <c r="I160" s="130">
        <f t="shared" si="4"/>
        <v>0</v>
      </c>
    </row>
    <row r="161" spans="2:9" ht="15" customHeight="1" x14ac:dyDescent="0.25">
      <c r="B161" s="72"/>
      <c r="C161" s="434" t="s">
        <v>1260</v>
      </c>
      <c r="D161" s="435"/>
      <c r="E161" s="162"/>
      <c r="F161" s="162"/>
      <c r="G161" s="75"/>
      <c r="H161" s="122"/>
      <c r="I161" s="130"/>
    </row>
    <row r="162" spans="2:9" ht="15" customHeight="1" x14ac:dyDescent="0.25">
      <c r="B162" s="72"/>
      <c r="C162" s="74"/>
      <c r="D162" s="111"/>
      <c r="E162" s="162"/>
      <c r="F162" s="162"/>
      <c r="G162" s="75"/>
      <c r="H162" s="122"/>
      <c r="I162" s="130"/>
    </row>
    <row r="163" spans="2:9" ht="15" customHeight="1" x14ac:dyDescent="0.25">
      <c r="B163" s="179">
        <f>B159+0.01</f>
        <v>6.3499999999999925</v>
      </c>
      <c r="C163" s="74"/>
      <c r="D163" s="82" t="s">
        <v>1276</v>
      </c>
      <c r="E163" s="162">
        <f>(2*2*3)+(4*3)</f>
        <v>24</v>
      </c>
      <c r="F163" s="344">
        <v>24</v>
      </c>
      <c r="G163" s="128" t="s">
        <v>582</v>
      </c>
      <c r="H163" s="130"/>
      <c r="I163" s="130">
        <f>F163*H163</f>
        <v>0</v>
      </c>
    </row>
    <row r="164" spans="2:9" ht="15" customHeight="1" x14ac:dyDescent="0.25">
      <c r="B164" s="374"/>
      <c r="C164" s="373"/>
      <c r="D164" s="82"/>
      <c r="E164" s="161"/>
      <c r="F164" s="161"/>
      <c r="G164" s="75"/>
      <c r="H164" s="122"/>
      <c r="I164" s="130"/>
    </row>
    <row r="165" spans="2:9" ht="15" customHeight="1" x14ac:dyDescent="0.25">
      <c r="B165" s="179">
        <f>B163+0.01</f>
        <v>6.3599999999999923</v>
      </c>
      <c r="C165" s="74"/>
      <c r="D165" s="82" t="s">
        <v>1277</v>
      </c>
      <c r="E165" s="162">
        <f>(3*2*3)</f>
        <v>18</v>
      </c>
      <c r="F165" s="344">
        <v>18</v>
      </c>
      <c r="G165" s="128" t="s">
        <v>582</v>
      </c>
      <c r="H165" s="130"/>
      <c r="I165" s="130">
        <f>F165*H165</f>
        <v>0</v>
      </c>
    </row>
    <row r="166" spans="2:9" ht="15" customHeight="1" x14ac:dyDescent="0.25">
      <c r="B166" s="374"/>
      <c r="C166" s="373"/>
      <c r="D166" s="82"/>
      <c r="E166" s="161"/>
      <c r="F166" s="161"/>
      <c r="G166" s="75"/>
      <c r="H166" s="122"/>
      <c r="I166" s="130"/>
    </row>
    <row r="167" spans="2:9" ht="45" customHeight="1" x14ac:dyDescent="0.25">
      <c r="B167" s="374"/>
      <c r="C167" s="457" t="s">
        <v>1282</v>
      </c>
      <c r="D167" s="458"/>
      <c r="E167" s="161"/>
      <c r="F167" s="161"/>
      <c r="G167" s="75"/>
      <c r="H167" s="122"/>
      <c r="I167" s="130"/>
    </row>
    <row r="168" spans="2:9" ht="15" customHeight="1" x14ac:dyDescent="0.25">
      <c r="B168" s="374"/>
      <c r="C168" s="373"/>
      <c r="D168" s="82"/>
      <c r="E168" s="161"/>
      <c r="F168" s="161"/>
      <c r="G168" s="75"/>
      <c r="H168" s="122"/>
      <c r="I168" s="130"/>
    </row>
    <row r="169" spans="2:9" ht="31.5" customHeight="1" x14ac:dyDescent="0.25">
      <c r="B169" s="374"/>
      <c r="C169" s="459" t="s">
        <v>1278</v>
      </c>
      <c r="D169" s="460"/>
      <c r="E169" s="161"/>
      <c r="F169" s="161"/>
      <c r="G169" s="75"/>
      <c r="H169" s="122"/>
      <c r="I169" s="130"/>
    </row>
    <row r="170" spans="2:9" ht="15" customHeight="1" x14ac:dyDescent="0.25">
      <c r="B170" s="374"/>
      <c r="C170" s="373"/>
      <c r="D170" s="82"/>
      <c r="E170" s="161"/>
      <c r="F170" s="161"/>
      <c r="G170" s="75"/>
      <c r="H170" s="122"/>
      <c r="I170" s="130"/>
    </row>
    <row r="171" spans="2:9" ht="15" customHeight="1" x14ac:dyDescent="0.25">
      <c r="B171" s="179">
        <f>B165+0.01</f>
        <v>6.3699999999999921</v>
      </c>
      <c r="C171" s="373"/>
      <c r="D171" s="82" t="s">
        <v>1283</v>
      </c>
      <c r="E171" s="162">
        <v>10.61</v>
      </c>
      <c r="F171" s="162">
        <v>11</v>
      </c>
      <c r="G171" s="75" t="s">
        <v>660</v>
      </c>
      <c r="H171" s="122"/>
      <c r="I171" s="130">
        <f>F171*H171</f>
        <v>0</v>
      </c>
    </row>
    <row r="172" spans="2:9" ht="15" customHeight="1" x14ac:dyDescent="0.25">
      <c r="B172" s="374"/>
      <c r="C172" s="373"/>
      <c r="D172" s="82"/>
      <c r="E172" s="161"/>
      <c r="F172" s="161"/>
      <c r="G172" s="75"/>
      <c r="H172" s="122"/>
      <c r="I172" s="130"/>
    </row>
    <row r="173" spans="2:9" ht="45.75" customHeight="1" x14ac:dyDescent="0.25">
      <c r="B173" s="374"/>
      <c r="C173" s="459" t="s">
        <v>1281</v>
      </c>
      <c r="D173" s="460"/>
      <c r="E173" s="161"/>
      <c r="F173" s="161"/>
      <c r="G173" s="75"/>
      <c r="H173" s="122"/>
      <c r="I173" s="130"/>
    </row>
    <row r="174" spans="2:9" ht="15" customHeight="1" x14ac:dyDescent="0.25">
      <c r="B174" s="374"/>
      <c r="C174" s="373"/>
      <c r="D174" s="82"/>
      <c r="E174" s="161"/>
      <c r="F174" s="161"/>
      <c r="G174" s="75"/>
      <c r="H174" s="122"/>
      <c r="I174" s="130"/>
    </row>
    <row r="175" spans="2:9" ht="15" customHeight="1" x14ac:dyDescent="0.25">
      <c r="B175" s="179">
        <f>B171+0.01</f>
        <v>6.3799999999999919</v>
      </c>
      <c r="C175" s="373"/>
      <c r="D175" s="82" t="s">
        <v>1284</v>
      </c>
      <c r="E175" s="162">
        <v>10.61</v>
      </c>
      <c r="F175" s="162">
        <v>11</v>
      </c>
      <c r="G175" s="75" t="s">
        <v>660</v>
      </c>
      <c r="H175" s="122"/>
      <c r="I175" s="130">
        <f>F175*H175</f>
        <v>0</v>
      </c>
    </row>
    <row r="176" spans="2:9" ht="15" customHeight="1" x14ac:dyDescent="0.25">
      <c r="B176" s="374"/>
      <c r="C176" s="373"/>
      <c r="D176" s="82"/>
      <c r="E176" s="161"/>
      <c r="F176" s="161"/>
      <c r="G176" s="75"/>
      <c r="H176" s="122"/>
      <c r="I176" s="130"/>
    </row>
    <row r="177" spans="2:9" ht="15" customHeight="1" x14ac:dyDescent="0.25">
      <c r="B177" s="72"/>
      <c r="C177" s="455" t="s">
        <v>890</v>
      </c>
      <c r="D177" s="456"/>
      <c r="E177" s="161"/>
      <c r="F177" s="161"/>
      <c r="G177" s="75"/>
      <c r="H177" s="122"/>
      <c r="I177" s="130">
        <f t="shared" si="4"/>
        <v>0</v>
      </c>
    </row>
    <row r="178" spans="2:9" ht="15" customHeight="1" x14ac:dyDescent="0.25">
      <c r="B178" s="72"/>
      <c r="C178" s="135"/>
      <c r="D178" s="82"/>
      <c r="E178" s="161"/>
      <c r="F178" s="161"/>
      <c r="G178" s="75"/>
      <c r="H178" s="122"/>
      <c r="I178" s="130">
        <f t="shared" si="4"/>
        <v>0</v>
      </c>
    </row>
    <row r="179" spans="2:9" ht="97.5" customHeight="1" x14ac:dyDescent="0.25">
      <c r="B179" s="72"/>
      <c r="C179" s="441" t="s">
        <v>1286</v>
      </c>
      <c r="D179" s="442"/>
      <c r="E179" s="161"/>
      <c r="F179" s="161"/>
      <c r="G179" s="75"/>
      <c r="H179" s="122"/>
      <c r="I179" s="130">
        <f t="shared" si="4"/>
        <v>0</v>
      </c>
    </row>
    <row r="180" spans="2:9" ht="15.75" customHeight="1" x14ac:dyDescent="0.25">
      <c r="B180" s="72"/>
      <c r="C180" s="345"/>
      <c r="D180" s="368"/>
      <c r="E180" s="161"/>
      <c r="F180" s="161"/>
      <c r="G180" s="75"/>
      <c r="H180" s="122"/>
      <c r="I180" s="130">
        <f t="shared" si="4"/>
        <v>0</v>
      </c>
    </row>
    <row r="181" spans="2:9" ht="15" customHeight="1" x14ac:dyDescent="0.25">
      <c r="B181" s="72"/>
      <c r="C181" s="74" t="s">
        <v>889</v>
      </c>
      <c r="D181" s="82"/>
      <c r="E181" s="161"/>
      <c r="F181" s="161"/>
      <c r="G181" s="75"/>
      <c r="H181" s="122"/>
      <c r="I181" s="130">
        <f t="shared" si="4"/>
        <v>0</v>
      </c>
    </row>
    <row r="182" spans="2:9" ht="15" customHeight="1" x14ac:dyDescent="0.25">
      <c r="B182" s="72"/>
      <c r="C182" s="74"/>
      <c r="D182" s="82"/>
      <c r="E182" s="161"/>
      <c r="F182" s="161"/>
      <c r="G182" s="75"/>
      <c r="H182" s="122"/>
      <c r="I182" s="130">
        <f t="shared" si="4"/>
        <v>0</v>
      </c>
    </row>
    <row r="183" spans="2:9" ht="15" customHeight="1" x14ac:dyDescent="0.25">
      <c r="B183" s="179">
        <f>B175+0.01</f>
        <v>6.3899999999999917</v>
      </c>
      <c r="C183" s="74"/>
      <c r="D183" s="82" t="s">
        <v>527</v>
      </c>
      <c r="E183" s="162">
        <f>11*(3.5+7.6)</f>
        <v>122.1</v>
      </c>
      <c r="F183" s="162">
        <v>122</v>
      </c>
      <c r="G183" s="75" t="s">
        <v>659</v>
      </c>
      <c r="H183" s="122"/>
      <c r="I183" s="130">
        <f t="shared" si="4"/>
        <v>0</v>
      </c>
    </row>
    <row r="184" spans="2:9" ht="15" customHeight="1" x14ac:dyDescent="0.25">
      <c r="B184" s="179"/>
      <c r="C184" s="74"/>
      <c r="D184" s="82"/>
      <c r="E184" s="161"/>
      <c r="F184" s="161"/>
      <c r="G184" s="75"/>
      <c r="H184" s="122"/>
      <c r="I184" s="130">
        <f t="shared" si="4"/>
        <v>0</v>
      </c>
    </row>
    <row r="185" spans="2:9" ht="30" customHeight="1" x14ac:dyDescent="0.25">
      <c r="B185" s="172">
        <f>B183+0.01</f>
        <v>6.3999999999999915</v>
      </c>
      <c r="C185" s="81"/>
      <c r="D185" s="376" t="s">
        <v>1279</v>
      </c>
      <c r="E185" s="344">
        <f>(3.5+7.6)*2</f>
        <v>22.2</v>
      </c>
      <c r="F185" s="344">
        <v>22</v>
      </c>
      <c r="G185" s="128" t="s">
        <v>660</v>
      </c>
      <c r="H185" s="130"/>
      <c r="I185" s="130">
        <f t="shared" si="4"/>
        <v>0</v>
      </c>
    </row>
    <row r="186" spans="2:9" ht="15" customHeight="1" x14ac:dyDescent="0.25">
      <c r="B186" s="179"/>
      <c r="C186" s="74"/>
      <c r="D186" s="82"/>
      <c r="E186" s="161"/>
      <c r="F186" s="161"/>
      <c r="G186" s="75"/>
      <c r="H186" s="122"/>
      <c r="I186" s="130">
        <f t="shared" si="4"/>
        <v>0</v>
      </c>
    </row>
    <row r="187" spans="2:9" ht="44.25" customHeight="1" x14ac:dyDescent="0.25">
      <c r="B187" s="179">
        <f>B185+0.01</f>
        <v>6.4099999999999913</v>
      </c>
      <c r="C187" s="74"/>
      <c r="D187" s="376" t="s">
        <v>1280</v>
      </c>
      <c r="E187" s="344">
        <f>11*2</f>
        <v>22</v>
      </c>
      <c r="F187" s="344">
        <v>22</v>
      </c>
      <c r="G187" s="128" t="s">
        <v>660</v>
      </c>
      <c r="H187" s="130"/>
      <c r="I187" s="130">
        <f t="shared" si="4"/>
        <v>0</v>
      </c>
    </row>
    <row r="188" spans="2:9" ht="14.25" customHeight="1" x14ac:dyDescent="0.25">
      <c r="B188" s="179"/>
      <c r="C188" s="74"/>
      <c r="D188" s="376"/>
      <c r="E188" s="161"/>
      <c r="F188" s="161"/>
      <c r="G188" s="75"/>
      <c r="H188" s="122"/>
      <c r="I188" s="130">
        <f t="shared" si="4"/>
        <v>0</v>
      </c>
    </row>
    <row r="189" spans="2:9" ht="77.25" customHeight="1" x14ac:dyDescent="0.25">
      <c r="B189" s="179">
        <f>B187+0.01</f>
        <v>6.419999999999991</v>
      </c>
      <c r="C189" s="81"/>
      <c r="D189" s="376" t="s">
        <v>1285</v>
      </c>
      <c r="E189" s="344">
        <v>11</v>
      </c>
      <c r="F189" s="344">
        <v>11</v>
      </c>
      <c r="G189" s="128" t="s">
        <v>660</v>
      </c>
      <c r="H189" s="130"/>
      <c r="I189" s="130">
        <f t="shared" si="4"/>
        <v>0</v>
      </c>
    </row>
    <row r="190" spans="2:9" ht="13.5" customHeight="1" x14ac:dyDescent="0.25">
      <c r="B190" s="179"/>
      <c r="C190" s="81"/>
      <c r="D190" s="376"/>
      <c r="E190" s="161"/>
      <c r="F190" s="161"/>
      <c r="G190" s="75"/>
      <c r="H190" s="122"/>
      <c r="I190" s="130">
        <f t="shared" si="4"/>
        <v>0</v>
      </c>
    </row>
    <row r="191" spans="2:9" ht="15" customHeight="1" x14ac:dyDescent="0.25">
      <c r="B191" s="179">
        <f>B189+0.01</f>
        <v>6.4299999999999908</v>
      </c>
      <c r="C191" s="81"/>
      <c r="D191" s="377" t="s">
        <v>891</v>
      </c>
      <c r="E191" s="162">
        <v>2</v>
      </c>
      <c r="F191" s="344">
        <v>2</v>
      </c>
      <c r="G191" s="128" t="s">
        <v>582</v>
      </c>
      <c r="H191" s="130"/>
      <c r="I191" s="130">
        <f t="shared" si="4"/>
        <v>0</v>
      </c>
    </row>
    <row r="192" spans="2:9" ht="15" customHeight="1" x14ac:dyDescent="0.25">
      <c r="B192" s="172"/>
      <c r="C192" s="81"/>
      <c r="D192" s="377"/>
      <c r="E192" s="161"/>
      <c r="F192" s="161"/>
      <c r="G192" s="75"/>
      <c r="H192" s="122"/>
      <c r="I192" s="130">
        <f t="shared" si="4"/>
        <v>0</v>
      </c>
    </row>
    <row r="193" spans="2:9" ht="30.75" customHeight="1" x14ac:dyDescent="0.25">
      <c r="B193" s="179">
        <f>B191+0.01</f>
        <v>6.4399999999999906</v>
      </c>
      <c r="C193" s="81"/>
      <c r="D193" s="376" t="s">
        <v>1429</v>
      </c>
      <c r="E193" s="344">
        <v>2</v>
      </c>
      <c r="F193" s="344">
        <v>2</v>
      </c>
      <c r="G193" s="128" t="s">
        <v>582</v>
      </c>
      <c r="H193" s="130"/>
      <c r="I193" s="130">
        <f t="shared" ref="I193" si="5">F193*H193</f>
        <v>0</v>
      </c>
    </row>
    <row r="194" spans="2:9" ht="15" customHeight="1" x14ac:dyDescent="0.25">
      <c r="B194" s="172"/>
      <c r="C194" s="81"/>
      <c r="D194" s="377"/>
      <c r="E194" s="161"/>
      <c r="F194" s="161"/>
      <c r="G194" s="75"/>
      <c r="H194" s="122"/>
      <c r="I194" s="130"/>
    </row>
    <row r="195" spans="2:9" ht="91.5" customHeight="1" x14ac:dyDescent="0.25">
      <c r="B195" s="179">
        <f>B193+0.01</f>
        <v>6.4499999999999904</v>
      </c>
      <c r="C195" s="81"/>
      <c r="D195" s="376" t="s">
        <v>1430</v>
      </c>
      <c r="E195" s="344">
        <v>1</v>
      </c>
      <c r="F195" s="344">
        <v>1</v>
      </c>
      <c r="G195" s="128" t="s">
        <v>528</v>
      </c>
      <c r="H195" s="130"/>
      <c r="I195" s="130">
        <f t="shared" ref="I195" si="6">F195*H195</f>
        <v>0</v>
      </c>
    </row>
    <row r="196" spans="2:9" ht="15" customHeight="1" x14ac:dyDescent="0.25">
      <c r="B196" s="172"/>
      <c r="C196" s="81"/>
      <c r="D196" s="377"/>
      <c r="E196" s="161"/>
      <c r="F196" s="161"/>
      <c r="G196" s="75"/>
      <c r="H196" s="122"/>
      <c r="I196" s="130"/>
    </row>
    <row r="197" spans="2:9" ht="136.5" customHeight="1" x14ac:dyDescent="0.25">
      <c r="B197" s="179">
        <f>B195+0.01</f>
        <v>6.4599999999999902</v>
      </c>
      <c r="C197" s="81"/>
      <c r="D197" s="376" t="s">
        <v>1359</v>
      </c>
      <c r="E197" s="344">
        <v>11</v>
      </c>
      <c r="F197" s="344">
        <v>11</v>
      </c>
      <c r="G197" s="128" t="s">
        <v>660</v>
      </c>
      <c r="H197" s="130"/>
      <c r="I197" s="130">
        <f t="shared" si="4"/>
        <v>0</v>
      </c>
    </row>
    <row r="198" spans="2:9" ht="15" customHeight="1" x14ac:dyDescent="0.25">
      <c r="B198" s="172"/>
      <c r="C198" s="81"/>
      <c r="D198" s="376"/>
      <c r="E198" s="161"/>
      <c r="F198" s="161"/>
      <c r="G198" s="75"/>
      <c r="H198" s="122"/>
      <c r="I198" s="130">
        <f t="shared" si="4"/>
        <v>0</v>
      </c>
    </row>
    <row r="199" spans="2:9" ht="15" customHeight="1" x14ac:dyDescent="0.25">
      <c r="B199" s="172">
        <f>B197+0.01</f>
        <v>6.46999999999999</v>
      </c>
      <c r="C199" s="81"/>
      <c r="D199" s="377" t="s">
        <v>723</v>
      </c>
      <c r="E199" s="162">
        <v>2</v>
      </c>
      <c r="F199" s="344">
        <v>2</v>
      </c>
      <c r="G199" s="128" t="s">
        <v>582</v>
      </c>
      <c r="H199" s="130"/>
      <c r="I199" s="130">
        <f t="shared" si="4"/>
        <v>0</v>
      </c>
    </row>
    <row r="200" spans="2:9" ht="15" customHeight="1" x14ac:dyDescent="0.25">
      <c r="B200" s="172"/>
      <c r="C200" s="81"/>
      <c r="D200" s="376"/>
      <c r="E200" s="161"/>
      <c r="F200" s="161"/>
      <c r="G200" s="75"/>
      <c r="H200" s="122"/>
      <c r="I200" s="130">
        <f t="shared" si="4"/>
        <v>0</v>
      </c>
    </row>
    <row r="201" spans="2:9" ht="15" customHeight="1" x14ac:dyDescent="0.25">
      <c r="B201" s="179">
        <f>B199+0.01</f>
        <v>6.4799999999999898</v>
      </c>
      <c r="C201" s="81"/>
      <c r="D201" s="377" t="s">
        <v>1431</v>
      </c>
      <c r="E201" s="162">
        <v>2</v>
      </c>
      <c r="F201" s="344">
        <v>2</v>
      </c>
      <c r="G201" s="128" t="s">
        <v>582</v>
      </c>
      <c r="H201" s="130"/>
      <c r="I201" s="130">
        <f t="shared" si="4"/>
        <v>0</v>
      </c>
    </row>
    <row r="202" spans="2:9" ht="15" customHeight="1" x14ac:dyDescent="0.25">
      <c r="B202" s="172"/>
      <c r="C202" s="81"/>
      <c r="D202" s="376"/>
      <c r="E202" s="161"/>
      <c r="F202" s="161"/>
      <c r="G202" s="75"/>
      <c r="H202" s="122"/>
      <c r="I202" s="130">
        <f t="shared" si="4"/>
        <v>0</v>
      </c>
    </row>
    <row r="203" spans="2:9" ht="58.5" customHeight="1" x14ac:dyDescent="0.25">
      <c r="B203" s="179">
        <f>B201+0.01</f>
        <v>6.4899999999999896</v>
      </c>
      <c r="C203" s="81"/>
      <c r="D203" s="377" t="s">
        <v>1432</v>
      </c>
      <c r="E203" s="344">
        <v>2</v>
      </c>
      <c r="F203" s="344">
        <v>2</v>
      </c>
      <c r="G203" s="128" t="s">
        <v>582</v>
      </c>
      <c r="H203" s="130"/>
      <c r="I203" s="130">
        <f t="shared" si="4"/>
        <v>0</v>
      </c>
    </row>
    <row r="204" spans="2:9" ht="15" customHeight="1" x14ac:dyDescent="0.25">
      <c r="B204" s="72"/>
      <c r="C204" s="135"/>
      <c r="D204" s="82"/>
      <c r="E204" s="161"/>
      <c r="F204" s="161"/>
      <c r="G204" s="75"/>
      <c r="H204" s="122"/>
      <c r="I204" s="130">
        <f t="shared" si="4"/>
        <v>0</v>
      </c>
    </row>
    <row r="205" spans="2:9" ht="15" customHeight="1" x14ac:dyDescent="0.25">
      <c r="B205" s="164"/>
      <c r="C205" s="84" t="s">
        <v>892</v>
      </c>
      <c r="E205" s="161"/>
      <c r="F205" s="161"/>
      <c r="G205" s="75"/>
      <c r="H205" s="122"/>
      <c r="I205" s="130">
        <f t="shared" si="4"/>
        <v>0</v>
      </c>
    </row>
    <row r="206" spans="2:9" ht="15" customHeight="1" x14ac:dyDescent="0.25">
      <c r="B206" s="164"/>
      <c r="C206" s="81"/>
      <c r="D206" s="82"/>
      <c r="E206" s="161"/>
      <c r="F206" s="161"/>
      <c r="G206" s="75"/>
      <c r="H206" s="122"/>
      <c r="I206" s="130">
        <f t="shared" si="4"/>
        <v>0</v>
      </c>
    </row>
    <row r="207" spans="2:9" ht="120.75" customHeight="1" x14ac:dyDescent="0.25">
      <c r="B207" s="164"/>
      <c r="C207" s="441" t="s">
        <v>1433</v>
      </c>
      <c r="D207" s="442"/>
      <c r="E207" s="161"/>
      <c r="F207" s="161"/>
      <c r="G207" s="75"/>
      <c r="H207" s="122"/>
      <c r="I207" s="130">
        <f t="shared" si="4"/>
        <v>0</v>
      </c>
    </row>
    <row r="208" spans="2:9" ht="15" customHeight="1" x14ac:dyDescent="0.25">
      <c r="B208" s="164"/>
      <c r="C208" s="73"/>
      <c r="D208" s="82"/>
      <c r="E208" s="161"/>
      <c r="F208" s="161"/>
      <c r="G208" s="75"/>
      <c r="H208" s="122"/>
      <c r="I208" s="130">
        <f t="shared" si="4"/>
        <v>0</v>
      </c>
    </row>
    <row r="209" spans="2:9" ht="15" customHeight="1" x14ac:dyDescent="0.25">
      <c r="B209" s="72"/>
      <c r="C209" s="422" t="s">
        <v>893</v>
      </c>
      <c r="D209" s="423"/>
      <c r="E209" s="161"/>
      <c r="F209" s="161"/>
      <c r="G209" s="75"/>
      <c r="H209" s="122"/>
      <c r="I209" s="130">
        <f t="shared" si="4"/>
        <v>0</v>
      </c>
    </row>
    <row r="210" spans="2:9" ht="15" customHeight="1" x14ac:dyDescent="0.25">
      <c r="B210" s="72"/>
      <c r="C210" s="165"/>
      <c r="D210" s="167"/>
      <c r="E210" s="161"/>
      <c r="F210" s="161"/>
      <c r="G210" s="75"/>
      <c r="H210" s="122"/>
      <c r="I210" s="130">
        <f t="shared" si="4"/>
        <v>0</v>
      </c>
    </row>
    <row r="211" spans="2:9" ht="34.5" customHeight="1" x14ac:dyDescent="0.25">
      <c r="B211" s="179">
        <f>B203+0.01</f>
        <v>6.4999999999999893</v>
      </c>
      <c r="C211" s="165"/>
      <c r="D211" s="82" t="s">
        <v>894</v>
      </c>
      <c r="E211" s="344">
        <v>2</v>
      </c>
      <c r="F211" s="344">
        <v>2</v>
      </c>
      <c r="G211" s="128" t="s">
        <v>582</v>
      </c>
      <c r="H211" s="130"/>
      <c r="I211" s="130">
        <f t="shared" si="4"/>
        <v>0</v>
      </c>
    </row>
    <row r="212" spans="2:9" ht="15" customHeight="1" x14ac:dyDescent="0.25">
      <c r="B212" s="72"/>
      <c r="C212" s="135"/>
      <c r="D212" s="82"/>
      <c r="E212" s="161"/>
      <c r="F212" s="161"/>
      <c r="G212" s="75"/>
      <c r="H212" s="122"/>
      <c r="I212" s="130">
        <f t="shared" si="4"/>
        <v>0</v>
      </c>
    </row>
    <row r="213" spans="2:9" ht="15" customHeight="1" x14ac:dyDescent="0.25">
      <c r="B213" s="72"/>
      <c r="C213" s="437" t="s">
        <v>895</v>
      </c>
      <c r="D213" s="438"/>
      <c r="E213" s="161"/>
      <c r="F213" s="161"/>
      <c r="G213" s="75"/>
      <c r="H213" s="122"/>
      <c r="I213" s="130">
        <f t="shared" si="4"/>
        <v>0</v>
      </c>
    </row>
    <row r="214" spans="2:9" ht="15" customHeight="1" x14ac:dyDescent="0.25">
      <c r="B214" s="72"/>
      <c r="C214" s="135"/>
      <c r="D214" s="82"/>
      <c r="E214" s="161"/>
      <c r="F214" s="161"/>
      <c r="G214" s="75"/>
      <c r="H214" s="122"/>
      <c r="I214" s="130">
        <f t="shared" si="4"/>
        <v>0</v>
      </c>
    </row>
    <row r="215" spans="2:9" ht="33" customHeight="1" x14ac:dyDescent="0.25">
      <c r="B215" s="72"/>
      <c r="C215" s="418" t="s">
        <v>585</v>
      </c>
      <c r="D215" s="419"/>
      <c r="E215" s="161"/>
      <c r="F215" s="161"/>
      <c r="G215" s="75"/>
      <c r="H215" s="122"/>
      <c r="I215" s="130">
        <f t="shared" si="4"/>
        <v>0</v>
      </c>
    </row>
    <row r="216" spans="2:9" ht="15" customHeight="1" x14ac:dyDescent="0.25">
      <c r="B216" s="72"/>
      <c r="C216" s="135"/>
      <c r="D216" s="82"/>
      <c r="E216" s="161"/>
      <c r="F216" s="161"/>
      <c r="G216" s="75"/>
      <c r="H216" s="122"/>
      <c r="I216" s="130">
        <f t="shared" si="4"/>
        <v>0</v>
      </c>
    </row>
    <row r="217" spans="2:9" ht="15" customHeight="1" x14ac:dyDescent="0.25">
      <c r="B217" s="172">
        <f>B211+0.01</f>
        <v>6.5099999999999891</v>
      </c>
      <c r="C217" s="135"/>
      <c r="D217" s="82" t="s">
        <v>527</v>
      </c>
      <c r="E217" s="344">
        <v>1</v>
      </c>
      <c r="F217" s="344">
        <v>1</v>
      </c>
      <c r="G217" s="128" t="s">
        <v>528</v>
      </c>
      <c r="H217" s="130"/>
      <c r="I217" s="130">
        <f t="shared" si="4"/>
        <v>0</v>
      </c>
    </row>
    <row r="218" spans="2:9" ht="15" customHeight="1" x14ac:dyDescent="0.25">
      <c r="B218" s="72"/>
      <c r="C218" s="135"/>
      <c r="D218" s="82"/>
      <c r="E218" s="161"/>
      <c r="F218" s="161"/>
      <c r="G218" s="75"/>
      <c r="H218" s="122"/>
      <c r="I218" s="130">
        <f t="shared" si="4"/>
        <v>0</v>
      </c>
    </row>
    <row r="219" spans="2:9" ht="106.5" customHeight="1" x14ac:dyDescent="0.25">
      <c r="B219" s="72"/>
      <c r="C219" s="437" t="s">
        <v>1360</v>
      </c>
      <c r="D219" s="438"/>
      <c r="E219" s="109"/>
      <c r="F219" s="109"/>
      <c r="G219" s="75"/>
      <c r="H219" s="76"/>
      <c r="I219" s="130"/>
    </row>
    <row r="220" spans="2:9" ht="17.25" customHeight="1" x14ac:dyDescent="0.25">
      <c r="B220" s="72"/>
      <c r="C220" s="418"/>
      <c r="D220" s="419"/>
      <c r="E220" s="109"/>
      <c r="F220" s="109"/>
      <c r="G220" s="75"/>
      <c r="H220" s="76"/>
      <c r="I220" s="130"/>
    </row>
    <row r="221" spans="2:9" ht="32.25" customHeight="1" x14ac:dyDescent="0.25">
      <c r="B221" s="72"/>
      <c r="C221" s="418" t="s">
        <v>1290</v>
      </c>
      <c r="D221" s="419"/>
      <c r="E221" s="109"/>
      <c r="F221" s="109"/>
      <c r="G221" s="75"/>
      <c r="H221" s="76"/>
      <c r="I221" s="130"/>
    </row>
    <row r="222" spans="2:9" ht="15" customHeight="1" x14ac:dyDescent="0.25">
      <c r="B222" s="72"/>
      <c r="C222" s="74"/>
      <c r="D222" s="111"/>
      <c r="E222" s="109"/>
      <c r="F222" s="109"/>
      <c r="G222" s="75"/>
      <c r="H222" s="76"/>
      <c r="I222" s="130"/>
    </row>
    <row r="223" spans="2:9" ht="15" customHeight="1" x14ac:dyDescent="0.25">
      <c r="B223" s="172">
        <f>B217+0.01</f>
        <v>6.5199999999999889</v>
      </c>
      <c r="C223" s="74"/>
      <c r="D223" s="82" t="s">
        <v>877</v>
      </c>
      <c r="E223" s="109">
        <f>(11*2.12)</f>
        <v>23.32</v>
      </c>
      <c r="F223" s="162">
        <v>24</v>
      </c>
      <c r="G223" s="75" t="s">
        <v>659</v>
      </c>
      <c r="H223" s="76"/>
      <c r="I223" s="130">
        <f t="shared" ref="I223" si="7">F223*H223</f>
        <v>0</v>
      </c>
    </row>
    <row r="224" spans="2:9" ht="15" customHeight="1" x14ac:dyDescent="0.25">
      <c r="B224" s="72"/>
      <c r="C224" s="135"/>
      <c r="D224" s="82"/>
      <c r="E224" s="161"/>
      <c r="F224" s="161"/>
      <c r="G224" s="75"/>
      <c r="H224" s="122"/>
      <c r="I224" s="130"/>
    </row>
    <row r="225" spans="2:9" ht="28.5" customHeight="1" x14ac:dyDescent="0.25">
      <c r="B225" s="179">
        <f>B223+0.01</f>
        <v>6.5299999999999887</v>
      </c>
      <c r="C225" s="135"/>
      <c r="D225" s="376" t="s">
        <v>1291</v>
      </c>
      <c r="E225" s="344">
        <v>1</v>
      </c>
      <c r="F225" s="344">
        <v>1</v>
      </c>
      <c r="G225" s="128" t="s">
        <v>528</v>
      </c>
      <c r="H225" s="130"/>
      <c r="I225" s="130">
        <f t="shared" si="4"/>
        <v>0</v>
      </c>
    </row>
    <row r="226" spans="2:9" ht="15" customHeight="1" x14ac:dyDescent="0.25">
      <c r="B226" s="72"/>
      <c r="C226" s="135"/>
      <c r="D226" s="82"/>
      <c r="E226" s="161"/>
      <c r="F226" s="161"/>
      <c r="G226" s="75"/>
      <c r="H226" s="122"/>
      <c r="I226" s="130"/>
    </row>
    <row r="227" spans="2:9" ht="30.75" customHeight="1" x14ac:dyDescent="0.25">
      <c r="B227" s="179">
        <f>B225+0.01</f>
        <v>6.5399999999999885</v>
      </c>
      <c r="C227" s="135"/>
      <c r="D227" s="150" t="s">
        <v>1292</v>
      </c>
      <c r="E227" s="344">
        <v>1</v>
      </c>
      <c r="F227" s="344">
        <v>1</v>
      </c>
      <c r="G227" s="128" t="s">
        <v>528</v>
      </c>
      <c r="H227" s="130"/>
      <c r="I227" s="130">
        <f t="shared" ref="I227" si="8">F227*H227</f>
        <v>0</v>
      </c>
    </row>
    <row r="228" spans="2:9" ht="15" customHeight="1" x14ac:dyDescent="0.25">
      <c r="B228" s="72"/>
      <c r="C228" s="135"/>
      <c r="D228" s="82"/>
      <c r="E228" s="161"/>
      <c r="F228" s="161"/>
      <c r="G228" s="75"/>
      <c r="H228" s="122"/>
      <c r="I228" s="130"/>
    </row>
    <row r="229" spans="2:9" ht="15" customHeight="1" x14ac:dyDescent="0.25">
      <c r="B229" s="72"/>
      <c r="C229" s="135"/>
      <c r="D229" s="82"/>
      <c r="E229" s="161"/>
      <c r="F229" s="161"/>
      <c r="G229" s="75"/>
      <c r="H229" s="122"/>
      <c r="I229" s="130"/>
    </row>
    <row r="230" spans="2:9" ht="15" customHeight="1" x14ac:dyDescent="0.25">
      <c r="B230" s="72"/>
      <c r="C230" s="455" t="s">
        <v>896</v>
      </c>
      <c r="D230" s="456"/>
      <c r="E230" s="161"/>
      <c r="F230" s="161"/>
      <c r="G230" s="75"/>
      <c r="H230" s="122"/>
      <c r="I230" s="130">
        <f t="shared" si="4"/>
        <v>0</v>
      </c>
    </row>
    <row r="231" spans="2:9" ht="15" customHeight="1" x14ac:dyDescent="0.25">
      <c r="B231" s="72"/>
      <c r="C231" s="135"/>
      <c r="D231" s="82"/>
      <c r="E231" s="161"/>
      <c r="F231" s="161"/>
      <c r="G231" s="75"/>
      <c r="H231" s="122"/>
      <c r="I231" s="130">
        <f t="shared" si="4"/>
        <v>0</v>
      </c>
    </row>
    <row r="232" spans="2:9" ht="33" customHeight="1" x14ac:dyDescent="0.25">
      <c r="B232" s="72"/>
      <c r="C232" s="448" t="s">
        <v>908</v>
      </c>
      <c r="D232" s="438"/>
      <c r="E232" s="161"/>
      <c r="F232" s="161"/>
      <c r="G232" s="75"/>
      <c r="H232" s="122"/>
      <c r="I232" s="130">
        <f t="shared" si="4"/>
        <v>0</v>
      </c>
    </row>
    <row r="233" spans="2:9" ht="15" customHeight="1" x14ac:dyDescent="0.25">
      <c r="B233" s="72"/>
      <c r="C233" s="135"/>
      <c r="D233" s="82"/>
      <c r="E233" s="161"/>
      <c r="F233" s="161"/>
      <c r="G233" s="75"/>
      <c r="H233" s="122"/>
      <c r="I233" s="130">
        <f t="shared" si="4"/>
        <v>0</v>
      </c>
    </row>
    <row r="234" spans="2:9" ht="28.5" customHeight="1" x14ac:dyDescent="0.25">
      <c r="B234" s="72"/>
      <c r="C234" s="418" t="s">
        <v>1287</v>
      </c>
      <c r="D234" s="419"/>
      <c r="E234" s="161"/>
      <c r="F234" s="161"/>
      <c r="G234" s="75"/>
      <c r="H234" s="122"/>
      <c r="I234" s="130">
        <f t="shared" si="4"/>
        <v>0</v>
      </c>
    </row>
    <row r="235" spans="2:9" ht="12.75" customHeight="1" x14ac:dyDescent="0.25">
      <c r="B235" s="72"/>
      <c r="C235" s="171"/>
      <c r="D235" s="112"/>
      <c r="E235" s="161"/>
      <c r="F235" s="161"/>
      <c r="G235" s="75"/>
      <c r="H235" s="122"/>
      <c r="I235" s="130">
        <f t="shared" si="4"/>
        <v>0</v>
      </c>
    </row>
    <row r="236" spans="2:9" ht="15" customHeight="1" x14ac:dyDescent="0.25">
      <c r="B236" s="172">
        <f>B227+0.01</f>
        <v>6.5499999999999883</v>
      </c>
      <c r="C236" s="135"/>
      <c r="D236" s="82" t="s">
        <v>1434</v>
      </c>
      <c r="E236" s="344">
        <v>11</v>
      </c>
      <c r="F236" s="162">
        <v>11</v>
      </c>
      <c r="G236" s="75" t="s">
        <v>897</v>
      </c>
      <c r="H236" s="122"/>
      <c r="I236" s="130">
        <f t="shared" si="4"/>
        <v>0</v>
      </c>
    </row>
    <row r="237" spans="2:9" ht="15" customHeight="1" x14ac:dyDescent="0.25">
      <c r="B237" s="72"/>
      <c r="C237" s="135"/>
      <c r="D237" s="82"/>
      <c r="E237" s="161"/>
      <c r="F237" s="161"/>
      <c r="G237" s="75"/>
      <c r="H237" s="122"/>
      <c r="I237" s="130">
        <f t="shared" si="4"/>
        <v>0</v>
      </c>
    </row>
    <row r="238" spans="2:9" ht="15" customHeight="1" x14ac:dyDescent="0.25">
      <c r="B238" s="172">
        <f>B236+0.01</f>
        <v>6.5599999999999881</v>
      </c>
      <c r="C238" s="81"/>
      <c r="D238" s="377" t="s">
        <v>723</v>
      </c>
      <c r="E238" s="162">
        <v>2</v>
      </c>
      <c r="F238" s="344">
        <v>2</v>
      </c>
      <c r="G238" s="128" t="s">
        <v>582</v>
      </c>
      <c r="H238" s="130"/>
      <c r="I238" s="130">
        <f t="shared" si="4"/>
        <v>0</v>
      </c>
    </row>
    <row r="239" spans="2:9" ht="15" customHeight="1" x14ac:dyDescent="0.25">
      <c r="B239" s="72"/>
      <c r="C239" s="135"/>
      <c r="D239" s="82"/>
      <c r="E239" s="161"/>
      <c r="F239" s="161"/>
      <c r="G239" s="75"/>
      <c r="H239" s="122"/>
      <c r="I239" s="130">
        <f t="shared" si="4"/>
        <v>0</v>
      </c>
    </row>
    <row r="240" spans="2:9" ht="15" customHeight="1" x14ac:dyDescent="0.25">
      <c r="B240" s="172">
        <f>B238+0.01</f>
        <v>6.5699999999999878</v>
      </c>
      <c r="C240" s="81"/>
      <c r="D240" s="377" t="s">
        <v>898</v>
      </c>
      <c r="E240" s="162">
        <v>2</v>
      </c>
      <c r="F240" s="344">
        <v>2</v>
      </c>
      <c r="G240" s="128" t="s">
        <v>582</v>
      </c>
      <c r="H240" s="130"/>
      <c r="I240" s="130">
        <f t="shared" si="4"/>
        <v>0</v>
      </c>
    </row>
    <row r="241" spans="2:9" ht="15" customHeight="1" x14ac:dyDescent="0.25">
      <c r="B241" s="72"/>
      <c r="C241" s="135"/>
      <c r="D241" s="82"/>
      <c r="E241" s="161"/>
      <c r="F241" s="161"/>
      <c r="G241" s="75"/>
      <c r="H241" s="122"/>
      <c r="I241" s="130">
        <f t="shared" si="4"/>
        <v>0</v>
      </c>
    </row>
    <row r="242" spans="2:9" ht="28.5" customHeight="1" x14ac:dyDescent="0.25">
      <c r="B242" s="72"/>
      <c r="C242" s="418" t="s">
        <v>1361</v>
      </c>
      <c r="D242" s="419"/>
      <c r="E242" s="161"/>
      <c r="F242" s="161"/>
      <c r="G242" s="75"/>
      <c r="H242" s="122"/>
      <c r="I242" s="130">
        <f t="shared" si="4"/>
        <v>0</v>
      </c>
    </row>
    <row r="243" spans="2:9" ht="15" customHeight="1" x14ac:dyDescent="0.25">
      <c r="B243" s="72"/>
      <c r="C243" s="135"/>
      <c r="D243" s="82"/>
      <c r="E243" s="161"/>
      <c r="F243" s="161"/>
      <c r="G243" s="75"/>
      <c r="H243" s="122"/>
      <c r="I243" s="130">
        <f t="shared" si="4"/>
        <v>0</v>
      </c>
    </row>
    <row r="244" spans="2:9" ht="15" customHeight="1" x14ac:dyDescent="0.25">
      <c r="B244" s="172">
        <f>B240+0.01</f>
        <v>6.5799999999999876</v>
      </c>
      <c r="C244" s="135"/>
      <c r="D244" s="82" t="s">
        <v>899</v>
      </c>
      <c r="E244" s="344">
        <f>(3*2*2)+(1.8*2)</f>
        <v>15.6</v>
      </c>
      <c r="F244" s="162">
        <v>16</v>
      </c>
      <c r="G244" s="75" t="s">
        <v>897</v>
      </c>
      <c r="H244" s="122"/>
      <c r="I244" s="130">
        <f t="shared" si="4"/>
        <v>0</v>
      </c>
    </row>
    <row r="245" spans="2:9" ht="15" customHeight="1" x14ac:dyDescent="0.25">
      <c r="B245" s="72"/>
      <c r="C245" s="135"/>
      <c r="D245" s="82"/>
      <c r="E245" s="161"/>
      <c r="F245" s="161"/>
      <c r="G245" s="75"/>
      <c r="H245" s="122"/>
      <c r="I245" s="130">
        <f t="shared" si="4"/>
        <v>0</v>
      </c>
    </row>
    <row r="246" spans="2:9" ht="15" customHeight="1" x14ac:dyDescent="0.25">
      <c r="B246" s="172">
        <f>B244+0.01</f>
        <v>6.5899999999999874</v>
      </c>
      <c r="C246" s="135"/>
      <c r="D246" s="377" t="s">
        <v>900</v>
      </c>
      <c r="E246" s="162">
        <f>2*2</f>
        <v>4</v>
      </c>
      <c r="F246" s="344">
        <v>4</v>
      </c>
      <c r="G246" s="128" t="s">
        <v>582</v>
      </c>
      <c r="H246" s="130"/>
      <c r="I246" s="130">
        <f t="shared" si="4"/>
        <v>0</v>
      </c>
    </row>
    <row r="247" spans="2:9" ht="15" customHeight="1" x14ac:dyDescent="0.25">
      <c r="B247" s="72"/>
      <c r="C247" s="135"/>
      <c r="D247" s="82"/>
      <c r="E247" s="161"/>
      <c r="F247" s="161"/>
      <c r="G247" s="75"/>
      <c r="H247" s="122"/>
      <c r="I247" s="130">
        <f t="shared" si="4"/>
        <v>0</v>
      </c>
    </row>
    <row r="248" spans="2:9" ht="15" customHeight="1" x14ac:dyDescent="0.25">
      <c r="B248" s="172">
        <f>B246+0.01</f>
        <v>6.5999999999999872</v>
      </c>
      <c r="C248" s="135"/>
      <c r="D248" s="377" t="s">
        <v>725</v>
      </c>
      <c r="E248" s="162">
        <f>2*2</f>
        <v>4</v>
      </c>
      <c r="F248" s="344">
        <v>4</v>
      </c>
      <c r="G248" s="128" t="s">
        <v>582</v>
      </c>
      <c r="H248" s="130"/>
      <c r="I248" s="130">
        <f t="shared" ref="I248:I278" si="9">F248*H248</f>
        <v>0</v>
      </c>
    </row>
    <row r="249" spans="2:9" ht="15" customHeight="1" x14ac:dyDescent="0.25">
      <c r="B249" s="72"/>
      <c r="C249" s="135"/>
      <c r="D249" s="82"/>
      <c r="E249" s="161"/>
      <c r="F249" s="161"/>
      <c r="G249" s="75"/>
      <c r="H249" s="122"/>
      <c r="I249" s="130">
        <f t="shared" si="9"/>
        <v>0</v>
      </c>
    </row>
    <row r="250" spans="2:9" ht="15" customHeight="1" x14ac:dyDescent="0.25">
      <c r="B250" s="172">
        <f>B248+0.01</f>
        <v>6.609999999999987</v>
      </c>
      <c r="C250" s="135"/>
      <c r="D250" s="377" t="s">
        <v>901</v>
      </c>
      <c r="E250" s="162">
        <v>4</v>
      </c>
      <c r="F250" s="344">
        <v>4</v>
      </c>
      <c r="G250" s="128" t="s">
        <v>582</v>
      </c>
      <c r="H250" s="130"/>
      <c r="I250" s="130">
        <f t="shared" si="9"/>
        <v>0</v>
      </c>
    </row>
    <row r="251" spans="2:9" ht="15" customHeight="1" x14ac:dyDescent="0.25">
      <c r="B251" s="172"/>
      <c r="C251" s="135"/>
      <c r="D251" s="377"/>
      <c r="E251" s="162"/>
      <c r="F251" s="344"/>
      <c r="G251" s="128"/>
      <c r="H251" s="130"/>
      <c r="I251" s="130">
        <f t="shared" si="9"/>
        <v>0</v>
      </c>
    </row>
    <row r="252" spans="2:9" ht="15" customHeight="1" x14ac:dyDescent="0.25">
      <c r="B252" s="77"/>
      <c r="C252" s="73" t="s">
        <v>549</v>
      </c>
      <c r="D252" s="160"/>
      <c r="E252" s="162"/>
      <c r="F252" s="162"/>
      <c r="G252" s="78"/>
      <c r="H252" s="79"/>
      <c r="I252" s="130">
        <f t="shared" si="9"/>
        <v>0</v>
      </c>
    </row>
    <row r="253" spans="2:9" ht="15" customHeight="1" x14ac:dyDescent="0.25">
      <c r="B253" s="77"/>
      <c r="C253" s="74"/>
      <c r="D253" s="160"/>
      <c r="E253" s="162"/>
      <c r="F253" s="162"/>
      <c r="G253" s="78"/>
      <c r="H253" s="79"/>
      <c r="I253" s="130">
        <f t="shared" si="9"/>
        <v>0</v>
      </c>
    </row>
    <row r="254" spans="2:9" ht="15" customHeight="1" x14ac:dyDescent="0.25">
      <c r="B254" s="77"/>
      <c r="C254" s="159" t="s">
        <v>550</v>
      </c>
      <c r="D254" s="160"/>
      <c r="E254" s="162"/>
      <c r="F254" s="162"/>
      <c r="G254" s="78"/>
      <c r="H254" s="79"/>
      <c r="I254" s="130">
        <f t="shared" si="9"/>
        <v>0</v>
      </c>
    </row>
    <row r="255" spans="2:9" ht="15" customHeight="1" x14ac:dyDescent="0.25">
      <c r="B255" s="77"/>
      <c r="C255" s="74"/>
      <c r="D255" s="160"/>
      <c r="E255" s="162"/>
      <c r="F255" s="162"/>
      <c r="G255" s="78"/>
      <c r="H255" s="79"/>
      <c r="I255" s="130">
        <f t="shared" si="9"/>
        <v>0</v>
      </c>
    </row>
    <row r="256" spans="2:9" ht="15" customHeight="1" x14ac:dyDescent="0.25">
      <c r="B256" s="77"/>
      <c r="C256" s="74" t="s">
        <v>551</v>
      </c>
      <c r="D256" s="160"/>
      <c r="E256" s="162"/>
      <c r="F256" s="162"/>
      <c r="G256" s="78"/>
      <c r="H256" s="79"/>
      <c r="I256" s="130">
        <f t="shared" si="9"/>
        <v>0</v>
      </c>
    </row>
    <row r="257" spans="2:9" ht="15" customHeight="1" x14ac:dyDescent="0.25">
      <c r="B257" s="77"/>
      <c r="C257" s="74"/>
      <c r="D257" s="160"/>
      <c r="E257" s="162"/>
      <c r="F257" s="162"/>
      <c r="G257" s="78"/>
      <c r="H257" s="79"/>
      <c r="I257" s="130">
        <f t="shared" si="9"/>
        <v>0</v>
      </c>
    </row>
    <row r="258" spans="2:9" ht="15" customHeight="1" x14ac:dyDescent="0.25">
      <c r="B258" s="173">
        <f>B250+0.01</f>
        <v>6.6199999999999868</v>
      </c>
      <c r="C258" s="74"/>
      <c r="D258" s="112" t="s">
        <v>527</v>
      </c>
      <c r="E258" s="162"/>
      <c r="F258" s="162">
        <v>1</v>
      </c>
      <c r="G258" s="75" t="s">
        <v>528</v>
      </c>
      <c r="H258" s="76"/>
      <c r="I258" s="130">
        <f t="shared" si="9"/>
        <v>0</v>
      </c>
    </row>
    <row r="259" spans="2:9" ht="15" customHeight="1" x14ac:dyDescent="0.25">
      <c r="B259" s="77"/>
      <c r="C259" s="74"/>
      <c r="D259" s="160"/>
      <c r="E259" s="162"/>
      <c r="F259" s="162"/>
      <c r="G259" s="78"/>
      <c r="H259" s="79"/>
      <c r="I259" s="130">
        <f t="shared" si="9"/>
        <v>0</v>
      </c>
    </row>
    <row r="260" spans="2:9" ht="15" customHeight="1" x14ac:dyDescent="0.25">
      <c r="B260" s="77"/>
      <c r="C260" s="432" t="s">
        <v>634</v>
      </c>
      <c r="D260" s="433"/>
      <c r="E260" s="162"/>
      <c r="F260" s="162"/>
      <c r="G260" s="78"/>
      <c r="H260" s="79"/>
      <c r="I260" s="130">
        <f t="shared" si="9"/>
        <v>0</v>
      </c>
    </row>
    <row r="261" spans="2:9" ht="15" customHeight="1" x14ac:dyDescent="0.25">
      <c r="B261" s="77"/>
      <c r="C261" s="74"/>
      <c r="D261" s="160"/>
      <c r="E261" s="162"/>
      <c r="F261" s="162"/>
      <c r="G261" s="78"/>
      <c r="H261" s="79"/>
      <c r="I261" s="130">
        <f t="shared" si="9"/>
        <v>0</v>
      </c>
    </row>
    <row r="262" spans="2:9" ht="30.75" customHeight="1" x14ac:dyDescent="0.25">
      <c r="B262" s="77"/>
      <c r="C262" s="418" t="s">
        <v>656</v>
      </c>
      <c r="D262" s="419"/>
      <c r="E262" s="162"/>
      <c r="F262" s="162"/>
      <c r="G262" s="78"/>
      <c r="H262" s="79"/>
      <c r="I262" s="130">
        <f t="shared" si="9"/>
        <v>0</v>
      </c>
    </row>
    <row r="263" spans="2:9" ht="15" customHeight="1" x14ac:dyDescent="0.25">
      <c r="B263" s="77"/>
      <c r="C263" s="74"/>
      <c r="D263" s="160"/>
      <c r="E263" s="162"/>
      <c r="F263" s="162"/>
      <c r="G263" s="78"/>
      <c r="H263" s="79"/>
      <c r="I263" s="130">
        <f t="shared" si="9"/>
        <v>0</v>
      </c>
    </row>
    <row r="264" spans="2:9" ht="15" customHeight="1" x14ac:dyDescent="0.25">
      <c r="B264" s="172">
        <f>B258+0.01</f>
        <v>6.6299999999999866</v>
      </c>
      <c r="C264" s="74"/>
      <c r="D264" s="112" t="s">
        <v>527</v>
      </c>
      <c r="E264" s="162"/>
      <c r="F264" s="344">
        <v>1</v>
      </c>
      <c r="G264" s="75" t="s">
        <v>528</v>
      </c>
      <c r="H264" s="76"/>
      <c r="I264" s="130">
        <f t="shared" si="9"/>
        <v>0</v>
      </c>
    </row>
    <row r="265" spans="2:9" ht="15" customHeight="1" x14ac:dyDescent="0.25">
      <c r="B265" s="77"/>
      <c r="C265" s="74"/>
      <c r="D265" s="160"/>
      <c r="E265" s="162"/>
      <c r="F265" s="162"/>
      <c r="G265" s="78"/>
      <c r="H265" s="79"/>
      <c r="I265" s="130">
        <f t="shared" si="9"/>
        <v>0</v>
      </c>
    </row>
    <row r="266" spans="2:9" ht="15" customHeight="1" x14ac:dyDescent="0.25">
      <c r="B266" s="77"/>
      <c r="C266" s="159" t="s">
        <v>556</v>
      </c>
      <c r="D266" s="160"/>
      <c r="E266" s="162"/>
      <c r="F266" s="162"/>
      <c r="G266" s="78"/>
      <c r="H266" s="79"/>
      <c r="I266" s="130">
        <f t="shared" si="9"/>
        <v>0</v>
      </c>
    </row>
    <row r="267" spans="2:9" ht="15" customHeight="1" x14ac:dyDescent="0.25">
      <c r="B267" s="77"/>
      <c r="C267" s="74"/>
      <c r="D267" s="160"/>
      <c r="E267" s="162"/>
      <c r="F267" s="162"/>
      <c r="G267" s="78"/>
      <c r="H267" s="79"/>
      <c r="I267" s="130">
        <f t="shared" si="9"/>
        <v>0</v>
      </c>
    </row>
    <row r="268" spans="2:9" ht="28.5" customHeight="1" x14ac:dyDescent="0.25">
      <c r="B268" s="77"/>
      <c r="C268" s="420" t="s">
        <v>557</v>
      </c>
      <c r="D268" s="421"/>
      <c r="E268" s="162"/>
      <c r="F268" s="162"/>
      <c r="G268" s="78"/>
      <c r="H268" s="79"/>
      <c r="I268" s="130">
        <f t="shared" si="9"/>
        <v>0</v>
      </c>
    </row>
    <row r="269" spans="2:9" ht="15" customHeight="1" x14ac:dyDescent="0.25">
      <c r="B269" s="77"/>
      <c r="C269" s="170"/>
      <c r="D269" s="158"/>
      <c r="E269" s="162"/>
      <c r="F269" s="162"/>
      <c r="G269" s="78"/>
      <c r="H269" s="79"/>
      <c r="I269" s="130">
        <f t="shared" si="9"/>
        <v>0</v>
      </c>
    </row>
    <row r="270" spans="2:9" ht="15" customHeight="1" x14ac:dyDescent="0.25">
      <c r="B270" s="173">
        <f>B264+0.01</f>
        <v>6.6399999999999864</v>
      </c>
      <c r="C270" s="74"/>
      <c r="D270" s="112" t="s">
        <v>527</v>
      </c>
      <c r="E270" s="162"/>
      <c r="F270" s="344">
        <v>1</v>
      </c>
      <c r="G270" s="75" t="s">
        <v>528</v>
      </c>
      <c r="H270" s="76"/>
      <c r="I270" s="130">
        <f t="shared" si="9"/>
        <v>0</v>
      </c>
    </row>
    <row r="271" spans="2:9" ht="15" customHeight="1" x14ac:dyDescent="0.25">
      <c r="B271" s="77"/>
      <c r="C271" s="74"/>
      <c r="D271" s="160"/>
      <c r="E271" s="162"/>
      <c r="F271" s="162"/>
      <c r="G271" s="78"/>
      <c r="H271" s="79"/>
      <c r="I271" s="130">
        <f t="shared" si="9"/>
        <v>0</v>
      </c>
    </row>
    <row r="272" spans="2:9" ht="15" customHeight="1" x14ac:dyDescent="0.25">
      <c r="B272" s="72"/>
      <c r="C272" s="159" t="s">
        <v>529</v>
      </c>
      <c r="D272" s="82"/>
      <c r="E272" s="162"/>
      <c r="F272" s="162"/>
      <c r="G272" s="75"/>
      <c r="H272" s="122"/>
      <c r="I272" s="130">
        <f t="shared" si="9"/>
        <v>0</v>
      </c>
    </row>
    <row r="273" spans="2:9" ht="15" customHeight="1" x14ac:dyDescent="0.25">
      <c r="B273" s="72"/>
      <c r="C273" s="74"/>
      <c r="D273" s="82"/>
      <c r="E273" s="162"/>
      <c r="F273" s="162"/>
      <c r="G273" s="75"/>
      <c r="H273" s="122"/>
      <c r="I273" s="130">
        <f t="shared" si="9"/>
        <v>0</v>
      </c>
    </row>
    <row r="274" spans="2:9" ht="15" customHeight="1" x14ac:dyDescent="0.25">
      <c r="B274" s="72"/>
      <c r="C274" s="422" t="s">
        <v>629</v>
      </c>
      <c r="D274" s="423"/>
      <c r="E274" s="162"/>
      <c r="F274" s="162"/>
      <c r="G274" s="75"/>
      <c r="H274" s="122"/>
      <c r="I274" s="130">
        <f t="shared" si="9"/>
        <v>0</v>
      </c>
    </row>
    <row r="275" spans="2:9" ht="15" customHeight="1" x14ac:dyDescent="0.25">
      <c r="B275" s="72"/>
      <c r="C275" s="165"/>
      <c r="D275" s="82"/>
      <c r="E275" s="162"/>
      <c r="F275" s="162"/>
      <c r="G275" s="75"/>
      <c r="H275" s="122"/>
      <c r="I275" s="130">
        <f t="shared" si="9"/>
        <v>0</v>
      </c>
    </row>
    <row r="276" spans="2:9" ht="15" customHeight="1" x14ac:dyDescent="0.25">
      <c r="B276" s="173">
        <f>B270+0.01</f>
        <v>6.6499999999999861</v>
      </c>
      <c r="C276" s="74"/>
      <c r="D276" s="112" t="s">
        <v>527</v>
      </c>
      <c r="E276" s="162"/>
      <c r="F276" s="344">
        <v>1</v>
      </c>
      <c r="G276" s="75" t="s">
        <v>528</v>
      </c>
      <c r="H276" s="122"/>
      <c r="I276" s="130">
        <f t="shared" si="9"/>
        <v>0</v>
      </c>
    </row>
    <row r="277" spans="2:9" ht="15" customHeight="1" x14ac:dyDescent="0.25">
      <c r="B277" s="172"/>
      <c r="C277" s="135"/>
      <c r="D277" s="377"/>
      <c r="E277" s="162"/>
      <c r="F277" s="344"/>
      <c r="G277" s="128"/>
      <c r="H277" s="130"/>
      <c r="I277" s="130">
        <f t="shared" si="9"/>
        <v>0</v>
      </c>
    </row>
    <row r="278" spans="2:9" ht="15" customHeight="1" x14ac:dyDescent="0.25">
      <c r="B278" s="172"/>
      <c r="C278" s="135"/>
      <c r="D278" s="377"/>
      <c r="E278" s="162"/>
      <c r="F278" s="344"/>
      <c r="G278" s="128"/>
      <c r="H278" s="130"/>
      <c r="I278" s="130">
        <f t="shared" si="9"/>
        <v>0</v>
      </c>
    </row>
    <row r="279" spans="2:9" ht="15.75" thickBot="1" x14ac:dyDescent="0.3">
      <c r="B279" s="85"/>
      <c r="C279" s="86"/>
      <c r="D279" s="87"/>
      <c r="E279" s="222"/>
      <c r="F279" s="225"/>
      <c r="G279" s="88"/>
      <c r="H279" s="123"/>
      <c r="I279" s="122" t="str">
        <f>IF(H279="","",H279*E279)</f>
        <v/>
      </c>
    </row>
    <row r="280" spans="2:9" ht="30.75" customHeight="1" thickBot="1" x14ac:dyDescent="0.3">
      <c r="D280" s="367" t="s">
        <v>903</v>
      </c>
      <c r="E280" s="162"/>
      <c r="F280" s="162"/>
      <c r="G280" s="75"/>
      <c r="H280" s="366"/>
      <c r="I280" s="124">
        <f>SUM(I118:I279)</f>
        <v>0</v>
      </c>
    </row>
  </sheetData>
  <mergeCells count="52">
    <mergeCell ref="C207:D207"/>
    <mergeCell ref="C209:D209"/>
    <mergeCell ref="C213:D213"/>
    <mergeCell ref="C215:D215"/>
    <mergeCell ref="C268:D268"/>
    <mergeCell ref="C274:D274"/>
    <mergeCell ref="C232:D232"/>
    <mergeCell ref="C234:D234"/>
    <mergeCell ref="C242:D242"/>
    <mergeCell ref="C260:D260"/>
    <mergeCell ref="C262:D262"/>
    <mergeCell ref="C127:D127"/>
    <mergeCell ref="C129:D129"/>
    <mergeCell ref="C131:D131"/>
    <mergeCell ref="C135:D135"/>
    <mergeCell ref="C230:D230"/>
    <mergeCell ref="C154:D154"/>
    <mergeCell ref="C156:D156"/>
    <mergeCell ref="C177:D177"/>
    <mergeCell ref="C179:D179"/>
    <mergeCell ref="C161:D161"/>
    <mergeCell ref="C167:D167"/>
    <mergeCell ref="C169:D169"/>
    <mergeCell ref="C173:D173"/>
    <mergeCell ref="C219:D219"/>
    <mergeCell ref="C221:D221"/>
    <mergeCell ref="C220:D220"/>
    <mergeCell ref="C139:D139"/>
    <mergeCell ref="C143:D143"/>
    <mergeCell ref="C149:D149"/>
    <mergeCell ref="C153:D153"/>
    <mergeCell ref="C157:D157"/>
    <mergeCell ref="C11:D11"/>
    <mergeCell ref="C118:D118"/>
    <mergeCell ref="C119:D119"/>
    <mergeCell ref="C123:D123"/>
    <mergeCell ref="C107:D107"/>
    <mergeCell ref="C101:D101"/>
    <mergeCell ref="C22:D22"/>
    <mergeCell ref="C38:D38"/>
    <mergeCell ref="C50:D50"/>
    <mergeCell ref="C70:D70"/>
    <mergeCell ref="C66:D66"/>
    <mergeCell ref="C46:D46"/>
    <mergeCell ref="C93:D93"/>
    <mergeCell ref="C95:D95"/>
    <mergeCell ref="C114:D114"/>
    <mergeCell ref="C6:D6"/>
    <mergeCell ref="C8:D8"/>
    <mergeCell ref="C9:D9"/>
    <mergeCell ref="C10:D10"/>
    <mergeCell ref="C7:D7"/>
  </mergeCells>
  <pageMargins left="0.7" right="0.7" top="0.75" bottom="0.75" header="0.3" footer="0.3"/>
  <pageSetup paperSize="9"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29E4-048F-48A2-84EF-DCB2EC08D9CD}">
  <sheetPr>
    <pageSetUpPr fitToPage="1"/>
  </sheetPr>
  <dimension ref="B1:M133"/>
  <sheetViews>
    <sheetView zoomScale="80" zoomScaleNormal="80" workbookViewId="0">
      <selection activeCell="B2" sqref="B2:I3"/>
    </sheetView>
  </sheetViews>
  <sheetFormatPr defaultColWidth="9.140625" defaultRowHeight="15" x14ac:dyDescent="0.25"/>
  <cols>
    <col min="1" max="1" width="3" style="71" customWidth="1"/>
    <col min="2" max="2" width="9.140625" style="71"/>
    <col min="3" max="3" width="4.5703125" style="71" customWidth="1"/>
    <col min="4" max="4" width="59.42578125" style="71" customWidth="1"/>
    <col min="5" max="5" width="11.5703125" style="90" hidden="1" customWidth="1"/>
    <col min="6" max="6" width="11.5703125" style="90" customWidth="1"/>
    <col min="7" max="7" width="9.140625" style="91"/>
    <col min="8" max="8" width="12.42578125" style="114" customWidth="1"/>
    <col min="9" max="9" width="14.42578125" style="114" customWidth="1"/>
    <col min="10" max="10" width="10.140625" style="71" customWidth="1"/>
    <col min="11" max="16384" width="9.140625" style="71"/>
  </cols>
  <sheetData>
    <row r="1" spans="2:13" ht="15.75" thickBot="1" x14ac:dyDescent="0.3"/>
    <row r="2" spans="2:13" ht="34.5" customHeight="1" x14ac:dyDescent="0.25">
      <c r="B2" s="94" t="str">
        <f>+Summary!B2</f>
        <v>Todmorden Bandstand Refurbishment &amp; Bowls Pavilion New Build</v>
      </c>
      <c r="C2" s="95"/>
      <c r="D2" s="95"/>
      <c r="E2" s="96"/>
      <c r="F2" s="96"/>
      <c r="G2" s="96"/>
      <c r="H2" s="115"/>
      <c r="I2" s="116"/>
    </row>
    <row r="3" spans="2:13" ht="30" customHeight="1" x14ac:dyDescent="0.25">
      <c r="B3" s="73" t="str">
        <f>+Summary!B3</f>
        <v>Tender Document</v>
      </c>
      <c r="C3" s="83"/>
      <c r="D3" s="83"/>
      <c r="E3" s="91"/>
      <c r="F3" s="91"/>
      <c r="G3" s="98"/>
      <c r="H3" s="117" t="str">
        <f>Summary!D21</f>
        <v>Upper Floors &amp; Staircases</v>
      </c>
      <c r="I3" s="100">
        <f>+Summary!G3</f>
        <v>45614</v>
      </c>
    </row>
    <row r="4" spans="2:13" ht="13.5" customHeight="1" thickBot="1" x14ac:dyDescent="0.3">
      <c r="B4" s="86">
        <v>7</v>
      </c>
      <c r="C4" s="101"/>
      <c r="D4" s="101"/>
      <c r="E4" s="102"/>
      <c r="F4" s="102"/>
      <c r="G4" s="102"/>
      <c r="H4" s="118"/>
      <c r="I4" s="119"/>
    </row>
    <row r="5" spans="2:13" ht="23.25" customHeight="1" thickBot="1" x14ac:dyDescent="0.3">
      <c r="B5" s="72"/>
      <c r="C5" s="73"/>
      <c r="D5" s="82"/>
      <c r="E5" s="227" t="s">
        <v>581</v>
      </c>
      <c r="F5" s="228" t="s">
        <v>1</v>
      </c>
      <c r="G5" s="107" t="s">
        <v>2</v>
      </c>
      <c r="H5" s="120" t="s">
        <v>3</v>
      </c>
      <c r="I5" s="121" t="s">
        <v>5</v>
      </c>
    </row>
    <row r="6" spans="2:13" ht="39.75" customHeight="1" x14ac:dyDescent="0.25">
      <c r="B6" s="72"/>
      <c r="C6" s="420" t="s">
        <v>560</v>
      </c>
      <c r="D6" s="421"/>
      <c r="E6" s="75"/>
      <c r="F6" s="75"/>
      <c r="G6" s="75"/>
      <c r="H6" s="122"/>
      <c r="I6" s="122" t="str">
        <f t="shared" ref="I6" si="0">IF(H6="","",H6*E6)</f>
        <v/>
      </c>
    </row>
    <row r="7" spans="2:13" ht="60" customHeight="1" x14ac:dyDescent="0.25">
      <c r="B7" s="72"/>
      <c r="C7" s="422" t="s">
        <v>586</v>
      </c>
      <c r="D7" s="423"/>
      <c r="E7" s="75"/>
      <c r="F7" s="75"/>
      <c r="G7" s="75"/>
      <c r="H7" s="122"/>
      <c r="I7" s="122"/>
    </row>
    <row r="8" spans="2:13" ht="77.25" customHeight="1" x14ac:dyDescent="0.25">
      <c r="B8" s="72"/>
      <c r="C8" s="422" t="s">
        <v>658</v>
      </c>
      <c r="D8" s="423"/>
      <c r="E8" s="75"/>
      <c r="F8" s="75"/>
      <c r="G8" s="75"/>
      <c r="H8" s="122"/>
      <c r="I8" s="122"/>
      <c r="M8" s="125"/>
    </row>
    <row r="9" spans="2:13" ht="47.25" customHeight="1" x14ac:dyDescent="0.25">
      <c r="B9" s="72"/>
      <c r="C9" s="418" t="s">
        <v>575</v>
      </c>
      <c r="D9" s="419"/>
      <c r="E9" s="75"/>
      <c r="F9" s="75"/>
      <c r="G9" s="75"/>
      <c r="H9" s="122"/>
      <c r="I9" s="122"/>
      <c r="M9" s="125"/>
    </row>
    <row r="10" spans="2:13" ht="28.5" customHeight="1" x14ac:dyDescent="0.25">
      <c r="B10" s="72"/>
      <c r="C10" s="422" t="s">
        <v>1323</v>
      </c>
      <c r="D10" s="423"/>
      <c r="E10" s="75"/>
      <c r="F10" s="75"/>
      <c r="G10" s="75"/>
      <c r="H10" s="122"/>
      <c r="I10" s="122"/>
      <c r="M10" s="125"/>
    </row>
    <row r="11" spans="2:13" ht="16.5" x14ac:dyDescent="0.25">
      <c r="B11" s="72"/>
      <c r="C11" s="434" t="s">
        <v>1435</v>
      </c>
      <c r="D11" s="435"/>
      <c r="E11" s="75"/>
      <c r="F11" s="75"/>
      <c r="G11" s="75"/>
      <c r="H11" s="122"/>
      <c r="I11" s="122"/>
      <c r="M11" s="156"/>
    </row>
    <row r="12" spans="2:13" ht="16.5" x14ac:dyDescent="0.25">
      <c r="B12" s="72"/>
      <c r="C12" s="342"/>
      <c r="D12" s="365"/>
      <c r="E12" s="75"/>
      <c r="F12" s="75"/>
      <c r="G12" s="75"/>
      <c r="H12" s="122"/>
      <c r="I12" s="122"/>
      <c r="M12" s="156"/>
    </row>
    <row r="13" spans="2:13" ht="16.5" x14ac:dyDescent="0.25">
      <c r="B13" s="72"/>
      <c r="C13" s="424" t="s">
        <v>815</v>
      </c>
      <c r="D13" s="425"/>
      <c r="E13" s="109"/>
      <c r="F13" s="109"/>
      <c r="G13" s="75"/>
      <c r="H13" s="122"/>
      <c r="I13" s="122"/>
      <c r="M13" s="156"/>
    </row>
    <row r="14" spans="2:13" ht="16.5" x14ac:dyDescent="0.25">
      <c r="B14" s="72"/>
      <c r="C14" s="108"/>
      <c r="D14" s="82"/>
      <c r="E14" s="75"/>
      <c r="F14" s="75"/>
      <c r="G14" s="75"/>
      <c r="H14" s="122"/>
      <c r="I14" s="122"/>
      <c r="M14" s="156"/>
    </row>
    <row r="15" spans="2:13" ht="16.5" x14ac:dyDescent="0.25">
      <c r="B15" s="72"/>
      <c r="C15" s="159" t="s">
        <v>648</v>
      </c>
      <c r="D15" s="82"/>
      <c r="E15" s="75"/>
      <c r="F15" s="75"/>
      <c r="G15" s="75"/>
      <c r="H15" s="122"/>
      <c r="I15" s="122"/>
      <c r="M15" s="156"/>
    </row>
    <row r="16" spans="2:13" ht="16.5" x14ac:dyDescent="0.25">
      <c r="B16" s="72"/>
      <c r="C16" s="84"/>
      <c r="D16" s="82"/>
      <c r="E16" s="75"/>
      <c r="F16" s="75"/>
      <c r="G16" s="75"/>
      <c r="H16" s="122"/>
      <c r="I16" s="122"/>
      <c r="M16" s="156"/>
    </row>
    <row r="17" spans="2:13" ht="16.5" x14ac:dyDescent="0.25">
      <c r="B17" s="72"/>
      <c r="C17" s="74" t="s">
        <v>741</v>
      </c>
      <c r="D17" s="82"/>
      <c r="E17" s="75"/>
      <c r="F17" s="75"/>
      <c r="G17" s="75"/>
      <c r="H17" s="122"/>
      <c r="I17" s="122"/>
      <c r="M17" s="156"/>
    </row>
    <row r="18" spans="2:13" ht="16.5" x14ac:dyDescent="0.25">
      <c r="B18" s="72"/>
      <c r="C18" s="159"/>
      <c r="D18" s="82"/>
      <c r="E18" s="75"/>
      <c r="F18" s="75"/>
      <c r="G18" s="75"/>
      <c r="H18" s="122"/>
      <c r="I18" s="122"/>
      <c r="M18" s="156"/>
    </row>
    <row r="19" spans="2:13" ht="16.5" x14ac:dyDescent="0.25">
      <c r="B19" s="164">
        <f>B4+0.01</f>
        <v>7.01</v>
      </c>
      <c r="C19" s="159"/>
      <c r="D19" s="82" t="s">
        <v>527</v>
      </c>
      <c r="E19" s="75"/>
      <c r="F19" s="75"/>
      <c r="G19" s="75"/>
      <c r="H19" s="122"/>
      <c r="I19" s="130">
        <f t="shared" ref="I19:I85" si="1">F19*H19</f>
        <v>0</v>
      </c>
      <c r="M19" s="156"/>
    </row>
    <row r="20" spans="2:13" ht="16.5" x14ac:dyDescent="0.25">
      <c r="B20" s="72"/>
      <c r="C20" s="84"/>
      <c r="D20" s="82"/>
      <c r="E20" s="75"/>
      <c r="F20" s="75"/>
      <c r="G20" s="75"/>
      <c r="H20" s="122"/>
      <c r="I20" s="130">
        <f t="shared" si="1"/>
        <v>0</v>
      </c>
      <c r="M20" s="156"/>
    </row>
    <row r="21" spans="2:13" ht="32.25" customHeight="1" x14ac:dyDescent="0.25">
      <c r="B21" s="72"/>
      <c r="C21" s="418" t="s">
        <v>716</v>
      </c>
      <c r="D21" s="419"/>
      <c r="E21" s="75"/>
      <c r="F21" s="75"/>
      <c r="G21" s="75"/>
      <c r="H21" s="122"/>
      <c r="I21" s="130">
        <f t="shared" si="1"/>
        <v>0</v>
      </c>
      <c r="M21" s="156"/>
    </row>
    <row r="22" spans="2:13" ht="16.5" x14ac:dyDescent="0.25">
      <c r="B22" s="72"/>
      <c r="C22" s="84"/>
      <c r="D22" s="82"/>
      <c r="E22" s="75"/>
      <c r="F22" s="75"/>
      <c r="G22" s="75"/>
      <c r="H22" s="122"/>
      <c r="I22" s="130">
        <f t="shared" si="1"/>
        <v>0</v>
      </c>
      <c r="M22" s="156"/>
    </row>
    <row r="23" spans="2:13" ht="47.45" customHeight="1" x14ac:dyDescent="0.25">
      <c r="B23" s="164">
        <f>B19+0.01</f>
        <v>7.02</v>
      </c>
      <c r="C23" s="84"/>
      <c r="D23" s="82" t="s">
        <v>717</v>
      </c>
      <c r="E23" s="128">
        <v>1</v>
      </c>
      <c r="F23" s="224">
        <v>1</v>
      </c>
      <c r="G23" s="128" t="s">
        <v>528</v>
      </c>
      <c r="H23" s="130"/>
      <c r="I23" s="130">
        <f t="shared" si="1"/>
        <v>0</v>
      </c>
      <c r="M23" s="156"/>
    </row>
    <row r="24" spans="2:13" ht="16.5" x14ac:dyDescent="0.25">
      <c r="B24" s="72"/>
      <c r="C24" s="84"/>
      <c r="D24" s="82"/>
      <c r="E24" s="75"/>
      <c r="F24" s="75"/>
      <c r="G24" s="75"/>
      <c r="H24" s="122"/>
      <c r="I24" s="130">
        <f t="shared" si="1"/>
        <v>0</v>
      </c>
      <c r="M24" s="156"/>
    </row>
    <row r="25" spans="2:13" ht="30" x14ac:dyDescent="0.25">
      <c r="B25" s="164">
        <f>B23+0.01</f>
        <v>7.0299999999999994</v>
      </c>
      <c r="C25" s="84"/>
      <c r="D25" s="82" t="s">
        <v>742</v>
      </c>
      <c r="E25" s="128">
        <v>1</v>
      </c>
      <c r="F25" s="224">
        <v>1</v>
      </c>
      <c r="G25" s="128" t="s">
        <v>528</v>
      </c>
      <c r="H25" s="130"/>
      <c r="I25" s="130">
        <f t="shared" si="1"/>
        <v>0</v>
      </c>
      <c r="M25" s="156"/>
    </row>
    <row r="26" spans="2:13" ht="16.5" x14ac:dyDescent="0.25">
      <c r="B26" s="72"/>
      <c r="C26" s="84"/>
      <c r="D26" s="82"/>
      <c r="E26" s="75"/>
      <c r="F26" s="75"/>
      <c r="G26" s="75"/>
      <c r="H26" s="122"/>
      <c r="I26" s="130">
        <f t="shared" si="1"/>
        <v>0</v>
      </c>
      <c r="M26" s="156"/>
    </row>
    <row r="27" spans="2:13" ht="30" x14ac:dyDescent="0.25">
      <c r="B27" s="164">
        <f>B25+0.01</f>
        <v>7.0399999999999991</v>
      </c>
      <c r="C27" s="84"/>
      <c r="D27" s="82" t="s">
        <v>731</v>
      </c>
      <c r="E27" s="128">
        <v>1</v>
      </c>
      <c r="F27" s="224">
        <v>1</v>
      </c>
      <c r="G27" s="128" t="s">
        <v>528</v>
      </c>
      <c r="H27" s="130"/>
      <c r="I27" s="130">
        <f t="shared" si="1"/>
        <v>0</v>
      </c>
      <c r="M27" s="156"/>
    </row>
    <row r="28" spans="2:13" ht="16.5" x14ac:dyDescent="0.25">
      <c r="B28" s="72"/>
      <c r="C28" s="108"/>
      <c r="D28" s="82"/>
      <c r="E28" s="75"/>
      <c r="F28" s="75"/>
      <c r="G28" s="75"/>
      <c r="H28" s="122"/>
      <c r="I28" s="130">
        <f t="shared" si="1"/>
        <v>0</v>
      </c>
      <c r="M28" s="156"/>
    </row>
    <row r="29" spans="2:13" ht="47.25" customHeight="1" x14ac:dyDescent="0.25">
      <c r="B29" s="164">
        <f>B27+0.01</f>
        <v>7.0499999999999989</v>
      </c>
      <c r="C29" s="108"/>
      <c r="D29" s="158" t="s">
        <v>743</v>
      </c>
      <c r="E29" s="128">
        <v>1</v>
      </c>
      <c r="F29" s="224">
        <v>1</v>
      </c>
      <c r="G29" s="128" t="s">
        <v>528</v>
      </c>
      <c r="H29" s="130"/>
      <c r="I29" s="130">
        <f t="shared" ref="I29" si="2">F29*H29</f>
        <v>0</v>
      </c>
      <c r="M29" s="156"/>
    </row>
    <row r="30" spans="2:13" ht="16.5" x14ac:dyDescent="0.25">
      <c r="B30" s="72"/>
      <c r="C30" s="108"/>
      <c r="D30" s="82"/>
      <c r="E30" s="75"/>
      <c r="F30" s="75"/>
      <c r="G30" s="75"/>
      <c r="H30" s="122"/>
      <c r="I30" s="130">
        <f t="shared" si="1"/>
        <v>0</v>
      </c>
      <c r="M30" s="156"/>
    </row>
    <row r="31" spans="2:13" ht="16.5" x14ac:dyDescent="0.25">
      <c r="B31" s="72"/>
      <c r="C31" s="159" t="s">
        <v>744</v>
      </c>
      <c r="D31" s="82"/>
      <c r="E31" s="75"/>
      <c r="F31" s="75"/>
      <c r="G31" s="75"/>
      <c r="H31" s="122"/>
      <c r="I31" s="130">
        <f t="shared" si="1"/>
        <v>0</v>
      </c>
      <c r="M31" s="156"/>
    </row>
    <row r="32" spans="2:13" ht="16.5" x14ac:dyDescent="0.25">
      <c r="B32" s="72"/>
      <c r="C32" s="84"/>
      <c r="D32" s="82"/>
      <c r="E32" s="75"/>
      <c r="F32" s="75"/>
      <c r="G32" s="75"/>
      <c r="H32" s="122"/>
      <c r="I32" s="130">
        <f t="shared" si="1"/>
        <v>0</v>
      </c>
      <c r="M32" s="156"/>
    </row>
    <row r="33" spans="2:13" ht="122.25" customHeight="1" x14ac:dyDescent="0.25">
      <c r="B33" s="72"/>
      <c r="C33" s="418" t="s">
        <v>1324</v>
      </c>
      <c r="D33" s="419"/>
      <c r="E33" s="75"/>
      <c r="F33" s="75"/>
      <c r="G33" s="75"/>
      <c r="H33" s="122"/>
      <c r="I33" s="130">
        <f t="shared" si="1"/>
        <v>0</v>
      </c>
      <c r="M33" s="156"/>
    </row>
    <row r="34" spans="2:13" ht="16.5" x14ac:dyDescent="0.25">
      <c r="B34" s="72"/>
      <c r="C34" s="84"/>
      <c r="D34" s="82"/>
      <c r="E34" s="75"/>
      <c r="F34" s="75"/>
      <c r="G34" s="75"/>
      <c r="H34" s="122"/>
      <c r="I34" s="130">
        <f t="shared" si="1"/>
        <v>0</v>
      </c>
      <c r="M34" s="156"/>
    </row>
    <row r="35" spans="2:13" ht="16.5" x14ac:dyDescent="0.25">
      <c r="B35" s="179">
        <f>B25+0.01</f>
        <v>7.0399999999999991</v>
      </c>
      <c r="C35" s="84"/>
      <c r="D35" s="251" t="s">
        <v>745</v>
      </c>
      <c r="E35" s="128">
        <f>((2.2*1.4)+(2.7*3.3*0.5)+(3.2*0.7*0.5))*2</f>
        <v>17.309999999999999</v>
      </c>
      <c r="F35" s="224">
        <v>1</v>
      </c>
      <c r="G35" s="128" t="s">
        <v>528</v>
      </c>
      <c r="H35" s="130"/>
      <c r="I35" s="130">
        <f t="shared" si="1"/>
        <v>0</v>
      </c>
      <c r="M35" s="156"/>
    </row>
    <row r="36" spans="2:13" ht="16.5" x14ac:dyDescent="0.25">
      <c r="B36" s="179"/>
      <c r="C36" s="84"/>
      <c r="D36" s="82"/>
      <c r="E36" s="75"/>
      <c r="F36" s="75"/>
      <c r="G36" s="75"/>
      <c r="H36" s="122"/>
      <c r="I36" s="130">
        <f t="shared" si="1"/>
        <v>0</v>
      </c>
      <c r="M36" s="156"/>
    </row>
    <row r="37" spans="2:13" ht="45" x14ac:dyDescent="0.25">
      <c r="B37" s="179">
        <f>B35+0.01</f>
        <v>7.0499999999999989</v>
      </c>
      <c r="C37" s="108"/>
      <c r="D37" s="340" t="s">
        <v>747</v>
      </c>
      <c r="E37" s="128">
        <v>1</v>
      </c>
      <c r="F37" s="224">
        <v>1</v>
      </c>
      <c r="G37" s="128" t="s">
        <v>528</v>
      </c>
      <c r="H37" s="130"/>
      <c r="I37" s="130">
        <f t="shared" si="1"/>
        <v>0</v>
      </c>
      <c r="M37" s="156"/>
    </row>
    <row r="38" spans="2:13" ht="16.5" x14ac:dyDescent="0.25">
      <c r="B38" s="172"/>
      <c r="C38" s="108"/>
      <c r="D38" s="340"/>
      <c r="E38" s="128"/>
      <c r="F38" s="128"/>
      <c r="G38" s="128"/>
      <c r="H38" s="130"/>
      <c r="I38" s="130">
        <f t="shared" si="1"/>
        <v>0</v>
      </c>
      <c r="M38" s="156"/>
    </row>
    <row r="39" spans="2:13" ht="60" x14ac:dyDescent="0.25">
      <c r="B39" s="179">
        <f>B37+0.01</f>
        <v>7.0599999999999987</v>
      </c>
      <c r="C39" s="108"/>
      <c r="D39" s="340" t="s">
        <v>748</v>
      </c>
      <c r="E39" s="128">
        <v>1</v>
      </c>
      <c r="F39" s="128">
        <v>1</v>
      </c>
      <c r="G39" s="128" t="s">
        <v>528</v>
      </c>
      <c r="H39" s="130"/>
      <c r="I39" s="130">
        <f t="shared" si="1"/>
        <v>0</v>
      </c>
      <c r="M39" s="156"/>
    </row>
    <row r="40" spans="2:13" ht="16.5" x14ac:dyDescent="0.25">
      <c r="B40" s="72"/>
      <c r="C40" s="108"/>
      <c r="D40" s="82"/>
      <c r="E40" s="75"/>
      <c r="F40" s="75"/>
      <c r="G40" s="75"/>
      <c r="H40" s="122"/>
      <c r="I40" s="130">
        <f t="shared" si="1"/>
        <v>0</v>
      </c>
      <c r="M40" s="156"/>
    </row>
    <row r="41" spans="2:13" ht="166.5" customHeight="1" x14ac:dyDescent="0.25">
      <c r="B41" s="72"/>
      <c r="C41" s="418" t="s">
        <v>1318</v>
      </c>
      <c r="D41" s="419"/>
      <c r="E41" s="75"/>
      <c r="F41" s="75"/>
      <c r="G41" s="75"/>
      <c r="H41" s="122"/>
      <c r="I41" s="130">
        <f t="shared" si="1"/>
        <v>0</v>
      </c>
      <c r="M41" s="156"/>
    </row>
    <row r="42" spans="2:13" ht="20.100000000000001" customHeight="1" x14ac:dyDescent="0.25">
      <c r="B42" s="72"/>
      <c r="C42" s="171"/>
      <c r="D42" s="112"/>
      <c r="E42" s="75"/>
      <c r="F42" s="75"/>
      <c r="G42" s="75"/>
      <c r="H42" s="122"/>
      <c r="I42" s="130">
        <f t="shared" si="1"/>
        <v>0</v>
      </c>
      <c r="M42" s="156"/>
    </row>
    <row r="43" spans="2:13" ht="16.5" x14ac:dyDescent="0.25">
      <c r="B43" s="172">
        <f>B39+0.01</f>
        <v>7.0699999999999985</v>
      </c>
      <c r="C43" s="84"/>
      <c r="D43" s="82" t="s">
        <v>746</v>
      </c>
      <c r="E43" s="75">
        <f>(((2.6+3.6)*0.8)+(4.6*0.9))*2</f>
        <v>18.200000000000003</v>
      </c>
      <c r="F43" s="224">
        <v>1</v>
      </c>
      <c r="G43" s="128" t="s">
        <v>528</v>
      </c>
      <c r="H43" s="130"/>
      <c r="I43" s="130">
        <f t="shared" si="1"/>
        <v>0</v>
      </c>
      <c r="M43" s="156"/>
    </row>
    <row r="44" spans="2:13" ht="16.5" x14ac:dyDescent="0.25">
      <c r="B44" s="72"/>
      <c r="C44" s="108"/>
      <c r="D44" s="82"/>
      <c r="E44" s="75"/>
      <c r="F44" s="75"/>
      <c r="G44" s="75"/>
      <c r="H44" s="122"/>
      <c r="I44" s="130">
        <f t="shared" si="1"/>
        <v>0</v>
      </c>
      <c r="M44" s="156"/>
    </row>
    <row r="45" spans="2:13" ht="120.75" customHeight="1" x14ac:dyDescent="0.25">
      <c r="B45" s="72"/>
      <c r="C45" s="418" t="s">
        <v>1319</v>
      </c>
      <c r="D45" s="419"/>
      <c r="E45" s="75"/>
      <c r="F45" s="75"/>
      <c r="G45" s="75"/>
      <c r="H45" s="122"/>
      <c r="I45" s="130">
        <f t="shared" si="1"/>
        <v>0</v>
      </c>
      <c r="M45" s="156"/>
    </row>
    <row r="46" spans="2:13" ht="16.5" x14ac:dyDescent="0.25">
      <c r="B46" s="72"/>
      <c r="C46" s="108"/>
      <c r="D46" s="82"/>
      <c r="E46" s="75"/>
      <c r="F46" s="75"/>
      <c r="G46" s="75"/>
      <c r="H46" s="122"/>
      <c r="I46" s="130">
        <f t="shared" si="1"/>
        <v>0</v>
      </c>
      <c r="M46" s="156"/>
    </row>
    <row r="47" spans="2:13" ht="16.5" x14ac:dyDescent="0.25">
      <c r="B47" s="172">
        <f>B43+0.01</f>
        <v>7.0799999999999983</v>
      </c>
      <c r="C47" s="81"/>
      <c r="D47" s="82" t="s">
        <v>527</v>
      </c>
      <c r="E47" s="75">
        <v>1</v>
      </c>
      <c r="F47" s="75">
        <v>1</v>
      </c>
      <c r="G47" s="75" t="s">
        <v>528</v>
      </c>
      <c r="H47" s="122"/>
      <c r="I47" s="130">
        <f t="shared" si="1"/>
        <v>0</v>
      </c>
      <c r="M47" s="156"/>
    </row>
    <row r="48" spans="2:13" ht="16.5" x14ac:dyDescent="0.25">
      <c r="B48" s="72"/>
      <c r="C48" s="108"/>
      <c r="D48" s="82"/>
      <c r="E48" s="75"/>
      <c r="F48" s="75"/>
      <c r="G48" s="75"/>
      <c r="H48" s="122"/>
      <c r="I48" s="130">
        <f t="shared" si="1"/>
        <v>0</v>
      </c>
      <c r="M48" s="156"/>
    </row>
    <row r="49" spans="2:13" ht="60" customHeight="1" x14ac:dyDescent="0.25">
      <c r="B49" s="72"/>
      <c r="C49" s="418" t="s">
        <v>1325</v>
      </c>
      <c r="D49" s="419"/>
      <c r="E49" s="75"/>
      <c r="F49" s="75"/>
      <c r="G49" s="75"/>
      <c r="H49" s="122"/>
      <c r="I49" s="130">
        <f t="shared" si="1"/>
        <v>0</v>
      </c>
      <c r="M49" s="156"/>
    </row>
    <row r="50" spans="2:13" ht="16.5" customHeight="1" x14ac:dyDescent="0.25">
      <c r="B50" s="72"/>
      <c r="C50" s="171"/>
      <c r="D50" s="112"/>
      <c r="E50" s="75"/>
      <c r="F50" s="75"/>
      <c r="G50" s="75"/>
      <c r="H50" s="122"/>
      <c r="I50" s="130">
        <f t="shared" si="1"/>
        <v>0</v>
      </c>
      <c r="M50" s="156"/>
    </row>
    <row r="51" spans="2:13" ht="16.5" x14ac:dyDescent="0.25">
      <c r="B51" s="172">
        <f>B47+0.01</f>
        <v>7.0899999999999981</v>
      </c>
      <c r="C51" s="81"/>
      <c r="D51" s="82" t="s">
        <v>527</v>
      </c>
      <c r="E51" s="75">
        <v>1</v>
      </c>
      <c r="F51" s="75">
        <v>1</v>
      </c>
      <c r="G51" s="75" t="s">
        <v>528</v>
      </c>
      <c r="H51" s="122"/>
      <c r="I51" s="130">
        <f t="shared" si="1"/>
        <v>0</v>
      </c>
      <c r="M51" s="156"/>
    </row>
    <row r="52" spans="2:13" ht="16.5" x14ac:dyDescent="0.25">
      <c r="B52" s="72"/>
      <c r="C52" s="81"/>
      <c r="D52" s="82"/>
      <c r="E52" s="82"/>
      <c r="F52" s="75"/>
      <c r="G52" s="75"/>
      <c r="H52" s="122"/>
      <c r="I52" s="130">
        <f t="shared" si="1"/>
        <v>0</v>
      </c>
      <c r="M52" s="156"/>
    </row>
    <row r="53" spans="2:13" ht="36" customHeight="1" x14ac:dyDescent="0.25">
      <c r="B53" s="72"/>
      <c r="C53" s="422" t="s">
        <v>1320</v>
      </c>
      <c r="D53" s="423"/>
      <c r="E53" s="75"/>
      <c r="F53" s="75"/>
      <c r="G53" s="75"/>
      <c r="H53" s="122"/>
      <c r="I53" s="130">
        <f t="shared" si="1"/>
        <v>0</v>
      </c>
      <c r="M53" s="156"/>
    </row>
    <row r="54" spans="2:13" ht="16.5" x14ac:dyDescent="0.25">
      <c r="B54" s="72"/>
      <c r="C54" s="81"/>
      <c r="D54" s="82"/>
      <c r="E54" s="82"/>
      <c r="F54" s="75"/>
      <c r="G54" s="75"/>
      <c r="H54" s="122"/>
      <c r="I54" s="130">
        <f t="shared" si="1"/>
        <v>0</v>
      </c>
      <c r="M54" s="156"/>
    </row>
    <row r="55" spans="2:13" ht="16.5" x14ac:dyDescent="0.25">
      <c r="B55" s="172">
        <f>B51+0.01</f>
        <v>7.0999999999999979</v>
      </c>
      <c r="C55" s="81"/>
      <c r="D55" s="82" t="s">
        <v>527</v>
      </c>
      <c r="E55" s="75">
        <v>1</v>
      </c>
      <c r="F55" s="75">
        <v>1</v>
      </c>
      <c r="G55" s="75" t="s">
        <v>528</v>
      </c>
      <c r="H55" s="122"/>
      <c r="I55" s="130">
        <f t="shared" si="1"/>
        <v>0</v>
      </c>
      <c r="M55" s="156"/>
    </row>
    <row r="56" spans="2:13" ht="16.5" x14ac:dyDescent="0.25">
      <c r="B56" s="72"/>
      <c r="C56" s="81"/>
      <c r="D56" s="82"/>
      <c r="E56" s="82"/>
      <c r="F56" s="75"/>
      <c r="G56" s="75"/>
      <c r="H56" s="122"/>
      <c r="I56" s="130">
        <f t="shared" si="1"/>
        <v>0</v>
      </c>
      <c r="M56" s="156"/>
    </row>
    <row r="57" spans="2:13" ht="49.5" customHeight="1" x14ac:dyDescent="0.25">
      <c r="B57" s="72"/>
      <c r="C57" s="422" t="s">
        <v>1322</v>
      </c>
      <c r="D57" s="423"/>
      <c r="E57" s="75"/>
      <c r="F57" s="75"/>
      <c r="G57" s="75"/>
      <c r="H57" s="122"/>
      <c r="I57" s="130">
        <f t="shared" ref="I57:I59" si="3">F57*H57</f>
        <v>0</v>
      </c>
      <c r="M57" s="156"/>
    </row>
    <row r="58" spans="2:13" ht="16.5" x14ac:dyDescent="0.25">
      <c r="B58" s="72"/>
      <c r="C58" s="81"/>
      <c r="D58" s="82"/>
      <c r="E58" s="82"/>
      <c r="F58" s="75"/>
      <c r="G58" s="75"/>
      <c r="H58" s="122"/>
      <c r="I58" s="130">
        <f t="shared" si="3"/>
        <v>0</v>
      </c>
      <c r="M58" s="156"/>
    </row>
    <row r="59" spans="2:13" ht="16.5" x14ac:dyDescent="0.25">
      <c r="B59" s="172">
        <f>B55+0.01</f>
        <v>7.1099999999999977</v>
      </c>
      <c r="C59" s="81"/>
      <c r="D59" s="82" t="s">
        <v>527</v>
      </c>
      <c r="E59" s="75">
        <v>1</v>
      </c>
      <c r="F59" s="75">
        <v>1</v>
      </c>
      <c r="G59" s="75" t="s">
        <v>528</v>
      </c>
      <c r="H59" s="122"/>
      <c r="I59" s="130">
        <f t="shared" si="3"/>
        <v>0</v>
      </c>
      <c r="M59" s="156"/>
    </row>
    <row r="60" spans="2:13" ht="16.5" x14ac:dyDescent="0.25">
      <c r="B60" s="172"/>
      <c r="C60" s="81"/>
      <c r="D60" s="82"/>
      <c r="E60" s="75"/>
      <c r="F60" s="75"/>
      <c r="G60" s="75"/>
      <c r="H60" s="122"/>
      <c r="I60" s="130"/>
      <c r="M60" s="156"/>
    </row>
    <row r="61" spans="2:13" ht="16.5" x14ac:dyDescent="0.25">
      <c r="B61" s="179"/>
      <c r="C61" s="81"/>
      <c r="D61" s="82"/>
      <c r="E61" s="82"/>
      <c r="F61" s="75"/>
      <c r="G61" s="75"/>
      <c r="H61" s="122"/>
      <c r="I61" s="130">
        <f t="shared" si="1"/>
        <v>0</v>
      </c>
      <c r="M61" s="156"/>
    </row>
    <row r="62" spans="2:13" ht="16.5" x14ac:dyDescent="0.25">
      <c r="B62" s="77"/>
      <c r="C62" s="73" t="s">
        <v>549</v>
      </c>
      <c r="D62" s="160"/>
      <c r="E62" s="82"/>
      <c r="F62" s="75"/>
      <c r="G62" s="75"/>
      <c r="H62" s="79"/>
      <c r="I62" s="130">
        <f t="shared" si="1"/>
        <v>0</v>
      </c>
      <c r="J62" s="83"/>
      <c r="M62" s="126"/>
    </row>
    <row r="63" spans="2:13" ht="16.5" x14ac:dyDescent="0.25">
      <c r="B63" s="77"/>
      <c r="C63" s="74"/>
      <c r="D63" s="160"/>
      <c r="E63" s="82"/>
      <c r="F63" s="75"/>
      <c r="G63" s="75"/>
      <c r="H63" s="79"/>
      <c r="I63" s="130">
        <f t="shared" si="1"/>
        <v>0</v>
      </c>
      <c r="J63" s="83"/>
      <c r="M63" s="126"/>
    </row>
    <row r="64" spans="2:13" ht="16.5" x14ac:dyDescent="0.25">
      <c r="B64" s="77"/>
      <c r="C64" s="159" t="s">
        <v>550</v>
      </c>
      <c r="D64" s="160"/>
      <c r="E64" s="82"/>
      <c r="F64" s="75"/>
      <c r="G64" s="75"/>
      <c r="H64" s="79"/>
      <c r="I64" s="130">
        <f t="shared" si="1"/>
        <v>0</v>
      </c>
      <c r="J64" s="83"/>
      <c r="M64" s="126"/>
    </row>
    <row r="65" spans="2:13" ht="16.5" x14ac:dyDescent="0.25">
      <c r="B65" s="77"/>
      <c r="C65" s="74"/>
      <c r="D65" s="160"/>
      <c r="E65" s="82"/>
      <c r="F65" s="75"/>
      <c r="G65" s="75"/>
      <c r="H65" s="79"/>
      <c r="I65" s="130">
        <f t="shared" si="1"/>
        <v>0</v>
      </c>
      <c r="J65" s="83"/>
      <c r="M65" s="126"/>
    </row>
    <row r="66" spans="2:13" ht="16.5" x14ac:dyDescent="0.25">
      <c r="B66" s="77"/>
      <c r="C66" s="74" t="s">
        <v>551</v>
      </c>
      <c r="D66" s="160"/>
      <c r="E66" s="82"/>
      <c r="F66" s="75"/>
      <c r="G66" s="75"/>
      <c r="H66" s="79"/>
      <c r="I66" s="130">
        <f t="shared" si="1"/>
        <v>0</v>
      </c>
      <c r="J66" s="83"/>
      <c r="M66" s="126"/>
    </row>
    <row r="67" spans="2:13" ht="16.5" x14ac:dyDescent="0.25">
      <c r="B67" s="77"/>
      <c r="C67" s="74"/>
      <c r="D67" s="160"/>
      <c r="E67" s="82"/>
      <c r="F67" s="75"/>
      <c r="G67" s="75"/>
      <c r="H67" s="79"/>
      <c r="I67" s="130">
        <f t="shared" si="1"/>
        <v>0</v>
      </c>
      <c r="J67" s="83"/>
      <c r="M67" s="126"/>
    </row>
    <row r="68" spans="2:13" ht="16.5" x14ac:dyDescent="0.25">
      <c r="B68" s="173">
        <f>B55+0.01</f>
        <v>7.1099999999999977</v>
      </c>
      <c r="C68" s="74"/>
      <c r="D68" s="112" t="s">
        <v>527</v>
      </c>
      <c r="E68" s="75">
        <v>1</v>
      </c>
      <c r="F68" s="224">
        <v>1</v>
      </c>
      <c r="G68" s="75" t="s">
        <v>528</v>
      </c>
      <c r="H68" s="76"/>
      <c r="I68" s="130">
        <f t="shared" si="1"/>
        <v>0</v>
      </c>
      <c r="J68" s="83"/>
      <c r="M68" s="126"/>
    </row>
    <row r="69" spans="2:13" ht="16.5" x14ac:dyDescent="0.25">
      <c r="B69" s="77"/>
      <c r="C69" s="74"/>
      <c r="D69" s="160"/>
      <c r="E69" s="75"/>
      <c r="F69" s="75"/>
      <c r="G69" s="78"/>
      <c r="H69" s="79"/>
      <c r="I69" s="130">
        <f t="shared" si="1"/>
        <v>0</v>
      </c>
      <c r="J69" s="83"/>
      <c r="M69" s="126"/>
    </row>
    <row r="70" spans="2:13" ht="16.5" x14ac:dyDescent="0.25">
      <c r="B70" s="77"/>
      <c r="C70" s="432" t="s">
        <v>634</v>
      </c>
      <c r="D70" s="433"/>
      <c r="E70" s="161"/>
      <c r="F70" s="161"/>
      <c r="G70" s="78"/>
      <c r="H70" s="79"/>
      <c r="I70" s="130">
        <f t="shared" si="1"/>
        <v>0</v>
      </c>
      <c r="J70" s="83"/>
      <c r="M70" s="126"/>
    </row>
    <row r="71" spans="2:13" ht="16.5" x14ac:dyDescent="0.25">
      <c r="B71" s="77"/>
      <c r="C71" s="74"/>
      <c r="D71" s="160"/>
      <c r="E71" s="161"/>
      <c r="F71" s="161"/>
      <c r="G71" s="78"/>
      <c r="H71" s="79"/>
      <c r="I71" s="130">
        <f t="shared" si="1"/>
        <v>0</v>
      </c>
      <c r="J71" s="83"/>
      <c r="M71" s="126"/>
    </row>
    <row r="72" spans="2:13" ht="28.5" customHeight="1" x14ac:dyDescent="0.25">
      <c r="B72" s="77"/>
      <c r="C72" s="418" t="s">
        <v>656</v>
      </c>
      <c r="D72" s="419"/>
      <c r="E72" s="161"/>
      <c r="F72" s="161"/>
      <c r="G72" s="78"/>
      <c r="H72" s="79"/>
      <c r="I72" s="130">
        <f t="shared" si="1"/>
        <v>0</v>
      </c>
      <c r="J72" s="83"/>
      <c r="M72" s="126"/>
    </row>
    <row r="73" spans="2:13" ht="16.5" x14ac:dyDescent="0.25">
      <c r="B73" s="77"/>
      <c r="C73" s="74"/>
      <c r="D73" s="160"/>
      <c r="E73" s="161"/>
      <c r="F73" s="161"/>
      <c r="G73" s="78"/>
      <c r="H73" s="79"/>
      <c r="I73" s="130">
        <f t="shared" si="1"/>
        <v>0</v>
      </c>
      <c r="J73" s="83"/>
      <c r="M73" s="126"/>
    </row>
    <row r="74" spans="2:13" ht="16.5" x14ac:dyDescent="0.25">
      <c r="B74" s="172">
        <f>B68+0.01</f>
        <v>7.1199999999999974</v>
      </c>
      <c r="C74" s="74"/>
      <c r="D74" s="112" t="s">
        <v>527</v>
      </c>
      <c r="E74" s="162">
        <v>1</v>
      </c>
      <c r="F74" s="162">
        <v>1</v>
      </c>
      <c r="G74" s="75" t="s">
        <v>528</v>
      </c>
      <c r="H74" s="76"/>
      <c r="I74" s="130">
        <f t="shared" si="1"/>
        <v>0</v>
      </c>
      <c r="J74" s="83"/>
      <c r="M74" s="126"/>
    </row>
    <row r="75" spans="2:13" ht="16.5" x14ac:dyDescent="0.25">
      <c r="B75" s="77"/>
      <c r="C75" s="74"/>
      <c r="D75" s="160"/>
      <c r="E75" s="75"/>
      <c r="F75" s="75"/>
      <c r="G75" s="78"/>
      <c r="H75" s="79"/>
      <c r="I75" s="130">
        <f t="shared" si="1"/>
        <v>0</v>
      </c>
      <c r="J75" s="83"/>
      <c r="M75" s="126"/>
    </row>
    <row r="76" spans="2:13" ht="16.5" x14ac:dyDescent="0.25">
      <c r="B76" s="77"/>
      <c r="C76" s="159" t="s">
        <v>556</v>
      </c>
      <c r="D76" s="160"/>
      <c r="E76" s="75"/>
      <c r="F76" s="75"/>
      <c r="G76" s="78"/>
      <c r="H76" s="79"/>
      <c r="I76" s="130">
        <f t="shared" si="1"/>
        <v>0</v>
      </c>
      <c r="J76" s="83"/>
      <c r="M76" s="126"/>
    </row>
    <row r="77" spans="2:13" ht="16.5" x14ac:dyDescent="0.25">
      <c r="B77" s="77"/>
      <c r="C77" s="74"/>
      <c r="D77" s="160"/>
      <c r="E77" s="75"/>
      <c r="F77" s="75"/>
      <c r="G77" s="78"/>
      <c r="H77" s="79"/>
      <c r="I77" s="130">
        <f t="shared" si="1"/>
        <v>0</v>
      </c>
      <c r="J77" s="83"/>
      <c r="M77" s="126"/>
    </row>
    <row r="78" spans="2:13" ht="33.75" customHeight="1" x14ac:dyDescent="0.25">
      <c r="B78" s="77"/>
      <c r="C78" s="420" t="s">
        <v>557</v>
      </c>
      <c r="D78" s="421"/>
      <c r="E78" s="75"/>
      <c r="F78" s="75"/>
      <c r="G78" s="78"/>
      <c r="H78" s="79"/>
      <c r="I78" s="130">
        <f t="shared" si="1"/>
        <v>0</v>
      </c>
      <c r="J78" s="83"/>
      <c r="M78" s="126"/>
    </row>
    <row r="79" spans="2:13" ht="14.45" customHeight="1" x14ac:dyDescent="0.25">
      <c r="B79" s="77"/>
      <c r="C79" s="170"/>
      <c r="D79" s="158"/>
      <c r="E79" s="75"/>
      <c r="F79" s="75"/>
      <c r="G79" s="78"/>
      <c r="H79" s="79"/>
      <c r="I79" s="130">
        <f t="shared" si="1"/>
        <v>0</v>
      </c>
      <c r="J79" s="83"/>
      <c r="M79" s="126"/>
    </row>
    <row r="80" spans="2:13" ht="16.5" x14ac:dyDescent="0.25">
      <c r="B80" s="173">
        <f>B74+0.01</f>
        <v>7.1299999999999972</v>
      </c>
      <c r="C80" s="74"/>
      <c r="D80" s="112" t="s">
        <v>527</v>
      </c>
      <c r="E80" s="162">
        <v>1</v>
      </c>
      <c r="F80" s="162">
        <v>1</v>
      </c>
      <c r="G80" s="75" t="s">
        <v>528</v>
      </c>
      <c r="H80" s="76"/>
      <c r="I80" s="130">
        <f t="shared" si="1"/>
        <v>0</v>
      </c>
      <c r="J80" s="83"/>
      <c r="M80" s="126"/>
    </row>
    <row r="81" spans="2:13" ht="16.5" x14ac:dyDescent="0.25">
      <c r="B81" s="77"/>
      <c r="C81" s="74"/>
      <c r="D81" s="160"/>
      <c r="E81" s="75"/>
      <c r="F81" s="75"/>
      <c r="G81" s="78"/>
      <c r="H81" s="79"/>
      <c r="I81" s="130">
        <f t="shared" si="1"/>
        <v>0</v>
      </c>
      <c r="J81" s="83"/>
      <c r="M81" s="126"/>
    </row>
    <row r="82" spans="2:13" ht="16.5" x14ac:dyDescent="0.25">
      <c r="B82" s="72"/>
      <c r="C82" s="159" t="s">
        <v>529</v>
      </c>
      <c r="D82" s="82"/>
      <c r="E82" s="75"/>
      <c r="F82" s="75"/>
      <c r="G82" s="75"/>
      <c r="H82" s="122"/>
      <c r="I82" s="130">
        <f t="shared" si="1"/>
        <v>0</v>
      </c>
      <c r="J82" s="83"/>
      <c r="M82" s="126"/>
    </row>
    <row r="83" spans="2:13" ht="16.5" x14ac:dyDescent="0.25">
      <c r="B83" s="72"/>
      <c r="C83" s="74"/>
      <c r="D83" s="82"/>
      <c r="E83" s="75"/>
      <c r="F83" s="75"/>
      <c r="G83" s="75"/>
      <c r="H83" s="122"/>
      <c r="I83" s="130">
        <f t="shared" si="1"/>
        <v>0</v>
      </c>
      <c r="J83" s="83"/>
      <c r="M83" s="127"/>
    </row>
    <row r="84" spans="2:13" ht="37.5" customHeight="1" x14ac:dyDescent="0.25">
      <c r="B84" s="72"/>
      <c r="C84" s="422" t="s">
        <v>629</v>
      </c>
      <c r="D84" s="423"/>
      <c r="E84" s="75"/>
      <c r="F84" s="75"/>
      <c r="G84" s="75"/>
      <c r="H84" s="122"/>
      <c r="I84" s="130">
        <f t="shared" si="1"/>
        <v>0</v>
      </c>
      <c r="J84" s="83"/>
      <c r="M84" s="127"/>
    </row>
    <row r="85" spans="2:13" ht="13.7" customHeight="1" x14ac:dyDescent="0.25">
      <c r="B85" s="72"/>
      <c r="C85" s="165"/>
      <c r="D85" s="82"/>
      <c r="E85" s="75"/>
      <c r="F85" s="75"/>
      <c r="G85" s="75"/>
      <c r="H85" s="122"/>
      <c r="I85" s="130">
        <f t="shared" si="1"/>
        <v>0</v>
      </c>
      <c r="J85" s="83"/>
      <c r="M85" s="127"/>
    </row>
    <row r="86" spans="2:13" x14ac:dyDescent="0.25">
      <c r="B86" s="173">
        <f>B80+0.01</f>
        <v>7.139999999999997</v>
      </c>
      <c r="C86" s="74"/>
      <c r="D86" s="112" t="s">
        <v>527</v>
      </c>
      <c r="E86" s="162">
        <v>1</v>
      </c>
      <c r="F86" s="162">
        <v>1</v>
      </c>
      <c r="G86" s="75" t="s">
        <v>528</v>
      </c>
      <c r="H86" s="76"/>
      <c r="I86" s="130">
        <f t="shared" ref="I86" si="4">F86*H86</f>
        <v>0</v>
      </c>
      <c r="J86" s="83"/>
    </row>
    <row r="87" spans="2:13" ht="15" customHeight="1" thickBot="1" x14ac:dyDescent="0.3">
      <c r="B87" s="72"/>
      <c r="C87" s="135"/>
      <c r="D87" s="82"/>
      <c r="E87" s="162"/>
      <c r="F87" s="162"/>
      <c r="G87" s="75"/>
      <c r="H87" s="122"/>
      <c r="I87" s="130">
        <f t="shared" ref="I87" si="5">F87*H87</f>
        <v>0</v>
      </c>
    </row>
    <row r="88" spans="2:13" ht="15" customHeight="1" thickBot="1" x14ac:dyDescent="0.3">
      <c r="B88" s="72"/>
      <c r="C88" s="135"/>
      <c r="D88" s="314" t="s">
        <v>906</v>
      </c>
      <c r="E88" s="162"/>
      <c r="F88" s="162"/>
      <c r="G88" s="75"/>
      <c r="H88" s="366"/>
      <c r="I88" s="352">
        <f>SUM(I19:I87)</f>
        <v>0</v>
      </c>
    </row>
    <row r="89" spans="2:13" ht="15" customHeight="1" x14ac:dyDescent="0.25">
      <c r="B89" s="72"/>
      <c r="C89" s="135"/>
      <c r="D89" s="82"/>
      <c r="E89" s="162"/>
      <c r="F89" s="162"/>
      <c r="G89" s="75"/>
      <c r="H89" s="122"/>
      <c r="I89" s="130"/>
    </row>
    <row r="90" spans="2:13" ht="15" customHeight="1" x14ac:dyDescent="0.25">
      <c r="B90" s="72"/>
      <c r="C90" s="426" t="s">
        <v>816</v>
      </c>
      <c r="D90" s="427"/>
      <c r="E90" s="162"/>
      <c r="F90" s="162"/>
      <c r="G90" s="75"/>
      <c r="H90" s="122"/>
      <c r="I90" s="130"/>
    </row>
    <row r="91" spans="2:13" ht="15" customHeight="1" x14ac:dyDescent="0.25">
      <c r="B91" s="72"/>
      <c r="C91" s="135"/>
      <c r="D91" s="82"/>
      <c r="E91" s="162"/>
      <c r="F91" s="162"/>
      <c r="G91" s="75"/>
      <c r="H91" s="122"/>
      <c r="I91" s="130"/>
    </row>
    <row r="92" spans="2:13" ht="15" customHeight="1" x14ac:dyDescent="0.25">
      <c r="B92" s="72"/>
      <c r="C92" s="445" t="s">
        <v>1252</v>
      </c>
      <c r="D92" s="446"/>
      <c r="E92" s="162"/>
      <c r="F92" s="162"/>
      <c r="G92" s="75"/>
      <c r="H92" s="122"/>
      <c r="I92" s="130"/>
    </row>
    <row r="93" spans="2:13" ht="15" customHeight="1" x14ac:dyDescent="0.25">
      <c r="B93" s="72"/>
      <c r="C93" s="74"/>
      <c r="D93" s="111"/>
      <c r="E93" s="162"/>
      <c r="F93" s="162"/>
      <c r="G93" s="75"/>
      <c r="H93" s="122"/>
      <c r="I93" s="130"/>
    </row>
    <row r="94" spans="2:13" ht="33" customHeight="1" x14ac:dyDescent="0.25">
      <c r="B94" s="72"/>
      <c r="C94" s="437" t="s">
        <v>1436</v>
      </c>
      <c r="D94" s="438"/>
      <c r="E94" s="162"/>
      <c r="F94" s="162"/>
      <c r="G94" s="75"/>
      <c r="H94" s="122"/>
      <c r="I94" s="130"/>
    </row>
    <row r="95" spans="2:13" ht="15" customHeight="1" x14ac:dyDescent="0.25">
      <c r="B95" s="72"/>
      <c r="C95" s="74"/>
      <c r="D95" s="111"/>
      <c r="E95" s="162"/>
      <c r="F95" s="162"/>
      <c r="G95" s="75"/>
      <c r="H95" s="122"/>
      <c r="I95" s="130"/>
    </row>
    <row r="96" spans="2:13" ht="28.5" customHeight="1" x14ac:dyDescent="0.25">
      <c r="B96" s="72"/>
      <c r="C96" s="418" t="s">
        <v>1263</v>
      </c>
      <c r="D96" s="419"/>
      <c r="E96" s="162"/>
      <c r="F96" s="162"/>
      <c r="G96" s="75"/>
      <c r="H96" s="122"/>
      <c r="I96" s="130"/>
    </row>
    <row r="97" spans="2:9" ht="15" customHeight="1" x14ac:dyDescent="0.25">
      <c r="B97" s="72"/>
      <c r="C97" s="74"/>
      <c r="D97" s="111"/>
      <c r="E97" s="162"/>
      <c r="F97" s="162"/>
      <c r="G97" s="75"/>
      <c r="H97" s="122"/>
      <c r="I97" s="130"/>
    </row>
    <row r="98" spans="2:9" ht="15" customHeight="1" x14ac:dyDescent="0.25">
      <c r="B98" s="172">
        <f>B86+0.01</f>
        <v>7.1499999999999968</v>
      </c>
      <c r="C98" s="74"/>
      <c r="D98" s="82" t="s">
        <v>1253</v>
      </c>
      <c r="E98" s="344">
        <f>(3.07*17)+(3.3*13)+2</f>
        <v>97.09</v>
      </c>
      <c r="F98" s="344">
        <v>97</v>
      </c>
      <c r="G98" s="128" t="s">
        <v>660</v>
      </c>
      <c r="H98" s="130"/>
      <c r="I98" s="130">
        <f>F98*H98</f>
        <v>0</v>
      </c>
    </row>
    <row r="99" spans="2:9" ht="15" customHeight="1" x14ac:dyDescent="0.25">
      <c r="B99" s="72"/>
      <c r="C99" s="74"/>
      <c r="D99" s="111"/>
      <c r="E99" s="162"/>
      <c r="F99" s="162"/>
      <c r="G99" s="75"/>
      <c r="H99" s="122"/>
      <c r="I99" s="130"/>
    </row>
    <row r="100" spans="2:9" ht="30" customHeight="1" x14ac:dyDescent="0.25">
      <c r="B100" s="72"/>
      <c r="C100" s="418" t="s">
        <v>1266</v>
      </c>
      <c r="D100" s="419"/>
      <c r="E100" s="162"/>
      <c r="F100" s="162"/>
      <c r="G100" s="75"/>
      <c r="H100" s="122"/>
      <c r="I100" s="130"/>
    </row>
    <row r="101" spans="2:9" ht="15" customHeight="1" x14ac:dyDescent="0.25">
      <c r="B101" s="72"/>
      <c r="C101" s="74"/>
      <c r="D101" s="111"/>
      <c r="E101" s="162"/>
      <c r="F101" s="162"/>
      <c r="G101" s="75"/>
      <c r="H101" s="122"/>
      <c r="I101" s="130"/>
    </row>
    <row r="102" spans="2:9" ht="29.25" customHeight="1" x14ac:dyDescent="0.25">
      <c r="B102" s="179">
        <f>B98+0.01</f>
        <v>7.1599999999999966</v>
      </c>
      <c r="C102" s="74"/>
      <c r="D102" s="82" t="s">
        <v>1254</v>
      </c>
      <c r="E102" s="344">
        <f>3.3+3.3+0.9</f>
        <v>7.5</v>
      </c>
      <c r="F102" s="344">
        <v>8</v>
      </c>
      <c r="G102" s="128" t="s">
        <v>660</v>
      </c>
      <c r="H102" s="130"/>
      <c r="I102" s="130">
        <f>F102*H102</f>
        <v>0</v>
      </c>
    </row>
    <row r="103" spans="2:9" ht="15" customHeight="1" x14ac:dyDescent="0.25">
      <c r="B103" s="72"/>
      <c r="C103" s="74"/>
      <c r="D103" s="111"/>
      <c r="E103" s="162"/>
      <c r="F103" s="162"/>
      <c r="G103" s="75"/>
      <c r="H103" s="122"/>
      <c r="I103" s="130"/>
    </row>
    <row r="104" spans="2:9" ht="15" customHeight="1" x14ac:dyDescent="0.25">
      <c r="B104" s="72"/>
      <c r="C104" s="434" t="s">
        <v>1255</v>
      </c>
      <c r="D104" s="435"/>
      <c r="E104" s="162"/>
      <c r="F104" s="162"/>
      <c r="G104" s="75"/>
      <c r="H104" s="122"/>
      <c r="I104" s="130"/>
    </row>
    <row r="105" spans="2:9" ht="15" customHeight="1" x14ac:dyDescent="0.25">
      <c r="B105" s="72"/>
      <c r="C105" s="74"/>
      <c r="D105" s="111"/>
      <c r="E105" s="162"/>
      <c r="F105" s="162"/>
      <c r="G105" s="75"/>
      <c r="H105" s="122"/>
      <c r="I105" s="130"/>
    </row>
    <row r="106" spans="2:9" ht="15" customHeight="1" x14ac:dyDescent="0.25">
      <c r="B106" s="179">
        <f>B102+0.01</f>
        <v>7.1699999999999964</v>
      </c>
      <c r="C106" s="74"/>
      <c r="D106" s="82" t="s">
        <v>1253</v>
      </c>
      <c r="E106" s="162">
        <f>(7.02*3)+(6.71*3)</f>
        <v>41.19</v>
      </c>
      <c r="F106" s="344">
        <v>41</v>
      </c>
      <c r="G106" s="128" t="s">
        <v>660</v>
      </c>
      <c r="H106" s="130"/>
      <c r="I106" s="130">
        <f>F106*H106</f>
        <v>0</v>
      </c>
    </row>
    <row r="107" spans="2:9" ht="15" customHeight="1" x14ac:dyDescent="0.25">
      <c r="B107" s="72"/>
      <c r="C107" s="74"/>
      <c r="D107" s="111"/>
      <c r="E107" s="162"/>
      <c r="F107" s="162"/>
      <c r="G107" s="75"/>
      <c r="H107" s="122"/>
      <c r="I107" s="130"/>
    </row>
    <row r="108" spans="2:9" ht="15" customHeight="1" x14ac:dyDescent="0.25">
      <c r="B108" s="72"/>
      <c r="C108" s="434" t="s">
        <v>1256</v>
      </c>
      <c r="D108" s="435"/>
      <c r="E108" s="162"/>
      <c r="F108" s="162"/>
      <c r="G108" s="75"/>
      <c r="H108" s="122"/>
      <c r="I108" s="130"/>
    </row>
    <row r="109" spans="2:9" ht="15" customHeight="1" x14ac:dyDescent="0.25">
      <c r="B109" s="72"/>
      <c r="C109" s="74"/>
      <c r="D109" s="111"/>
      <c r="E109" s="162"/>
      <c r="F109" s="162"/>
      <c r="G109" s="75"/>
      <c r="H109" s="122"/>
      <c r="I109" s="130"/>
    </row>
    <row r="110" spans="2:9" ht="15" customHeight="1" x14ac:dyDescent="0.25">
      <c r="B110" s="179">
        <f>B106+0.01</f>
        <v>7.1799999999999962</v>
      </c>
      <c r="C110" s="74"/>
      <c r="D110" s="82" t="s">
        <v>1257</v>
      </c>
      <c r="E110" s="162">
        <v>1</v>
      </c>
      <c r="F110" s="344">
        <v>1</v>
      </c>
      <c r="G110" s="128" t="s">
        <v>582</v>
      </c>
      <c r="H110" s="130"/>
      <c r="I110" s="130">
        <f>F110*H110</f>
        <v>0</v>
      </c>
    </row>
    <row r="111" spans="2:9" ht="15" customHeight="1" x14ac:dyDescent="0.25">
      <c r="B111" s="72"/>
      <c r="C111" s="74"/>
      <c r="D111" s="111"/>
      <c r="E111" s="162"/>
      <c r="F111" s="162"/>
      <c r="G111" s="75"/>
      <c r="H111" s="122"/>
      <c r="I111" s="130"/>
    </row>
    <row r="112" spans="2:9" ht="15" customHeight="1" x14ac:dyDescent="0.25">
      <c r="B112" s="72"/>
      <c r="C112" s="434" t="s">
        <v>1260</v>
      </c>
      <c r="D112" s="435"/>
      <c r="E112" s="162"/>
      <c r="F112" s="162"/>
      <c r="G112" s="75"/>
      <c r="H112" s="122"/>
      <c r="I112" s="130"/>
    </row>
    <row r="113" spans="2:9" ht="15" customHeight="1" x14ac:dyDescent="0.25">
      <c r="B113" s="72"/>
      <c r="C113" s="74"/>
      <c r="D113" s="111"/>
      <c r="E113" s="162"/>
      <c r="F113" s="162"/>
      <c r="G113" s="75"/>
      <c r="H113" s="122"/>
      <c r="I113" s="130"/>
    </row>
    <row r="114" spans="2:9" ht="15" customHeight="1" x14ac:dyDescent="0.25">
      <c r="B114" s="179">
        <f>B110+0.01</f>
        <v>7.1899999999999959</v>
      </c>
      <c r="C114" s="74"/>
      <c r="D114" s="82" t="s">
        <v>1258</v>
      </c>
      <c r="E114" s="162">
        <f>(17*2)+(13*2)+1</f>
        <v>61</v>
      </c>
      <c r="F114" s="344">
        <v>61</v>
      </c>
      <c r="G114" s="128" t="s">
        <v>582</v>
      </c>
      <c r="H114" s="130"/>
      <c r="I114" s="130">
        <f>F114*H114</f>
        <v>0</v>
      </c>
    </row>
    <row r="115" spans="2:9" ht="15" customHeight="1" x14ac:dyDescent="0.25">
      <c r="B115" s="72"/>
      <c r="C115" s="74"/>
      <c r="D115" s="111"/>
      <c r="E115" s="162"/>
      <c r="F115" s="162"/>
      <c r="G115" s="75"/>
      <c r="H115" s="122"/>
      <c r="I115" s="130"/>
    </row>
    <row r="116" spans="2:9" ht="15" customHeight="1" x14ac:dyDescent="0.25">
      <c r="B116" s="179">
        <f>B114+0.01</f>
        <v>7.1999999999999957</v>
      </c>
      <c r="C116" s="74"/>
      <c r="D116" s="82" t="s">
        <v>1259</v>
      </c>
      <c r="E116" s="162">
        <v>4</v>
      </c>
      <c r="F116" s="344">
        <v>4</v>
      </c>
      <c r="G116" s="128" t="s">
        <v>582</v>
      </c>
      <c r="H116" s="130"/>
      <c r="I116" s="130">
        <f>F116*H116</f>
        <v>0</v>
      </c>
    </row>
    <row r="117" spans="2:9" ht="15" customHeight="1" x14ac:dyDescent="0.25">
      <c r="B117" s="72"/>
      <c r="C117" s="74"/>
      <c r="D117" s="82"/>
      <c r="E117" s="162"/>
      <c r="F117" s="162"/>
      <c r="G117" s="75"/>
      <c r="H117" s="122"/>
      <c r="I117" s="130"/>
    </row>
    <row r="118" spans="2:9" ht="15" customHeight="1" x14ac:dyDescent="0.25">
      <c r="B118" s="72"/>
      <c r="C118" s="434" t="s">
        <v>1261</v>
      </c>
      <c r="D118" s="435"/>
      <c r="E118" s="162"/>
      <c r="F118" s="162"/>
      <c r="G118" s="75"/>
      <c r="H118" s="122"/>
      <c r="I118" s="130"/>
    </row>
    <row r="119" spans="2:9" ht="15" customHeight="1" x14ac:dyDescent="0.25">
      <c r="B119" s="72"/>
      <c r="C119" s="74"/>
      <c r="D119" s="111"/>
      <c r="E119" s="162"/>
      <c r="F119" s="162"/>
      <c r="G119" s="75"/>
      <c r="H119" s="122"/>
      <c r="I119" s="130"/>
    </row>
    <row r="120" spans="2:9" ht="48" customHeight="1" x14ac:dyDescent="0.25">
      <c r="B120" s="179">
        <f>B116+0.01</f>
        <v>7.2099999999999955</v>
      </c>
      <c r="C120" s="74"/>
      <c r="D120" s="82" t="s">
        <v>1262</v>
      </c>
      <c r="E120" s="344">
        <f>(5*2)+(6*2)</f>
        <v>22</v>
      </c>
      <c r="F120" s="344">
        <v>22</v>
      </c>
      <c r="G120" s="128" t="s">
        <v>582</v>
      </c>
      <c r="H120" s="130"/>
      <c r="I120" s="130">
        <f>F120*H120</f>
        <v>0</v>
      </c>
    </row>
    <row r="121" spans="2:9" ht="15" customHeight="1" x14ac:dyDescent="0.25">
      <c r="B121" s="72"/>
      <c r="C121" s="74"/>
      <c r="D121" s="111"/>
      <c r="E121" s="162"/>
      <c r="F121" s="162"/>
      <c r="G121" s="75"/>
      <c r="H121" s="122"/>
      <c r="I121" s="130"/>
    </row>
    <row r="122" spans="2:9" ht="15" customHeight="1" x14ac:dyDescent="0.25">
      <c r="B122" s="72"/>
      <c r="C122" s="445" t="s">
        <v>967</v>
      </c>
      <c r="D122" s="446"/>
      <c r="E122" s="162"/>
      <c r="F122" s="162"/>
      <c r="G122" s="75"/>
      <c r="H122" s="122"/>
      <c r="I122" s="130"/>
    </row>
    <row r="123" spans="2:9" ht="15" customHeight="1" x14ac:dyDescent="0.25">
      <c r="B123" s="72"/>
      <c r="C123" s="74"/>
      <c r="D123" s="111"/>
      <c r="E123" s="162"/>
      <c r="F123" s="162"/>
      <c r="G123" s="75"/>
      <c r="H123" s="122"/>
      <c r="I123" s="130"/>
    </row>
    <row r="124" spans="2:9" ht="60" customHeight="1" x14ac:dyDescent="0.25">
      <c r="B124" s="72"/>
      <c r="C124" s="437" t="s">
        <v>990</v>
      </c>
      <c r="D124" s="438"/>
      <c r="E124" s="162"/>
      <c r="F124" s="162"/>
      <c r="G124" s="75"/>
      <c r="H124" s="122"/>
      <c r="I124" s="130">
        <f t="shared" ref="I124:I131" si="6">F124*H124</f>
        <v>0</v>
      </c>
    </row>
    <row r="125" spans="2:9" ht="15" customHeight="1" x14ac:dyDescent="0.25">
      <c r="B125" s="72"/>
      <c r="C125" s="74"/>
      <c r="D125" s="111"/>
      <c r="E125" s="162"/>
      <c r="F125" s="162"/>
      <c r="G125" s="75"/>
      <c r="H125" s="122"/>
      <c r="I125" s="130">
        <f t="shared" si="6"/>
        <v>0</v>
      </c>
    </row>
    <row r="126" spans="2:9" ht="15" customHeight="1" x14ac:dyDescent="0.25">
      <c r="B126" s="72"/>
      <c r="C126" s="434" t="s">
        <v>983</v>
      </c>
      <c r="D126" s="435"/>
      <c r="E126" s="162"/>
      <c r="F126" s="162"/>
      <c r="G126" s="75"/>
      <c r="H126" s="122"/>
      <c r="I126" s="130">
        <f t="shared" si="6"/>
        <v>0</v>
      </c>
    </row>
    <row r="127" spans="2:9" ht="15" customHeight="1" x14ac:dyDescent="0.25">
      <c r="B127" s="72"/>
      <c r="C127" s="74"/>
      <c r="D127" s="111"/>
      <c r="E127" s="162"/>
      <c r="F127" s="162"/>
      <c r="G127" s="75"/>
      <c r="H127" s="122"/>
      <c r="I127" s="130">
        <f t="shared" si="6"/>
        <v>0</v>
      </c>
    </row>
    <row r="128" spans="2:9" ht="15" customHeight="1" x14ac:dyDescent="0.25">
      <c r="B128" s="172">
        <f>B120+0.01</f>
        <v>7.2199999999999953</v>
      </c>
      <c r="C128" s="74"/>
      <c r="D128" s="82" t="s">
        <v>984</v>
      </c>
      <c r="E128" s="162">
        <f>(10.5*6.7)-(6.9*3.6)</f>
        <v>45.510000000000005</v>
      </c>
      <c r="F128" s="162">
        <v>46</v>
      </c>
      <c r="G128" s="75" t="s">
        <v>659</v>
      </c>
      <c r="H128" s="122"/>
      <c r="I128" s="130">
        <f t="shared" si="6"/>
        <v>0</v>
      </c>
    </row>
    <row r="129" spans="2:9" ht="15" customHeight="1" x14ac:dyDescent="0.25">
      <c r="B129" s="72"/>
      <c r="C129" s="135"/>
      <c r="D129" s="82"/>
      <c r="E129" s="162"/>
      <c r="F129" s="162"/>
      <c r="G129" s="75"/>
      <c r="H129" s="122"/>
      <c r="I129" s="130">
        <f t="shared" si="6"/>
        <v>0</v>
      </c>
    </row>
    <row r="130" spans="2:9" ht="59.25" customHeight="1" x14ac:dyDescent="0.25">
      <c r="B130" s="179">
        <f>B128+0.01</f>
        <v>7.2299999999999951</v>
      </c>
      <c r="C130" s="135"/>
      <c r="D130" s="340" t="s">
        <v>1437</v>
      </c>
      <c r="E130" s="344">
        <v>1</v>
      </c>
      <c r="F130" s="344">
        <v>1</v>
      </c>
      <c r="G130" s="128" t="s">
        <v>582</v>
      </c>
      <c r="H130" s="130"/>
      <c r="I130" s="130">
        <f t="shared" si="6"/>
        <v>0</v>
      </c>
    </row>
    <row r="131" spans="2:9" ht="15" customHeight="1" x14ac:dyDescent="0.25">
      <c r="B131" s="72"/>
      <c r="C131" s="135"/>
      <c r="D131" s="82"/>
      <c r="E131" s="162"/>
      <c r="F131" s="162"/>
      <c r="G131" s="75"/>
      <c r="H131" s="122"/>
      <c r="I131" s="130">
        <f t="shared" si="6"/>
        <v>0</v>
      </c>
    </row>
    <row r="132" spans="2:9" ht="15.75" thickBot="1" x14ac:dyDescent="0.3">
      <c r="B132" s="85"/>
      <c r="C132" s="86"/>
      <c r="D132" s="87"/>
      <c r="E132" s="225"/>
      <c r="F132" s="88"/>
      <c r="G132" s="88"/>
      <c r="H132" s="123"/>
      <c r="I132" s="122" t="str">
        <f>IF(H132="","",H132*E132)</f>
        <v/>
      </c>
    </row>
    <row r="133" spans="2:9" ht="30.75" customHeight="1" thickBot="1" x14ac:dyDescent="0.3">
      <c r="D133" s="367" t="s">
        <v>907</v>
      </c>
      <c r="E133" s="162"/>
      <c r="F133" s="162"/>
      <c r="G133" s="75"/>
      <c r="H133" s="366"/>
      <c r="I133" s="124">
        <f>SUM(I90:I132)</f>
        <v>0</v>
      </c>
    </row>
  </sheetData>
  <mergeCells count="30">
    <mergeCell ref="C92:D92"/>
    <mergeCell ref="C124:D124"/>
    <mergeCell ref="C126:D126"/>
    <mergeCell ref="C90:D90"/>
    <mergeCell ref="C72:D72"/>
    <mergeCell ref="C78:D78"/>
    <mergeCell ref="C84:D84"/>
    <mergeCell ref="C122:D122"/>
    <mergeCell ref="C94:D94"/>
    <mergeCell ref="C96:D96"/>
    <mergeCell ref="C100:D100"/>
    <mergeCell ref="C104:D104"/>
    <mergeCell ref="C108:D108"/>
    <mergeCell ref="C112:D112"/>
    <mergeCell ref="C118:D118"/>
    <mergeCell ref="C41:D41"/>
    <mergeCell ref="C45:D45"/>
    <mergeCell ref="C33:D33"/>
    <mergeCell ref="C70:D70"/>
    <mergeCell ref="C6:D6"/>
    <mergeCell ref="C7:D7"/>
    <mergeCell ref="C8:D8"/>
    <mergeCell ref="C9:D9"/>
    <mergeCell ref="C10:D10"/>
    <mergeCell ref="C21:D21"/>
    <mergeCell ref="C49:D49"/>
    <mergeCell ref="C53:D53"/>
    <mergeCell ref="C57:D57"/>
    <mergeCell ref="C13:D13"/>
    <mergeCell ref="C11:D11"/>
  </mergeCells>
  <pageMargins left="0.70866141732283472" right="0.70866141732283472" top="0.74803149606299213" bottom="0.74803149606299213" header="0.31496062992125984" footer="0.31496062992125984"/>
  <pageSetup paperSize="9" scale="73"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65F1E-17B3-4584-98D5-0493E7380D81}">
  <sheetPr>
    <pageSetUpPr fitToPage="1"/>
  </sheetPr>
  <dimension ref="A1:I100"/>
  <sheetViews>
    <sheetView zoomScale="80" zoomScaleNormal="80" workbookViewId="0">
      <selection activeCell="B2" sqref="B2:I3"/>
    </sheetView>
  </sheetViews>
  <sheetFormatPr defaultRowHeight="15" x14ac:dyDescent="0.25"/>
  <cols>
    <col min="1" max="1" width="3" customWidth="1"/>
    <col min="3" max="3" width="4.5703125" style="219" customWidth="1"/>
    <col min="4" max="4" width="62" style="219" customWidth="1"/>
    <col min="5" max="5" width="9.140625" style="28" hidden="1" customWidth="1"/>
    <col min="6" max="6" width="9.7109375" style="28" customWidth="1"/>
    <col min="7" max="7" width="8.7109375" style="24"/>
    <col min="8" max="8" width="10.140625" bestFit="1" customWidth="1"/>
    <col min="9" max="9" width="16.140625" customWidth="1"/>
  </cols>
  <sheetData>
    <row r="1" spans="1:9" ht="15.75" thickBot="1" x14ac:dyDescent="0.3">
      <c r="A1" s="71"/>
      <c r="B1" s="71"/>
      <c r="C1" s="207"/>
      <c r="D1" s="207"/>
      <c r="E1" s="90"/>
      <c r="F1" s="90"/>
      <c r="G1" s="91"/>
      <c r="H1" s="71"/>
      <c r="I1" s="71"/>
    </row>
    <row r="2" spans="1:9" ht="34.5" customHeight="1" x14ac:dyDescent="0.25">
      <c r="A2" s="71"/>
      <c r="B2" s="94" t="str">
        <f>+Summary!B2</f>
        <v>Todmorden Bandstand Refurbishment &amp; Bowls Pavilion New Build</v>
      </c>
      <c r="C2" s="208"/>
      <c r="D2" s="208"/>
      <c r="E2" s="96"/>
      <c r="F2" s="254"/>
      <c r="G2" s="96"/>
      <c r="H2" s="95"/>
      <c r="I2" s="97"/>
    </row>
    <row r="3" spans="1:9" ht="30" customHeight="1" x14ac:dyDescent="0.25">
      <c r="A3" s="71"/>
      <c r="B3" s="73" t="str">
        <f>+Summary!B3</f>
        <v>Tender Document</v>
      </c>
      <c r="C3" s="209"/>
      <c r="D3" s="209"/>
      <c r="E3" s="91"/>
      <c r="F3" s="91"/>
      <c r="G3" s="98"/>
      <c r="H3" s="99" t="s">
        <v>662</v>
      </c>
      <c r="I3" s="204">
        <f>+Summary!G3</f>
        <v>45614</v>
      </c>
    </row>
    <row r="4" spans="1:9" ht="13.5" customHeight="1" thickBot="1" x14ac:dyDescent="0.3">
      <c r="A4" s="71"/>
      <c r="B4" s="86">
        <v>8</v>
      </c>
      <c r="C4" s="210"/>
      <c r="D4" s="210"/>
      <c r="E4" s="102"/>
      <c r="F4" s="102"/>
      <c r="G4" s="102"/>
      <c r="H4" s="101"/>
      <c r="I4" s="103"/>
    </row>
    <row r="5" spans="1:9" ht="23.25" customHeight="1" thickBot="1" x14ac:dyDescent="0.3">
      <c r="A5" s="71"/>
      <c r="B5" s="72"/>
      <c r="C5" s="211"/>
      <c r="D5" s="212"/>
      <c r="E5" s="227" t="s">
        <v>581</v>
      </c>
      <c r="F5" s="228" t="s">
        <v>1</v>
      </c>
      <c r="G5" s="107" t="s">
        <v>2</v>
      </c>
      <c r="H5" s="104" t="s">
        <v>3</v>
      </c>
      <c r="I5" s="105" t="s">
        <v>5</v>
      </c>
    </row>
    <row r="6" spans="1:9" ht="36.75" customHeight="1" x14ac:dyDescent="0.25">
      <c r="A6" s="71"/>
      <c r="B6" s="72"/>
      <c r="C6" s="449" t="s">
        <v>560</v>
      </c>
      <c r="D6" s="450"/>
      <c r="E6" s="75"/>
      <c r="F6" s="75"/>
      <c r="G6" s="75"/>
      <c r="H6" s="76"/>
      <c r="I6" s="130">
        <f t="shared" ref="I6:I69" si="0">F6*H6</f>
        <v>0</v>
      </c>
    </row>
    <row r="7" spans="1:9" ht="67.5" customHeight="1" x14ac:dyDescent="0.25">
      <c r="A7" s="71"/>
      <c r="B7" s="72"/>
      <c r="C7" s="422" t="s">
        <v>586</v>
      </c>
      <c r="D7" s="423"/>
      <c r="E7" s="75"/>
      <c r="F7" s="75"/>
      <c r="G7" s="75"/>
      <c r="H7" s="76"/>
      <c r="I7" s="130">
        <f t="shared" si="0"/>
        <v>0</v>
      </c>
    </row>
    <row r="8" spans="1:9" ht="78.75" customHeight="1" x14ac:dyDescent="0.25">
      <c r="A8" s="71"/>
      <c r="B8" s="72"/>
      <c r="C8" s="422" t="s">
        <v>658</v>
      </c>
      <c r="D8" s="423"/>
      <c r="E8" s="75"/>
      <c r="F8" s="75"/>
      <c r="G8" s="75"/>
      <c r="H8" s="76"/>
      <c r="I8" s="130">
        <f t="shared" si="0"/>
        <v>0</v>
      </c>
    </row>
    <row r="9" spans="1:9" ht="48.75" customHeight="1" x14ac:dyDescent="0.25">
      <c r="A9" s="71"/>
      <c r="B9" s="72"/>
      <c r="C9" s="451" t="s">
        <v>575</v>
      </c>
      <c r="D9" s="452"/>
      <c r="E9" s="75"/>
      <c r="F9" s="75"/>
      <c r="G9" s="75"/>
      <c r="H9" s="76"/>
      <c r="I9" s="130">
        <f t="shared" si="0"/>
        <v>0</v>
      </c>
    </row>
    <row r="10" spans="1:9" ht="15.75" customHeight="1" x14ac:dyDescent="0.25">
      <c r="A10" s="71"/>
      <c r="B10" s="72"/>
      <c r="C10" s="422" t="s">
        <v>1326</v>
      </c>
      <c r="D10" s="423"/>
      <c r="E10" s="75"/>
      <c r="F10" s="75"/>
      <c r="G10" s="75"/>
      <c r="H10" s="76"/>
      <c r="I10" s="130">
        <f t="shared" si="0"/>
        <v>0</v>
      </c>
    </row>
    <row r="11" spans="1:9" ht="15.75" customHeight="1" x14ac:dyDescent="0.25">
      <c r="A11" s="71"/>
      <c r="B11" s="72"/>
      <c r="C11" s="165"/>
      <c r="D11" s="167"/>
      <c r="E11" s="75"/>
      <c r="F11" s="75"/>
      <c r="G11" s="75"/>
      <c r="H11" s="76"/>
      <c r="I11" s="130">
        <f t="shared" si="0"/>
        <v>0</v>
      </c>
    </row>
    <row r="12" spans="1:9" x14ac:dyDescent="0.25">
      <c r="A12" s="71"/>
      <c r="B12" s="72"/>
      <c r="C12" s="424" t="s">
        <v>815</v>
      </c>
      <c r="D12" s="425"/>
      <c r="E12" s="75"/>
      <c r="F12" s="75"/>
      <c r="G12" s="75"/>
      <c r="H12" s="76"/>
      <c r="I12" s="130">
        <f t="shared" si="0"/>
        <v>0</v>
      </c>
    </row>
    <row r="13" spans="1:9" ht="15.75" customHeight="1" x14ac:dyDescent="0.25">
      <c r="A13" s="71"/>
      <c r="B13" s="72"/>
      <c r="C13" s="84"/>
      <c r="D13" s="167"/>
      <c r="E13" s="75"/>
      <c r="F13" s="75"/>
      <c r="G13" s="75"/>
      <c r="H13" s="76"/>
      <c r="I13" s="130">
        <f t="shared" si="0"/>
        <v>0</v>
      </c>
    </row>
    <row r="14" spans="1:9" ht="15.75" customHeight="1" x14ac:dyDescent="0.25">
      <c r="A14" s="71"/>
      <c r="B14" s="72"/>
      <c r="C14" s="159" t="s">
        <v>1334</v>
      </c>
      <c r="D14" s="167"/>
      <c r="E14" s="75"/>
      <c r="F14" s="75"/>
      <c r="G14" s="75"/>
      <c r="H14" s="76"/>
      <c r="I14" s="130">
        <f t="shared" si="0"/>
        <v>0</v>
      </c>
    </row>
    <row r="15" spans="1:9" ht="15.75" customHeight="1" x14ac:dyDescent="0.25">
      <c r="A15" s="71"/>
      <c r="B15" s="72"/>
      <c r="C15" s="84"/>
      <c r="D15" s="167"/>
      <c r="E15" s="75"/>
      <c r="F15" s="75"/>
      <c r="G15" s="75"/>
      <c r="H15" s="76"/>
      <c r="I15" s="130">
        <f t="shared" si="0"/>
        <v>0</v>
      </c>
    </row>
    <row r="16" spans="1:9" ht="15.75" customHeight="1" x14ac:dyDescent="0.25">
      <c r="A16" s="71"/>
      <c r="B16" s="72"/>
      <c r="C16" s="422" t="s">
        <v>1335</v>
      </c>
      <c r="D16" s="423"/>
      <c r="E16" s="75"/>
      <c r="F16" s="75"/>
      <c r="G16" s="75"/>
      <c r="H16" s="76"/>
      <c r="I16" s="130">
        <f t="shared" si="0"/>
        <v>0</v>
      </c>
    </row>
    <row r="17" spans="1:9" ht="15.75" customHeight="1" x14ac:dyDescent="0.25">
      <c r="A17" s="71"/>
      <c r="B17" s="72"/>
      <c r="C17" s="84"/>
      <c r="D17" s="167"/>
      <c r="E17" s="75"/>
      <c r="F17" s="75"/>
      <c r="G17" s="75"/>
      <c r="H17" s="76"/>
      <c r="I17" s="130">
        <f t="shared" si="0"/>
        <v>0</v>
      </c>
    </row>
    <row r="18" spans="1:9" ht="45.75" customHeight="1" x14ac:dyDescent="0.25">
      <c r="A18" s="71"/>
      <c r="B18" s="164">
        <f>B4+0.01</f>
        <v>8.01</v>
      </c>
      <c r="C18" s="84"/>
      <c r="D18" s="167" t="s">
        <v>1336</v>
      </c>
      <c r="E18" s="128">
        <v>1</v>
      </c>
      <c r="F18" s="128">
        <v>1</v>
      </c>
      <c r="G18" s="128" t="s">
        <v>528</v>
      </c>
      <c r="H18" s="129"/>
      <c r="I18" s="130">
        <f t="shared" si="0"/>
        <v>0</v>
      </c>
    </row>
    <row r="19" spans="1:9" ht="15.75" customHeight="1" x14ac:dyDescent="0.25">
      <c r="A19" s="71"/>
      <c r="B19" s="72"/>
      <c r="C19" s="84"/>
      <c r="D19" s="167"/>
      <c r="E19" s="75"/>
      <c r="F19" s="75"/>
      <c r="G19" s="75"/>
      <c r="H19" s="76"/>
      <c r="I19" s="130">
        <f t="shared" si="0"/>
        <v>0</v>
      </c>
    </row>
    <row r="20" spans="1:9" ht="44.25" customHeight="1" x14ac:dyDescent="0.25">
      <c r="A20" s="71"/>
      <c r="B20" s="164">
        <f>B18+0.01</f>
        <v>8.02</v>
      </c>
      <c r="C20" s="84"/>
      <c r="D20" s="167" t="s">
        <v>1337</v>
      </c>
      <c r="E20" s="128">
        <v>1</v>
      </c>
      <c r="F20" s="128">
        <v>1</v>
      </c>
      <c r="G20" s="128" t="s">
        <v>528</v>
      </c>
      <c r="H20" s="129"/>
      <c r="I20" s="130">
        <f t="shared" si="0"/>
        <v>0</v>
      </c>
    </row>
    <row r="21" spans="1:9" ht="15.75" customHeight="1" x14ac:dyDescent="0.25">
      <c r="A21" s="71"/>
      <c r="B21" s="72"/>
      <c r="C21" s="84"/>
      <c r="D21" s="167"/>
      <c r="E21" s="75"/>
      <c r="F21" s="75"/>
      <c r="G21" s="75"/>
      <c r="H21" s="76"/>
      <c r="I21" s="130">
        <f t="shared" si="0"/>
        <v>0</v>
      </c>
    </row>
    <row r="22" spans="1:9" ht="32.25" customHeight="1" x14ac:dyDescent="0.25">
      <c r="A22" s="71"/>
      <c r="B22" s="164">
        <f>B20+0.01</f>
        <v>8.0299999999999994</v>
      </c>
      <c r="C22" s="84"/>
      <c r="D22" s="167" t="s">
        <v>1338</v>
      </c>
      <c r="E22" s="128">
        <v>1</v>
      </c>
      <c r="F22" s="128">
        <v>1</v>
      </c>
      <c r="G22" s="128" t="s">
        <v>528</v>
      </c>
      <c r="H22" s="129"/>
      <c r="I22" s="130">
        <f t="shared" si="0"/>
        <v>0</v>
      </c>
    </row>
    <row r="23" spans="1:9" ht="15.75" customHeight="1" x14ac:dyDescent="0.25">
      <c r="A23" s="71"/>
      <c r="B23" s="72"/>
      <c r="C23" s="84"/>
      <c r="D23" s="167"/>
      <c r="E23" s="75"/>
      <c r="F23" s="75"/>
      <c r="G23" s="75"/>
      <c r="H23" s="76"/>
      <c r="I23" s="130">
        <f t="shared" si="0"/>
        <v>0</v>
      </c>
    </row>
    <row r="24" spans="1:9" ht="30.75" customHeight="1" x14ac:dyDescent="0.25">
      <c r="A24" s="71"/>
      <c r="B24" s="164">
        <f>B22+0.01</f>
        <v>8.0399999999999991</v>
      </c>
      <c r="C24" s="84"/>
      <c r="D24" s="167" t="s">
        <v>1339</v>
      </c>
      <c r="E24" s="128">
        <v>1</v>
      </c>
      <c r="F24" s="128">
        <v>1</v>
      </c>
      <c r="G24" s="128" t="s">
        <v>528</v>
      </c>
      <c r="H24" s="129"/>
      <c r="I24" s="130">
        <f t="shared" si="0"/>
        <v>0</v>
      </c>
    </row>
    <row r="25" spans="1:9" ht="15.75" customHeight="1" x14ac:dyDescent="0.25">
      <c r="A25" s="71"/>
      <c r="B25" s="72"/>
      <c r="C25" s="84"/>
      <c r="D25" s="167"/>
      <c r="E25" s="75"/>
      <c r="F25" s="75"/>
      <c r="G25" s="75"/>
      <c r="H25" s="76"/>
      <c r="I25" s="130">
        <f t="shared" si="0"/>
        <v>0</v>
      </c>
    </row>
    <row r="26" spans="1:9" ht="48" customHeight="1" x14ac:dyDescent="0.25">
      <c r="A26" s="71"/>
      <c r="B26" s="164">
        <f>B24+0.01</f>
        <v>8.0499999999999989</v>
      </c>
      <c r="C26" s="84"/>
      <c r="D26" s="167" t="s">
        <v>1340</v>
      </c>
      <c r="E26" s="128">
        <v>1</v>
      </c>
      <c r="F26" s="128">
        <v>1</v>
      </c>
      <c r="G26" s="128" t="s">
        <v>528</v>
      </c>
      <c r="H26" s="129"/>
      <c r="I26" s="130">
        <f t="shared" si="0"/>
        <v>0</v>
      </c>
    </row>
    <row r="27" spans="1:9" ht="15.75" customHeight="1" x14ac:dyDescent="0.25">
      <c r="A27" s="71"/>
      <c r="B27" s="72"/>
      <c r="C27" s="84"/>
      <c r="D27" s="167"/>
      <c r="E27" s="75"/>
      <c r="F27" s="75"/>
      <c r="G27" s="75"/>
      <c r="H27" s="76"/>
      <c r="I27" s="130">
        <f t="shared" si="0"/>
        <v>0</v>
      </c>
    </row>
    <row r="28" spans="1:9" ht="48.75" customHeight="1" x14ac:dyDescent="0.25">
      <c r="A28" s="71"/>
      <c r="B28" s="164">
        <f>B26+0.01</f>
        <v>8.0599999999999987</v>
      </c>
      <c r="C28" s="84"/>
      <c r="D28" s="167" t="s">
        <v>1438</v>
      </c>
      <c r="E28" s="128">
        <v>1</v>
      </c>
      <c r="F28" s="128">
        <v>1</v>
      </c>
      <c r="G28" s="128" t="s">
        <v>528</v>
      </c>
      <c r="H28" s="129"/>
      <c r="I28" s="130">
        <f t="shared" si="0"/>
        <v>0</v>
      </c>
    </row>
    <row r="29" spans="1:9" ht="15.75" customHeight="1" x14ac:dyDescent="0.25">
      <c r="A29" s="71"/>
      <c r="B29" s="72"/>
      <c r="C29" s="84"/>
      <c r="D29" s="167"/>
      <c r="E29" s="75"/>
      <c r="F29" s="75"/>
      <c r="G29" s="75"/>
      <c r="H29" s="76"/>
      <c r="I29" s="130">
        <f t="shared" si="0"/>
        <v>0</v>
      </c>
    </row>
    <row r="30" spans="1:9" ht="15.75" customHeight="1" x14ac:dyDescent="0.25">
      <c r="A30" s="71"/>
      <c r="B30" s="72"/>
      <c r="C30" s="159" t="s">
        <v>1327</v>
      </c>
      <c r="D30" s="82"/>
      <c r="E30" s="75"/>
      <c r="F30" s="75"/>
      <c r="G30" s="75"/>
      <c r="H30" s="76"/>
      <c r="I30" s="130">
        <f t="shared" si="0"/>
        <v>0</v>
      </c>
    </row>
    <row r="31" spans="1:9" ht="15.75" customHeight="1" x14ac:dyDescent="0.25">
      <c r="A31" s="71"/>
      <c r="B31" s="72"/>
      <c r="C31" s="73"/>
      <c r="D31" s="82"/>
      <c r="E31" s="75"/>
      <c r="F31" s="75"/>
      <c r="G31" s="75"/>
      <c r="H31" s="76"/>
      <c r="I31" s="130">
        <f t="shared" si="0"/>
        <v>0</v>
      </c>
    </row>
    <row r="32" spans="1:9" ht="35.1" customHeight="1" x14ac:dyDescent="0.25">
      <c r="A32" s="71"/>
      <c r="B32" s="72"/>
      <c r="C32" s="422" t="s">
        <v>663</v>
      </c>
      <c r="D32" s="423"/>
      <c r="E32" s="75"/>
      <c r="F32" s="75"/>
      <c r="G32" s="75"/>
      <c r="H32" s="76"/>
      <c r="I32" s="130">
        <f t="shared" si="0"/>
        <v>0</v>
      </c>
    </row>
    <row r="33" spans="1:9" ht="15.75" customHeight="1" x14ac:dyDescent="0.25">
      <c r="A33" s="71"/>
      <c r="B33" s="72"/>
      <c r="C33" s="73"/>
      <c r="D33" s="82"/>
      <c r="E33" s="75"/>
      <c r="F33" s="75"/>
      <c r="G33" s="75"/>
      <c r="H33" s="76"/>
      <c r="I33" s="130">
        <f t="shared" si="0"/>
        <v>0</v>
      </c>
    </row>
    <row r="34" spans="1:9" ht="82.5" customHeight="1" x14ac:dyDescent="0.25">
      <c r="A34" s="71"/>
      <c r="B34" s="179">
        <f>B28+0.01</f>
        <v>8.0699999999999985</v>
      </c>
      <c r="C34" s="73"/>
      <c r="D34" s="158" t="s">
        <v>1347</v>
      </c>
      <c r="E34" s="128">
        <v>1</v>
      </c>
      <c r="F34" s="128">
        <v>1</v>
      </c>
      <c r="G34" s="128" t="s">
        <v>528</v>
      </c>
      <c r="H34" s="129"/>
      <c r="I34" s="130">
        <f t="shared" si="0"/>
        <v>0</v>
      </c>
    </row>
    <row r="35" spans="1:9" ht="15.75" customHeight="1" x14ac:dyDescent="0.25">
      <c r="A35" s="71"/>
      <c r="B35" s="164"/>
      <c r="C35" s="73"/>
      <c r="D35" s="82"/>
      <c r="E35" s="75"/>
      <c r="F35" s="75"/>
      <c r="G35" s="75"/>
      <c r="H35" s="76"/>
      <c r="I35" s="130">
        <f t="shared" si="0"/>
        <v>0</v>
      </c>
    </row>
    <row r="36" spans="1:9" ht="29.25" customHeight="1" x14ac:dyDescent="0.25">
      <c r="A36" s="71"/>
      <c r="B36" s="179">
        <f>B34+0.01</f>
        <v>8.0799999999999983</v>
      </c>
      <c r="C36" s="73"/>
      <c r="D36" s="82" t="s">
        <v>1329</v>
      </c>
      <c r="E36" s="128">
        <v>1</v>
      </c>
      <c r="F36" s="128">
        <v>1</v>
      </c>
      <c r="G36" s="128" t="s">
        <v>528</v>
      </c>
      <c r="H36" s="129"/>
      <c r="I36" s="130">
        <f t="shared" si="0"/>
        <v>0</v>
      </c>
    </row>
    <row r="37" spans="1:9" ht="15.75" customHeight="1" x14ac:dyDescent="0.25">
      <c r="A37" s="71"/>
      <c r="B37" s="164"/>
      <c r="C37" s="73"/>
      <c r="D37" s="82"/>
      <c r="E37" s="75"/>
      <c r="F37" s="75"/>
      <c r="G37" s="75"/>
      <c r="H37" s="76"/>
      <c r="I37" s="130">
        <f t="shared" si="0"/>
        <v>0</v>
      </c>
    </row>
    <row r="38" spans="1:9" ht="77.25" customHeight="1" x14ac:dyDescent="0.25">
      <c r="A38" s="71"/>
      <c r="B38" s="179">
        <f>B36+0.01</f>
        <v>8.0899999999999981</v>
      </c>
      <c r="C38" s="73"/>
      <c r="D38" s="82" t="s">
        <v>1348</v>
      </c>
      <c r="E38" s="128">
        <v>1</v>
      </c>
      <c r="F38" s="128">
        <v>1</v>
      </c>
      <c r="G38" s="128" t="s">
        <v>528</v>
      </c>
      <c r="H38" s="129"/>
      <c r="I38" s="130">
        <f t="shared" si="0"/>
        <v>0</v>
      </c>
    </row>
    <row r="39" spans="1:9" ht="15.75" customHeight="1" x14ac:dyDescent="0.25">
      <c r="A39" s="71"/>
      <c r="B39" s="164"/>
      <c r="C39" s="73"/>
      <c r="D39" s="82"/>
      <c r="E39" s="75"/>
      <c r="F39" s="75"/>
      <c r="G39" s="75"/>
      <c r="H39" s="76"/>
      <c r="I39" s="130">
        <f t="shared" si="0"/>
        <v>0</v>
      </c>
    </row>
    <row r="40" spans="1:9" ht="41.25" customHeight="1" x14ac:dyDescent="0.25">
      <c r="A40" s="71"/>
      <c r="B40" s="179">
        <f>B38+0.01</f>
        <v>8.0999999999999979</v>
      </c>
      <c r="C40" s="73"/>
      <c r="D40" s="82" t="s">
        <v>1349</v>
      </c>
      <c r="E40" s="128">
        <v>1</v>
      </c>
      <c r="F40" s="128">
        <v>1</v>
      </c>
      <c r="G40" s="128" t="s">
        <v>528</v>
      </c>
      <c r="H40" s="129"/>
      <c r="I40" s="130">
        <f t="shared" si="0"/>
        <v>0</v>
      </c>
    </row>
    <row r="41" spans="1:9" ht="15.75" customHeight="1" x14ac:dyDescent="0.25">
      <c r="A41" s="71"/>
      <c r="B41" s="164"/>
      <c r="C41" s="73"/>
      <c r="D41" s="82"/>
      <c r="E41" s="75"/>
      <c r="F41" s="75"/>
      <c r="G41" s="75"/>
      <c r="H41" s="76"/>
      <c r="I41" s="130">
        <f t="shared" si="0"/>
        <v>0</v>
      </c>
    </row>
    <row r="42" spans="1:9" ht="64.5" customHeight="1" x14ac:dyDescent="0.25">
      <c r="A42" s="71"/>
      <c r="B42" s="179">
        <f>B40+0.01</f>
        <v>8.1099999999999977</v>
      </c>
      <c r="C42" s="178"/>
      <c r="D42" s="82" t="s">
        <v>1331</v>
      </c>
      <c r="E42" s="128">
        <v>1</v>
      </c>
      <c r="F42" s="128">
        <v>1</v>
      </c>
      <c r="G42" s="128" t="s">
        <v>528</v>
      </c>
      <c r="H42" s="129"/>
      <c r="I42" s="130">
        <f t="shared" si="0"/>
        <v>0</v>
      </c>
    </row>
    <row r="43" spans="1:9" ht="15.75" customHeight="1" x14ac:dyDescent="0.25">
      <c r="A43" s="71"/>
      <c r="B43" s="179"/>
      <c r="C43" s="178"/>
      <c r="D43" s="82"/>
      <c r="E43" s="128"/>
      <c r="F43" s="128"/>
      <c r="G43" s="128"/>
      <c r="H43" s="129"/>
      <c r="I43" s="130">
        <f t="shared" si="0"/>
        <v>0</v>
      </c>
    </row>
    <row r="44" spans="1:9" ht="64.5" customHeight="1" x14ac:dyDescent="0.25">
      <c r="A44" s="71"/>
      <c r="B44" s="179">
        <f>B42+0.01</f>
        <v>8.1199999999999974</v>
      </c>
      <c r="C44" s="84"/>
      <c r="D44" s="247" t="s">
        <v>1330</v>
      </c>
      <c r="E44" s="128">
        <v>1</v>
      </c>
      <c r="F44" s="128">
        <v>1</v>
      </c>
      <c r="G44" s="128" t="s">
        <v>528</v>
      </c>
      <c r="H44" s="130"/>
      <c r="I44" s="130">
        <f t="shared" si="0"/>
        <v>0</v>
      </c>
    </row>
    <row r="45" spans="1:9" ht="14.25" customHeight="1" x14ac:dyDescent="0.25">
      <c r="A45" s="71"/>
      <c r="B45" s="172"/>
      <c r="C45" s="178"/>
      <c r="D45" s="82"/>
      <c r="E45" s="75"/>
      <c r="F45" s="75"/>
      <c r="G45" s="128"/>
      <c r="H45" s="129"/>
      <c r="I45" s="130">
        <f t="shared" si="0"/>
        <v>0</v>
      </c>
    </row>
    <row r="46" spans="1:9" ht="14.25" customHeight="1" x14ac:dyDescent="0.25">
      <c r="A46" s="71"/>
      <c r="B46" s="172"/>
      <c r="C46" s="453" t="s">
        <v>1328</v>
      </c>
      <c r="D46" s="454"/>
      <c r="E46" s="75"/>
      <c r="F46" s="75"/>
      <c r="G46" s="128"/>
      <c r="H46" s="129"/>
      <c r="I46" s="130">
        <f t="shared" si="0"/>
        <v>0</v>
      </c>
    </row>
    <row r="47" spans="1:9" ht="14.25" customHeight="1" x14ac:dyDescent="0.25">
      <c r="A47" s="71"/>
      <c r="B47" s="172"/>
      <c r="C47" s="178"/>
      <c r="D47" s="369"/>
      <c r="E47" s="75"/>
      <c r="F47" s="75"/>
      <c r="G47" s="128"/>
      <c r="H47" s="129"/>
      <c r="I47" s="130">
        <f t="shared" si="0"/>
        <v>0</v>
      </c>
    </row>
    <row r="48" spans="1:9" ht="27.95" customHeight="1" x14ac:dyDescent="0.25">
      <c r="A48" s="71"/>
      <c r="B48" s="72"/>
      <c r="C48" s="422" t="s">
        <v>663</v>
      </c>
      <c r="D48" s="423"/>
      <c r="E48" s="128"/>
      <c r="F48" s="128"/>
      <c r="G48" s="128"/>
      <c r="H48" s="129"/>
      <c r="I48" s="130">
        <f t="shared" si="0"/>
        <v>0</v>
      </c>
    </row>
    <row r="49" spans="1:9" ht="14.25" customHeight="1" x14ac:dyDescent="0.25">
      <c r="A49" s="71"/>
      <c r="B49" s="72"/>
      <c r="C49" s="178"/>
      <c r="D49" s="82"/>
      <c r="E49" s="75"/>
      <c r="F49" s="75"/>
      <c r="G49" s="128"/>
      <c r="H49" s="129"/>
      <c r="I49" s="130">
        <f t="shared" si="0"/>
        <v>0</v>
      </c>
    </row>
    <row r="50" spans="1:9" ht="93.75" customHeight="1" x14ac:dyDescent="0.25">
      <c r="A50" s="71"/>
      <c r="B50" s="179">
        <f>B44+0.01</f>
        <v>8.1299999999999972</v>
      </c>
      <c r="C50" s="178"/>
      <c r="D50" s="158" t="s">
        <v>1350</v>
      </c>
      <c r="E50" s="128">
        <v>1</v>
      </c>
      <c r="F50" s="128">
        <v>1</v>
      </c>
      <c r="G50" s="128" t="s">
        <v>528</v>
      </c>
      <c r="H50" s="129"/>
      <c r="I50" s="130">
        <f t="shared" si="0"/>
        <v>0</v>
      </c>
    </row>
    <row r="51" spans="1:9" ht="18" customHeight="1" x14ac:dyDescent="0.25">
      <c r="A51" s="71"/>
      <c r="B51" s="164"/>
      <c r="C51" s="178"/>
      <c r="D51" s="82"/>
      <c r="E51" s="75"/>
      <c r="F51" s="75"/>
      <c r="G51" s="128"/>
      <c r="H51" s="129"/>
      <c r="I51" s="130">
        <f t="shared" si="0"/>
        <v>0</v>
      </c>
    </row>
    <row r="52" spans="1:9" ht="79.5" customHeight="1" x14ac:dyDescent="0.25">
      <c r="A52" s="71"/>
      <c r="B52" s="179">
        <f>B50+0.01</f>
        <v>8.139999999999997</v>
      </c>
      <c r="C52" s="178"/>
      <c r="D52" s="158" t="s">
        <v>1351</v>
      </c>
      <c r="E52" s="128">
        <v>1</v>
      </c>
      <c r="F52" s="128">
        <v>1</v>
      </c>
      <c r="G52" s="128" t="s">
        <v>528</v>
      </c>
      <c r="H52" s="129"/>
      <c r="I52" s="130">
        <f t="shared" si="0"/>
        <v>0</v>
      </c>
    </row>
    <row r="53" spans="1:9" ht="11.45" customHeight="1" x14ac:dyDescent="0.25">
      <c r="A53" s="71"/>
      <c r="B53" s="164"/>
      <c r="C53" s="178"/>
      <c r="D53" s="82"/>
      <c r="E53" s="75"/>
      <c r="F53" s="75"/>
      <c r="G53" s="128"/>
      <c r="H53" s="129"/>
      <c r="I53" s="130">
        <f t="shared" si="0"/>
        <v>0</v>
      </c>
    </row>
    <row r="54" spans="1:9" ht="50.25" customHeight="1" x14ac:dyDescent="0.25">
      <c r="A54" s="71"/>
      <c r="B54" s="179">
        <f>B52+0.01</f>
        <v>8.1499999999999968</v>
      </c>
      <c r="C54" s="178"/>
      <c r="D54" s="158" t="s">
        <v>1332</v>
      </c>
      <c r="E54" s="128">
        <v>1</v>
      </c>
      <c r="F54" s="128">
        <v>1</v>
      </c>
      <c r="G54" s="128" t="s">
        <v>528</v>
      </c>
      <c r="H54" s="129"/>
      <c r="I54" s="130">
        <f t="shared" si="0"/>
        <v>0</v>
      </c>
    </row>
    <row r="55" spans="1:9" s="80" customFormat="1" x14ac:dyDescent="0.25">
      <c r="A55" s="71"/>
      <c r="B55" s="72"/>
      <c r="C55" s="211"/>
      <c r="D55" s="215"/>
      <c r="E55" s="128"/>
      <c r="F55" s="128"/>
      <c r="G55" s="75"/>
      <c r="H55" s="76"/>
      <c r="I55" s="130">
        <f t="shared" si="0"/>
        <v>0</v>
      </c>
    </row>
    <row r="56" spans="1:9" s="80" customFormat="1" x14ac:dyDescent="0.25">
      <c r="A56" s="71"/>
      <c r="B56" s="72"/>
      <c r="C56" s="453" t="s">
        <v>1341</v>
      </c>
      <c r="D56" s="454"/>
      <c r="E56" s="128"/>
      <c r="F56" s="128"/>
      <c r="G56" s="75"/>
      <c r="H56" s="76"/>
      <c r="I56" s="130">
        <f t="shared" si="0"/>
        <v>0</v>
      </c>
    </row>
    <row r="57" spans="1:9" s="80" customFormat="1" x14ac:dyDescent="0.25">
      <c r="A57" s="71"/>
      <c r="B57" s="72"/>
      <c r="C57" s="211"/>
      <c r="D57" s="215"/>
      <c r="E57" s="128"/>
      <c r="F57" s="128"/>
      <c r="G57" s="75"/>
      <c r="H57" s="76"/>
      <c r="I57" s="130">
        <f t="shared" si="0"/>
        <v>0</v>
      </c>
    </row>
    <row r="58" spans="1:9" s="80" customFormat="1" ht="29.25" customHeight="1" x14ac:dyDescent="0.25">
      <c r="A58" s="71"/>
      <c r="B58" s="72"/>
      <c r="C58" s="422" t="s">
        <v>663</v>
      </c>
      <c r="D58" s="423"/>
      <c r="E58" s="128"/>
      <c r="F58" s="128"/>
      <c r="G58" s="128"/>
      <c r="H58" s="129"/>
      <c r="I58" s="130">
        <f t="shared" si="0"/>
        <v>0</v>
      </c>
    </row>
    <row r="59" spans="1:9" s="80" customFormat="1" x14ac:dyDescent="0.25">
      <c r="A59" s="71"/>
      <c r="B59" s="72"/>
      <c r="C59" s="178"/>
      <c r="D59" s="215"/>
      <c r="E59" s="128"/>
      <c r="F59" s="128"/>
      <c r="G59" s="75"/>
      <c r="H59" s="129"/>
      <c r="I59" s="130">
        <f t="shared" si="0"/>
        <v>0</v>
      </c>
    </row>
    <row r="60" spans="1:9" s="80" customFormat="1" ht="33" customHeight="1" x14ac:dyDescent="0.25">
      <c r="A60" s="71"/>
      <c r="B60" s="179">
        <f>B54+0.01</f>
        <v>8.1599999999999966</v>
      </c>
      <c r="C60" s="178"/>
      <c r="D60" s="158" t="s">
        <v>1342</v>
      </c>
      <c r="E60" s="128">
        <v>1</v>
      </c>
      <c r="F60" s="128">
        <v>1</v>
      </c>
      <c r="G60" s="128" t="s">
        <v>528</v>
      </c>
      <c r="H60" s="129"/>
      <c r="I60" s="130">
        <f t="shared" si="0"/>
        <v>0</v>
      </c>
    </row>
    <row r="61" spans="1:9" s="80" customFormat="1" x14ac:dyDescent="0.25">
      <c r="A61" s="71"/>
      <c r="B61" s="72"/>
      <c r="C61" s="211"/>
      <c r="D61" s="215"/>
      <c r="E61" s="128"/>
      <c r="F61" s="128"/>
      <c r="G61" s="75"/>
      <c r="H61" s="76"/>
      <c r="I61" s="130">
        <f t="shared" si="0"/>
        <v>0</v>
      </c>
    </row>
    <row r="62" spans="1:9" s="80" customFormat="1" ht="28.5" customHeight="1" x14ac:dyDescent="0.25">
      <c r="A62" s="71"/>
      <c r="B62" s="179">
        <f>B60+0.01</f>
        <v>8.1699999999999964</v>
      </c>
      <c r="C62" s="178"/>
      <c r="D62" s="158" t="s">
        <v>1343</v>
      </c>
      <c r="E62" s="128">
        <v>1</v>
      </c>
      <c r="F62" s="128">
        <v>1</v>
      </c>
      <c r="G62" s="128" t="s">
        <v>528</v>
      </c>
      <c r="H62" s="129"/>
      <c r="I62" s="130">
        <f t="shared" si="0"/>
        <v>0</v>
      </c>
    </row>
    <row r="63" spans="1:9" s="80" customFormat="1" x14ac:dyDescent="0.25">
      <c r="A63" s="71"/>
      <c r="B63" s="72"/>
      <c r="C63" s="211"/>
      <c r="D63" s="215"/>
      <c r="E63" s="128"/>
      <c r="F63" s="128"/>
      <c r="G63" s="75"/>
      <c r="H63" s="76"/>
      <c r="I63" s="130">
        <f t="shared" si="0"/>
        <v>0</v>
      </c>
    </row>
    <row r="64" spans="1:9" s="80" customFormat="1" x14ac:dyDescent="0.25">
      <c r="A64" s="71"/>
      <c r="B64" s="72"/>
      <c r="C64" s="211"/>
      <c r="D64" s="215"/>
      <c r="E64" s="128"/>
      <c r="F64" s="128"/>
      <c r="G64" s="75"/>
      <c r="H64" s="76"/>
      <c r="I64" s="130">
        <f t="shared" si="0"/>
        <v>0</v>
      </c>
    </row>
    <row r="65" spans="1:9" s="80" customFormat="1" x14ac:dyDescent="0.25">
      <c r="A65" s="71"/>
      <c r="B65" s="235"/>
      <c r="C65" s="178"/>
      <c r="D65" s="158"/>
      <c r="E65" s="128"/>
      <c r="F65" s="128"/>
      <c r="G65" s="128"/>
      <c r="H65" s="129"/>
      <c r="I65" s="130">
        <f t="shared" si="0"/>
        <v>0</v>
      </c>
    </row>
    <row r="66" spans="1:9" s="80" customFormat="1" x14ac:dyDescent="0.25">
      <c r="A66" s="71"/>
      <c r="B66" s="77"/>
      <c r="C66" s="211" t="s">
        <v>549</v>
      </c>
      <c r="D66" s="216"/>
      <c r="E66" s="128"/>
      <c r="F66" s="128"/>
      <c r="G66" s="78"/>
      <c r="H66" s="79"/>
      <c r="I66" s="130">
        <f t="shared" si="0"/>
        <v>0</v>
      </c>
    </row>
    <row r="67" spans="1:9" s="80" customFormat="1" x14ac:dyDescent="0.25">
      <c r="A67" s="71"/>
      <c r="B67" s="77"/>
      <c r="C67" s="177"/>
      <c r="D67" s="216"/>
      <c r="E67" s="128"/>
      <c r="F67" s="128"/>
      <c r="G67" s="78"/>
      <c r="H67" s="79"/>
      <c r="I67" s="130">
        <f t="shared" si="0"/>
        <v>0</v>
      </c>
    </row>
    <row r="68" spans="1:9" s="80" customFormat="1" x14ac:dyDescent="0.25">
      <c r="A68" s="71"/>
      <c r="B68" s="77"/>
      <c r="C68" s="176" t="s">
        <v>550</v>
      </c>
      <c r="D68" s="216"/>
      <c r="E68" s="128"/>
      <c r="F68" s="128"/>
      <c r="G68" s="78"/>
      <c r="H68" s="79"/>
      <c r="I68" s="130">
        <f t="shared" si="0"/>
        <v>0</v>
      </c>
    </row>
    <row r="69" spans="1:9" s="80" customFormat="1" x14ac:dyDescent="0.25">
      <c r="A69" s="71"/>
      <c r="B69" s="77"/>
      <c r="C69" s="177"/>
      <c r="D69" s="216"/>
      <c r="E69" s="128"/>
      <c r="F69" s="128"/>
      <c r="G69" s="78"/>
      <c r="H69" s="79"/>
      <c r="I69" s="130">
        <f t="shared" si="0"/>
        <v>0</v>
      </c>
    </row>
    <row r="70" spans="1:9" s="80" customFormat="1" x14ac:dyDescent="0.25">
      <c r="A70" s="71"/>
      <c r="B70" s="77"/>
      <c r="C70" s="177" t="s">
        <v>551</v>
      </c>
      <c r="D70" s="216"/>
      <c r="E70" s="128"/>
      <c r="F70" s="128"/>
      <c r="G70" s="78"/>
      <c r="H70" s="79"/>
      <c r="I70" s="130">
        <f t="shared" ref="I70:I90" si="1">F70*H70</f>
        <v>0</v>
      </c>
    </row>
    <row r="71" spans="1:9" s="80" customFormat="1" x14ac:dyDescent="0.25">
      <c r="A71" s="71"/>
      <c r="B71" s="77"/>
      <c r="C71" s="177"/>
      <c r="D71" s="216"/>
      <c r="E71" s="128"/>
      <c r="F71" s="128"/>
      <c r="G71" s="78"/>
      <c r="H71" s="79"/>
      <c r="I71" s="130">
        <f t="shared" si="1"/>
        <v>0</v>
      </c>
    </row>
    <row r="72" spans="1:9" s="80" customFormat="1" x14ac:dyDescent="0.25">
      <c r="A72" s="71"/>
      <c r="B72" s="173">
        <f>B62+0.01</f>
        <v>8.1799999999999962</v>
      </c>
      <c r="C72" s="177"/>
      <c r="D72" s="215" t="s">
        <v>527</v>
      </c>
      <c r="E72" s="162">
        <v>1</v>
      </c>
      <c r="F72" s="162">
        <v>1</v>
      </c>
      <c r="G72" s="75" t="s">
        <v>528</v>
      </c>
      <c r="H72" s="76"/>
      <c r="I72" s="130">
        <f t="shared" si="1"/>
        <v>0</v>
      </c>
    </row>
    <row r="73" spans="1:9" s="80" customFormat="1" x14ac:dyDescent="0.25">
      <c r="A73" s="71"/>
      <c r="B73" s="77"/>
      <c r="C73" s="177"/>
      <c r="D73" s="216"/>
      <c r="E73" s="128"/>
      <c r="F73" s="128"/>
      <c r="G73" s="78"/>
      <c r="H73" s="79"/>
      <c r="I73" s="130">
        <f t="shared" si="1"/>
        <v>0</v>
      </c>
    </row>
    <row r="74" spans="1:9" s="80" customFormat="1" ht="15.75" x14ac:dyDescent="0.25">
      <c r="A74" s="71"/>
      <c r="B74" s="77"/>
      <c r="C74" s="432" t="s">
        <v>634</v>
      </c>
      <c r="D74" s="433"/>
      <c r="E74" s="161"/>
      <c r="F74" s="161"/>
      <c r="G74" s="78"/>
      <c r="H74" s="79"/>
      <c r="I74" s="130">
        <f t="shared" si="1"/>
        <v>0</v>
      </c>
    </row>
    <row r="75" spans="1:9" s="80" customFormat="1" x14ac:dyDescent="0.25">
      <c r="A75" s="71"/>
      <c r="B75" s="77"/>
      <c r="C75" s="74"/>
      <c r="D75" s="160"/>
      <c r="E75" s="161"/>
      <c r="F75" s="161"/>
      <c r="G75" s="78"/>
      <c r="H75" s="79"/>
      <c r="I75" s="130">
        <f t="shared" si="1"/>
        <v>0</v>
      </c>
    </row>
    <row r="76" spans="1:9" s="80" customFormat="1" ht="31.5" customHeight="1" x14ac:dyDescent="0.25">
      <c r="A76" s="71"/>
      <c r="B76" s="77"/>
      <c r="C76" s="418" t="s">
        <v>650</v>
      </c>
      <c r="D76" s="419"/>
      <c r="E76" s="161"/>
      <c r="F76" s="161"/>
      <c r="G76" s="78"/>
      <c r="H76" s="79"/>
      <c r="I76" s="130">
        <f t="shared" si="1"/>
        <v>0</v>
      </c>
    </row>
    <row r="77" spans="1:9" s="80" customFormat="1" x14ac:dyDescent="0.25">
      <c r="A77" s="71"/>
      <c r="B77" s="77"/>
      <c r="C77" s="74"/>
      <c r="D77" s="160"/>
      <c r="E77" s="161"/>
      <c r="F77" s="161"/>
      <c r="G77" s="78"/>
      <c r="H77" s="79"/>
      <c r="I77" s="130">
        <f t="shared" si="1"/>
        <v>0</v>
      </c>
    </row>
    <row r="78" spans="1:9" s="80" customFormat="1" x14ac:dyDescent="0.25">
      <c r="A78" s="71"/>
      <c r="B78" s="172">
        <f>B72+0.01</f>
        <v>8.1899999999999959</v>
      </c>
      <c r="C78" s="74"/>
      <c r="D78" s="112" t="s">
        <v>527</v>
      </c>
      <c r="E78" s="162">
        <v>1</v>
      </c>
      <c r="F78" s="162">
        <v>1</v>
      </c>
      <c r="G78" s="75" t="s">
        <v>528</v>
      </c>
      <c r="H78" s="76"/>
      <c r="I78" s="130">
        <f t="shared" si="1"/>
        <v>0</v>
      </c>
    </row>
    <row r="79" spans="1:9" s="80" customFormat="1" x14ac:dyDescent="0.25">
      <c r="A79" s="71"/>
      <c r="B79" s="77"/>
      <c r="C79" s="177"/>
      <c r="D79" s="216"/>
      <c r="E79" s="161"/>
      <c r="F79" s="161"/>
      <c r="G79" s="78"/>
      <c r="H79" s="79"/>
      <c r="I79" s="130">
        <f t="shared" si="1"/>
        <v>0</v>
      </c>
    </row>
    <row r="80" spans="1:9" s="80" customFormat="1" x14ac:dyDescent="0.25">
      <c r="A80" s="71"/>
      <c r="B80" s="77"/>
      <c r="C80" s="176" t="s">
        <v>556</v>
      </c>
      <c r="D80" s="216"/>
      <c r="E80" s="161"/>
      <c r="F80" s="161"/>
      <c r="G80" s="78"/>
      <c r="H80" s="79"/>
      <c r="I80" s="130">
        <f t="shared" si="1"/>
        <v>0</v>
      </c>
    </row>
    <row r="81" spans="1:9" s="80" customFormat="1" x14ac:dyDescent="0.25">
      <c r="A81" s="71"/>
      <c r="B81" s="77"/>
      <c r="C81" s="177"/>
      <c r="D81" s="216"/>
      <c r="E81" s="161"/>
      <c r="F81" s="161"/>
      <c r="G81" s="78"/>
      <c r="H81" s="79"/>
      <c r="I81" s="130">
        <f t="shared" si="1"/>
        <v>0</v>
      </c>
    </row>
    <row r="82" spans="1:9" s="80" customFormat="1" ht="30.75" customHeight="1" x14ac:dyDescent="0.25">
      <c r="A82" s="71"/>
      <c r="B82" s="77"/>
      <c r="C82" s="449" t="s">
        <v>557</v>
      </c>
      <c r="D82" s="450"/>
      <c r="E82" s="161"/>
      <c r="F82" s="161"/>
      <c r="G82" s="78"/>
      <c r="H82" s="79"/>
      <c r="I82" s="130">
        <f t="shared" si="1"/>
        <v>0</v>
      </c>
    </row>
    <row r="83" spans="1:9" s="80" customFormat="1" ht="13.7" customHeight="1" x14ac:dyDescent="0.25">
      <c r="A83" s="71"/>
      <c r="B83" s="77"/>
      <c r="C83" s="213"/>
      <c r="D83" s="214"/>
      <c r="E83" s="161"/>
      <c r="F83" s="161"/>
      <c r="G83" s="78"/>
      <c r="H83" s="79"/>
      <c r="I83" s="130">
        <f t="shared" si="1"/>
        <v>0</v>
      </c>
    </row>
    <row r="84" spans="1:9" s="80" customFormat="1" x14ac:dyDescent="0.25">
      <c r="A84" s="71"/>
      <c r="B84" s="172">
        <f>B78+0.01</f>
        <v>8.1999999999999957</v>
      </c>
      <c r="C84" s="177"/>
      <c r="D84" s="215" t="s">
        <v>527</v>
      </c>
      <c r="E84" s="162">
        <v>1</v>
      </c>
      <c r="F84" s="162">
        <v>1</v>
      </c>
      <c r="G84" s="75" t="s">
        <v>528</v>
      </c>
      <c r="H84" s="76"/>
      <c r="I84" s="130">
        <f t="shared" si="1"/>
        <v>0</v>
      </c>
    </row>
    <row r="85" spans="1:9" s="80" customFormat="1" x14ac:dyDescent="0.25">
      <c r="A85" s="71"/>
      <c r="B85" s="77"/>
      <c r="C85" s="177"/>
      <c r="D85" s="216"/>
      <c r="E85" s="161"/>
      <c r="F85" s="161"/>
      <c r="G85" s="78"/>
      <c r="H85" s="79"/>
      <c r="I85" s="130">
        <f t="shared" si="1"/>
        <v>0</v>
      </c>
    </row>
    <row r="86" spans="1:9" s="80" customFormat="1" ht="15" customHeight="1" x14ac:dyDescent="0.25">
      <c r="A86" s="71"/>
      <c r="B86" s="72"/>
      <c r="C86" s="176" t="s">
        <v>529</v>
      </c>
      <c r="D86" s="212"/>
      <c r="E86" s="161"/>
      <c r="F86" s="161"/>
      <c r="G86" s="75"/>
      <c r="H86" s="122"/>
      <c r="I86" s="130">
        <f t="shared" si="1"/>
        <v>0</v>
      </c>
    </row>
    <row r="87" spans="1:9" s="80" customFormat="1" x14ac:dyDescent="0.25">
      <c r="A87" s="71"/>
      <c r="B87" s="72"/>
      <c r="C87" s="177"/>
      <c r="D87" s="212"/>
      <c r="E87" s="161"/>
      <c r="F87" s="161"/>
      <c r="G87" s="75"/>
      <c r="H87" s="122"/>
      <c r="I87" s="130">
        <f t="shared" si="1"/>
        <v>0</v>
      </c>
    </row>
    <row r="88" spans="1:9" s="80" customFormat="1" ht="32.25" customHeight="1" x14ac:dyDescent="0.25">
      <c r="A88" s="71"/>
      <c r="B88" s="72"/>
      <c r="C88" s="451" t="s">
        <v>629</v>
      </c>
      <c r="D88" s="452"/>
      <c r="E88" s="161"/>
      <c r="F88" s="161"/>
      <c r="G88" s="75"/>
      <c r="H88" s="122"/>
      <c r="I88" s="130">
        <f t="shared" si="1"/>
        <v>0</v>
      </c>
    </row>
    <row r="89" spans="1:9" s="80" customFormat="1" ht="15.6" customHeight="1" x14ac:dyDescent="0.25">
      <c r="A89" s="71"/>
      <c r="B89" s="72"/>
      <c r="C89" s="178"/>
      <c r="D89" s="212"/>
      <c r="E89" s="161"/>
      <c r="F89" s="161"/>
      <c r="G89" s="75"/>
      <c r="H89" s="122"/>
      <c r="I89" s="130">
        <f t="shared" si="1"/>
        <v>0</v>
      </c>
    </row>
    <row r="90" spans="1:9" s="80" customFormat="1" x14ac:dyDescent="0.25">
      <c r="A90" s="71"/>
      <c r="B90" s="172">
        <f>B84+0.01</f>
        <v>8.2099999999999955</v>
      </c>
      <c r="C90" s="177"/>
      <c r="D90" s="215" t="s">
        <v>527</v>
      </c>
      <c r="E90" s="162">
        <v>1</v>
      </c>
      <c r="F90" s="162">
        <v>1</v>
      </c>
      <c r="G90" s="75" t="s">
        <v>528</v>
      </c>
      <c r="H90" s="76"/>
      <c r="I90" s="130">
        <f t="shared" si="1"/>
        <v>0</v>
      </c>
    </row>
    <row r="91" spans="1:9" s="80" customFormat="1" ht="15.75" thickBot="1" x14ac:dyDescent="0.3">
      <c r="A91" s="71"/>
      <c r="B91" s="172"/>
      <c r="C91" s="177"/>
      <c r="D91" s="212"/>
      <c r="E91" s="161"/>
      <c r="F91" s="161"/>
      <c r="G91" s="75"/>
      <c r="H91" s="122"/>
      <c r="I91" s="130"/>
    </row>
    <row r="92" spans="1:9" s="80" customFormat="1" ht="15.75" thickBot="1" x14ac:dyDescent="0.3">
      <c r="A92" s="71"/>
      <c r="B92" s="172"/>
      <c r="C92" s="135"/>
      <c r="D92" s="314" t="s">
        <v>1344</v>
      </c>
      <c r="E92" s="162"/>
      <c r="F92" s="162"/>
      <c r="G92" s="75"/>
      <c r="H92" s="366"/>
      <c r="I92" s="352">
        <f>SUM(I13:I91)</f>
        <v>0</v>
      </c>
    </row>
    <row r="93" spans="1:9" s="80" customFormat="1" x14ac:dyDescent="0.25">
      <c r="A93" s="71"/>
      <c r="B93" s="172"/>
      <c r="C93" s="135"/>
      <c r="D93" s="82"/>
      <c r="E93" s="162"/>
      <c r="F93" s="162"/>
      <c r="G93" s="75"/>
      <c r="H93" s="122"/>
      <c r="I93" s="130"/>
    </row>
    <row r="94" spans="1:9" s="80" customFormat="1" x14ac:dyDescent="0.25">
      <c r="A94" s="71"/>
      <c r="B94" s="172"/>
      <c r="C94" s="426" t="s">
        <v>816</v>
      </c>
      <c r="D94" s="427"/>
      <c r="E94" s="162"/>
      <c r="F94" s="162"/>
      <c r="G94" s="75"/>
      <c r="H94" s="122"/>
      <c r="I94" s="130"/>
    </row>
    <row r="95" spans="1:9" s="80" customFormat="1" x14ac:dyDescent="0.25">
      <c r="A95" s="71"/>
      <c r="B95" s="172"/>
      <c r="C95" s="177"/>
      <c r="D95" s="212"/>
      <c r="E95" s="161"/>
      <c r="F95" s="161"/>
      <c r="G95" s="75"/>
      <c r="H95" s="122"/>
      <c r="I95" s="130"/>
    </row>
    <row r="96" spans="1:9" s="80" customFormat="1" x14ac:dyDescent="0.25">
      <c r="A96" s="71"/>
      <c r="B96" s="172"/>
      <c r="C96" s="177" t="s">
        <v>1345</v>
      </c>
      <c r="D96" s="212"/>
      <c r="E96" s="161"/>
      <c r="F96" s="161"/>
      <c r="G96" s="75"/>
      <c r="H96" s="122"/>
      <c r="I96" s="130"/>
    </row>
    <row r="97" spans="1:9" s="80" customFormat="1" x14ac:dyDescent="0.25">
      <c r="A97" s="71"/>
      <c r="B97" s="172"/>
      <c r="C97" s="177"/>
      <c r="D97" s="212"/>
      <c r="E97" s="161"/>
      <c r="F97" s="161"/>
      <c r="G97" s="75"/>
      <c r="H97" s="122"/>
      <c r="I97" s="130"/>
    </row>
    <row r="98" spans="1:9" s="80" customFormat="1" x14ac:dyDescent="0.25">
      <c r="A98" s="71"/>
      <c r="B98" s="172"/>
      <c r="C98" s="177"/>
      <c r="D98" s="212"/>
      <c r="E98" s="161"/>
      <c r="F98" s="161"/>
      <c r="G98" s="75"/>
      <c r="H98" s="122"/>
      <c r="I98" s="130"/>
    </row>
    <row r="99" spans="1:9" ht="15.75" thickBot="1" x14ac:dyDescent="0.3">
      <c r="B99" s="34"/>
      <c r="C99" s="217"/>
      <c r="D99" s="218"/>
      <c r="E99" s="230"/>
      <c r="F99" s="231"/>
      <c r="G99" s="36"/>
      <c r="H99" s="20"/>
      <c r="I99" s="152" t="str">
        <f>IF(H99="","",H99*E99)</f>
        <v/>
      </c>
    </row>
    <row r="100" spans="1:9" ht="30.75" customHeight="1" thickBot="1" x14ac:dyDescent="0.3">
      <c r="D100" s="367" t="s">
        <v>1346</v>
      </c>
      <c r="E100" s="162"/>
      <c r="F100" s="162"/>
      <c r="G100" s="75"/>
      <c r="H100" s="366"/>
      <c r="I100" s="205">
        <f>SUM(I6:I99)</f>
        <v>0</v>
      </c>
    </row>
  </sheetData>
  <mergeCells count="17">
    <mergeCell ref="C46:D46"/>
    <mergeCell ref="C16:D16"/>
    <mergeCell ref="C56:D56"/>
    <mergeCell ref="C94:D94"/>
    <mergeCell ref="C88:D88"/>
    <mergeCell ref="C48:D48"/>
    <mergeCell ref="C74:D74"/>
    <mergeCell ref="C82:D82"/>
    <mergeCell ref="C76:D76"/>
    <mergeCell ref="C58:D58"/>
    <mergeCell ref="C6:D6"/>
    <mergeCell ref="C8:D8"/>
    <mergeCell ref="C9:D9"/>
    <mergeCell ref="C10:D10"/>
    <mergeCell ref="C32:D32"/>
    <mergeCell ref="C7:D7"/>
    <mergeCell ref="C12:D12"/>
  </mergeCells>
  <pageMargins left="0.70866141732283472" right="0.70866141732283472" top="0.74803149606299213" bottom="0.74803149606299213" header="0.31496062992125984" footer="0.31496062992125984"/>
  <pageSetup paperSize="9" scale="74"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4504b4-7526-4bf1-9f71-16aa23f1b558" xsi:nil="true"/>
    <lcf76f155ced4ddcb4097134ff3c332f xmlns="42796bfe-c33e-4460-99bd-a2889f9ae4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0F240F785D114C8FB293DD1FD2AD43" ma:contentTypeVersion="15" ma:contentTypeDescription="Create a new document." ma:contentTypeScope="" ma:versionID="3ce870b4b799615b0fb8a40814b8f192">
  <xsd:schema xmlns:xsd="http://www.w3.org/2001/XMLSchema" xmlns:xs="http://www.w3.org/2001/XMLSchema" xmlns:p="http://schemas.microsoft.com/office/2006/metadata/properties" xmlns:ns2="42796bfe-c33e-4460-99bd-a2889f9ae4a0" xmlns:ns3="244504b4-7526-4bf1-9f71-16aa23f1b558" targetNamespace="http://schemas.microsoft.com/office/2006/metadata/properties" ma:root="true" ma:fieldsID="f30c4487d5b6fab4cbbcd267eb2641c2" ns2:_="" ns3:_="">
    <xsd:import namespace="42796bfe-c33e-4460-99bd-a2889f9ae4a0"/>
    <xsd:import namespace="244504b4-7526-4bf1-9f71-16aa23f1b558"/>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96bfe-c33e-4460-99bd-a2889f9ae4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9b6fa2-939c-4a06-9def-8ce710d8370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4504b4-7526-4bf1-9f71-16aa23f1b5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7e155b-a26a-4aa7-99ff-85db9a43ea2b}" ma:internalName="TaxCatchAll" ma:showField="CatchAllData" ma:web="244504b4-7526-4bf1-9f71-16aa23f1b55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2E1594-A92B-469E-BB77-8C308A991A16}">
  <ds:schemaRefs>
    <ds:schemaRef ds:uri="http://schemas.microsoft.com/office/2006/metadata/properties"/>
    <ds:schemaRef ds:uri="http://schemas.microsoft.com/office/infopath/2007/PartnerControls"/>
    <ds:schemaRef ds:uri="244504b4-7526-4bf1-9f71-16aa23f1b558"/>
    <ds:schemaRef ds:uri="42796bfe-c33e-4460-99bd-a2889f9ae4a0"/>
  </ds:schemaRefs>
</ds:datastoreItem>
</file>

<file path=customXml/itemProps2.xml><?xml version="1.0" encoding="utf-8"?>
<ds:datastoreItem xmlns:ds="http://schemas.openxmlformats.org/officeDocument/2006/customXml" ds:itemID="{F5C707DD-9E18-4175-BD36-BD46B178BB21}">
  <ds:schemaRefs>
    <ds:schemaRef ds:uri="http://schemas.microsoft.com/sharepoint/v3/contenttype/forms"/>
  </ds:schemaRefs>
</ds:datastoreItem>
</file>

<file path=customXml/itemProps3.xml><?xml version="1.0" encoding="utf-8"?>
<ds:datastoreItem xmlns:ds="http://schemas.openxmlformats.org/officeDocument/2006/customXml" ds:itemID="{D7ADAEC0-AB2C-40F9-9409-47C83EFD2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796bfe-c33e-4460-99bd-a2889f9ae4a0"/>
    <ds:schemaRef ds:uri="244504b4-7526-4bf1-9f71-16aa23f1b5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38</vt:i4>
      </vt:variant>
    </vt:vector>
  </HeadingPairs>
  <TitlesOfParts>
    <vt:vector size="60" baseType="lpstr">
      <vt:lpstr>Summary</vt:lpstr>
      <vt:lpstr>Preliminaries</vt:lpstr>
      <vt:lpstr>Demos &amp; Altertns</vt:lpstr>
      <vt:lpstr>Substructure</vt:lpstr>
      <vt:lpstr>Steel Frame</vt:lpstr>
      <vt:lpstr>External Walls</vt:lpstr>
      <vt:lpstr>Roofs</vt:lpstr>
      <vt:lpstr>Upper Floors</vt:lpstr>
      <vt:lpstr>Structural Reps Works</vt:lpstr>
      <vt:lpstr>Internal Walls</vt:lpstr>
      <vt:lpstr>Wdws, </vt:lpstr>
      <vt:lpstr>Drs</vt:lpstr>
      <vt:lpstr>Wall Finishes</vt:lpstr>
      <vt:lpstr>FloorFinishes</vt:lpstr>
      <vt:lpstr>Ceiling Finishes</vt:lpstr>
      <vt:lpstr>Fittings</vt:lpstr>
      <vt:lpstr>M&amp;E Services</vt:lpstr>
      <vt:lpstr>Sanitary Fittings</vt:lpstr>
      <vt:lpstr>BWIC Extl Serv</vt:lpstr>
      <vt:lpstr>Extl Works</vt:lpstr>
      <vt:lpstr>Prov Sums</vt:lpstr>
      <vt:lpstr>Dayworks</vt:lpstr>
      <vt:lpstr>'BWIC Extl Serv'!Print_Area</vt:lpstr>
      <vt:lpstr>'Ceiling Finishes'!Print_Area</vt:lpstr>
      <vt:lpstr>'Demos &amp; Altertns'!Print_Area</vt:lpstr>
      <vt:lpstr>Drs!Print_Area</vt:lpstr>
      <vt:lpstr>'External Walls'!Print_Area</vt:lpstr>
      <vt:lpstr>'Extl Works'!Print_Area</vt:lpstr>
      <vt:lpstr>Fittings!Print_Area</vt:lpstr>
      <vt:lpstr>FloorFinishes!Print_Area</vt:lpstr>
      <vt:lpstr>'Internal Walls'!Print_Area</vt:lpstr>
      <vt:lpstr>'M&amp;E Services'!Print_Area</vt:lpstr>
      <vt:lpstr>Roofs!Print_Area</vt:lpstr>
      <vt:lpstr>'Sanitary Fittings'!Print_Area</vt:lpstr>
      <vt:lpstr>'Steel Frame'!Print_Area</vt:lpstr>
      <vt:lpstr>'Structural Reps Works'!Print_Area</vt:lpstr>
      <vt:lpstr>Substructure!Print_Area</vt:lpstr>
      <vt:lpstr>'Upper Floors'!Print_Area</vt:lpstr>
      <vt:lpstr>'Wall Finishes'!Print_Area</vt:lpstr>
      <vt:lpstr>'Wdws, '!Print_Area</vt:lpstr>
      <vt:lpstr>'BWIC Extl Serv'!Print_Titles</vt:lpstr>
      <vt:lpstr>'Ceiling Finishes'!Print_Titles</vt:lpstr>
      <vt:lpstr>'Demos &amp; Altertns'!Print_Titles</vt:lpstr>
      <vt:lpstr>Drs!Print_Titles</vt:lpstr>
      <vt:lpstr>'External Walls'!Print_Titles</vt:lpstr>
      <vt:lpstr>'Extl Works'!Print_Titles</vt:lpstr>
      <vt:lpstr>Fittings!Print_Titles</vt:lpstr>
      <vt:lpstr>FloorFinishes!Print_Titles</vt:lpstr>
      <vt:lpstr>'Internal Walls'!Print_Titles</vt:lpstr>
      <vt:lpstr>'M&amp;E Services'!Print_Titles</vt:lpstr>
      <vt:lpstr>Preliminaries!Print_Titles</vt:lpstr>
      <vt:lpstr>'Prov Sums'!Print_Titles</vt:lpstr>
      <vt:lpstr>Roofs!Print_Titles</vt:lpstr>
      <vt:lpstr>'Sanitary Fittings'!Print_Titles</vt:lpstr>
      <vt:lpstr>'Steel Frame'!Print_Titles</vt:lpstr>
      <vt:lpstr>'Structural Reps Works'!Print_Titles</vt:lpstr>
      <vt:lpstr>Substructure!Print_Titles</vt:lpstr>
      <vt:lpstr>'Upper Floors'!Print_Titles</vt:lpstr>
      <vt:lpstr>'Wall Finishes'!Print_Titles</vt:lpstr>
      <vt:lpstr>'Wdws,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2024-11-17T22:08:59Z</cp:lastPrinted>
  <dcterms:created xsi:type="dcterms:W3CDTF">2016-10-31T05:47:31Z</dcterms:created>
  <dcterms:modified xsi:type="dcterms:W3CDTF">2024-11-21T08:30:10Z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0x010100950F240F785D114C8FB293DD1FD2AD43</vt:lpwstr>
  </property>
  <property fmtid="{D5CDD505-2E9C-101B-9397-08002B2CF9AE}" pid="3" name="MediaServiceImageTags">
    <vt:lpwstr/>
  </property>
</Properties>
</file>