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autoCompressPictures="0"/>
  <mc:AlternateContent xmlns:mc="http://schemas.openxmlformats.org/markup-compatibility/2006">
    <mc:Choice Requires="x15">
      <x15ac:absPath xmlns:x15ac="http://schemas.microsoft.com/office/spreadsheetml/2010/11/ac" url="https://beisgov.sharepoint.com/sites/CGInnovationAndHydrogen/Shared Documents/Energy Innovation/Projects/EINA Review/Approvals and procurement/Procurement/Tendering/"/>
    </mc:Choice>
  </mc:AlternateContent>
  <xr:revisionPtr revIDLastSave="833" documentId="8_{58055B93-FF92-4D95-950D-CEA9CE3ED1AD}" xr6:coauthVersionLast="47" xr6:coauthVersionMax="47" xr10:uidLastSave="{F679BC06-DE9D-4757-94AB-698D51F3AF4F}"/>
  <bookViews>
    <workbookView xWindow="-110" yWindow="-110" windowWidth="19420" windowHeight="10420" tabRatio="786" firstSheet="1" activeTab="1" xr2:uid="{12EBD5EA-1F81-45FA-8D6B-6ED17EBF5D1D}"/>
  </bookViews>
  <sheets>
    <sheet name="Summary" sheetId="1" state="hidden" r:id="rId1"/>
    <sheet name="Contents" sheetId="11" r:id="rId2"/>
    <sheet name="QA check" sheetId="35" r:id="rId3"/>
    <sheet name="Assumptions log" sheetId="29" r:id="rId4"/>
    <sheet name="Offshore wind &gt;&gt;" sheetId="30" r:id="rId5"/>
    <sheet name="Export analysis" sheetId="37" r:id="rId6"/>
    <sheet name="Deployment" sheetId="12" r:id="rId7"/>
    <sheet name="Tech costs (x)" sheetId="36" state="hidden" r:id="rId8"/>
    <sheet name="Tech costs" sheetId="13" r:id="rId9"/>
    <sheet name="Market turnover" sheetId="4" r:id="rId10"/>
    <sheet name="Tradeable %" sheetId="14" r:id="rId11"/>
    <sheet name="Total tradeable turnover" sheetId="15" r:id="rId12"/>
    <sheet name="UK market share" sheetId="16" r:id="rId13"/>
    <sheet name="Competitor market shares" sheetId="34" r:id="rId14"/>
    <sheet name="UK captured turnover" sheetId="17" r:id="rId15"/>
    <sheet name="GVA turnover multiplier" sheetId="18" r:id="rId16"/>
    <sheet name="GVA" sheetId="19" r:id="rId17"/>
    <sheet name="GVA per worker" sheetId="26" r:id="rId18"/>
    <sheet name="Jobs supported" sheetId="27" r:id="rId19"/>
    <sheet name="Background Step 4.1.3" sheetId="24" r:id="rId20"/>
    <sheet name="HS data" sheetId="32" r:id="rId21"/>
    <sheet name="Domestic analysis" sheetId="38" r:id="rId22"/>
    <sheet name="Deployment (2)" sheetId="39" r:id="rId23"/>
    <sheet name="Tech costs (2)" sheetId="40" r:id="rId24"/>
    <sheet name="Market turnover (2)" sheetId="41" r:id="rId25"/>
    <sheet name="UK market share (2)" sheetId="44" r:id="rId26"/>
    <sheet name="UK captured turnover (2)" sheetId="46" r:id="rId27"/>
    <sheet name="GVA turnover multiplier (2)" sheetId="47" r:id="rId28"/>
    <sheet name="GVA (2)" sheetId="48" r:id="rId29"/>
    <sheet name="GVA per worker (2)" sheetId="49" r:id="rId30"/>
    <sheet name="Jobs supported (2)" sheetId="50" r:id="rId31"/>
  </sheets>
  <definedNames>
    <definedName name="DataJobID_1476708_1476708_test2" localSheetId="20">'HS data'!#REF!</definedName>
    <definedName name="DataJobID_1476767_1476767_OffshoreWind" localSheetId="20">'HS data'!$A$3:$J$57</definedName>
    <definedName name="DataJobID_1476778_1476778_TotalExports" localSheetId="20">'HS data'!$A$61:$J$67</definedName>
    <definedName name="DataJobID_1480951_1480951_OffshoreWind2" localSheetId="20">'HS data'!$A$71:$J$161</definedName>
    <definedName name="DataJobID_1480965_1480965_TotalExports" localSheetId="20">'HS data'!$A$227:$J$236</definedName>
    <definedName name="DataJobID_1486554_1486554_OffshoreWind2" localSheetId="20">'HS data'!#REF!</definedName>
    <definedName name="DataJobID_1486558_1486558_TotalExports" localSheetId="20">'HS data'!$A$238:$J$243</definedName>
    <definedName name="DataJobID_1486578_1486578_OffshoreWind2" localSheetId="20">'HS data'!$A$247:$J$308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41" l="1"/>
  <c r="F58" i="4"/>
  <c r="F12" i="48"/>
  <c r="J13" i="18"/>
  <c r="E18" i="18"/>
  <c r="I13" i="18" s="1"/>
  <c r="I18" i="18"/>
  <c r="D48" i="13"/>
  <c r="H19" i="44"/>
  <c r="E19" i="44"/>
  <c r="E23" i="44"/>
  <c r="AF45" i="39" l="1"/>
  <c r="O31" i="13" l="1"/>
  <c r="K20" i="44" l="1"/>
  <c r="K21" i="44"/>
  <c r="K19" i="44"/>
  <c r="I20" i="44"/>
  <c r="I21" i="44"/>
  <c r="I19" i="44"/>
  <c r="K23" i="44"/>
  <c r="K22" i="44"/>
  <c r="I23" i="44"/>
  <c r="I22" i="44"/>
  <c r="H23" i="44"/>
  <c r="H22" i="44"/>
  <c r="H20" i="44"/>
  <c r="H21" i="44"/>
  <c r="E37" i="16" l="1"/>
  <c r="E19" i="16" s="1"/>
  <c r="E38" i="16"/>
  <c r="E20" i="16" s="1"/>
  <c r="E39" i="16"/>
  <c r="E21" i="16" s="1"/>
  <c r="E40" i="16"/>
  <c r="E22" i="16" s="1"/>
  <c r="E41" i="16"/>
  <c r="E23" i="16" s="1"/>
  <c r="E15" i="16" s="1"/>
  <c r="X63" i="39"/>
  <c r="Z63" i="39"/>
  <c r="Z65" i="39" s="1"/>
  <c r="Z64" i="39"/>
  <c r="AB65" i="39"/>
  <c r="AC65" i="39"/>
  <c r="AD65" i="39"/>
  <c r="AE65" i="39"/>
  <c r="AF65" i="39"/>
  <c r="AA65" i="39" l="1"/>
  <c r="E32" i="16"/>
  <c r="E14" i="16"/>
  <c r="E33" i="16"/>
  <c r="D79" i="4" l="1"/>
  <c r="N31" i="13" l="1"/>
  <c r="M31" i="13"/>
  <c r="K31" i="13"/>
  <c r="J31" i="13"/>
  <c r="I31" i="13"/>
  <c r="O28" i="13" s="1"/>
  <c r="K31" i="40"/>
  <c r="J31" i="40"/>
  <c r="I31" i="40"/>
  <c r="O31" i="40"/>
  <c r="M31" i="40"/>
  <c r="L39" i="16" l="1"/>
  <c r="L22" i="16"/>
  <c r="L20" i="16"/>
  <c r="J20" i="44" l="1"/>
  <c r="J21" i="44"/>
  <c r="J22" i="44"/>
  <c r="J23" i="44"/>
  <c r="J19" i="44"/>
  <c r="I15" i="40" l="1"/>
  <c r="I14" i="40"/>
  <c r="D53" i="40"/>
  <c r="D52" i="40"/>
  <c r="D51" i="40"/>
  <c r="D50" i="40"/>
  <c r="D49" i="40"/>
  <c r="D54" i="40"/>
  <c r="D47" i="40" s="1"/>
  <c r="D46" i="40" s="1"/>
  <c r="E36" i="40" l="1"/>
  <c r="E37" i="40"/>
  <c r="D40" i="41"/>
  <c r="I25" i="26" l="1"/>
  <c r="I22" i="18"/>
  <c r="I25" i="49"/>
  <c r="I22" i="47"/>
  <c r="AB33" i="39" l="1"/>
  <c r="AB34" i="39" s="1"/>
  <c r="Y33" i="39"/>
  <c r="Y34" i="39" s="1"/>
  <c r="AF49" i="39"/>
  <c r="AC49" i="39" s="1"/>
  <c r="AF33" i="39"/>
  <c r="AF34" i="39" s="1"/>
  <c r="AA49" i="39"/>
  <c r="Z49" i="39"/>
  <c r="AE49" i="39" l="1"/>
  <c r="AD49" i="39"/>
  <c r="AA45" i="39"/>
  <c r="AA33" i="39" s="1"/>
  <c r="AA34" i="39" s="1"/>
  <c r="Z45" i="39"/>
  <c r="Z33" i="39" s="1"/>
  <c r="Z34" i="39" s="1"/>
  <c r="AC45" i="39" l="1"/>
  <c r="AC33" i="39" s="1"/>
  <c r="AC34" i="39" s="1"/>
  <c r="AE45" i="39"/>
  <c r="AE33" i="39" s="1"/>
  <c r="AE34" i="39" s="1"/>
  <c r="AE27" i="39" s="1"/>
  <c r="AD45" i="39"/>
  <c r="AD33" i="39" s="1"/>
  <c r="AD34" i="39" s="1"/>
  <c r="AC27" i="39" l="1"/>
  <c r="AA27" i="39"/>
  <c r="AB27" i="39"/>
  <c r="AD27" i="39"/>
  <c r="AE28" i="39" s="1"/>
  <c r="AF27" i="39"/>
  <c r="Y27" i="39"/>
  <c r="AM27" i="39" s="1"/>
  <c r="L23" i="44"/>
  <c r="M23" i="44" s="1"/>
  <c r="N23" i="44" s="1"/>
  <c r="O23" i="44" s="1"/>
  <c r="L20" i="44"/>
  <c r="M20" i="44" s="1"/>
  <c r="N20" i="44" s="1"/>
  <c r="O20" i="44" s="1"/>
  <c r="L21" i="44"/>
  <c r="M21" i="44" s="1"/>
  <c r="N21" i="44" s="1"/>
  <c r="O21" i="44" s="1"/>
  <c r="L22" i="44"/>
  <c r="M22" i="44" s="1"/>
  <c r="N22" i="44" s="1"/>
  <c r="O22" i="44" s="1"/>
  <c r="L19" i="44"/>
  <c r="M19" i="44" s="1"/>
  <c r="N19" i="44" s="1"/>
  <c r="O19" i="44" s="1"/>
  <c r="E20" i="44"/>
  <c r="E21" i="44"/>
  <c r="E22" i="44"/>
  <c r="E15" i="44"/>
  <c r="E14" i="44" l="1"/>
  <c r="H14" i="44"/>
  <c r="I24" i="49"/>
  <c r="I23" i="49"/>
  <c r="I22" i="49"/>
  <c r="I21" i="49"/>
  <c r="J12" i="49"/>
  <c r="J22" i="47"/>
  <c r="I21" i="47"/>
  <c r="I20" i="47"/>
  <c r="J20" i="47" s="1"/>
  <c r="I19" i="47"/>
  <c r="J19" i="47" s="1"/>
  <c r="K19" i="47" s="1"/>
  <c r="I18" i="47"/>
  <c r="J18" i="47" s="1"/>
  <c r="K18" i="47" s="1"/>
  <c r="B52" i="41"/>
  <c r="B53" i="41" s="1"/>
  <c r="B54" i="41" s="1"/>
  <c r="B55" i="41" s="1"/>
  <c r="B56" i="41" s="1"/>
  <c r="B57" i="41" s="1"/>
  <c r="B58" i="41" s="1"/>
  <c r="B59" i="41" s="1"/>
  <c r="B60" i="41" s="1"/>
  <c r="B61" i="41" s="1"/>
  <c r="B62" i="41" s="1"/>
  <c r="B63" i="41" s="1"/>
  <c r="B64" i="41" s="1"/>
  <c r="B65" i="41" s="1"/>
  <c r="B66" i="41" s="1"/>
  <c r="B67" i="41" s="1"/>
  <c r="B68" i="41" s="1"/>
  <c r="B69" i="41" s="1"/>
  <c r="B70" i="41" s="1"/>
  <c r="N31" i="40"/>
  <c r="N28" i="40" s="1"/>
  <c r="J28" i="40"/>
  <c r="P28" i="40"/>
  <c r="O28" i="40"/>
  <c r="L28" i="40"/>
  <c r="K28" i="40"/>
  <c r="Q51" i="41"/>
  <c r="Q52" i="41" s="1"/>
  <c r="Q53" i="41" s="1"/>
  <c r="Q54" i="41" s="1"/>
  <c r="Q55" i="41" s="1"/>
  <c r="Q56" i="41" s="1"/>
  <c r="Q57" i="41" s="1"/>
  <c r="Q58" i="41" s="1"/>
  <c r="Q59" i="41" s="1"/>
  <c r="Q60" i="41" s="1"/>
  <c r="Q62" i="41" s="1"/>
  <c r="Q63" i="41" s="1"/>
  <c r="Q64" i="41" s="1"/>
  <c r="Q65" i="41" s="1"/>
  <c r="Q66" i="41" s="1"/>
  <c r="Q67" i="41" s="1"/>
  <c r="Q68" i="41" s="1"/>
  <c r="Q69" i="41" s="1"/>
  <c r="Q70" i="41" s="1"/>
  <c r="O51" i="41"/>
  <c r="J23" i="49" l="1"/>
  <c r="Z27" i="39"/>
  <c r="R51" i="41"/>
  <c r="R52" i="41" s="1"/>
  <c r="R53" i="41" s="1"/>
  <c r="R54" i="41" s="1"/>
  <c r="R55" i="41" s="1"/>
  <c r="R56" i="41" s="1"/>
  <c r="R57" i="41" s="1"/>
  <c r="R58" i="41" s="1"/>
  <c r="R59" i="41" s="1"/>
  <c r="R60" i="41" s="1"/>
  <c r="R61" i="41" s="1"/>
  <c r="R62" i="41" s="1"/>
  <c r="R63" i="41" s="1"/>
  <c r="R64" i="41" s="1"/>
  <c r="R65" i="41" s="1"/>
  <c r="R66" i="41" s="1"/>
  <c r="R67" i="41" s="1"/>
  <c r="R68" i="41" s="1"/>
  <c r="R69" i="41" s="1"/>
  <c r="R70" i="41" s="1"/>
  <c r="I14" i="47"/>
  <c r="M28" i="40"/>
  <c r="AB28" i="39"/>
  <c r="L51" i="41"/>
  <c r="Y28" i="39"/>
  <c r="AN27" i="39"/>
  <c r="J15" i="40"/>
  <c r="N15" i="40" s="1"/>
  <c r="E38" i="40"/>
  <c r="F22" i="40" s="1"/>
  <c r="O52" i="41"/>
  <c r="O53" i="41" s="1"/>
  <c r="O54" i="41" s="1"/>
  <c r="O55" i="41" s="1"/>
  <c r="O56" i="41" s="1"/>
  <c r="O57" i="41" s="1"/>
  <c r="O58" i="41" s="1"/>
  <c r="O59" i="41" s="1"/>
  <c r="O60" i="41" s="1"/>
  <c r="O61" i="41" s="1"/>
  <c r="O62" i="41" s="1"/>
  <c r="O63" i="41" s="1"/>
  <c r="O64" i="41" s="1"/>
  <c r="O65" i="41" s="1"/>
  <c r="O66" i="41" s="1"/>
  <c r="O67" i="41" s="1"/>
  <c r="O68" i="41" s="1"/>
  <c r="O69" i="41" s="1"/>
  <c r="O70" i="41" s="1"/>
  <c r="P51" i="41"/>
  <c r="AC28" i="39"/>
  <c r="N51" i="41"/>
  <c r="I17" i="49"/>
  <c r="Q73" i="41"/>
  <c r="I37" i="41" s="1"/>
  <c r="AD28" i="39"/>
  <c r="J25" i="49"/>
  <c r="J17" i="49" s="1"/>
  <c r="J21" i="49"/>
  <c r="L19" i="47"/>
  <c r="K22" i="47"/>
  <c r="J14" i="47"/>
  <c r="J22" i="49"/>
  <c r="K12" i="49"/>
  <c r="K24" i="49" s="1"/>
  <c r="J24" i="49"/>
  <c r="L18" i="47"/>
  <c r="K20" i="47"/>
  <c r="J21" i="47"/>
  <c r="M39" i="16"/>
  <c r="N39" i="16" s="1"/>
  <c r="O39" i="16" s="1"/>
  <c r="P39" i="16" s="1"/>
  <c r="M22" i="16"/>
  <c r="N22" i="16" s="1"/>
  <c r="O22" i="16" s="1"/>
  <c r="P22" i="16" s="1"/>
  <c r="M20" i="16"/>
  <c r="N20" i="16" s="1"/>
  <c r="O20" i="16" s="1"/>
  <c r="P20" i="16" s="1"/>
  <c r="I14" i="16"/>
  <c r="M55" i="16"/>
  <c r="N55" i="16" s="1"/>
  <c r="O55" i="16" s="1"/>
  <c r="P55" i="16" s="1"/>
  <c r="M50" i="16"/>
  <c r="N50" i="16" s="1"/>
  <c r="O50" i="16" s="1"/>
  <c r="AO27" i="39" l="1"/>
  <c r="I27" i="39"/>
  <c r="C51" i="41" s="1"/>
  <c r="C52" i="41" s="1"/>
  <c r="C53" i="41" s="1"/>
  <c r="C54" i="41" s="1"/>
  <c r="C55" i="41" s="1"/>
  <c r="C56" i="41" s="1"/>
  <c r="C57" i="41" s="1"/>
  <c r="C58" i="41" s="1"/>
  <c r="C59" i="41" s="1"/>
  <c r="C60" i="41" s="1"/>
  <c r="C61" i="41" s="1"/>
  <c r="C62" i="41" s="1"/>
  <c r="C63" i="41" s="1"/>
  <c r="C64" i="41" s="1"/>
  <c r="C65" i="41" s="1"/>
  <c r="C66" i="41" s="1"/>
  <c r="C67" i="41" s="1"/>
  <c r="C68" i="41" s="1"/>
  <c r="C69" i="41" s="1"/>
  <c r="C70" i="41" s="1"/>
  <c r="P15" i="40"/>
  <c r="M27" i="39"/>
  <c r="G51" i="41" s="1"/>
  <c r="AR27" i="39"/>
  <c r="L27" i="39"/>
  <c r="F51" i="41" s="1"/>
  <c r="F52" i="41" s="1"/>
  <c r="F53" i="41" s="1"/>
  <c r="F54" i="41" s="1"/>
  <c r="F55" i="41" s="1"/>
  <c r="F56" i="41" s="1"/>
  <c r="F57" i="41" s="1"/>
  <c r="F58" i="41" s="1"/>
  <c r="F59" i="41" s="1"/>
  <c r="F60" i="41" s="1"/>
  <c r="F61" i="41" s="1"/>
  <c r="F62" i="41" s="1"/>
  <c r="F63" i="41" s="1"/>
  <c r="F64" i="41" s="1"/>
  <c r="F65" i="41" s="1"/>
  <c r="F66" i="41" s="1"/>
  <c r="F67" i="41" s="1"/>
  <c r="F68" i="41" s="1"/>
  <c r="F69" i="41" s="1"/>
  <c r="F70" i="41" s="1"/>
  <c r="L15" i="40"/>
  <c r="K15" i="40"/>
  <c r="O15" i="40"/>
  <c r="M15" i="40"/>
  <c r="K21" i="49"/>
  <c r="F20" i="40"/>
  <c r="E22" i="49" s="1"/>
  <c r="AF28" i="39"/>
  <c r="S51" i="41"/>
  <c r="S52" i="41" s="1"/>
  <c r="S53" i="41" s="1"/>
  <c r="S54" i="41" s="1"/>
  <c r="S55" i="41" s="1"/>
  <c r="S56" i="41" s="1"/>
  <c r="S57" i="41" s="1"/>
  <c r="S58" i="41" s="1"/>
  <c r="S59" i="41" s="1"/>
  <c r="S60" i="41" s="1"/>
  <c r="S61" i="41" s="1"/>
  <c r="S62" i="41" s="1"/>
  <c r="S63" i="41" s="1"/>
  <c r="S64" i="41" s="1"/>
  <c r="S65" i="41" s="1"/>
  <c r="S66" i="41" s="1"/>
  <c r="S67" i="41" s="1"/>
  <c r="S68" i="41" s="1"/>
  <c r="S69" i="41" s="1"/>
  <c r="S70" i="41" s="1"/>
  <c r="K21" i="47"/>
  <c r="L20" i="47"/>
  <c r="R73" i="41"/>
  <c r="J37" i="41" s="1"/>
  <c r="L12" i="49"/>
  <c r="K22" i="49"/>
  <c r="K23" i="49"/>
  <c r="N52" i="41"/>
  <c r="N53" i="41" s="1"/>
  <c r="N54" i="41" s="1"/>
  <c r="N55" i="41" s="1"/>
  <c r="N56" i="41" s="1"/>
  <c r="N57" i="41" s="1"/>
  <c r="N58" i="41" s="1"/>
  <c r="N59" i="41" s="1"/>
  <c r="N60" i="41" s="1"/>
  <c r="N61" i="41" s="1"/>
  <c r="N62" i="41" s="1"/>
  <c r="N63" i="41" s="1"/>
  <c r="N64" i="41" s="1"/>
  <c r="N65" i="41" s="1"/>
  <c r="N66" i="41" s="1"/>
  <c r="N67" i="41" s="1"/>
  <c r="N68" i="41" s="1"/>
  <c r="N69" i="41" s="1"/>
  <c r="N70" i="41" s="1"/>
  <c r="E24" i="49"/>
  <c r="M51" i="41"/>
  <c r="Z28" i="39"/>
  <c r="AA28" i="39"/>
  <c r="C73" i="41"/>
  <c r="D36" i="41" s="1"/>
  <c r="M19" i="47"/>
  <c r="J24" i="40"/>
  <c r="L52" i="41"/>
  <c r="L53" i="41" s="1"/>
  <c r="L54" i="41" s="1"/>
  <c r="L55" i="41" s="1"/>
  <c r="L56" i="41" s="1"/>
  <c r="L57" i="41" s="1"/>
  <c r="L58" i="41" s="1"/>
  <c r="L59" i="41" s="1"/>
  <c r="L60" i="41" s="1"/>
  <c r="L61" i="41" s="1"/>
  <c r="L62" i="41" s="1"/>
  <c r="L63" i="41" s="1"/>
  <c r="L64" i="41" s="1"/>
  <c r="L65" i="41" s="1"/>
  <c r="L66" i="41" s="1"/>
  <c r="L67" i="41" s="1"/>
  <c r="L68" i="41" s="1"/>
  <c r="L69" i="41" s="1"/>
  <c r="L70" i="41" s="1"/>
  <c r="O73" i="41"/>
  <c r="G37" i="41" s="1"/>
  <c r="M18" i="47"/>
  <c r="L22" i="47"/>
  <c r="K14" i="47"/>
  <c r="K25" i="49"/>
  <c r="K17" i="49" s="1"/>
  <c r="P52" i="41"/>
  <c r="P53" i="41" s="1"/>
  <c r="P54" i="41" s="1"/>
  <c r="P55" i="41" s="1"/>
  <c r="P56" i="41" s="1"/>
  <c r="P57" i="41" s="1"/>
  <c r="P58" i="41" s="1"/>
  <c r="P59" i="41" s="1"/>
  <c r="P60" i="41" s="1"/>
  <c r="P61" i="41" s="1"/>
  <c r="P62" i="41" s="1"/>
  <c r="P63" i="41" s="1"/>
  <c r="P64" i="41" s="1"/>
  <c r="P65" i="41" s="1"/>
  <c r="P66" i="41" s="1"/>
  <c r="P67" i="41" s="1"/>
  <c r="P68" i="41" s="1"/>
  <c r="P69" i="41" s="1"/>
  <c r="P70" i="41" s="1"/>
  <c r="E39" i="40"/>
  <c r="F21" i="40" s="1"/>
  <c r="J14" i="40"/>
  <c r="F19" i="40"/>
  <c r="E40" i="40"/>
  <c r="F23" i="40" s="1"/>
  <c r="P50" i="16"/>
  <c r="P27" i="39" l="1"/>
  <c r="J51" i="41" s="1"/>
  <c r="J52" i="41" s="1"/>
  <c r="J53" i="41" s="1"/>
  <c r="J54" i="41" s="1"/>
  <c r="J55" i="41" s="1"/>
  <c r="J56" i="41" s="1"/>
  <c r="J57" i="41" s="1"/>
  <c r="J58" i="41" s="1"/>
  <c r="J59" i="41" s="1"/>
  <c r="J60" i="41" s="1"/>
  <c r="J61" i="41" s="1"/>
  <c r="J62" i="41" s="1"/>
  <c r="J63" i="41" s="1"/>
  <c r="J64" i="41" s="1"/>
  <c r="J65" i="41" s="1"/>
  <c r="J66" i="41" s="1"/>
  <c r="J67" i="41" s="1"/>
  <c r="J68" i="41" s="1"/>
  <c r="J69" i="41" s="1"/>
  <c r="J70" i="41" s="1"/>
  <c r="J19" i="40"/>
  <c r="I19" i="40"/>
  <c r="AP27" i="39"/>
  <c r="N27" i="39" s="1"/>
  <c r="H51" i="41" s="1"/>
  <c r="J27" i="39"/>
  <c r="D51" i="41" s="1"/>
  <c r="D52" i="41" s="1"/>
  <c r="D53" i="41" s="1"/>
  <c r="D54" i="41" s="1"/>
  <c r="D55" i="41" s="1"/>
  <c r="D56" i="41" s="1"/>
  <c r="D57" i="41" s="1"/>
  <c r="D58" i="41" s="1"/>
  <c r="D59" i="41" s="1"/>
  <c r="D60" i="41" s="1"/>
  <c r="D61" i="41" s="1"/>
  <c r="D62" i="41" s="1"/>
  <c r="D63" i="41" s="1"/>
  <c r="D64" i="41" s="1"/>
  <c r="D65" i="41" s="1"/>
  <c r="D66" i="41" s="1"/>
  <c r="D67" i="41" s="1"/>
  <c r="D68" i="41" s="1"/>
  <c r="D69" i="41" s="1"/>
  <c r="D70" i="41" s="1"/>
  <c r="AQ27" i="39"/>
  <c r="O27" i="39" s="1"/>
  <c r="K27" i="39"/>
  <c r="E51" i="41" s="1"/>
  <c r="E52" i="41" s="1"/>
  <c r="E53" i="41" s="1"/>
  <c r="E54" i="41" s="1"/>
  <c r="E55" i="41" s="1"/>
  <c r="E56" i="41" s="1"/>
  <c r="E57" i="41" s="1"/>
  <c r="E58" i="41" s="1"/>
  <c r="E59" i="41" s="1"/>
  <c r="E60" i="41" s="1"/>
  <c r="E61" i="41" s="1"/>
  <c r="E62" i="41" s="1"/>
  <c r="E63" i="41" s="1"/>
  <c r="E64" i="41" s="1"/>
  <c r="E65" i="41" s="1"/>
  <c r="E66" i="41" s="1"/>
  <c r="E67" i="41" s="1"/>
  <c r="E68" i="41" s="1"/>
  <c r="E69" i="41" s="1"/>
  <c r="E70" i="41" s="1"/>
  <c r="K14" i="40"/>
  <c r="K19" i="40" s="1"/>
  <c r="N14" i="40"/>
  <c r="N21" i="40" s="1"/>
  <c r="O14" i="40"/>
  <c r="L14" i="40"/>
  <c r="P14" i="40"/>
  <c r="M14" i="40"/>
  <c r="S73" i="41"/>
  <c r="K37" i="41" s="1"/>
  <c r="N19" i="47"/>
  <c r="M52" i="41"/>
  <c r="M53" i="41" s="1"/>
  <c r="M54" i="41" s="1"/>
  <c r="M55" i="41" s="1"/>
  <c r="M56" i="41" s="1"/>
  <c r="M57" i="41" s="1"/>
  <c r="M58" i="41" s="1"/>
  <c r="M59" i="41" s="1"/>
  <c r="M60" i="41" s="1"/>
  <c r="M61" i="41" s="1"/>
  <c r="M62" i="41" s="1"/>
  <c r="M63" i="41" s="1"/>
  <c r="M64" i="41" s="1"/>
  <c r="M65" i="41" s="1"/>
  <c r="M66" i="41" s="1"/>
  <c r="M67" i="41" s="1"/>
  <c r="M68" i="41" s="1"/>
  <c r="M69" i="41" s="1"/>
  <c r="M70" i="41" s="1"/>
  <c r="J22" i="40"/>
  <c r="N73" i="41"/>
  <c r="F37" i="41" s="1"/>
  <c r="M12" i="49"/>
  <c r="L22" i="49"/>
  <c r="L25" i="49"/>
  <c r="L17" i="49" s="1"/>
  <c r="L23" i="49"/>
  <c r="L21" i="49"/>
  <c r="L24" i="49"/>
  <c r="E21" i="49"/>
  <c r="E19" i="41"/>
  <c r="G52" i="41"/>
  <c r="G53" i="41" s="1"/>
  <c r="G54" i="41" s="1"/>
  <c r="G55" i="41" s="1"/>
  <c r="G56" i="41" s="1"/>
  <c r="G57" i="41" s="1"/>
  <c r="G58" i="41" s="1"/>
  <c r="G59" i="41" s="1"/>
  <c r="G60" i="41" s="1"/>
  <c r="G61" i="41" s="1"/>
  <c r="G62" i="41" s="1"/>
  <c r="G63" i="41" s="1"/>
  <c r="G64" i="41" s="1"/>
  <c r="G65" i="41" s="1"/>
  <c r="G66" i="41" s="1"/>
  <c r="G67" i="41" s="1"/>
  <c r="G68" i="41" s="1"/>
  <c r="G69" i="41" s="1"/>
  <c r="G70" i="41" s="1"/>
  <c r="O21" i="40"/>
  <c r="M23" i="40"/>
  <c r="L19" i="40"/>
  <c r="F23" i="41"/>
  <c r="F15" i="41" s="1"/>
  <c r="I20" i="40"/>
  <c r="E23" i="49"/>
  <c r="I21" i="40"/>
  <c r="J21" i="40"/>
  <c r="P21" i="40"/>
  <c r="L14" i="47"/>
  <c r="M22" i="47"/>
  <c r="I24" i="40"/>
  <c r="N24" i="40"/>
  <c r="P24" i="40"/>
  <c r="M24" i="40"/>
  <c r="L24" i="40"/>
  <c r="O24" i="40"/>
  <c r="K24" i="40"/>
  <c r="I23" i="40"/>
  <c r="J23" i="40"/>
  <c r="P73" i="41"/>
  <c r="H37" i="41" s="1"/>
  <c r="N18" i="47"/>
  <c r="L73" i="41"/>
  <c r="D37" i="41" s="1"/>
  <c r="J73" i="41"/>
  <c r="K36" i="41" s="1"/>
  <c r="F73" i="41"/>
  <c r="G36" i="41" s="1"/>
  <c r="I22" i="40"/>
  <c r="J20" i="40"/>
  <c r="M20" i="47"/>
  <c r="L21" i="47"/>
  <c r="I24" i="26"/>
  <c r="I23" i="26"/>
  <c r="I22" i="26"/>
  <c r="I21" i="26"/>
  <c r="C35" i="14"/>
  <c r="C36" i="14"/>
  <c r="C37" i="14"/>
  <c r="C38" i="14"/>
  <c r="C34" i="14"/>
  <c r="C58" i="4"/>
  <c r="C43" i="4"/>
  <c r="AJ89" i="4"/>
  <c r="AJ90" i="4" s="1"/>
  <c r="AJ91" i="4" s="1"/>
  <c r="AJ92" i="4" s="1"/>
  <c r="AJ93" i="4" s="1"/>
  <c r="AJ94" i="4" s="1"/>
  <c r="AJ95" i="4" s="1"/>
  <c r="AJ96" i="4" s="1"/>
  <c r="AJ97" i="4" s="1"/>
  <c r="AJ98" i="4" s="1"/>
  <c r="AJ99" i="4" s="1"/>
  <c r="AJ100" i="4" s="1"/>
  <c r="AJ101" i="4" s="1"/>
  <c r="AJ102" i="4" s="1"/>
  <c r="AJ103" i="4" s="1"/>
  <c r="AJ104" i="4" s="1"/>
  <c r="AJ105" i="4" s="1"/>
  <c r="AJ106" i="4" s="1"/>
  <c r="AJ107" i="4" s="1"/>
  <c r="AJ108" i="4" s="1"/>
  <c r="AI89" i="4"/>
  <c r="AI90" i="4" s="1"/>
  <c r="AI91" i="4" s="1"/>
  <c r="AI92" i="4" s="1"/>
  <c r="AI93" i="4" s="1"/>
  <c r="AI94" i="4" s="1"/>
  <c r="AI95" i="4" s="1"/>
  <c r="AI96" i="4" s="1"/>
  <c r="AI97" i="4" s="1"/>
  <c r="AI98" i="4" s="1"/>
  <c r="AI99" i="4" s="1"/>
  <c r="AI100" i="4" s="1"/>
  <c r="AI101" i="4" s="1"/>
  <c r="AI102" i="4" s="1"/>
  <c r="AI103" i="4" s="1"/>
  <c r="AI104" i="4" s="1"/>
  <c r="AI105" i="4" s="1"/>
  <c r="AI106" i="4" s="1"/>
  <c r="AI107" i="4" s="1"/>
  <c r="AI108" i="4" s="1"/>
  <c r="Z89" i="4"/>
  <c r="Z90" i="4" s="1"/>
  <c r="Z91" i="4" s="1"/>
  <c r="Y89" i="4"/>
  <c r="Y90" i="4" s="1"/>
  <c r="Y91" i="4" s="1"/>
  <c r="Y92" i="4" s="1"/>
  <c r="Y93" i="4" s="1"/>
  <c r="Y94" i="4" s="1"/>
  <c r="Y95" i="4" s="1"/>
  <c r="Y96" i="4" s="1"/>
  <c r="Y97" i="4" s="1"/>
  <c r="Y98" i="4" s="1"/>
  <c r="Y99" i="4" s="1"/>
  <c r="Y100" i="4" s="1"/>
  <c r="Y101" i="4" s="1"/>
  <c r="Y102" i="4" s="1"/>
  <c r="Y103" i="4" s="1"/>
  <c r="Y104" i="4" s="1"/>
  <c r="Y105" i="4" s="1"/>
  <c r="Y106" i="4" s="1"/>
  <c r="Y107" i="4" s="1"/>
  <c r="Y108" i="4" s="1"/>
  <c r="B90" i="4"/>
  <c r="B91" i="4" s="1"/>
  <c r="B92" i="4" s="1"/>
  <c r="B93" i="4" s="1"/>
  <c r="B94" i="4" s="1"/>
  <c r="B95" i="4" s="1"/>
  <c r="B96" i="4" s="1"/>
  <c r="B97" i="4" s="1"/>
  <c r="B98" i="4" s="1"/>
  <c r="B99" i="4" s="1"/>
  <c r="B100" i="4" s="1"/>
  <c r="B101" i="4" s="1"/>
  <c r="B102" i="4" s="1"/>
  <c r="B103" i="4" s="1"/>
  <c r="B104" i="4" s="1"/>
  <c r="B105" i="4" s="1"/>
  <c r="B106" i="4" s="1"/>
  <c r="B107" i="4" s="1"/>
  <c r="B108" i="4" s="1"/>
  <c r="D49" i="13"/>
  <c r="D50" i="13"/>
  <c r="D51" i="13"/>
  <c r="D52" i="13"/>
  <c r="D53" i="13"/>
  <c r="D46" i="13" s="1"/>
  <c r="J15" i="13" s="1"/>
  <c r="AA66" i="12"/>
  <c r="AA41" i="12" s="1"/>
  <c r="AB66" i="12"/>
  <c r="AB41" i="12" s="1"/>
  <c r="AC66" i="12"/>
  <c r="AC41" i="12" s="1"/>
  <c r="AD66" i="12"/>
  <c r="AD41" i="12" s="1"/>
  <c r="AE66" i="12"/>
  <c r="AE41" i="12" s="1"/>
  <c r="AF66" i="12"/>
  <c r="AF41" i="12" s="1"/>
  <c r="Y66" i="12"/>
  <c r="Y41" i="12" s="1"/>
  <c r="AA53" i="12"/>
  <c r="AA36" i="12" s="1"/>
  <c r="AB53" i="12"/>
  <c r="AB36" i="12" s="1"/>
  <c r="AC53" i="12"/>
  <c r="AC36" i="12" s="1"/>
  <c r="AD53" i="12"/>
  <c r="AD36" i="12" s="1"/>
  <c r="AE53" i="12"/>
  <c r="AE36" i="12" s="1"/>
  <c r="AF53" i="12"/>
  <c r="AF36" i="12" s="1"/>
  <c r="Y53" i="12"/>
  <c r="Y36" i="12" s="1"/>
  <c r="Z78" i="12"/>
  <c r="X78" i="12"/>
  <c r="N23" i="40" l="1"/>
  <c r="O23" i="40"/>
  <c r="O19" i="40"/>
  <c r="H19" i="41"/>
  <c r="E18" i="47"/>
  <c r="I16" i="49"/>
  <c r="K16" i="49"/>
  <c r="J16" i="49"/>
  <c r="O19" i="47"/>
  <c r="M21" i="47"/>
  <c r="N20" i="47"/>
  <c r="L23" i="40"/>
  <c r="I23" i="41"/>
  <c r="I15" i="41" s="1"/>
  <c r="L21" i="40"/>
  <c r="E20" i="47"/>
  <c r="E21" i="41"/>
  <c r="M22" i="40"/>
  <c r="M20" i="40"/>
  <c r="M19" i="40"/>
  <c r="I51" i="41"/>
  <c r="H52" i="41"/>
  <c r="H53" i="41" s="1"/>
  <c r="H54" i="41" s="1"/>
  <c r="H55" i="41" s="1"/>
  <c r="H56" i="41" s="1"/>
  <c r="H57" i="41" s="1"/>
  <c r="H58" i="41" s="1"/>
  <c r="H59" i="41" s="1"/>
  <c r="H60" i="41" s="1"/>
  <c r="H61" i="41" s="1"/>
  <c r="H62" i="41" s="1"/>
  <c r="H63" i="41" s="1"/>
  <c r="H64" i="41" s="1"/>
  <c r="H65" i="41" s="1"/>
  <c r="H66" i="41" s="1"/>
  <c r="H67" i="41" s="1"/>
  <c r="H68" i="41" s="1"/>
  <c r="H69" i="41" s="1"/>
  <c r="H70" i="41" s="1"/>
  <c r="K23" i="41"/>
  <c r="K15" i="41" s="1"/>
  <c r="J23" i="41"/>
  <c r="J15" i="41" s="1"/>
  <c r="L20" i="40"/>
  <c r="L22" i="40"/>
  <c r="K20" i="40"/>
  <c r="K22" i="40"/>
  <c r="E21" i="47"/>
  <c r="E22" i="41"/>
  <c r="K23" i="40"/>
  <c r="H23" i="41"/>
  <c r="H15" i="41" s="1"/>
  <c r="E23" i="41"/>
  <c r="E15" i="41" s="1"/>
  <c r="L21" i="41"/>
  <c r="E19" i="47"/>
  <c r="E20" i="41"/>
  <c r="D73" i="41"/>
  <c r="E36" i="41" s="1"/>
  <c r="F20" i="41" s="1"/>
  <c r="P22" i="40"/>
  <c r="P20" i="40"/>
  <c r="O22" i="40"/>
  <c r="O20" i="40"/>
  <c r="E73" i="41"/>
  <c r="F36" i="41" s="1"/>
  <c r="G19" i="41" s="1"/>
  <c r="M73" i="41"/>
  <c r="E37" i="41" s="1"/>
  <c r="O18" i="47"/>
  <c r="P23" i="40"/>
  <c r="G23" i="41"/>
  <c r="G15" i="41" s="1"/>
  <c r="L23" i="41"/>
  <c r="L15" i="41" s="1"/>
  <c r="M14" i="47"/>
  <c r="N22" i="47"/>
  <c r="M21" i="40"/>
  <c r="K21" i="40"/>
  <c r="N22" i="40"/>
  <c r="N20" i="40"/>
  <c r="G73" i="41"/>
  <c r="N19" i="40"/>
  <c r="P19" i="40"/>
  <c r="L16" i="49"/>
  <c r="N12" i="49"/>
  <c r="M22" i="49"/>
  <c r="M24" i="49"/>
  <c r="M23" i="49"/>
  <c r="M25" i="49"/>
  <c r="M17" i="49" s="1"/>
  <c r="M21" i="49"/>
  <c r="J24" i="13"/>
  <c r="AJ116" i="4"/>
  <c r="E74" i="4" s="1"/>
  <c r="AI116" i="4"/>
  <c r="D74" i="4" s="1"/>
  <c r="Z92" i="4"/>
  <c r="Z93" i="4" s="1"/>
  <c r="Z94" i="4" s="1"/>
  <c r="Z95" i="4" s="1"/>
  <c r="Z96" i="4" s="1"/>
  <c r="Z97" i="4" s="1"/>
  <c r="Z98" i="4" s="1"/>
  <c r="Z99" i="4" s="1"/>
  <c r="Z100" i="4" s="1"/>
  <c r="Z101" i="4" s="1"/>
  <c r="Z102" i="4" s="1"/>
  <c r="Z103" i="4" s="1"/>
  <c r="Z104" i="4" s="1"/>
  <c r="Z105" i="4" s="1"/>
  <c r="Z106" i="4" s="1"/>
  <c r="Z107" i="4" s="1"/>
  <c r="Z108" i="4" s="1"/>
  <c r="Y116" i="4"/>
  <c r="D73" i="4" s="1"/>
  <c r="F19" i="41" l="1"/>
  <c r="F22" i="41"/>
  <c r="F20" i="46" s="1"/>
  <c r="N22" i="49"/>
  <c r="O12" i="49"/>
  <c r="N23" i="49"/>
  <c r="N21" i="49"/>
  <c r="N24" i="49"/>
  <c r="N25" i="49"/>
  <c r="N17" i="49" s="1"/>
  <c r="P18" i="47"/>
  <c r="H20" i="41"/>
  <c r="H18" i="46" s="1"/>
  <c r="E14" i="41"/>
  <c r="G21" i="41"/>
  <c r="G22" i="41"/>
  <c r="H73" i="41"/>
  <c r="I36" i="41" s="1"/>
  <c r="J21" i="41" s="1"/>
  <c r="O20" i="47"/>
  <c r="P19" i="47"/>
  <c r="J13" i="47"/>
  <c r="I13" i="47"/>
  <c r="K13" i="47"/>
  <c r="L13" i="47"/>
  <c r="M13" i="47"/>
  <c r="L19" i="41"/>
  <c r="I21" i="41"/>
  <c r="L20" i="41"/>
  <c r="L18" i="46" s="1"/>
  <c r="G20" i="41"/>
  <c r="I20" i="41"/>
  <c r="I18" i="46" s="1"/>
  <c r="M16" i="49"/>
  <c r="O22" i="47"/>
  <c r="N14" i="47"/>
  <c r="L22" i="41"/>
  <c r="L20" i="46" s="1"/>
  <c r="H22" i="41"/>
  <c r="H20" i="46" s="1"/>
  <c r="F21" i="41"/>
  <c r="I52" i="41"/>
  <c r="I53" i="41" s="1"/>
  <c r="I54" i="41" s="1"/>
  <c r="I55" i="41" s="1"/>
  <c r="I56" i="41" s="1"/>
  <c r="I57" i="41" s="1"/>
  <c r="I58" i="41" s="1"/>
  <c r="I59" i="41" s="1"/>
  <c r="I60" i="41" s="1"/>
  <c r="I61" i="41" s="1"/>
  <c r="I62" i="41" s="1"/>
  <c r="I63" i="41" s="1"/>
  <c r="I64" i="41" s="1"/>
  <c r="I65" i="41" s="1"/>
  <c r="I66" i="41" s="1"/>
  <c r="I67" i="41" s="1"/>
  <c r="I68" i="41" s="1"/>
  <c r="I69" i="41" s="1"/>
  <c r="I70" i="41" s="1"/>
  <c r="I19" i="41"/>
  <c r="I22" i="41"/>
  <c r="I20" i="46" s="1"/>
  <c r="H21" i="41"/>
  <c r="N21" i="47"/>
  <c r="Z116" i="4"/>
  <c r="E73" i="4" s="1"/>
  <c r="H14" i="41" l="1"/>
  <c r="J22" i="41"/>
  <c r="J20" i="46" s="1"/>
  <c r="G20" i="48"/>
  <c r="J20" i="41"/>
  <c r="J18" i="46" s="1"/>
  <c r="G14" i="41"/>
  <c r="O21" i="47"/>
  <c r="O13" i="47" s="1"/>
  <c r="N13" i="47"/>
  <c r="N16" i="49"/>
  <c r="I14" i="41"/>
  <c r="P22" i="47"/>
  <c r="O14" i="47"/>
  <c r="J19" i="41"/>
  <c r="L14" i="41"/>
  <c r="F14" i="41"/>
  <c r="I73" i="41"/>
  <c r="J36" i="41" s="1"/>
  <c r="P20" i="47"/>
  <c r="P12" i="49"/>
  <c r="O23" i="49"/>
  <c r="O22" i="49"/>
  <c r="O25" i="49"/>
  <c r="O17" i="49" s="1"/>
  <c r="O21" i="49"/>
  <c r="O24" i="49"/>
  <c r="I20" i="18"/>
  <c r="J20" i="18" s="1"/>
  <c r="K20" i="18" s="1"/>
  <c r="L20" i="18" s="1"/>
  <c r="M20" i="18" s="1"/>
  <c r="N20" i="18" s="1"/>
  <c r="O20" i="18" s="1"/>
  <c r="P20" i="18" s="1"/>
  <c r="D45" i="13"/>
  <c r="E36" i="13" l="1"/>
  <c r="J14" i="13"/>
  <c r="K20" i="48"/>
  <c r="I18" i="48"/>
  <c r="K19" i="41"/>
  <c r="K21" i="41"/>
  <c r="K20" i="41"/>
  <c r="K18" i="46" s="1"/>
  <c r="K22" i="41"/>
  <c r="K20" i="46" s="1"/>
  <c r="M18" i="48"/>
  <c r="G27" i="48"/>
  <c r="F21" i="50"/>
  <c r="P22" i="49"/>
  <c r="P21" i="49"/>
  <c r="P24" i="49"/>
  <c r="P23" i="49"/>
  <c r="P25" i="49"/>
  <c r="P17" i="49" s="1"/>
  <c r="P21" i="47"/>
  <c r="J14" i="41"/>
  <c r="I20" i="48"/>
  <c r="J18" i="48"/>
  <c r="O16" i="49"/>
  <c r="P14" i="47"/>
  <c r="K18" i="48"/>
  <c r="J20" i="48"/>
  <c r="E37" i="13"/>
  <c r="F20" i="13" s="1"/>
  <c r="E39" i="13"/>
  <c r="F21" i="13" s="1"/>
  <c r="E38" i="13"/>
  <c r="F22" i="13" s="1"/>
  <c r="E40" i="13"/>
  <c r="F23" i="13" s="1"/>
  <c r="J23" i="13" s="1"/>
  <c r="F19" i="13"/>
  <c r="P16" i="49" l="1"/>
  <c r="K27" i="48"/>
  <c r="J21" i="50"/>
  <c r="L19" i="50"/>
  <c r="M25" i="48"/>
  <c r="J25" i="48"/>
  <c r="I19" i="50"/>
  <c r="M20" i="48"/>
  <c r="P13" i="47"/>
  <c r="H19" i="50"/>
  <c r="I25" i="48"/>
  <c r="K25" i="48"/>
  <c r="J19" i="50"/>
  <c r="J27" i="48"/>
  <c r="I21" i="50"/>
  <c r="H21" i="50"/>
  <c r="I27" i="48"/>
  <c r="K14" i="41"/>
  <c r="F57" i="4"/>
  <c r="F42" i="4"/>
  <c r="K437" i="32"/>
  <c r="K438" i="32"/>
  <c r="K439" i="32"/>
  <c r="K440" i="32"/>
  <c r="K441" i="32"/>
  <c r="K442" i="32"/>
  <c r="K443" i="32"/>
  <c r="K444" i="32"/>
  <c r="K445" i="32"/>
  <c r="K446" i="32"/>
  <c r="K447" i="32"/>
  <c r="K448" i="32"/>
  <c r="K449" i="32"/>
  <c r="K450" i="32"/>
  <c r="K451" i="32"/>
  <c r="K452" i="32"/>
  <c r="K453" i="32"/>
  <c r="K454" i="32"/>
  <c r="K455" i="32"/>
  <c r="K456" i="32"/>
  <c r="K457" i="32"/>
  <c r="K458" i="32"/>
  <c r="K459" i="32"/>
  <c r="K460" i="32"/>
  <c r="K461" i="32"/>
  <c r="K462" i="32"/>
  <c r="K463" i="32"/>
  <c r="K436" i="32"/>
  <c r="K435" i="32"/>
  <c r="K434" i="32"/>
  <c r="K405" i="32"/>
  <c r="K406" i="32"/>
  <c r="K407" i="32"/>
  <c r="K408" i="32"/>
  <c r="K409" i="32"/>
  <c r="K410" i="32"/>
  <c r="K411" i="32"/>
  <c r="K412" i="32"/>
  <c r="K413" i="32"/>
  <c r="K414" i="32"/>
  <c r="K415" i="32"/>
  <c r="K416" i="32"/>
  <c r="K417" i="32"/>
  <c r="K418" i="32"/>
  <c r="K419" i="32"/>
  <c r="K420" i="32"/>
  <c r="K421" i="32"/>
  <c r="K422" i="32"/>
  <c r="K423" i="32"/>
  <c r="K424" i="32"/>
  <c r="K425" i="32"/>
  <c r="K426" i="32"/>
  <c r="K427" i="32"/>
  <c r="K428" i="32"/>
  <c r="K429" i="32"/>
  <c r="K430" i="32"/>
  <c r="K431" i="32"/>
  <c r="K432" i="32"/>
  <c r="K404" i="32"/>
  <c r="J145" i="24"/>
  <c r="E83" i="34" s="1"/>
  <c r="L124" i="24"/>
  <c r="L140" i="24"/>
  <c r="J140" i="24"/>
  <c r="R137" i="24" s="1"/>
  <c r="E90" i="34" s="1"/>
  <c r="I140" i="24"/>
  <c r="H140" i="24"/>
  <c r="E140" i="24"/>
  <c r="L139" i="24"/>
  <c r="I139" i="24"/>
  <c r="H139" i="24"/>
  <c r="E139" i="24"/>
  <c r="L138" i="24"/>
  <c r="I138" i="24"/>
  <c r="H138" i="24"/>
  <c r="E138" i="24"/>
  <c r="L137" i="24"/>
  <c r="I137" i="24"/>
  <c r="H137" i="24"/>
  <c r="E137" i="24"/>
  <c r="L136" i="24"/>
  <c r="I136" i="24"/>
  <c r="H136" i="24"/>
  <c r="E136" i="24"/>
  <c r="L135" i="24"/>
  <c r="I135" i="24"/>
  <c r="H135" i="24"/>
  <c r="E135" i="24"/>
  <c r="L134" i="24"/>
  <c r="I134" i="24"/>
  <c r="H134" i="24"/>
  <c r="E134" i="24"/>
  <c r="L133" i="24"/>
  <c r="I133" i="24"/>
  <c r="H133" i="24"/>
  <c r="E133" i="24"/>
  <c r="L132" i="24"/>
  <c r="I132" i="24"/>
  <c r="H132" i="24"/>
  <c r="E132" i="24"/>
  <c r="L131" i="24"/>
  <c r="J131" i="24"/>
  <c r="R136" i="24" s="1"/>
  <c r="E89" i="34" s="1"/>
  <c r="I131" i="24"/>
  <c r="H131" i="24"/>
  <c r="E131" i="24"/>
  <c r="L130" i="24"/>
  <c r="I130" i="24"/>
  <c r="H130" i="24"/>
  <c r="E130" i="24"/>
  <c r="L129" i="24"/>
  <c r="I129" i="24"/>
  <c r="H129" i="24"/>
  <c r="E129" i="24"/>
  <c r="L128" i="24"/>
  <c r="J128" i="24"/>
  <c r="R135" i="24" s="1"/>
  <c r="E88" i="34" s="1"/>
  <c r="I128" i="24"/>
  <c r="H128" i="24"/>
  <c r="E128" i="24"/>
  <c r="L127" i="24"/>
  <c r="I127" i="24"/>
  <c r="H127" i="24"/>
  <c r="E127" i="24"/>
  <c r="L126" i="24"/>
  <c r="I126" i="24"/>
  <c r="H126" i="24"/>
  <c r="E126" i="24"/>
  <c r="L125" i="24"/>
  <c r="I125" i="24"/>
  <c r="H125" i="24"/>
  <c r="E125" i="24"/>
  <c r="E124" i="24"/>
  <c r="L123" i="24"/>
  <c r="I123" i="24"/>
  <c r="H123" i="24"/>
  <c r="E123" i="24"/>
  <c r="L122" i="24"/>
  <c r="I122" i="24"/>
  <c r="H122" i="24"/>
  <c r="E122" i="24"/>
  <c r="L121" i="24"/>
  <c r="I121" i="24"/>
  <c r="H121" i="24"/>
  <c r="E121" i="24"/>
  <c r="L120" i="24"/>
  <c r="I120" i="24"/>
  <c r="H120" i="24"/>
  <c r="E120" i="24"/>
  <c r="L119" i="24"/>
  <c r="I119" i="24"/>
  <c r="H119" i="24"/>
  <c r="E119" i="24"/>
  <c r="L118" i="24"/>
  <c r="I118" i="24"/>
  <c r="H118" i="24"/>
  <c r="E118" i="24"/>
  <c r="L117" i="24"/>
  <c r="I117" i="24"/>
  <c r="H117" i="24"/>
  <c r="E117" i="24"/>
  <c r="L116" i="24"/>
  <c r="I116" i="24"/>
  <c r="H116" i="24"/>
  <c r="E116" i="24"/>
  <c r="L115" i="24"/>
  <c r="I115" i="24"/>
  <c r="H115" i="24"/>
  <c r="E115" i="24"/>
  <c r="L114" i="24"/>
  <c r="I114" i="24"/>
  <c r="H114" i="24"/>
  <c r="E114" i="24"/>
  <c r="L113" i="24"/>
  <c r="I113" i="24"/>
  <c r="H113" i="24"/>
  <c r="E113" i="24"/>
  <c r="L112" i="24"/>
  <c r="I112" i="24"/>
  <c r="H112" i="24"/>
  <c r="E112" i="24"/>
  <c r="L111" i="24"/>
  <c r="I111" i="24"/>
  <c r="H111" i="24"/>
  <c r="E111" i="24"/>
  <c r="N139" i="24" l="1"/>
  <c r="L20" i="48"/>
  <c r="L21" i="50"/>
  <c r="M27" i="48"/>
  <c r="L18" i="48"/>
  <c r="F23" i="4"/>
  <c r="J150" i="24"/>
  <c r="E99" i="34" s="1"/>
  <c r="N128" i="24"/>
  <c r="N124" i="24"/>
  <c r="N130" i="24"/>
  <c r="M112" i="24"/>
  <c r="M116" i="24"/>
  <c r="M120" i="24"/>
  <c r="M124" i="24"/>
  <c r="M134" i="24"/>
  <c r="N136" i="24"/>
  <c r="N138" i="24"/>
  <c r="N125" i="24"/>
  <c r="M129" i="24"/>
  <c r="N131" i="24"/>
  <c r="N113" i="24"/>
  <c r="N117" i="24"/>
  <c r="N121" i="24"/>
  <c r="N140" i="24"/>
  <c r="N135" i="24"/>
  <c r="N137" i="24"/>
  <c r="N118" i="24"/>
  <c r="M128" i="24"/>
  <c r="M131" i="24"/>
  <c r="O140" i="24"/>
  <c r="S137" i="24" s="1"/>
  <c r="E106" i="34" s="1"/>
  <c r="N133" i="24"/>
  <c r="N115" i="24"/>
  <c r="M119" i="24"/>
  <c r="N123" i="24"/>
  <c r="N127" i="24"/>
  <c r="N112" i="24"/>
  <c r="M114" i="24"/>
  <c r="N132" i="24"/>
  <c r="N134" i="24"/>
  <c r="N116" i="24"/>
  <c r="N120" i="24"/>
  <c r="N122" i="24"/>
  <c r="N111" i="24"/>
  <c r="N126" i="24"/>
  <c r="N129" i="24"/>
  <c r="M140" i="24"/>
  <c r="M115" i="24"/>
  <c r="M123" i="24"/>
  <c r="M127" i="24"/>
  <c r="M133" i="24"/>
  <c r="M111" i="24"/>
  <c r="N119" i="24"/>
  <c r="M118" i="24"/>
  <c r="M122" i="24"/>
  <c r="M132" i="24"/>
  <c r="M126" i="24"/>
  <c r="N114" i="24"/>
  <c r="O128" i="24"/>
  <c r="S135" i="24" s="1"/>
  <c r="E104" i="34" s="1"/>
  <c r="M113" i="24"/>
  <c r="M117" i="24"/>
  <c r="M121" i="24"/>
  <c r="M125" i="24"/>
  <c r="M130" i="24"/>
  <c r="M135" i="24"/>
  <c r="M136" i="24"/>
  <c r="M137" i="24"/>
  <c r="M138" i="24"/>
  <c r="M139" i="24"/>
  <c r="O131" i="24"/>
  <c r="S136" i="24" s="1"/>
  <c r="E105" i="34" s="1"/>
  <c r="D55" i="36"/>
  <c r="D54" i="36"/>
  <c r="D53" i="36"/>
  <c r="E42" i="36" s="1"/>
  <c r="D52" i="36"/>
  <c r="E41" i="36" s="1"/>
  <c r="D51" i="36"/>
  <c r="E40" i="36" s="1"/>
  <c r="D50" i="36"/>
  <c r="E39" i="36" s="1"/>
  <c r="E48" i="36"/>
  <c r="E47" i="36"/>
  <c r="H43" i="36"/>
  <c r="H44" i="36" s="1"/>
  <c r="O32" i="36"/>
  <c r="N32" i="36"/>
  <c r="M32" i="36"/>
  <c r="K32" i="36"/>
  <c r="J32" i="36"/>
  <c r="I32" i="36"/>
  <c r="L29" i="36" s="1"/>
  <c r="I25" i="36"/>
  <c r="I24" i="36"/>
  <c r="I23" i="36"/>
  <c r="I22" i="36"/>
  <c r="I21" i="36"/>
  <c r="I20" i="36"/>
  <c r="I19" i="36"/>
  <c r="M29" i="36" l="1"/>
  <c r="M15" i="36" s="1"/>
  <c r="M23" i="36" s="1"/>
  <c r="O29" i="36"/>
  <c r="O15" i="36" s="1"/>
  <c r="O23" i="36" s="1"/>
  <c r="L25" i="48"/>
  <c r="K19" i="50"/>
  <c r="L27" i="48"/>
  <c r="K21" i="50"/>
  <c r="N29" i="36"/>
  <c r="N15" i="36" s="1"/>
  <c r="N23" i="36" s="1"/>
  <c r="P29" i="36"/>
  <c r="P14" i="36" s="1"/>
  <c r="P25" i="36" s="1"/>
  <c r="L15" i="36"/>
  <c r="L23" i="36" s="1"/>
  <c r="L14" i="36"/>
  <c r="O14" i="36"/>
  <c r="J29" i="36"/>
  <c r="K29" i="36"/>
  <c r="M14" i="36"/>
  <c r="P24" i="36" l="1"/>
  <c r="P22" i="36"/>
  <c r="P20" i="36"/>
  <c r="P19" i="36"/>
  <c r="P21" i="36"/>
  <c r="P15" i="36"/>
  <c r="P23" i="36" s="1"/>
  <c r="N14" i="36"/>
  <c r="N19" i="36" s="1"/>
  <c r="L25" i="36"/>
  <c r="L24" i="36"/>
  <c r="L22" i="36"/>
  <c r="L21" i="36"/>
  <c r="L20" i="36"/>
  <c r="L19" i="36"/>
  <c r="K15" i="36"/>
  <c r="K23" i="36" s="1"/>
  <c r="K14" i="36"/>
  <c r="M25" i="36"/>
  <c r="M24" i="36"/>
  <c r="M22" i="36"/>
  <c r="M21" i="36"/>
  <c r="M20" i="36"/>
  <c r="M19" i="36"/>
  <c r="J15" i="36"/>
  <c r="J14" i="36"/>
  <c r="O24" i="36"/>
  <c r="O21" i="36"/>
  <c r="O25" i="36"/>
  <c r="O22" i="36"/>
  <c r="O19" i="36"/>
  <c r="O20" i="36"/>
  <c r="N21" i="36" l="1"/>
  <c r="N24" i="36"/>
  <c r="N20" i="36"/>
  <c r="N25" i="36"/>
  <c r="N22" i="36"/>
  <c r="K12" i="36"/>
  <c r="T13" i="36" s="1"/>
  <c r="J25" i="36"/>
  <c r="J24" i="36"/>
  <c r="J22" i="36"/>
  <c r="J21" i="36"/>
  <c r="J20" i="36"/>
  <c r="J19" i="36"/>
  <c r="K25" i="36"/>
  <c r="K24" i="36"/>
  <c r="K22" i="36"/>
  <c r="K21" i="36"/>
  <c r="K20" i="36"/>
  <c r="K19" i="36"/>
  <c r="J23" i="36"/>
  <c r="J29" i="14" l="1"/>
  <c r="J14" i="14"/>
  <c r="K29" i="14"/>
  <c r="K14" i="14"/>
  <c r="G14" i="14"/>
  <c r="I14" i="14"/>
  <c r="L29" i="14"/>
  <c r="L14" i="14"/>
  <c r="N14" i="14"/>
  <c r="H14" i="14"/>
  <c r="M29" i="14"/>
  <c r="M14" i="14"/>
  <c r="N29" i="14"/>
  <c r="G29" i="14"/>
  <c r="H29" i="14"/>
  <c r="I29" i="14"/>
  <c r="J28" i="24"/>
  <c r="J25" i="24"/>
  <c r="M83" i="24" l="1"/>
  <c r="N100" i="24" s="1"/>
  <c r="E56" i="34" s="1"/>
  <c r="M74" i="24"/>
  <c r="N99" i="24" s="1"/>
  <c r="E55" i="34" s="1"/>
  <c r="M71" i="24"/>
  <c r="N98" i="24" s="1"/>
  <c r="E54" i="34" s="1"/>
  <c r="N102" i="24" l="1"/>
  <c r="N101" i="24"/>
  <c r="X77" i="12"/>
  <c r="AB79" i="12"/>
  <c r="AC79" i="12"/>
  <c r="AD79" i="12"/>
  <c r="AE79" i="12"/>
  <c r="AF79" i="12"/>
  <c r="J37" i="24" l="1"/>
  <c r="H55" i="24" l="1"/>
  <c r="H56" i="24"/>
  <c r="H57" i="24"/>
  <c r="H58" i="24"/>
  <c r="H59" i="24"/>
  <c r="H60" i="24"/>
  <c r="H61" i="24"/>
  <c r="H62" i="24"/>
  <c r="H63" i="24"/>
  <c r="H64" i="24"/>
  <c r="H65" i="24"/>
  <c r="H66" i="24"/>
  <c r="H67" i="24"/>
  <c r="H68" i="24"/>
  <c r="H69" i="24"/>
  <c r="H70" i="24"/>
  <c r="H71" i="24"/>
  <c r="H72" i="24"/>
  <c r="H73" i="24"/>
  <c r="H74" i="24"/>
  <c r="H75" i="24"/>
  <c r="H76" i="24"/>
  <c r="H77" i="24"/>
  <c r="H78" i="24"/>
  <c r="H79" i="24"/>
  <c r="H80" i="24"/>
  <c r="H81" i="24"/>
  <c r="H82" i="24"/>
  <c r="H83" i="24"/>
  <c r="L83" i="24" s="1"/>
  <c r="H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54"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8" i="24"/>
  <c r="L9" i="24"/>
  <c r="L10" i="24"/>
  <c r="L11" i="24"/>
  <c r="L12" i="24"/>
  <c r="L13" i="24"/>
  <c r="L14" i="24"/>
  <c r="L15" i="24"/>
  <c r="L16" i="24"/>
  <c r="L17" i="24"/>
  <c r="L18" i="24"/>
  <c r="L19" i="24"/>
  <c r="L20" i="24"/>
  <c r="L21" i="24"/>
  <c r="L22" i="24"/>
  <c r="L23" i="24"/>
  <c r="L24" i="24"/>
  <c r="L25" i="24"/>
  <c r="L26" i="24"/>
  <c r="L27" i="24"/>
  <c r="L28" i="24"/>
  <c r="L29" i="24"/>
  <c r="L30" i="24"/>
  <c r="L31" i="24"/>
  <c r="L32" i="24"/>
  <c r="L33" i="24"/>
  <c r="L34" i="24"/>
  <c r="L35" i="24"/>
  <c r="L36" i="24"/>
  <c r="L37" i="24"/>
  <c r="L8" i="24"/>
  <c r="K83" i="24"/>
  <c r="E22" i="26"/>
  <c r="E23" i="26"/>
  <c r="E24" i="26"/>
  <c r="Q71" i="24" l="1"/>
  <c r="O98" i="24" s="1"/>
  <c r="E70" i="34" s="1"/>
  <c r="Q83" i="24"/>
  <c r="O100" i="24" s="1"/>
  <c r="E72" i="34" s="1"/>
  <c r="Q74" i="24"/>
  <c r="O99" i="24" s="1"/>
  <c r="E71" i="34" s="1"/>
  <c r="N90" i="24"/>
  <c r="I48" i="24"/>
  <c r="O37" i="24"/>
  <c r="J104" i="24"/>
  <c r="J94" i="24"/>
  <c r="O83" i="24"/>
  <c r="O74" i="24"/>
  <c r="O89" i="24" s="1"/>
  <c r="O71" i="24"/>
  <c r="K74" i="24"/>
  <c r="K71" i="24"/>
  <c r="E21" i="34" l="1"/>
  <c r="E36" i="34"/>
  <c r="O88" i="24"/>
  <c r="N88" i="24"/>
  <c r="O90" i="24"/>
  <c r="N89" i="24"/>
  <c r="S34" i="24"/>
  <c r="O28" i="24"/>
  <c r="S33" i="24" s="1"/>
  <c r="O25" i="24"/>
  <c r="S32" i="24" s="1"/>
  <c r="R34" i="24"/>
  <c r="R33" i="24"/>
  <c r="R32" i="24"/>
  <c r="E17" i="46" s="1"/>
  <c r="I38" i="16" l="1"/>
  <c r="I20" i="16"/>
  <c r="E18" i="46"/>
  <c r="I21" i="16"/>
  <c r="E19" i="46"/>
  <c r="I39" i="16"/>
  <c r="E21" i="46"/>
  <c r="H17" i="46"/>
  <c r="I40" i="16"/>
  <c r="I37" i="16"/>
  <c r="S138" i="24"/>
  <c r="E19" i="34"/>
  <c r="E35" i="34"/>
  <c r="E37" i="34"/>
  <c r="I19" i="16"/>
  <c r="R138" i="24"/>
  <c r="E20" i="34"/>
  <c r="N91" i="24"/>
  <c r="N92" i="24"/>
  <c r="O102" i="24"/>
  <c r="O101" i="24"/>
  <c r="O92" i="24"/>
  <c r="O91" i="24"/>
  <c r="S38" i="24"/>
  <c r="S37" i="24"/>
  <c r="S35" i="24"/>
  <c r="R35" i="24"/>
  <c r="R37" i="24"/>
  <c r="R38" i="24"/>
  <c r="I22" i="16" l="1"/>
  <c r="L37" i="16"/>
  <c r="M37" i="16" s="1"/>
  <c r="N37" i="16" s="1"/>
  <c r="O37" i="16" s="1"/>
  <c r="P37" i="16" s="1"/>
  <c r="L40" i="16"/>
  <c r="M40" i="16" s="1"/>
  <c r="N40" i="16" s="1"/>
  <c r="O40" i="16" s="1"/>
  <c r="P40" i="16" s="1"/>
  <c r="L38" i="16"/>
  <c r="L21" i="16"/>
  <c r="M21" i="16" s="1"/>
  <c r="N21" i="16" s="1"/>
  <c r="O21" i="16" s="1"/>
  <c r="P21" i="16" s="1"/>
  <c r="L19" i="16"/>
  <c r="H15" i="44"/>
  <c r="H21" i="46"/>
  <c r="F17" i="48"/>
  <c r="F18" i="48"/>
  <c r="I17" i="46"/>
  <c r="F19" i="48"/>
  <c r="M38" i="16"/>
  <c r="N38" i="16" s="1"/>
  <c r="O38" i="16" s="1"/>
  <c r="P38" i="16" s="1"/>
  <c r="I41" i="16"/>
  <c r="I23" i="16"/>
  <c r="E21" i="26"/>
  <c r="C25" i="29"/>
  <c r="C27" i="29"/>
  <c r="C28" i="29"/>
  <c r="C29" i="29"/>
  <c r="L41" i="16" l="1"/>
  <c r="M41" i="16" s="1"/>
  <c r="N41" i="16" s="1"/>
  <c r="O41" i="16" s="1"/>
  <c r="P41" i="16" s="1"/>
  <c r="P32" i="16" s="1"/>
  <c r="L23" i="16"/>
  <c r="L14" i="16" s="1"/>
  <c r="E20" i="46"/>
  <c r="K14" i="44"/>
  <c r="H19" i="46"/>
  <c r="I19" i="48" s="1"/>
  <c r="J17" i="46"/>
  <c r="E18" i="50"/>
  <c r="F24" i="48"/>
  <c r="I17" i="48"/>
  <c r="I19" i="46"/>
  <c r="I21" i="46"/>
  <c r="K15" i="44"/>
  <c r="F26" i="48"/>
  <c r="E20" i="50"/>
  <c r="E19" i="50"/>
  <c r="F25" i="48"/>
  <c r="F21" i="48"/>
  <c r="E13" i="46"/>
  <c r="I33" i="16"/>
  <c r="I15" i="16"/>
  <c r="M19" i="16"/>
  <c r="J99" i="24"/>
  <c r="J89" i="24"/>
  <c r="P55" i="24"/>
  <c r="P56" i="24"/>
  <c r="P72" i="24"/>
  <c r="P73" i="24"/>
  <c r="P74" i="24"/>
  <c r="P57" i="24"/>
  <c r="P58" i="24"/>
  <c r="P59" i="24"/>
  <c r="P60" i="24"/>
  <c r="P61" i="24"/>
  <c r="P62" i="24"/>
  <c r="P63" i="24"/>
  <c r="P64" i="24"/>
  <c r="P65" i="24"/>
  <c r="P66" i="24"/>
  <c r="P67" i="24"/>
  <c r="P68" i="24"/>
  <c r="P69" i="24"/>
  <c r="P70" i="24"/>
  <c r="P71" i="24"/>
  <c r="P75" i="24"/>
  <c r="P76" i="24"/>
  <c r="P77" i="24"/>
  <c r="P78" i="24"/>
  <c r="P79" i="24"/>
  <c r="P80" i="24"/>
  <c r="P81" i="24"/>
  <c r="P82" i="24"/>
  <c r="P54" i="24"/>
  <c r="N55" i="24"/>
  <c r="N56" i="24"/>
  <c r="N72" i="24"/>
  <c r="N73" i="24"/>
  <c r="N74" i="24"/>
  <c r="N57" i="24"/>
  <c r="N58" i="24"/>
  <c r="N59" i="24"/>
  <c r="N60" i="24"/>
  <c r="N61" i="24"/>
  <c r="N62" i="24"/>
  <c r="N63" i="24"/>
  <c r="N64" i="24"/>
  <c r="N65" i="24"/>
  <c r="N66" i="24"/>
  <c r="N67" i="24"/>
  <c r="N68" i="24"/>
  <c r="N69" i="24"/>
  <c r="N70" i="24"/>
  <c r="N71" i="24"/>
  <c r="N75" i="24"/>
  <c r="N76" i="24"/>
  <c r="N77" i="24"/>
  <c r="N78" i="24"/>
  <c r="N79" i="24"/>
  <c r="N80" i="24"/>
  <c r="N81" i="24"/>
  <c r="N82" i="24"/>
  <c r="N83" i="24"/>
  <c r="N54" i="24"/>
  <c r="L55" i="24"/>
  <c r="L56" i="24"/>
  <c r="L72" i="24"/>
  <c r="L73" i="24"/>
  <c r="L74" i="24"/>
  <c r="L57" i="24"/>
  <c r="L58" i="24"/>
  <c r="L59" i="24"/>
  <c r="L60" i="24"/>
  <c r="L61" i="24"/>
  <c r="L62" i="24"/>
  <c r="L63" i="24"/>
  <c r="L64" i="24"/>
  <c r="L65" i="24"/>
  <c r="L66" i="24"/>
  <c r="L67" i="24"/>
  <c r="L68" i="24"/>
  <c r="L69" i="24"/>
  <c r="L70" i="24"/>
  <c r="L71" i="24"/>
  <c r="L75" i="24"/>
  <c r="L76" i="24"/>
  <c r="L77" i="24"/>
  <c r="L78" i="24"/>
  <c r="L79" i="24"/>
  <c r="L80" i="24"/>
  <c r="L81" i="24"/>
  <c r="L82" i="24"/>
  <c r="L54" i="24"/>
  <c r="J55" i="24"/>
  <c r="J56" i="24"/>
  <c r="J72" i="24"/>
  <c r="J73" i="24"/>
  <c r="J74" i="24"/>
  <c r="J57" i="24"/>
  <c r="J58" i="24"/>
  <c r="J59" i="24"/>
  <c r="J60" i="24"/>
  <c r="J61" i="24"/>
  <c r="J62" i="24"/>
  <c r="J63" i="24"/>
  <c r="J64" i="24"/>
  <c r="J65" i="24"/>
  <c r="J66" i="24"/>
  <c r="J67" i="24"/>
  <c r="J68" i="24"/>
  <c r="J69" i="24"/>
  <c r="J70" i="24"/>
  <c r="J71" i="24"/>
  <c r="J75" i="24"/>
  <c r="J76" i="24"/>
  <c r="J77" i="24"/>
  <c r="J78" i="24"/>
  <c r="J79" i="24"/>
  <c r="J80" i="24"/>
  <c r="J81" i="24"/>
  <c r="J82" i="24"/>
  <c r="J83" i="24"/>
  <c r="J54" i="24"/>
  <c r="I43" i="24"/>
  <c r="H37" i="24"/>
  <c r="H36" i="24"/>
  <c r="H35" i="24"/>
  <c r="H34" i="24"/>
  <c r="H33" i="24"/>
  <c r="H32" i="24"/>
  <c r="H31" i="24"/>
  <c r="H30" i="24"/>
  <c r="H29" i="24"/>
  <c r="H25" i="24"/>
  <c r="H24" i="24"/>
  <c r="H23" i="24"/>
  <c r="H22" i="24"/>
  <c r="H21" i="24"/>
  <c r="H20" i="24"/>
  <c r="H19" i="24"/>
  <c r="H18" i="24"/>
  <c r="H17" i="24"/>
  <c r="H16" i="24"/>
  <c r="H15" i="24"/>
  <c r="H14" i="24"/>
  <c r="H13" i="24"/>
  <c r="H12" i="24"/>
  <c r="H11" i="24"/>
  <c r="H28" i="24"/>
  <c r="H27" i="24"/>
  <c r="H26" i="24"/>
  <c r="H10" i="24"/>
  <c r="H9" i="24"/>
  <c r="M37" i="24"/>
  <c r="M36" i="24"/>
  <c r="M35" i="24"/>
  <c r="M34" i="24"/>
  <c r="M33" i="24"/>
  <c r="M32" i="24"/>
  <c r="M31" i="24"/>
  <c r="M30" i="24"/>
  <c r="M29" i="24"/>
  <c r="M25" i="24"/>
  <c r="M24" i="24"/>
  <c r="M23" i="24"/>
  <c r="M22" i="24"/>
  <c r="M21" i="24"/>
  <c r="M20" i="24"/>
  <c r="M19" i="24"/>
  <c r="M18" i="24"/>
  <c r="M17" i="24"/>
  <c r="M16" i="24"/>
  <c r="M15" i="24"/>
  <c r="M14" i="24"/>
  <c r="M13" i="24"/>
  <c r="M12" i="24"/>
  <c r="M11" i="24"/>
  <c r="M28" i="24"/>
  <c r="M27" i="24"/>
  <c r="M26" i="24"/>
  <c r="M10" i="24"/>
  <c r="M9" i="24"/>
  <c r="M8" i="24"/>
  <c r="H8" i="24"/>
  <c r="N8" i="24"/>
  <c r="F20" i="48" l="1"/>
  <c r="E12" i="46"/>
  <c r="O32" i="16"/>
  <c r="L32" i="16"/>
  <c r="M32" i="16"/>
  <c r="L14" i="44"/>
  <c r="F34" i="48"/>
  <c r="F27" i="48"/>
  <c r="E21" i="50"/>
  <c r="E13" i="50" s="1"/>
  <c r="E26" i="50" s="1"/>
  <c r="F13" i="48"/>
  <c r="F35" i="48" s="1"/>
  <c r="E22" i="50"/>
  <c r="E14" i="50" s="1"/>
  <c r="E27" i="50" s="1"/>
  <c r="F28" i="48"/>
  <c r="K17" i="46"/>
  <c r="J17" i="48"/>
  <c r="L15" i="44"/>
  <c r="H13" i="46"/>
  <c r="I21" i="48"/>
  <c r="J19" i="48"/>
  <c r="J19" i="46"/>
  <c r="H20" i="50"/>
  <c r="I26" i="48"/>
  <c r="I24" i="48"/>
  <c r="H18" i="50"/>
  <c r="I12" i="48"/>
  <c r="I34" i="48" s="1"/>
  <c r="H12" i="46"/>
  <c r="N32" i="16"/>
  <c r="N19" i="16"/>
  <c r="L15" i="16"/>
  <c r="M23" i="16"/>
  <c r="M14" i="16" s="1"/>
  <c r="I17" i="26"/>
  <c r="J12" i="26"/>
  <c r="K12" i="26" l="1"/>
  <c r="L12" i="26" s="1"/>
  <c r="M12" i="26" s="1"/>
  <c r="N12" i="26" s="1"/>
  <c r="O12" i="26" s="1"/>
  <c r="P12" i="26" s="1"/>
  <c r="F31" i="48"/>
  <c r="M14" i="44"/>
  <c r="J21" i="46"/>
  <c r="H13" i="50"/>
  <c r="H26" i="50" s="1"/>
  <c r="J12" i="48"/>
  <c r="J34" i="48" s="1"/>
  <c r="J24" i="48"/>
  <c r="I18" i="50"/>
  <c r="H22" i="50"/>
  <c r="H14" i="50" s="1"/>
  <c r="H27" i="50" s="1"/>
  <c r="I13" i="48"/>
  <c r="I35" i="48" s="1"/>
  <c r="I28" i="48"/>
  <c r="I31" i="48" s="1"/>
  <c r="I13" i="46"/>
  <c r="J21" i="48"/>
  <c r="L17" i="46"/>
  <c r="K17" i="48"/>
  <c r="J26" i="48"/>
  <c r="I20" i="50"/>
  <c r="K21" i="46"/>
  <c r="M15" i="44"/>
  <c r="I12" i="46"/>
  <c r="K19" i="48"/>
  <c r="K19" i="46"/>
  <c r="O19" i="16"/>
  <c r="N23" i="16"/>
  <c r="N14" i="16" s="1"/>
  <c r="M15" i="16"/>
  <c r="J24" i="26"/>
  <c r="J22" i="26"/>
  <c r="J25" i="26"/>
  <c r="J17" i="26" s="1"/>
  <c r="J23" i="26"/>
  <c r="J21" i="26"/>
  <c r="N14" i="44" l="1"/>
  <c r="L17" i="48"/>
  <c r="J28" i="48"/>
  <c r="J31" i="48" s="1"/>
  <c r="J13" i="48"/>
  <c r="J35" i="48" s="1"/>
  <c r="I22" i="50"/>
  <c r="I14" i="50" s="1"/>
  <c r="I27" i="50" s="1"/>
  <c r="L21" i="46"/>
  <c r="N15" i="44"/>
  <c r="L19" i="48"/>
  <c r="J13" i="46"/>
  <c r="K21" i="48"/>
  <c r="I13" i="50"/>
  <c r="I26" i="50" s="1"/>
  <c r="K26" i="48"/>
  <c r="J20" i="50"/>
  <c r="J12" i="46"/>
  <c r="J18" i="50"/>
  <c r="K12" i="48"/>
  <c r="K34" i="48" s="1"/>
  <c r="K24" i="48"/>
  <c r="M17" i="48"/>
  <c r="N15" i="16"/>
  <c r="O23" i="16"/>
  <c r="O14" i="16" s="1"/>
  <c r="P19" i="16"/>
  <c r="K25" i="26"/>
  <c r="K17" i="26" s="1"/>
  <c r="K21" i="26"/>
  <c r="K22" i="26"/>
  <c r="K23" i="26"/>
  <c r="K24" i="26"/>
  <c r="I21" i="18"/>
  <c r="J21" i="18" s="1"/>
  <c r="K21" i="18" s="1"/>
  <c r="L21" i="18" s="1"/>
  <c r="M21" i="18" s="1"/>
  <c r="N21" i="18" s="1"/>
  <c r="O21" i="18" s="1"/>
  <c r="P21" i="18" s="1"/>
  <c r="I19" i="18"/>
  <c r="J19" i="18" s="1"/>
  <c r="K19" i="18" s="1"/>
  <c r="L19" i="18" s="1"/>
  <c r="M19" i="18" s="1"/>
  <c r="N19" i="18" s="1"/>
  <c r="O19" i="18" s="1"/>
  <c r="P19" i="18" s="1"/>
  <c r="C48" i="17"/>
  <c r="C49" i="17"/>
  <c r="C50" i="17"/>
  <c r="C51" i="17"/>
  <c r="C47" i="17"/>
  <c r="C33" i="17"/>
  <c r="C34" i="17"/>
  <c r="C35" i="17"/>
  <c r="C36" i="17"/>
  <c r="C32" i="17"/>
  <c r="C105" i="34"/>
  <c r="C106" i="34"/>
  <c r="C107" i="34"/>
  <c r="C108" i="34"/>
  <c r="C104" i="34"/>
  <c r="C89" i="34"/>
  <c r="C90" i="34"/>
  <c r="C91" i="34"/>
  <c r="C92" i="34"/>
  <c r="C88" i="34"/>
  <c r="C71" i="34"/>
  <c r="C72" i="34"/>
  <c r="C73" i="34"/>
  <c r="C74" i="34"/>
  <c r="C70" i="34"/>
  <c r="C55" i="34"/>
  <c r="C56" i="34"/>
  <c r="C57" i="34"/>
  <c r="C58" i="34"/>
  <c r="C54" i="34"/>
  <c r="C36" i="34"/>
  <c r="C37" i="34"/>
  <c r="C38" i="34"/>
  <c r="C39" i="34"/>
  <c r="C35" i="34"/>
  <c r="C38" i="16"/>
  <c r="C39" i="16"/>
  <c r="C40" i="16"/>
  <c r="C41" i="16"/>
  <c r="C37" i="16"/>
  <c r="C49" i="15"/>
  <c r="C50" i="15"/>
  <c r="C51" i="15"/>
  <c r="C52" i="15"/>
  <c r="C48" i="15"/>
  <c r="C34" i="15"/>
  <c r="C35" i="15"/>
  <c r="C36" i="15"/>
  <c r="C37" i="15"/>
  <c r="C33" i="15"/>
  <c r="H30" i="14"/>
  <c r="I30" i="14"/>
  <c r="J30" i="14"/>
  <c r="K30" i="14"/>
  <c r="L30" i="14"/>
  <c r="M30" i="14"/>
  <c r="N30" i="14"/>
  <c r="G30" i="14"/>
  <c r="H15" i="14"/>
  <c r="I15" i="14"/>
  <c r="J15" i="14"/>
  <c r="K15" i="14"/>
  <c r="L15" i="14"/>
  <c r="M15" i="14"/>
  <c r="N15" i="14"/>
  <c r="G15" i="14"/>
  <c r="C54" i="4"/>
  <c r="C55" i="4"/>
  <c r="C56" i="4"/>
  <c r="C57" i="4"/>
  <c r="C53" i="4"/>
  <c r="C39" i="4"/>
  <c r="C40" i="4"/>
  <c r="C41" i="4"/>
  <c r="C42" i="4"/>
  <c r="C38" i="4"/>
  <c r="L19" i="46" l="1"/>
  <c r="M19" i="48" s="1"/>
  <c r="M12" i="48" s="1"/>
  <c r="M34" i="48" s="1"/>
  <c r="J13" i="50"/>
  <c r="J26" i="50" s="1"/>
  <c r="O14" i="44"/>
  <c r="O15" i="44"/>
  <c r="L18" i="50"/>
  <c r="M24" i="48"/>
  <c r="K13" i="46"/>
  <c r="L21" i="48"/>
  <c r="L26" i="48"/>
  <c r="K20" i="50"/>
  <c r="K13" i="48"/>
  <c r="K35" i="48" s="1"/>
  <c r="K28" i="48"/>
  <c r="K31" i="48" s="1"/>
  <c r="J22" i="50"/>
  <c r="J14" i="50" s="1"/>
  <c r="J27" i="50" s="1"/>
  <c r="K12" i="46"/>
  <c r="K18" i="50"/>
  <c r="L24" i="48"/>
  <c r="L12" i="48"/>
  <c r="L34" i="48" s="1"/>
  <c r="P23" i="16"/>
  <c r="P15" i="16" s="1"/>
  <c r="O15" i="16"/>
  <c r="L23" i="26"/>
  <c r="L24" i="26"/>
  <c r="L22" i="26"/>
  <c r="L21" i="26"/>
  <c r="L25" i="26"/>
  <c r="J22" i="18"/>
  <c r="K22" i="18" s="1"/>
  <c r="L22" i="18" s="1"/>
  <c r="M22" i="18" s="1"/>
  <c r="N22" i="18" s="1"/>
  <c r="O22" i="18" s="1"/>
  <c r="P22" i="18" s="1"/>
  <c r="J48" i="24"/>
  <c r="J43" i="24"/>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I37" i="24"/>
  <c r="P83" i="24" s="1"/>
  <c r="I9" i="24"/>
  <c r="I10" i="24"/>
  <c r="I26" i="24"/>
  <c r="I27" i="24"/>
  <c r="I28" i="24"/>
  <c r="I11" i="24"/>
  <c r="I12" i="24"/>
  <c r="I13" i="24"/>
  <c r="I14" i="24"/>
  <c r="I15" i="24"/>
  <c r="I16" i="24"/>
  <c r="I17" i="24"/>
  <c r="I18" i="24"/>
  <c r="I19" i="24"/>
  <c r="I20" i="24"/>
  <c r="I21" i="24"/>
  <c r="I22" i="24"/>
  <c r="I23" i="24"/>
  <c r="I24" i="24"/>
  <c r="I25" i="24"/>
  <c r="I29" i="24"/>
  <c r="I30" i="24"/>
  <c r="I31" i="24"/>
  <c r="I32" i="24"/>
  <c r="I33" i="24"/>
  <c r="I34" i="24"/>
  <c r="I35" i="24"/>
  <c r="I36" i="24"/>
  <c r="I8" i="24"/>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2" i="32"/>
  <c r="K373" i="32"/>
  <c r="K374" i="32"/>
  <c r="K375" i="32"/>
  <c r="K376" i="32"/>
  <c r="K377" i="32"/>
  <c r="K378" i="32"/>
  <c r="K379" i="32"/>
  <c r="K380" i="32"/>
  <c r="K381" i="32"/>
  <c r="K382" i="32"/>
  <c r="K383" i="32"/>
  <c r="K384" i="32"/>
  <c r="K385" i="32"/>
  <c r="K386" i="32"/>
  <c r="K387" i="32"/>
  <c r="K388" i="32"/>
  <c r="K389" i="32"/>
  <c r="K390" i="32"/>
  <c r="K391" i="32"/>
  <c r="K392" i="32"/>
  <c r="K393" i="32"/>
  <c r="K394" i="32"/>
  <c r="K395" i="32"/>
  <c r="K396" i="32"/>
  <c r="K397" i="32"/>
  <c r="K398" i="32"/>
  <c r="K399" i="32"/>
  <c r="K400" i="32"/>
  <c r="K401"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10" i="32"/>
  <c r="K250" i="32"/>
  <c r="K249" i="32"/>
  <c r="K248" i="32"/>
  <c r="P14" i="16" l="1"/>
  <c r="L12" i="46"/>
  <c r="L20" i="50"/>
  <c r="L13" i="50" s="1"/>
  <c r="L26" i="50" s="1"/>
  <c r="M26" i="48"/>
  <c r="L28" i="48"/>
  <c r="L31" i="48" s="1"/>
  <c r="K22" i="50"/>
  <c r="K14" i="50" s="1"/>
  <c r="K27" i="50" s="1"/>
  <c r="L13" i="48"/>
  <c r="L35" i="48" s="1"/>
  <c r="K13" i="50"/>
  <c r="K26" i="50" s="1"/>
  <c r="L13" i="46"/>
  <c r="M21" i="48"/>
  <c r="I50" i="16"/>
  <c r="I32" i="16"/>
  <c r="I55" i="16"/>
  <c r="M21" i="26"/>
  <c r="M25" i="26"/>
  <c r="M17" i="26" s="1"/>
  <c r="M24" i="26"/>
  <c r="M22" i="26"/>
  <c r="M23" i="26"/>
  <c r="L17" i="26"/>
  <c r="J18" i="18"/>
  <c r="I14" i="18"/>
  <c r="N9" i="24"/>
  <c r="N10" i="24"/>
  <c r="N26" i="24"/>
  <c r="N27" i="24"/>
  <c r="N28" i="24"/>
  <c r="N11" i="24"/>
  <c r="N12" i="24"/>
  <c r="N13" i="24"/>
  <c r="N14" i="24"/>
  <c r="N15" i="24"/>
  <c r="N16" i="24"/>
  <c r="N17" i="24"/>
  <c r="N18" i="24"/>
  <c r="N19" i="24"/>
  <c r="N20" i="24"/>
  <c r="N21" i="24"/>
  <c r="N22" i="24"/>
  <c r="N23" i="24"/>
  <c r="N24" i="24"/>
  <c r="N25" i="24"/>
  <c r="N29" i="24"/>
  <c r="N30" i="24"/>
  <c r="N31" i="24"/>
  <c r="N32" i="24"/>
  <c r="N33" i="24"/>
  <c r="N34" i="24"/>
  <c r="N35" i="24"/>
  <c r="N36" i="24"/>
  <c r="N37" i="24"/>
  <c r="E31" i="34"/>
  <c r="K237" i="32"/>
  <c r="L237" i="32" s="1"/>
  <c r="K238" i="32"/>
  <c r="L238" i="32" s="1"/>
  <c r="K239" i="32"/>
  <c r="L239" i="32" s="1"/>
  <c r="K240" i="32"/>
  <c r="L240" i="32" s="1"/>
  <c r="K241" i="32"/>
  <c r="L241" i="32" s="1"/>
  <c r="K242" i="32"/>
  <c r="L242" i="32" s="1"/>
  <c r="K243" i="32"/>
  <c r="L243" i="32" s="1"/>
  <c r="K162" i="32"/>
  <c r="K163" i="32"/>
  <c r="K164" i="32"/>
  <c r="K165" i="32"/>
  <c r="K166" i="32"/>
  <c r="K167" i="32"/>
  <c r="K168" i="32"/>
  <c r="K169" i="32"/>
  <c r="K170" i="32"/>
  <c r="K171" i="32"/>
  <c r="K172" i="32"/>
  <c r="K173" i="32"/>
  <c r="K174" i="32"/>
  <c r="K175" i="32"/>
  <c r="K176" i="32"/>
  <c r="K177" i="32"/>
  <c r="K178" i="32"/>
  <c r="K179" i="32"/>
  <c r="K180" i="32"/>
  <c r="K181" i="32"/>
  <c r="K182" i="32"/>
  <c r="K183" i="32"/>
  <c r="K184" i="32"/>
  <c r="K185" i="32"/>
  <c r="K186" i="32"/>
  <c r="K187" i="32"/>
  <c r="K188" i="32"/>
  <c r="K189" i="32"/>
  <c r="K190" i="32"/>
  <c r="K191" i="32"/>
  <c r="K192" i="32"/>
  <c r="K194" i="32"/>
  <c r="K195" i="32"/>
  <c r="K196" i="32"/>
  <c r="K197" i="32"/>
  <c r="K198" i="32"/>
  <c r="K199" i="32"/>
  <c r="K200" i="32"/>
  <c r="K201" i="32"/>
  <c r="K202" i="32"/>
  <c r="K203" i="32"/>
  <c r="K204" i="32"/>
  <c r="K205" i="32"/>
  <c r="K206" i="32"/>
  <c r="K207" i="32"/>
  <c r="K208" i="32"/>
  <c r="K209" i="32"/>
  <c r="K210" i="32"/>
  <c r="K211" i="32"/>
  <c r="K212" i="32"/>
  <c r="K213" i="32"/>
  <c r="K214" i="32"/>
  <c r="K215" i="32"/>
  <c r="K216" i="32"/>
  <c r="K217" i="32"/>
  <c r="K218" i="32"/>
  <c r="K219" i="32"/>
  <c r="K220" i="32"/>
  <c r="K221" i="32"/>
  <c r="K222" i="32"/>
  <c r="K223" i="32"/>
  <c r="J55" i="16" l="1"/>
  <c r="J37" i="16" s="1"/>
  <c r="K55" i="16"/>
  <c r="J50" i="16"/>
  <c r="K50" i="16"/>
  <c r="L22" i="50"/>
  <c r="L14" i="50" s="1"/>
  <c r="L27" i="50" s="1"/>
  <c r="O26" i="50" s="1"/>
  <c r="M13" i="48"/>
  <c r="M35" i="48" s="1"/>
  <c r="M28" i="48"/>
  <c r="M31" i="48" s="1"/>
  <c r="N24" i="26"/>
  <c r="N21" i="26"/>
  <c r="N25" i="26"/>
  <c r="N17" i="26" s="1"/>
  <c r="N22" i="26"/>
  <c r="N23" i="26"/>
  <c r="E65" i="34"/>
  <c r="J14" i="18"/>
  <c r="K18" i="18"/>
  <c r="E30" i="34"/>
  <c r="E14" i="34"/>
  <c r="E49" i="34"/>
  <c r="J20" i="16" l="1"/>
  <c r="J21" i="16"/>
  <c r="J19" i="16"/>
  <c r="J23" i="16"/>
  <c r="J22" i="16"/>
  <c r="K39" i="16"/>
  <c r="K40" i="16"/>
  <c r="K38" i="16"/>
  <c r="K37" i="16"/>
  <c r="K41" i="16"/>
  <c r="J39" i="16"/>
  <c r="J38" i="16"/>
  <c r="J40" i="16"/>
  <c r="J41" i="16"/>
  <c r="J15" i="16"/>
  <c r="K22" i="16"/>
  <c r="K20" i="16"/>
  <c r="K21" i="16"/>
  <c r="K19" i="16"/>
  <c r="K23" i="16"/>
  <c r="K15" i="16" s="1"/>
  <c r="G17" i="46"/>
  <c r="G21" i="46"/>
  <c r="F17" i="46"/>
  <c r="F21" i="46"/>
  <c r="O22" i="26"/>
  <c r="O24" i="26"/>
  <c r="O23" i="26"/>
  <c r="O25" i="26"/>
  <c r="O17" i="26" s="1"/>
  <c r="O21" i="26"/>
  <c r="K14" i="18"/>
  <c r="L18" i="18"/>
  <c r="C15" i="29"/>
  <c r="Z77" i="12"/>
  <c r="J14" i="16" l="1"/>
  <c r="K14" i="16"/>
  <c r="K32" i="16"/>
  <c r="F18" i="46"/>
  <c r="G18" i="48" s="1"/>
  <c r="G20" i="46"/>
  <c r="H20" i="48" s="1"/>
  <c r="F19" i="46"/>
  <c r="G19" i="48" s="1"/>
  <c r="G18" i="46"/>
  <c r="H18" i="48" s="1"/>
  <c r="G19" i="46"/>
  <c r="H19" i="48" s="1"/>
  <c r="I15" i="44"/>
  <c r="J15" i="44"/>
  <c r="J14" i="44"/>
  <c r="I14" i="44"/>
  <c r="Z53" i="12"/>
  <c r="Z36" i="12" s="1"/>
  <c r="Z66" i="12"/>
  <c r="Z41" i="12" s="1"/>
  <c r="P23" i="26"/>
  <c r="P21" i="26"/>
  <c r="P25" i="26"/>
  <c r="P17" i="26" s="1"/>
  <c r="P22" i="26"/>
  <c r="P24" i="26"/>
  <c r="AA79" i="12"/>
  <c r="Z79" i="12"/>
  <c r="L14" i="18"/>
  <c r="M18" i="18"/>
  <c r="AT89" i="4"/>
  <c r="AV89" i="4"/>
  <c r="AY89" i="4"/>
  <c r="AZ89" i="4"/>
  <c r="K231" i="32"/>
  <c r="L231" i="32" s="1"/>
  <c r="K232" i="32"/>
  <c r="L232" i="32" s="1"/>
  <c r="K233" i="32"/>
  <c r="L233" i="32" s="1"/>
  <c r="K234" i="32"/>
  <c r="L234" i="32" s="1"/>
  <c r="K235" i="32"/>
  <c r="L235" i="32" s="1"/>
  <c r="K236" i="32"/>
  <c r="L236" i="32" s="1"/>
  <c r="K230" i="32"/>
  <c r="L230" i="32" s="1"/>
  <c r="K229" i="32"/>
  <c r="L229" i="32" s="1"/>
  <c r="K228" i="32"/>
  <c r="L228" i="32" s="1"/>
  <c r="K105" i="32"/>
  <c r="K106" i="32"/>
  <c r="K107" i="32"/>
  <c r="K108" i="32"/>
  <c r="K109" i="32"/>
  <c r="K110" i="32"/>
  <c r="K111" i="32"/>
  <c r="K112" i="32"/>
  <c r="K113" i="32"/>
  <c r="K114" i="32"/>
  <c r="K115" i="32"/>
  <c r="K116" i="32"/>
  <c r="K117" i="32"/>
  <c r="K118" i="32"/>
  <c r="K119" i="32"/>
  <c r="K120" i="32"/>
  <c r="K121" i="32"/>
  <c r="K122" i="32"/>
  <c r="K123" i="32"/>
  <c r="K124" i="32"/>
  <c r="K125" i="32"/>
  <c r="K126" i="32"/>
  <c r="K127" i="32"/>
  <c r="K128" i="32"/>
  <c r="K129" i="32"/>
  <c r="K130" i="32"/>
  <c r="K131" i="32"/>
  <c r="K132" i="32"/>
  <c r="K133" i="32"/>
  <c r="K134" i="32"/>
  <c r="K135" i="32"/>
  <c r="K136" i="32"/>
  <c r="K137" i="32"/>
  <c r="K138" i="32"/>
  <c r="K139" i="32"/>
  <c r="K140" i="32"/>
  <c r="K141" i="32"/>
  <c r="K142" i="32"/>
  <c r="K143" i="32"/>
  <c r="K144" i="32"/>
  <c r="K145" i="32"/>
  <c r="K146" i="32"/>
  <c r="K147" i="32"/>
  <c r="K148" i="32"/>
  <c r="K149" i="32"/>
  <c r="K150" i="32"/>
  <c r="K151" i="32"/>
  <c r="K152" i="32"/>
  <c r="K153" i="32"/>
  <c r="K154" i="32"/>
  <c r="K155" i="32"/>
  <c r="K156" i="32"/>
  <c r="K157" i="32"/>
  <c r="K158" i="32"/>
  <c r="K159" i="32"/>
  <c r="K160" i="32"/>
  <c r="K161" i="32"/>
  <c r="K78" i="32"/>
  <c r="L78" i="32" s="1"/>
  <c r="K79" i="32"/>
  <c r="L79" i="32" s="1"/>
  <c r="K80" i="32"/>
  <c r="L80" i="32" s="1"/>
  <c r="K81" i="32"/>
  <c r="L81" i="32" s="1"/>
  <c r="K82" i="32"/>
  <c r="L82" i="32" s="1"/>
  <c r="K83" i="32"/>
  <c r="L83" i="32" s="1"/>
  <c r="K84" i="32"/>
  <c r="L84" i="32" s="1"/>
  <c r="K85" i="32"/>
  <c r="L85" i="32" s="1"/>
  <c r="K86" i="32"/>
  <c r="L86" i="32" s="1"/>
  <c r="K87" i="32"/>
  <c r="L87" i="32" s="1"/>
  <c r="K88" i="32"/>
  <c r="L88" i="32" s="1"/>
  <c r="K89" i="32"/>
  <c r="L89" i="32" s="1"/>
  <c r="K90" i="32"/>
  <c r="L90" i="32" s="1"/>
  <c r="K91" i="32"/>
  <c r="L91" i="32" s="1"/>
  <c r="K92" i="32"/>
  <c r="L92" i="32" s="1"/>
  <c r="K93" i="32"/>
  <c r="L93" i="32" s="1"/>
  <c r="K94" i="32"/>
  <c r="L94" i="32" s="1"/>
  <c r="K95" i="32"/>
  <c r="L95" i="32" s="1"/>
  <c r="K96" i="32"/>
  <c r="L96" i="32" s="1"/>
  <c r="K97" i="32"/>
  <c r="L97" i="32" s="1"/>
  <c r="K98" i="32"/>
  <c r="L98" i="32" s="1"/>
  <c r="K99" i="32"/>
  <c r="L99" i="32" s="1"/>
  <c r="K100" i="32"/>
  <c r="L100" i="32" s="1"/>
  <c r="K101" i="32"/>
  <c r="L101" i="32" s="1"/>
  <c r="K102" i="32"/>
  <c r="K103" i="32"/>
  <c r="K104" i="32"/>
  <c r="K77" i="32"/>
  <c r="L77" i="32" s="1"/>
  <c r="K76" i="32"/>
  <c r="L76" i="32" s="1"/>
  <c r="K75" i="32"/>
  <c r="L75" i="32" s="1"/>
  <c r="K74" i="32"/>
  <c r="L74" i="32" s="1"/>
  <c r="K73" i="32"/>
  <c r="L73" i="32" s="1"/>
  <c r="K72" i="32"/>
  <c r="L72" i="32" s="1"/>
  <c r="C21" i="29"/>
  <c r="C20" i="29"/>
  <c r="C19" i="29"/>
  <c r="C18" i="29"/>
  <c r="C16" i="29"/>
  <c r="C22" i="29"/>
  <c r="C23" i="29"/>
  <c r="C24" i="29"/>
  <c r="L28" i="13"/>
  <c r="K63" i="32"/>
  <c r="L63" i="32" s="1"/>
  <c r="K64" i="32"/>
  <c r="L64" i="32" s="1"/>
  <c r="K65" i="32"/>
  <c r="L65" i="32" s="1"/>
  <c r="K66" i="32"/>
  <c r="L66" i="32" s="1"/>
  <c r="K67" i="32"/>
  <c r="L67" i="32" s="1"/>
  <c r="K62" i="32"/>
  <c r="L62" i="32" s="1"/>
  <c r="K5" i="32"/>
  <c r="L5" i="32" s="1"/>
  <c r="K6" i="32"/>
  <c r="L6" i="32" s="1"/>
  <c r="K7" i="32"/>
  <c r="L7" i="32" s="1"/>
  <c r="K8" i="32"/>
  <c r="L8" i="32" s="1"/>
  <c r="K9" i="32"/>
  <c r="L9" i="32" s="1"/>
  <c r="K10" i="32"/>
  <c r="L10" i="32" s="1"/>
  <c r="K11" i="32"/>
  <c r="L11" i="32" s="1"/>
  <c r="K12" i="32"/>
  <c r="L12" i="32" s="1"/>
  <c r="K13" i="32"/>
  <c r="L13" i="32" s="1"/>
  <c r="K14" i="32"/>
  <c r="L14" i="32" s="1"/>
  <c r="K15" i="32"/>
  <c r="L15" i="32" s="1"/>
  <c r="K16" i="32"/>
  <c r="L16" i="32" s="1"/>
  <c r="K17" i="32"/>
  <c r="L17" i="32" s="1"/>
  <c r="K18" i="32"/>
  <c r="L18" i="32" s="1"/>
  <c r="K19" i="32"/>
  <c r="L19" i="32" s="1"/>
  <c r="K20" i="32"/>
  <c r="L20" i="32" s="1"/>
  <c r="K21" i="32"/>
  <c r="L21" i="32" s="1"/>
  <c r="K22" i="32"/>
  <c r="L22" i="32" s="1"/>
  <c r="K23" i="32"/>
  <c r="L23" i="32" s="1"/>
  <c r="K24" i="32"/>
  <c r="L24" i="32" s="1"/>
  <c r="K25" i="32"/>
  <c r="L25" i="32" s="1"/>
  <c r="K26" i="32"/>
  <c r="L26" i="32" s="1"/>
  <c r="K27" i="32"/>
  <c r="L27" i="32" s="1"/>
  <c r="K28" i="32"/>
  <c r="L28" i="32" s="1"/>
  <c r="K29" i="32"/>
  <c r="L29" i="32" s="1"/>
  <c r="K30" i="32"/>
  <c r="L30" i="32" s="1"/>
  <c r="K4" i="32"/>
  <c r="L4" i="32" s="1"/>
  <c r="K31" i="32"/>
  <c r="K32" i="32"/>
  <c r="K33" i="32"/>
  <c r="K34" i="32"/>
  <c r="K35" i="32"/>
  <c r="K36" i="32"/>
  <c r="K37" i="32"/>
  <c r="K38" i="32"/>
  <c r="K39" i="32"/>
  <c r="K40" i="32"/>
  <c r="K41" i="32"/>
  <c r="K42" i="32"/>
  <c r="K43" i="32"/>
  <c r="K44" i="32"/>
  <c r="K45" i="32"/>
  <c r="K46" i="32"/>
  <c r="K47" i="32"/>
  <c r="K48" i="32"/>
  <c r="K49" i="32"/>
  <c r="K50" i="32"/>
  <c r="K51" i="32"/>
  <c r="K52" i="32"/>
  <c r="K53" i="32"/>
  <c r="K54" i="32"/>
  <c r="K55" i="32"/>
  <c r="K56" i="32"/>
  <c r="K57" i="32"/>
  <c r="B33" i="4"/>
  <c r="B48" i="4"/>
  <c r="C11" i="29"/>
  <c r="C12" i="29"/>
  <c r="C13" i="29"/>
  <c r="C14" i="29"/>
  <c r="C17" i="29"/>
  <c r="G26" i="48" l="1"/>
  <c r="F20" i="50"/>
  <c r="H26" i="48"/>
  <c r="G20" i="50"/>
  <c r="G21" i="50"/>
  <c r="H27" i="48"/>
  <c r="H25" i="48"/>
  <c r="G19" i="50"/>
  <c r="F19" i="50"/>
  <c r="G25" i="48"/>
  <c r="G17" i="48"/>
  <c r="F12" i="46"/>
  <c r="BD89" i="4"/>
  <c r="BD90" i="4" s="1"/>
  <c r="BD91" i="4" s="1"/>
  <c r="BD92" i="4" s="1"/>
  <c r="BD93" i="4" s="1"/>
  <c r="BD94" i="4" s="1"/>
  <c r="BD95" i="4" s="1"/>
  <c r="BD96" i="4" s="1"/>
  <c r="BD97" i="4" s="1"/>
  <c r="BD98" i="4" s="1"/>
  <c r="BD99" i="4" s="1"/>
  <c r="BD100" i="4" s="1"/>
  <c r="BD101" i="4" s="1"/>
  <c r="BD102" i="4" s="1"/>
  <c r="BD103" i="4" s="1"/>
  <c r="BD104" i="4" s="1"/>
  <c r="BD105" i="4" s="1"/>
  <c r="BD106" i="4" s="1"/>
  <c r="BD107" i="4" s="1"/>
  <c r="BD108" i="4" s="1"/>
  <c r="BH89" i="4"/>
  <c r="BH90" i="4" s="1"/>
  <c r="BH91" i="4" s="1"/>
  <c r="BH92" i="4" s="1"/>
  <c r="BH93" i="4" s="1"/>
  <c r="BH94" i="4" s="1"/>
  <c r="BH95" i="4" s="1"/>
  <c r="BH96" i="4" s="1"/>
  <c r="BH97" i="4" s="1"/>
  <c r="BH98" i="4" s="1"/>
  <c r="BH99" i="4" s="1"/>
  <c r="BH100" i="4" s="1"/>
  <c r="BH101" i="4" s="1"/>
  <c r="BH102" i="4" s="1"/>
  <c r="BH103" i="4" s="1"/>
  <c r="BH104" i="4" s="1"/>
  <c r="BH105" i="4" s="1"/>
  <c r="BH106" i="4" s="1"/>
  <c r="BH107" i="4" s="1"/>
  <c r="BH108" i="4" s="1"/>
  <c r="G13" i="46"/>
  <c r="H21" i="48"/>
  <c r="BJ89" i="4"/>
  <c r="BJ90" i="4" s="1"/>
  <c r="BJ91" i="4" s="1"/>
  <c r="BJ92" i="4" s="1"/>
  <c r="BJ93" i="4" s="1"/>
  <c r="BJ94" i="4" s="1"/>
  <c r="BJ95" i="4" s="1"/>
  <c r="BJ96" i="4" s="1"/>
  <c r="BJ97" i="4" s="1"/>
  <c r="BJ98" i="4" s="1"/>
  <c r="BJ99" i="4" s="1"/>
  <c r="BJ100" i="4" s="1"/>
  <c r="BJ101" i="4" s="1"/>
  <c r="BJ102" i="4" s="1"/>
  <c r="BJ103" i="4" s="1"/>
  <c r="BJ104" i="4" s="1"/>
  <c r="BJ105" i="4" s="1"/>
  <c r="BJ106" i="4" s="1"/>
  <c r="BJ107" i="4" s="1"/>
  <c r="BJ108" i="4" s="1"/>
  <c r="G12" i="46"/>
  <c r="H17" i="48"/>
  <c r="BI89" i="4"/>
  <c r="BI90" i="4" s="1"/>
  <c r="BI91" i="4" s="1"/>
  <c r="BI92" i="4" s="1"/>
  <c r="BI93" i="4" s="1"/>
  <c r="BI94" i="4" s="1"/>
  <c r="BI95" i="4" s="1"/>
  <c r="BI96" i="4" s="1"/>
  <c r="BI97" i="4" s="1"/>
  <c r="BI98" i="4" s="1"/>
  <c r="BI99" i="4" s="1"/>
  <c r="BI100" i="4" s="1"/>
  <c r="BI101" i="4" s="1"/>
  <c r="BI102" i="4" s="1"/>
  <c r="BI103" i="4" s="1"/>
  <c r="BI104" i="4" s="1"/>
  <c r="BI105" i="4" s="1"/>
  <c r="BI106" i="4" s="1"/>
  <c r="BI107" i="4" s="1"/>
  <c r="BI108" i="4" s="1"/>
  <c r="F13" i="46"/>
  <c r="G21" i="48"/>
  <c r="AT90" i="4"/>
  <c r="AT91" i="4" s="1"/>
  <c r="AT92" i="4" s="1"/>
  <c r="AT93" i="4" s="1"/>
  <c r="AT94" i="4" s="1"/>
  <c r="AT95" i="4" s="1"/>
  <c r="AT96" i="4" s="1"/>
  <c r="AT97" i="4" s="1"/>
  <c r="AT98" i="4" s="1"/>
  <c r="AT99" i="4" s="1"/>
  <c r="AT100" i="4" s="1"/>
  <c r="AT101" i="4" s="1"/>
  <c r="AT102" i="4" s="1"/>
  <c r="AT103" i="4" s="1"/>
  <c r="AT104" i="4" s="1"/>
  <c r="AT105" i="4" s="1"/>
  <c r="AT106" i="4" s="1"/>
  <c r="AT107" i="4" s="1"/>
  <c r="AT108" i="4" s="1"/>
  <c r="AU89" i="4"/>
  <c r="F43" i="4"/>
  <c r="F34" i="4" s="1"/>
  <c r="F37" i="15" s="1"/>
  <c r="AF37" i="12"/>
  <c r="BA89" i="4"/>
  <c r="AB37" i="12"/>
  <c r="AW89" i="4"/>
  <c r="AV90" i="4"/>
  <c r="AV91" i="4" s="1"/>
  <c r="AV92" i="4" s="1"/>
  <c r="AV93" i="4" s="1"/>
  <c r="AV94" i="4" s="1"/>
  <c r="AV95" i="4" s="1"/>
  <c r="AV96" i="4" s="1"/>
  <c r="AV97" i="4" s="1"/>
  <c r="AV98" i="4" s="1"/>
  <c r="AV99" i="4" s="1"/>
  <c r="AV100" i="4" s="1"/>
  <c r="AV101" i="4" s="1"/>
  <c r="AV102" i="4" s="1"/>
  <c r="AV103" i="4" s="1"/>
  <c r="AV104" i="4" s="1"/>
  <c r="AV105" i="4" s="1"/>
  <c r="AV106" i="4" s="1"/>
  <c r="AV107" i="4" s="1"/>
  <c r="AV108" i="4" s="1"/>
  <c r="AZ90" i="4"/>
  <c r="AZ91" i="4" s="1"/>
  <c r="AZ92" i="4" s="1"/>
  <c r="AZ93" i="4" s="1"/>
  <c r="AZ94" i="4" s="1"/>
  <c r="AZ95" i="4" s="1"/>
  <c r="AZ96" i="4" s="1"/>
  <c r="AZ97" i="4" s="1"/>
  <c r="AZ98" i="4" s="1"/>
  <c r="AZ99" i="4" s="1"/>
  <c r="AZ100" i="4" s="1"/>
  <c r="AZ101" i="4" s="1"/>
  <c r="AZ102" i="4" s="1"/>
  <c r="AZ103" i="4" s="1"/>
  <c r="AZ104" i="4" s="1"/>
  <c r="AZ105" i="4" s="1"/>
  <c r="AZ106" i="4" s="1"/>
  <c r="AZ107" i="4" s="1"/>
  <c r="AZ108" i="4" s="1"/>
  <c r="AC37" i="12"/>
  <c r="AX89" i="4"/>
  <c r="AY90" i="4"/>
  <c r="AY91" i="4" s="1"/>
  <c r="AY92" i="4" s="1"/>
  <c r="AY93" i="4" s="1"/>
  <c r="AY94" i="4" s="1"/>
  <c r="AY95" i="4" s="1"/>
  <c r="AY96" i="4" s="1"/>
  <c r="AY97" i="4" s="1"/>
  <c r="AY98" i="4" s="1"/>
  <c r="AY99" i="4" s="1"/>
  <c r="AY100" i="4" s="1"/>
  <c r="AY101" i="4" s="1"/>
  <c r="AY102" i="4" s="1"/>
  <c r="AY103" i="4" s="1"/>
  <c r="AY104" i="4" s="1"/>
  <c r="AY105" i="4" s="1"/>
  <c r="AY106" i="4" s="1"/>
  <c r="AY107" i="4" s="1"/>
  <c r="AY108" i="4" s="1"/>
  <c r="BE89" i="4"/>
  <c r="AB42" i="12"/>
  <c r="BG89" i="4"/>
  <c r="AF42" i="12"/>
  <c r="BK89" i="4"/>
  <c r="AA42" i="12"/>
  <c r="BF89" i="4"/>
  <c r="AE37" i="12"/>
  <c r="Z42" i="12"/>
  <c r="J41" i="12" s="1"/>
  <c r="N89" i="4" s="1"/>
  <c r="AA37" i="12"/>
  <c r="AD37" i="12"/>
  <c r="AC42" i="12"/>
  <c r="AM36" i="12"/>
  <c r="AA89" i="4" s="1"/>
  <c r="Z37" i="12"/>
  <c r="J36" i="12" s="1"/>
  <c r="AE42" i="12"/>
  <c r="AD42" i="12"/>
  <c r="N28" i="13"/>
  <c r="D89" i="4"/>
  <c r="AN41" i="12"/>
  <c r="Y42" i="12"/>
  <c r="I41" i="12" s="1"/>
  <c r="M89" i="4" s="1"/>
  <c r="AN36" i="12"/>
  <c r="Y37" i="12"/>
  <c r="K28" i="13"/>
  <c r="M28" i="13"/>
  <c r="J28" i="13"/>
  <c r="I14" i="13" s="1"/>
  <c r="P28" i="13"/>
  <c r="N18" i="18"/>
  <c r="M14" i="18"/>
  <c r="AM41" i="12"/>
  <c r="L36" i="12" l="1"/>
  <c r="K36" i="12"/>
  <c r="O14" i="13"/>
  <c r="O22" i="13" s="1"/>
  <c r="I19" i="13"/>
  <c r="L41" i="12"/>
  <c r="P89" i="4" s="1"/>
  <c r="K41" i="12"/>
  <c r="O89" i="4" s="1"/>
  <c r="AO36" i="12"/>
  <c r="M36" i="12" s="1"/>
  <c r="G89" i="4" s="1"/>
  <c r="I36" i="12"/>
  <c r="C89" i="4" s="1"/>
  <c r="C90" i="4" s="1"/>
  <c r="C91" i="4" s="1"/>
  <c r="C92" i="4" s="1"/>
  <c r="C93" i="4" s="1"/>
  <c r="C94" i="4" s="1"/>
  <c r="C95" i="4" s="1"/>
  <c r="C96" i="4" s="1"/>
  <c r="C97" i="4" s="1"/>
  <c r="C98" i="4" s="1"/>
  <c r="C99" i="4" s="1"/>
  <c r="C100" i="4" s="1"/>
  <c r="C101" i="4" s="1"/>
  <c r="C102" i="4" s="1"/>
  <c r="C103" i="4" s="1"/>
  <c r="C104" i="4" s="1"/>
  <c r="C105" i="4" s="1"/>
  <c r="C106" i="4" s="1"/>
  <c r="C107" i="4" s="1"/>
  <c r="C108" i="4" s="1"/>
  <c r="H24" i="48"/>
  <c r="G18" i="50"/>
  <c r="G13" i="50" s="1"/>
  <c r="G26" i="50" s="1"/>
  <c r="H12" i="48"/>
  <c r="H34" i="48" s="1"/>
  <c r="H13" i="48"/>
  <c r="H35" i="48" s="1"/>
  <c r="H28" i="48"/>
  <c r="G22" i="50"/>
  <c r="G14" i="50" s="1"/>
  <c r="G27" i="50" s="1"/>
  <c r="BH116" i="4"/>
  <c r="H76" i="4" s="1"/>
  <c r="G28" i="48"/>
  <c r="G13" i="48"/>
  <c r="G35" i="48" s="1"/>
  <c r="F22" i="50"/>
  <c r="F14" i="50" s="1"/>
  <c r="F27" i="50" s="1"/>
  <c r="BJ116" i="4"/>
  <c r="J76" i="4" s="1"/>
  <c r="G24" i="48"/>
  <c r="G12" i="48"/>
  <c r="G34" i="48" s="1"/>
  <c r="F18" i="50"/>
  <c r="F13" i="50" s="1"/>
  <c r="F26" i="50" s="1"/>
  <c r="AZ116" i="4"/>
  <c r="J75" i="4" s="1"/>
  <c r="E89" i="4"/>
  <c r="AY116" i="4"/>
  <c r="I75" i="4" s="1"/>
  <c r="AW90" i="4"/>
  <c r="AW91" i="4" s="1"/>
  <c r="AW92" i="4" s="1"/>
  <c r="AW93" i="4" s="1"/>
  <c r="AW94" i="4" s="1"/>
  <c r="AW95" i="4" s="1"/>
  <c r="AW96" i="4" s="1"/>
  <c r="AW97" i="4" s="1"/>
  <c r="AW98" i="4" s="1"/>
  <c r="AW99" i="4" s="1"/>
  <c r="AW100" i="4" s="1"/>
  <c r="AW101" i="4" s="1"/>
  <c r="AW102" i="4" s="1"/>
  <c r="AW103" i="4" s="1"/>
  <c r="AW104" i="4" s="1"/>
  <c r="AW105" i="4" s="1"/>
  <c r="AW106" i="4" s="1"/>
  <c r="AW107" i="4" s="1"/>
  <c r="AW108" i="4" s="1"/>
  <c r="AX90" i="4"/>
  <c r="AX91" i="4" s="1"/>
  <c r="AX92" i="4" s="1"/>
  <c r="AX93" i="4" s="1"/>
  <c r="AX94" i="4" s="1"/>
  <c r="AX95" i="4" s="1"/>
  <c r="AX96" i="4" s="1"/>
  <c r="AX97" i="4" s="1"/>
  <c r="AX98" i="4" s="1"/>
  <c r="AX99" i="4" s="1"/>
  <c r="AX100" i="4" s="1"/>
  <c r="AX101" i="4" s="1"/>
  <c r="AX102" i="4" s="1"/>
  <c r="AX103" i="4" s="1"/>
  <c r="AX104" i="4" s="1"/>
  <c r="AX105" i="4" s="1"/>
  <c r="AX106" i="4" s="1"/>
  <c r="AX107" i="4" s="1"/>
  <c r="AX108" i="4" s="1"/>
  <c r="BA90" i="4"/>
  <c r="BA91" i="4" s="1"/>
  <c r="BA92" i="4" s="1"/>
  <c r="BA93" i="4" s="1"/>
  <c r="BA94" i="4" s="1"/>
  <c r="BA95" i="4" s="1"/>
  <c r="BA96" i="4" s="1"/>
  <c r="BA97" i="4" s="1"/>
  <c r="BA98" i="4" s="1"/>
  <c r="BA99" i="4" s="1"/>
  <c r="BA100" i="4" s="1"/>
  <c r="BA101" i="4" s="1"/>
  <c r="BA102" i="4" s="1"/>
  <c r="BA103" i="4" s="1"/>
  <c r="BA104" i="4" s="1"/>
  <c r="BA105" i="4" s="1"/>
  <c r="BA106" i="4" s="1"/>
  <c r="BA107" i="4" s="1"/>
  <c r="BA108" i="4" s="1"/>
  <c r="AU90" i="4"/>
  <c r="AU91" i="4" s="1"/>
  <c r="AU92" i="4" s="1"/>
  <c r="AU93" i="4" s="1"/>
  <c r="AU94" i="4" s="1"/>
  <c r="AU95" i="4" s="1"/>
  <c r="AU96" i="4" s="1"/>
  <c r="AU97" i="4" s="1"/>
  <c r="AU98" i="4" s="1"/>
  <c r="AU99" i="4" s="1"/>
  <c r="AU100" i="4" s="1"/>
  <c r="AU101" i="4" s="1"/>
  <c r="AU102" i="4" s="1"/>
  <c r="AU103" i="4" s="1"/>
  <c r="AU104" i="4" s="1"/>
  <c r="AU105" i="4" s="1"/>
  <c r="AU106" i="4" s="1"/>
  <c r="AU107" i="4" s="1"/>
  <c r="AU108" i="4" s="1"/>
  <c r="D90" i="4"/>
  <c r="D91" i="4" s="1"/>
  <c r="D92" i="4" s="1"/>
  <c r="D93" i="4" s="1"/>
  <c r="D94" i="4" s="1"/>
  <c r="D95" i="4" s="1"/>
  <c r="D96" i="4" s="1"/>
  <c r="D97" i="4" s="1"/>
  <c r="D98" i="4" s="1"/>
  <c r="D99" i="4" s="1"/>
  <c r="D100" i="4" s="1"/>
  <c r="D101" i="4" s="1"/>
  <c r="D102" i="4" s="1"/>
  <c r="D103" i="4" s="1"/>
  <c r="D104" i="4" s="1"/>
  <c r="D105" i="4" s="1"/>
  <c r="D106" i="4" s="1"/>
  <c r="D107" i="4" s="1"/>
  <c r="D108" i="4" s="1"/>
  <c r="AA90" i="4"/>
  <c r="AA91" i="4" s="1"/>
  <c r="AA92" i="4" s="1"/>
  <c r="AA93" i="4" s="1"/>
  <c r="AA94" i="4" s="1"/>
  <c r="AA95" i="4" s="1"/>
  <c r="AA96" i="4" s="1"/>
  <c r="AA97" i="4" s="1"/>
  <c r="AA98" i="4" s="1"/>
  <c r="AA99" i="4" s="1"/>
  <c r="AA100" i="4" s="1"/>
  <c r="AA101" i="4" s="1"/>
  <c r="AA102" i="4" s="1"/>
  <c r="AA103" i="4" s="1"/>
  <c r="AA104" i="4" s="1"/>
  <c r="AA105" i="4" s="1"/>
  <c r="AA106" i="4" s="1"/>
  <c r="AA107" i="4" s="1"/>
  <c r="AA108" i="4" s="1"/>
  <c r="F89" i="4"/>
  <c r="AB89" i="4"/>
  <c r="AV116" i="4"/>
  <c r="F75" i="4" s="1"/>
  <c r="AT116" i="4"/>
  <c r="D75" i="4" s="1"/>
  <c r="N90" i="4"/>
  <c r="N91" i="4" s="1"/>
  <c r="N92" i="4" s="1"/>
  <c r="N93" i="4" s="1"/>
  <c r="N94" i="4" s="1"/>
  <c r="N95" i="4" s="1"/>
  <c r="N96" i="4" s="1"/>
  <c r="N97" i="4" s="1"/>
  <c r="N98" i="4" s="1"/>
  <c r="N99" i="4" s="1"/>
  <c r="N100" i="4" s="1"/>
  <c r="N101" i="4" s="1"/>
  <c r="N102" i="4" s="1"/>
  <c r="N103" i="4" s="1"/>
  <c r="N104" i="4" s="1"/>
  <c r="N105" i="4" s="1"/>
  <c r="N106" i="4" s="1"/>
  <c r="N107" i="4" s="1"/>
  <c r="N108" i="4" s="1"/>
  <c r="BI116" i="4"/>
  <c r="I76" i="4" s="1"/>
  <c r="BG90" i="4"/>
  <c r="BG91" i="4" s="1"/>
  <c r="BG92" i="4" s="1"/>
  <c r="BG93" i="4" s="1"/>
  <c r="BG94" i="4" s="1"/>
  <c r="BG95" i="4" s="1"/>
  <c r="BG96" i="4" s="1"/>
  <c r="BG97" i="4" s="1"/>
  <c r="BG98" i="4" s="1"/>
  <c r="BG99" i="4" s="1"/>
  <c r="BG100" i="4" s="1"/>
  <c r="BG101" i="4" s="1"/>
  <c r="BG102" i="4" s="1"/>
  <c r="BG103" i="4" s="1"/>
  <c r="BG104" i="4" s="1"/>
  <c r="BG105" i="4" s="1"/>
  <c r="BG106" i="4" s="1"/>
  <c r="BG107" i="4" s="1"/>
  <c r="BG108" i="4" s="1"/>
  <c r="BK90" i="4"/>
  <c r="BK91" i="4" s="1"/>
  <c r="BK92" i="4" s="1"/>
  <c r="BK93" i="4" s="1"/>
  <c r="BK94" i="4" s="1"/>
  <c r="BK95" i="4" s="1"/>
  <c r="BK96" i="4" s="1"/>
  <c r="BK97" i="4" s="1"/>
  <c r="BK98" i="4" s="1"/>
  <c r="BK99" i="4" s="1"/>
  <c r="BK100" i="4" s="1"/>
  <c r="BK101" i="4" s="1"/>
  <c r="BK102" i="4" s="1"/>
  <c r="BK103" i="4" s="1"/>
  <c r="BK104" i="4" s="1"/>
  <c r="BK105" i="4" s="1"/>
  <c r="BK106" i="4" s="1"/>
  <c r="BK107" i="4" s="1"/>
  <c r="BK108" i="4" s="1"/>
  <c r="BF90" i="4"/>
  <c r="BF91" i="4" s="1"/>
  <c r="BF92" i="4" s="1"/>
  <c r="BF93" i="4" s="1"/>
  <c r="BF94" i="4" s="1"/>
  <c r="BF95" i="4" s="1"/>
  <c r="BF96" i="4" s="1"/>
  <c r="BF97" i="4" s="1"/>
  <c r="BF98" i="4" s="1"/>
  <c r="BF99" i="4" s="1"/>
  <c r="BF100" i="4" s="1"/>
  <c r="BF101" i="4" s="1"/>
  <c r="BF102" i="4" s="1"/>
  <c r="BF103" i="4" s="1"/>
  <c r="BF104" i="4" s="1"/>
  <c r="BF105" i="4" s="1"/>
  <c r="BF106" i="4" s="1"/>
  <c r="BF107" i="4" s="1"/>
  <c r="BF108" i="4" s="1"/>
  <c r="AK89" i="4"/>
  <c r="AL89" i="4"/>
  <c r="F24" i="4"/>
  <c r="F15" i="4" s="1"/>
  <c r="F49" i="4"/>
  <c r="BD116" i="4"/>
  <c r="D76" i="4" s="1"/>
  <c r="M90" i="4"/>
  <c r="M91" i="4" s="1"/>
  <c r="M92" i="4" s="1"/>
  <c r="M93" i="4" s="1"/>
  <c r="M94" i="4" s="1"/>
  <c r="M95" i="4" s="1"/>
  <c r="M96" i="4" s="1"/>
  <c r="M97" i="4" s="1"/>
  <c r="M98" i="4" s="1"/>
  <c r="M99" i="4" s="1"/>
  <c r="M100" i="4" s="1"/>
  <c r="M101" i="4" s="1"/>
  <c r="M102" i="4" s="1"/>
  <c r="M103" i="4" s="1"/>
  <c r="M104" i="4" s="1"/>
  <c r="M105" i="4" s="1"/>
  <c r="M106" i="4" s="1"/>
  <c r="M107" i="4" s="1"/>
  <c r="M108" i="4" s="1"/>
  <c r="BE90" i="4"/>
  <c r="BE91" i="4" s="1"/>
  <c r="BE92" i="4" s="1"/>
  <c r="BE93" i="4" s="1"/>
  <c r="BE94" i="4" s="1"/>
  <c r="BE95" i="4" s="1"/>
  <c r="BE96" i="4" s="1"/>
  <c r="BE97" i="4" s="1"/>
  <c r="BE98" i="4" s="1"/>
  <c r="BE99" i="4" s="1"/>
  <c r="BE100" i="4" s="1"/>
  <c r="BE101" i="4" s="1"/>
  <c r="BE102" i="4" s="1"/>
  <c r="BE103" i="4" s="1"/>
  <c r="BE104" i="4" s="1"/>
  <c r="BE105" i="4" s="1"/>
  <c r="BE106" i="4" s="1"/>
  <c r="BE107" i="4" s="1"/>
  <c r="BE108" i="4" s="1"/>
  <c r="L14" i="13"/>
  <c r="L23" i="13" s="1"/>
  <c r="I15" i="13"/>
  <c r="O15" i="13" s="1"/>
  <c r="O24" i="13" s="1"/>
  <c r="N15" i="13"/>
  <c r="N24" i="13" s="1"/>
  <c r="T14" i="36"/>
  <c r="AP36" i="12"/>
  <c r="N36" i="12" s="1"/>
  <c r="AO41" i="12"/>
  <c r="M41" i="12" s="1"/>
  <c r="O18" i="18"/>
  <c r="N14" i="18"/>
  <c r="AC89" i="4" l="1"/>
  <c r="E90" i="4"/>
  <c r="E91" i="4" s="1"/>
  <c r="E92" i="4" s="1"/>
  <c r="E93" i="4" s="1"/>
  <c r="E94" i="4" s="1"/>
  <c r="E95" i="4" s="1"/>
  <c r="E96" i="4" s="1"/>
  <c r="E97" i="4" s="1"/>
  <c r="E98" i="4" s="1"/>
  <c r="E99" i="4" s="1"/>
  <c r="E100" i="4" s="1"/>
  <c r="E101" i="4" s="1"/>
  <c r="E102" i="4" s="1"/>
  <c r="E103" i="4" s="1"/>
  <c r="E104" i="4" s="1"/>
  <c r="E105" i="4" s="1"/>
  <c r="E106" i="4" s="1"/>
  <c r="E107" i="4" s="1"/>
  <c r="E108" i="4" s="1"/>
  <c r="D116" i="4"/>
  <c r="E71" i="4" s="1"/>
  <c r="BK116" i="4"/>
  <c r="K76" i="4" s="1"/>
  <c r="C116" i="4"/>
  <c r="D71" i="4" s="1"/>
  <c r="G31" i="48"/>
  <c r="H31" i="48"/>
  <c r="P15" i="13"/>
  <c r="P24" i="13" s="1"/>
  <c r="L58" i="4" s="1"/>
  <c r="M15" i="13"/>
  <c r="M24" i="13" s="1"/>
  <c r="I43" i="4" s="1"/>
  <c r="K15" i="13"/>
  <c r="K24" i="13" s="1"/>
  <c r="L19" i="13"/>
  <c r="O23" i="13"/>
  <c r="N14" i="13"/>
  <c r="N19" i="13" s="1"/>
  <c r="L21" i="13"/>
  <c r="M14" i="13"/>
  <c r="M23" i="13" s="1"/>
  <c r="K14" i="13"/>
  <c r="K23" i="13" s="1"/>
  <c r="I20" i="13"/>
  <c r="E19" i="18" s="1"/>
  <c r="P14" i="13"/>
  <c r="P23" i="13" s="1"/>
  <c r="I23" i="13"/>
  <c r="E42" i="4" s="1"/>
  <c r="L22" i="13"/>
  <c r="I21" i="13"/>
  <c r="E20" i="18" s="1"/>
  <c r="L20" i="13"/>
  <c r="I22" i="13"/>
  <c r="E21" i="18" s="1"/>
  <c r="BG116" i="4"/>
  <c r="G76" i="4" s="1"/>
  <c r="AW116" i="4"/>
  <c r="G75" i="4" s="1"/>
  <c r="BE116" i="4"/>
  <c r="E76" i="4" s="1"/>
  <c r="BA116" i="4"/>
  <c r="K75" i="4" s="1"/>
  <c r="AU116" i="4"/>
  <c r="E75" i="4" s="1"/>
  <c r="AX116" i="4"/>
  <c r="H75" i="4" s="1"/>
  <c r="AB90" i="4"/>
  <c r="AB91" i="4" s="1"/>
  <c r="AB92" i="4" s="1"/>
  <c r="AB93" i="4" s="1"/>
  <c r="AB94" i="4" s="1"/>
  <c r="AB95" i="4" s="1"/>
  <c r="AB96" i="4" s="1"/>
  <c r="AB97" i="4" s="1"/>
  <c r="AB98" i="4" s="1"/>
  <c r="AB99" i="4" s="1"/>
  <c r="AB100" i="4" s="1"/>
  <c r="AB101" i="4" s="1"/>
  <c r="AB102" i="4" s="1"/>
  <c r="AB103" i="4" s="1"/>
  <c r="AB104" i="4" s="1"/>
  <c r="AB105" i="4" s="1"/>
  <c r="AB106" i="4" s="1"/>
  <c r="AB107" i="4" s="1"/>
  <c r="AB108" i="4" s="1"/>
  <c r="AC90" i="4"/>
  <c r="AC91" i="4" s="1"/>
  <c r="AC92" i="4" s="1"/>
  <c r="AC93" i="4" s="1"/>
  <c r="AC94" i="4" s="1"/>
  <c r="AC95" i="4" s="1"/>
  <c r="AC96" i="4" s="1"/>
  <c r="AC97" i="4" s="1"/>
  <c r="AC98" i="4" s="1"/>
  <c r="AC99" i="4" s="1"/>
  <c r="AC100" i="4" s="1"/>
  <c r="AC101" i="4" s="1"/>
  <c r="AC102" i="4" s="1"/>
  <c r="AC103" i="4" s="1"/>
  <c r="AC104" i="4" s="1"/>
  <c r="AC105" i="4" s="1"/>
  <c r="AC106" i="4" s="1"/>
  <c r="AC107" i="4" s="1"/>
  <c r="AC108" i="4" s="1"/>
  <c r="H89" i="4"/>
  <c r="AD89" i="4"/>
  <c r="F90" i="4"/>
  <c r="F91" i="4" s="1"/>
  <c r="F92" i="4" s="1"/>
  <c r="F93" i="4" s="1"/>
  <c r="F94" i="4" s="1"/>
  <c r="F95" i="4" s="1"/>
  <c r="F96" i="4" s="1"/>
  <c r="F97" i="4" s="1"/>
  <c r="F98" i="4" s="1"/>
  <c r="F99" i="4" s="1"/>
  <c r="F100" i="4" s="1"/>
  <c r="F101" i="4" s="1"/>
  <c r="F102" i="4" s="1"/>
  <c r="F103" i="4" s="1"/>
  <c r="F104" i="4" s="1"/>
  <c r="F105" i="4" s="1"/>
  <c r="F106" i="4" s="1"/>
  <c r="F107" i="4" s="1"/>
  <c r="F108" i="4" s="1"/>
  <c r="G90" i="4"/>
  <c r="G91" i="4" s="1"/>
  <c r="G92" i="4" s="1"/>
  <c r="G93" i="4" s="1"/>
  <c r="G94" i="4" s="1"/>
  <c r="G95" i="4" s="1"/>
  <c r="G96" i="4" s="1"/>
  <c r="G97" i="4" s="1"/>
  <c r="G98" i="4" s="1"/>
  <c r="G99" i="4" s="1"/>
  <c r="G100" i="4" s="1"/>
  <c r="G101" i="4" s="1"/>
  <c r="G102" i="4" s="1"/>
  <c r="G103" i="4" s="1"/>
  <c r="G104" i="4" s="1"/>
  <c r="G105" i="4" s="1"/>
  <c r="G106" i="4" s="1"/>
  <c r="G107" i="4" s="1"/>
  <c r="G108" i="4" s="1"/>
  <c r="AA116" i="4"/>
  <c r="F73" i="4" s="1"/>
  <c r="AL90" i="4"/>
  <c r="AL91" i="4" s="1"/>
  <c r="AL92" i="4" s="1"/>
  <c r="AL93" i="4" s="1"/>
  <c r="AL94" i="4" s="1"/>
  <c r="AL95" i="4" s="1"/>
  <c r="AL96" i="4" s="1"/>
  <c r="AL97" i="4" s="1"/>
  <c r="AL98" i="4" s="1"/>
  <c r="AL99" i="4" s="1"/>
  <c r="AL100" i="4" s="1"/>
  <c r="AL101" i="4" s="1"/>
  <c r="AL102" i="4" s="1"/>
  <c r="AL103" i="4" s="1"/>
  <c r="AL104" i="4" s="1"/>
  <c r="AL105" i="4" s="1"/>
  <c r="AL106" i="4" s="1"/>
  <c r="AL107" i="4" s="1"/>
  <c r="AL108" i="4" s="1"/>
  <c r="Q89" i="4"/>
  <c r="AM89" i="4"/>
  <c r="P90" i="4"/>
  <c r="P91" i="4" s="1"/>
  <c r="P92" i="4" s="1"/>
  <c r="P93" i="4" s="1"/>
  <c r="P94" i="4" s="1"/>
  <c r="P95" i="4" s="1"/>
  <c r="P96" i="4" s="1"/>
  <c r="P97" i="4" s="1"/>
  <c r="P98" i="4" s="1"/>
  <c r="P99" i="4" s="1"/>
  <c r="P100" i="4" s="1"/>
  <c r="P101" i="4" s="1"/>
  <c r="P102" i="4" s="1"/>
  <c r="P103" i="4" s="1"/>
  <c r="P104" i="4" s="1"/>
  <c r="P105" i="4" s="1"/>
  <c r="P106" i="4" s="1"/>
  <c r="P107" i="4" s="1"/>
  <c r="P108" i="4" s="1"/>
  <c r="AK90" i="4"/>
  <c r="AK91" i="4" s="1"/>
  <c r="AK92" i="4" s="1"/>
  <c r="AK93" i="4" s="1"/>
  <c r="AK94" i="4" s="1"/>
  <c r="AK95" i="4" s="1"/>
  <c r="AK96" i="4" s="1"/>
  <c r="AK97" i="4" s="1"/>
  <c r="AK98" i="4" s="1"/>
  <c r="AK99" i="4" s="1"/>
  <c r="AK100" i="4" s="1"/>
  <c r="AK101" i="4" s="1"/>
  <c r="AK102" i="4" s="1"/>
  <c r="AK103" i="4" s="1"/>
  <c r="AK104" i="4" s="1"/>
  <c r="AK105" i="4" s="1"/>
  <c r="AK106" i="4" s="1"/>
  <c r="AK107" i="4" s="1"/>
  <c r="AK108" i="4" s="1"/>
  <c r="M116" i="4"/>
  <c r="D72" i="4" s="1"/>
  <c r="O90" i="4"/>
  <c r="O91" i="4" s="1"/>
  <c r="O92" i="4" s="1"/>
  <c r="O93" i="4" s="1"/>
  <c r="O94" i="4" s="1"/>
  <c r="O95" i="4" s="1"/>
  <c r="O96" i="4" s="1"/>
  <c r="O97" i="4" s="1"/>
  <c r="O98" i="4" s="1"/>
  <c r="O99" i="4" s="1"/>
  <c r="O100" i="4" s="1"/>
  <c r="O101" i="4" s="1"/>
  <c r="O102" i="4" s="1"/>
  <c r="O103" i="4" s="1"/>
  <c r="O104" i="4" s="1"/>
  <c r="O105" i="4" s="1"/>
  <c r="O106" i="4" s="1"/>
  <c r="O107" i="4" s="1"/>
  <c r="O108" i="4" s="1"/>
  <c r="N116" i="4"/>
  <c r="E72" i="4" s="1"/>
  <c r="BF116" i="4"/>
  <c r="F76" i="4" s="1"/>
  <c r="J58" i="4"/>
  <c r="J43" i="4"/>
  <c r="I24" i="13"/>
  <c r="L15" i="13"/>
  <c r="L24" i="13" s="1"/>
  <c r="G58" i="4"/>
  <c r="G43" i="4"/>
  <c r="K43" i="4"/>
  <c r="K58" i="4"/>
  <c r="I58" i="4"/>
  <c r="F44" i="15"/>
  <c r="AP41" i="12"/>
  <c r="N41" i="12" s="1"/>
  <c r="AQ36" i="12"/>
  <c r="O36" i="12" s="1"/>
  <c r="J19" i="13"/>
  <c r="J20" i="13"/>
  <c r="J22" i="13"/>
  <c r="J21" i="13"/>
  <c r="O20" i="13"/>
  <c r="O21" i="13"/>
  <c r="P16" i="26"/>
  <c r="L16" i="26"/>
  <c r="O16" i="26"/>
  <c r="K16" i="26"/>
  <c r="N16" i="26"/>
  <c r="J16" i="26"/>
  <c r="I16" i="26"/>
  <c r="M16" i="26"/>
  <c r="O14" i="18"/>
  <c r="P18" i="18"/>
  <c r="L43" i="4" l="1"/>
  <c r="N21" i="13"/>
  <c r="N22" i="13"/>
  <c r="N23" i="13"/>
  <c r="M19" i="13"/>
  <c r="N20" i="13"/>
  <c r="O19" i="13"/>
  <c r="K21" i="13"/>
  <c r="K20" i="13"/>
  <c r="I24" i="4"/>
  <c r="G24" i="4"/>
  <c r="E116" i="4"/>
  <c r="F71" i="4" s="1"/>
  <c r="F116" i="4"/>
  <c r="G116" i="4"/>
  <c r="H71" i="4" s="1"/>
  <c r="P19" i="13"/>
  <c r="E57" i="4"/>
  <c r="E23" i="4" s="1"/>
  <c r="P20" i="13"/>
  <c r="P22" i="13"/>
  <c r="P21" i="13"/>
  <c r="E55" i="4"/>
  <c r="E50" i="15" s="1"/>
  <c r="E49" i="17" s="1"/>
  <c r="E38" i="4"/>
  <c r="E33" i="15" s="1"/>
  <c r="E32" i="17" s="1"/>
  <c r="E56" i="4"/>
  <c r="E51" i="15" s="1"/>
  <c r="E50" i="17" s="1"/>
  <c r="M21" i="13"/>
  <c r="G42" i="4"/>
  <c r="G34" i="4" s="1"/>
  <c r="G37" i="15" s="1"/>
  <c r="G36" i="17" s="1"/>
  <c r="M20" i="13"/>
  <c r="M22" i="13"/>
  <c r="K22" i="13"/>
  <c r="K19" i="13"/>
  <c r="AK116" i="4"/>
  <c r="F74" i="4" s="1"/>
  <c r="G57" i="4" s="1"/>
  <c r="G52" i="15" s="1"/>
  <c r="E40" i="4"/>
  <c r="E35" i="15" s="1"/>
  <c r="E34" i="17" s="1"/>
  <c r="E53" i="4"/>
  <c r="E48" i="15" s="1"/>
  <c r="E47" i="17" s="1"/>
  <c r="E54" i="4"/>
  <c r="E49" i="15" s="1"/>
  <c r="E48" i="17" s="1"/>
  <c r="E41" i="4"/>
  <c r="E36" i="15" s="1"/>
  <c r="E35" i="17" s="1"/>
  <c r="E39" i="4"/>
  <c r="E34" i="15" s="1"/>
  <c r="E33" i="17" s="1"/>
  <c r="P116" i="4"/>
  <c r="G72" i="4" s="1"/>
  <c r="H54" i="4" s="1"/>
  <c r="H49" i="15" s="1"/>
  <c r="AB116" i="4"/>
  <c r="G73" i="4" s="1"/>
  <c r="H42" i="4" s="1"/>
  <c r="G71" i="4"/>
  <c r="AD90" i="4"/>
  <c r="AD91" i="4" s="1"/>
  <c r="AD92" i="4" s="1"/>
  <c r="AD93" i="4" s="1"/>
  <c r="AD94" i="4" s="1"/>
  <c r="AD95" i="4" s="1"/>
  <c r="AD96" i="4" s="1"/>
  <c r="AD97" i="4" s="1"/>
  <c r="AD98" i="4" s="1"/>
  <c r="AD99" i="4" s="1"/>
  <c r="AD100" i="4" s="1"/>
  <c r="AD101" i="4" s="1"/>
  <c r="AD102" i="4" s="1"/>
  <c r="AD103" i="4" s="1"/>
  <c r="AD104" i="4" s="1"/>
  <c r="AD105" i="4" s="1"/>
  <c r="AD106" i="4" s="1"/>
  <c r="AD107" i="4" s="1"/>
  <c r="AD108" i="4" s="1"/>
  <c r="H90" i="4"/>
  <c r="H91" i="4" s="1"/>
  <c r="H92" i="4" s="1"/>
  <c r="H93" i="4" s="1"/>
  <c r="H94" i="4" s="1"/>
  <c r="H95" i="4" s="1"/>
  <c r="H96" i="4" s="1"/>
  <c r="H97" i="4" s="1"/>
  <c r="H98" i="4" s="1"/>
  <c r="H99" i="4" s="1"/>
  <c r="H100" i="4" s="1"/>
  <c r="H101" i="4" s="1"/>
  <c r="H102" i="4" s="1"/>
  <c r="H103" i="4" s="1"/>
  <c r="H104" i="4" s="1"/>
  <c r="H105" i="4" s="1"/>
  <c r="H106" i="4" s="1"/>
  <c r="H107" i="4" s="1"/>
  <c r="H108" i="4" s="1"/>
  <c r="I89" i="4"/>
  <c r="AE89" i="4"/>
  <c r="AC116" i="4"/>
  <c r="H73" i="4" s="1"/>
  <c r="I42" i="4" s="1"/>
  <c r="I34" i="4" s="1"/>
  <c r="R89" i="4"/>
  <c r="AN89" i="4"/>
  <c r="AM90" i="4"/>
  <c r="AM91" i="4" s="1"/>
  <c r="AM92" i="4" s="1"/>
  <c r="AM93" i="4" s="1"/>
  <c r="AM94" i="4" s="1"/>
  <c r="AM95" i="4" s="1"/>
  <c r="AM96" i="4" s="1"/>
  <c r="AM97" i="4" s="1"/>
  <c r="AM98" i="4" s="1"/>
  <c r="AM99" i="4" s="1"/>
  <c r="AM100" i="4" s="1"/>
  <c r="AM101" i="4" s="1"/>
  <c r="AM102" i="4" s="1"/>
  <c r="AM103" i="4" s="1"/>
  <c r="AM104" i="4" s="1"/>
  <c r="AM105" i="4" s="1"/>
  <c r="AM106" i="4" s="1"/>
  <c r="AM107" i="4" s="1"/>
  <c r="AM108" i="4" s="1"/>
  <c r="J24" i="4"/>
  <c r="O116" i="4"/>
  <c r="F72" i="4" s="1"/>
  <c r="Q90" i="4"/>
  <c r="Q91" i="4" s="1"/>
  <c r="Q92" i="4" s="1"/>
  <c r="Q93" i="4" s="1"/>
  <c r="Q94" i="4" s="1"/>
  <c r="Q95" i="4" s="1"/>
  <c r="Q96" i="4" s="1"/>
  <c r="Q97" i="4" s="1"/>
  <c r="Q98" i="4" s="1"/>
  <c r="Q99" i="4" s="1"/>
  <c r="Q100" i="4" s="1"/>
  <c r="Q101" i="4" s="1"/>
  <c r="Q102" i="4" s="1"/>
  <c r="Q103" i="4" s="1"/>
  <c r="Q104" i="4" s="1"/>
  <c r="Q105" i="4" s="1"/>
  <c r="Q106" i="4" s="1"/>
  <c r="Q107" i="4" s="1"/>
  <c r="Q108" i="4" s="1"/>
  <c r="AL116" i="4"/>
  <c r="G74" i="4" s="1"/>
  <c r="H57" i="4" s="1"/>
  <c r="L24" i="4"/>
  <c r="K24" i="4"/>
  <c r="F39" i="4"/>
  <c r="F54" i="4"/>
  <c r="F49" i="15" s="1"/>
  <c r="F53" i="4"/>
  <c r="F48" i="15" s="1"/>
  <c r="F38" i="4"/>
  <c r="H58" i="4"/>
  <c r="H43" i="4"/>
  <c r="F40" i="4"/>
  <c r="F55" i="4"/>
  <c r="F50" i="15" s="1"/>
  <c r="E58" i="4"/>
  <c r="E43" i="4"/>
  <c r="E34" i="4" s="1"/>
  <c r="F56" i="4"/>
  <c r="F51" i="15" s="1"/>
  <c r="F41" i="4"/>
  <c r="F52" i="15"/>
  <c r="P13" i="18"/>
  <c r="AR36" i="12"/>
  <c r="P36" i="12" s="1"/>
  <c r="AQ41" i="12"/>
  <c r="O41" i="12" s="1"/>
  <c r="K13" i="18"/>
  <c r="L13" i="18"/>
  <c r="M13" i="18"/>
  <c r="N13" i="18"/>
  <c r="O13" i="18"/>
  <c r="F29" i="15"/>
  <c r="F15" i="15" s="1"/>
  <c r="P14" i="18"/>
  <c r="G40" i="4" l="1"/>
  <c r="G54" i="4"/>
  <c r="G49" i="15" s="1"/>
  <c r="G39" i="4"/>
  <c r="G38" i="4"/>
  <c r="E52" i="15"/>
  <c r="E51" i="17" s="1"/>
  <c r="E43" i="17" s="1"/>
  <c r="E49" i="4"/>
  <c r="E44" i="15" s="1"/>
  <c r="G41" i="4"/>
  <c r="E19" i="17"/>
  <c r="E19" i="19" s="1"/>
  <c r="E20" i="27" s="1"/>
  <c r="H116" i="4"/>
  <c r="I71" i="4" s="1"/>
  <c r="I38" i="4"/>
  <c r="I33" i="15" s="1"/>
  <c r="I39" i="4"/>
  <c r="I34" i="15" s="1"/>
  <c r="I33" i="17" s="1"/>
  <c r="I41" i="4"/>
  <c r="I36" i="15" s="1"/>
  <c r="E19" i="4"/>
  <c r="I40" i="4"/>
  <c r="I35" i="15" s="1"/>
  <c r="I34" i="17" s="1"/>
  <c r="E21" i="4"/>
  <c r="AD116" i="4"/>
  <c r="I73" i="4" s="1"/>
  <c r="J42" i="4" s="1"/>
  <c r="J34" i="4" s="1"/>
  <c r="H49" i="4"/>
  <c r="H44" i="15" s="1"/>
  <c r="E19" i="15"/>
  <c r="E22" i="15"/>
  <c r="E33" i="4"/>
  <c r="E28" i="15" s="1"/>
  <c r="E48" i="4"/>
  <c r="E43" i="15" s="1"/>
  <c r="E22" i="4"/>
  <c r="E20" i="4"/>
  <c r="E20" i="17"/>
  <c r="E20" i="19" s="1"/>
  <c r="E21" i="27" s="1"/>
  <c r="Q116" i="4"/>
  <c r="H72" i="4" s="1"/>
  <c r="I56" i="4" s="1"/>
  <c r="I51" i="15" s="1"/>
  <c r="H53" i="4"/>
  <c r="H48" i="15" s="1"/>
  <c r="E27" i="17"/>
  <c r="E18" i="17"/>
  <c r="E18" i="19" s="1"/>
  <c r="E19" i="27" s="1"/>
  <c r="G23" i="4"/>
  <c r="G15" i="4" s="1"/>
  <c r="G49" i="4"/>
  <c r="G44" i="15" s="1"/>
  <c r="E20" i="15"/>
  <c r="E21" i="15"/>
  <c r="G56" i="4"/>
  <c r="G51" i="15" s="1"/>
  <c r="G55" i="4"/>
  <c r="G50" i="15" s="1"/>
  <c r="G53" i="4"/>
  <c r="G48" i="15" s="1"/>
  <c r="H56" i="4"/>
  <c r="H51" i="15" s="1"/>
  <c r="H55" i="4"/>
  <c r="H50" i="15" s="1"/>
  <c r="H23" i="4"/>
  <c r="I90" i="4"/>
  <c r="I91" i="4" s="1"/>
  <c r="I92" i="4" s="1"/>
  <c r="I93" i="4" s="1"/>
  <c r="I94" i="4" s="1"/>
  <c r="I95" i="4" s="1"/>
  <c r="I96" i="4" s="1"/>
  <c r="I97" i="4" s="1"/>
  <c r="I98" i="4" s="1"/>
  <c r="I99" i="4" s="1"/>
  <c r="I100" i="4" s="1"/>
  <c r="I101" i="4" s="1"/>
  <c r="I102" i="4" s="1"/>
  <c r="I103" i="4" s="1"/>
  <c r="I104" i="4" s="1"/>
  <c r="I105" i="4" s="1"/>
  <c r="I106" i="4" s="1"/>
  <c r="I107" i="4" s="1"/>
  <c r="I108" i="4" s="1"/>
  <c r="J89" i="4"/>
  <c r="AF89" i="4"/>
  <c r="H38" i="4"/>
  <c r="H39" i="4"/>
  <c r="H20" i="4" s="1"/>
  <c r="H40" i="4"/>
  <c r="H41" i="4"/>
  <c r="AE90" i="4"/>
  <c r="AE91" i="4" s="1"/>
  <c r="AE92" i="4" s="1"/>
  <c r="AE93" i="4" s="1"/>
  <c r="AE94" i="4" s="1"/>
  <c r="AE95" i="4" s="1"/>
  <c r="AE96" i="4" s="1"/>
  <c r="AE97" i="4" s="1"/>
  <c r="AE98" i="4" s="1"/>
  <c r="AE99" i="4" s="1"/>
  <c r="AE100" i="4" s="1"/>
  <c r="AE101" i="4" s="1"/>
  <c r="AE102" i="4" s="1"/>
  <c r="AE103" i="4" s="1"/>
  <c r="AE104" i="4" s="1"/>
  <c r="AE105" i="4" s="1"/>
  <c r="AE106" i="4" s="1"/>
  <c r="AE107" i="4" s="1"/>
  <c r="AE108" i="4" s="1"/>
  <c r="AM116" i="4"/>
  <c r="H74" i="4" s="1"/>
  <c r="I57" i="4" s="1"/>
  <c r="H52" i="15"/>
  <c r="AN90" i="4"/>
  <c r="AN91" i="4" s="1"/>
  <c r="AN92" i="4" s="1"/>
  <c r="AN93" i="4" s="1"/>
  <c r="AN94" i="4" s="1"/>
  <c r="AN95" i="4" s="1"/>
  <c r="AN96" i="4" s="1"/>
  <c r="AN97" i="4" s="1"/>
  <c r="AN98" i="4" s="1"/>
  <c r="AN99" i="4" s="1"/>
  <c r="AN100" i="4" s="1"/>
  <c r="AN101" i="4" s="1"/>
  <c r="AN102" i="4" s="1"/>
  <c r="AN103" i="4" s="1"/>
  <c r="AN104" i="4" s="1"/>
  <c r="AN105" i="4" s="1"/>
  <c r="AN106" i="4" s="1"/>
  <c r="AN107" i="4" s="1"/>
  <c r="AN108" i="4" s="1"/>
  <c r="S89" i="4"/>
  <c r="AO89" i="4"/>
  <c r="R90" i="4"/>
  <c r="R91" i="4" s="1"/>
  <c r="R92" i="4" s="1"/>
  <c r="R93" i="4" s="1"/>
  <c r="R94" i="4" s="1"/>
  <c r="R95" i="4" s="1"/>
  <c r="R96" i="4" s="1"/>
  <c r="R97" i="4" s="1"/>
  <c r="R98" i="4" s="1"/>
  <c r="R99" i="4" s="1"/>
  <c r="R100" i="4" s="1"/>
  <c r="R101" i="4" s="1"/>
  <c r="R102" i="4" s="1"/>
  <c r="R103" i="4" s="1"/>
  <c r="R104" i="4" s="1"/>
  <c r="R105" i="4" s="1"/>
  <c r="R106" i="4" s="1"/>
  <c r="R107" i="4" s="1"/>
  <c r="R108" i="4" s="1"/>
  <c r="F36" i="17"/>
  <c r="F28" i="17" s="1"/>
  <c r="G23" i="15"/>
  <c r="G29" i="15"/>
  <c r="H24" i="4"/>
  <c r="F19" i="4"/>
  <c r="G20" i="4"/>
  <c r="F22" i="4"/>
  <c r="E24" i="4"/>
  <c r="E15" i="4" s="1"/>
  <c r="F21" i="4"/>
  <c r="I37" i="15"/>
  <c r="I29" i="15"/>
  <c r="F20" i="4"/>
  <c r="H34" i="4"/>
  <c r="F23" i="15"/>
  <c r="AR41" i="12"/>
  <c r="P41" i="12" s="1"/>
  <c r="F48" i="4"/>
  <c r="F43" i="15" s="1"/>
  <c r="F35" i="15"/>
  <c r="F34" i="17" s="1"/>
  <c r="F34" i="15"/>
  <c r="F33" i="4"/>
  <c r="F28" i="15" s="1"/>
  <c r="F33" i="15"/>
  <c r="F36" i="15"/>
  <c r="G28" i="17"/>
  <c r="G34" i="15"/>
  <c r="G33" i="17" s="1"/>
  <c r="G35" i="15"/>
  <c r="G34" i="17" s="1"/>
  <c r="G33" i="15"/>
  <c r="E42" i="17"/>
  <c r="E17" i="17"/>
  <c r="E17" i="19" s="1"/>
  <c r="G33" i="4" l="1"/>
  <c r="G28" i="15" s="1"/>
  <c r="I26" i="19"/>
  <c r="G36" i="15"/>
  <c r="G35" i="17" s="1"/>
  <c r="I33" i="4"/>
  <c r="I28" i="15" s="1"/>
  <c r="I116" i="4"/>
  <c r="J71" i="4" s="1"/>
  <c r="K39" i="4" s="1"/>
  <c r="K34" i="15" s="1"/>
  <c r="K33" i="17" s="1"/>
  <c r="G15" i="15"/>
  <c r="E14" i="4"/>
  <c r="E14" i="15"/>
  <c r="G22" i="4"/>
  <c r="I25" i="19"/>
  <c r="I27" i="19"/>
  <c r="I22" i="4"/>
  <c r="H21" i="4"/>
  <c r="H19" i="4"/>
  <c r="I53" i="4"/>
  <c r="I48" i="15" s="1"/>
  <c r="I19" i="15" s="1"/>
  <c r="I55" i="4"/>
  <c r="I50" i="15" s="1"/>
  <c r="I21" i="15" s="1"/>
  <c r="H48" i="4"/>
  <c r="H43" i="15" s="1"/>
  <c r="I54" i="4"/>
  <c r="I49" i="15" s="1"/>
  <c r="I20" i="15" s="1"/>
  <c r="F35" i="17"/>
  <c r="G19" i="4"/>
  <c r="H22" i="4"/>
  <c r="G48" i="4"/>
  <c r="G43" i="15" s="1"/>
  <c r="G21" i="4"/>
  <c r="AN116" i="4"/>
  <c r="I74" i="4" s="1"/>
  <c r="J57" i="4" s="1"/>
  <c r="J52" i="15" s="1"/>
  <c r="H36" i="15"/>
  <c r="H35" i="17" s="1"/>
  <c r="H15" i="4"/>
  <c r="H33" i="15"/>
  <c r="H19" i="15" s="1"/>
  <c r="H34" i="15"/>
  <c r="H33" i="17" s="1"/>
  <c r="H35" i="15"/>
  <c r="H34" i="17" s="1"/>
  <c r="AF90" i="4"/>
  <c r="AF91" i="4" s="1"/>
  <c r="AF92" i="4" s="1"/>
  <c r="AF93" i="4" s="1"/>
  <c r="AF94" i="4" s="1"/>
  <c r="AF95" i="4" s="1"/>
  <c r="AF96" i="4" s="1"/>
  <c r="AF97" i="4" s="1"/>
  <c r="AF98" i="4" s="1"/>
  <c r="AF99" i="4" s="1"/>
  <c r="AF100" i="4" s="1"/>
  <c r="AF101" i="4" s="1"/>
  <c r="AF102" i="4" s="1"/>
  <c r="AF103" i="4" s="1"/>
  <c r="AF104" i="4" s="1"/>
  <c r="AF105" i="4" s="1"/>
  <c r="AF106" i="4" s="1"/>
  <c r="AF107" i="4" s="1"/>
  <c r="AF108" i="4" s="1"/>
  <c r="J90" i="4"/>
  <c r="J91" i="4" s="1"/>
  <c r="J92" i="4" s="1"/>
  <c r="J93" i="4" s="1"/>
  <c r="J94" i="4" s="1"/>
  <c r="J95" i="4" s="1"/>
  <c r="J96" i="4" s="1"/>
  <c r="J97" i="4" s="1"/>
  <c r="J98" i="4" s="1"/>
  <c r="J99" i="4" s="1"/>
  <c r="J100" i="4" s="1"/>
  <c r="J101" i="4" s="1"/>
  <c r="J102" i="4" s="1"/>
  <c r="J103" i="4" s="1"/>
  <c r="J104" i="4" s="1"/>
  <c r="J105" i="4" s="1"/>
  <c r="J106" i="4" s="1"/>
  <c r="J107" i="4" s="1"/>
  <c r="J108" i="4" s="1"/>
  <c r="AE116" i="4"/>
  <c r="J73" i="4" s="1"/>
  <c r="K42" i="4" s="1"/>
  <c r="K34" i="4" s="1"/>
  <c r="J40" i="4"/>
  <c r="J35" i="15" s="1"/>
  <c r="J34" i="17" s="1"/>
  <c r="J41" i="4"/>
  <c r="J36" i="15" s="1"/>
  <c r="J38" i="4"/>
  <c r="J39" i="4"/>
  <c r="J34" i="15" s="1"/>
  <c r="J33" i="17" s="1"/>
  <c r="H33" i="4"/>
  <c r="H28" i="15" s="1"/>
  <c r="H14" i="15" s="1"/>
  <c r="R116" i="4"/>
  <c r="I72" i="4" s="1"/>
  <c r="T89" i="4"/>
  <c r="AP89" i="4"/>
  <c r="I52" i="15"/>
  <c r="I49" i="4"/>
  <c r="I44" i="15" s="1"/>
  <c r="I15" i="15" s="1"/>
  <c r="I23" i="4"/>
  <c r="I15" i="4" s="1"/>
  <c r="AO90" i="4"/>
  <c r="AO91" i="4" s="1"/>
  <c r="AO92" i="4" s="1"/>
  <c r="AO93" i="4" s="1"/>
  <c r="AO94" i="4" s="1"/>
  <c r="AO95" i="4" s="1"/>
  <c r="AO96" i="4" s="1"/>
  <c r="AO97" i="4" s="1"/>
  <c r="AO98" i="4" s="1"/>
  <c r="AO99" i="4" s="1"/>
  <c r="AO100" i="4" s="1"/>
  <c r="AO101" i="4" s="1"/>
  <c r="AO102" i="4" s="1"/>
  <c r="AO103" i="4" s="1"/>
  <c r="AO104" i="4" s="1"/>
  <c r="AO105" i="4" s="1"/>
  <c r="AO106" i="4" s="1"/>
  <c r="AO107" i="4" s="1"/>
  <c r="AO108" i="4" s="1"/>
  <c r="S90" i="4"/>
  <c r="S91" i="4" s="1"/>
  <c r="S92" i="4" s="1"/>
  <c r="S93" i="4" s="1"/>
  <c r="S94" i="4" s="1"/>
  <c r="S95" i="4" s="1"/>
  <c r="S96" i="4" s="1"/>
  <c r="S97" i="4" s="1"/>
  <c r="S98" i="4" s="1"/>
  <c r="S99" i="4" s="1"/>
  <c r="S100" i="4" s="1"/>
  <c r="S101" i="4" s="1"/>
  <c r="S102" i="4" s="1"/>
  <c r="S103" i="4" s="1"/>
  <c r="S104" i="4" s="1"/>
  <c r="S105" i="4" s="1"/>
  <c r="S106" i="4" s="1"/>
  <c r="S107" i="4" s="1"/>
  <c r="S108" i="4" s="1"/>
  <c r="J37" i="15"/>
  <c r="J29" i="15"/>
  <c r="E37" i="15"/>
  <c r="E29" i="15"/>
  <c r="E15" i="15" s="1"/>
  <c r="H37" i="15"/>
  <c r="H29" i="15"/>
  <c r="H15" i="15" s="1"/>
  <c r="I36" i="17"/>
  <c r="F33" i="17"/>
  <c r="F14" i="15"/>
  <c r="F28" i="4"/>
  <c r="F14" i="4"/>
  <c r="F21" i="15"/>
  <c r="F20" i="15"/>
  <c r="F22" i="15"/>
  <c r="F19" i="15"/>
  <c r="G20" i="15"/>
  <c r="E12" i="17"/>
  <c r="G22" i="15"/>
  <c r="G21" i="15"/>
  <c r="I22" i="15"/>
  <c r="G19" i="15"/>
  <c r="G14" i="15" l="1"/>
  <c r="H14" i="4"/>
  <c r="J116" i="4"/>
  <c r="K71" i="4" s="1"/>
  <c r="K41" i="4"/>
  <c r="K36" i="15" s="1"/>
  <c r="H28" i="4"/>
  <c r="G14" i="4"/>
  <c r="AF116" i="4"/>
  <c r="K73" i="4" s="1"/>
  <c r="L42" i="4" s="1"/>
  <c r="L34" i="4" s="1"/>
  <c r="L37" i="15" s="1"/>
  <c r="L36" i="17" s="1"/>
  <c r="G28" i="4"/>
  <c r="I20" i="4"/>
  <c r="J49" i="4"/>
  <c r="J44" i="15" s="1"/>
  <c r="H22" i="15"/>
  <c r="I19" i="4"/>
  <c r="I21" i="4"/>
  <c r="I48" i="4"/>
  <c r="I43" i="15" s="1"/>
  <c r="I14" i="15" s="1"/>
  <c r="J23" i="4"/>
  <c r="J15" i="4" s="1"/>
  <c r="H20" i="15"/>
  <c r="H21" i="15"/>
  <c r="K38" i="4"/>
  <c r="K40" i="4"/>
  <c r="K35" i="15" s="1"/>
  <c r="K34" i="17" s="1"/>
  <c r="S116" i="4"/>
  <c r="J72" i="4" s="1"/>
  <c r="K56" i="4" s="1"/>
  <c r="AO116" i="4"/>
  <c r="J74" i="4" s="1"/>
  <c r="K57" i="4" s="1"/>
  <c r="K23" i="4" s="1"/>
  <c r="K15" i="4" s="1"/>
  <c r="J15" i="15"/>
  <c r="K37" i="15"/>
  <c r="K36" i="17" s="1"/>
  <c r="K28" i="17" s="1"/>
  <c r="K29" i="15"/>
  <c r="J33" i="15"/>
  <c r="J33" i="4"/>
  <c r="J28" i="15" s="1"/>
  <c r="AP90" i="4"/>
  <c r="AP91" i="4" s="1"/>
  <c r="AP92" i="4" s="1"/>
  <c r="AP93" i="4" s="1"/>
  <c r="AP94" i="4" s="1"/>
  <c r="AP95" i="4" s="1"/>
  <c r="AP96" i="4" s="1"/>
  <c r="AP97" i="4" s="1"/>
  <c r="AP98" i="4" s="1"/>
  <c r="AP99" i="4" s="1"/>
  <c r="AP100" i="4" s="1"/>
  <c r="AP101" i="4" s="1"/>
  <c r="AP102" i="4" s="1"/>
  <c r="AP103" i="4" s="1"/>
  <c r="AP104" i="4" s="1"/>
  <c r="AP105" i="4" s="1"/>
  <c r="AP106" i="4" s="1"/>
  <c r="AP107" i="4" s="1"/>
  <c r="AP108" i="4" s="1"/>
  <c r="T90" i="4"/>
  <c r="T91" i="4" s="1"/>
  <c r="T92" i="4" s="1"/>
  <c r="T93" i="4" s="1"/>
  <c r="T94" i="4" s="1"/>
  <c r="T95" i="4" s="1"/>
  <c r="T96" i="4" s="1"/>
  <c r="T97" i="4" s="1"/>
  <c r="T98" i="4" s="1"/>
  <c r="T99" i="4" s="1"/>
  <c r="T100" i="4" s="1"/>
  <c r="T101" i="4" s="1"/>
  <c r="T102" i="4" s="1"/>
  <c r="T103" i="4" s="1"/>
  <c r="T104" i="4" s="1"/>
  <c r="T105" i="4" s="1"/>
  <c r="T106" i="4" s="1"/>
  <c r="T107" i="4" s="1"/>
  <c r="T108" i="4" s="1"/>
  <c r="I23" i="15"/>
  <c r="J56" i="4"/>
  <c r="J54" i="4"/>
  <c r="J53" i="4"/>
  <c r="J55" i="4"/>
  <c r="H36" i="17"/>
  <c r="H23" i="15"/>
  <c r="I28" i="17"/>
  <c r="E23" i="15"/>
  <c r="E36" i="17"/>
  <c r="J36" i="17"/>
  <c r="J23" i="15"/>
  <c r="I35" i="17"/>
  <c r="I24" i="19"/>
  <c r="E18" i="27"/>
  <c r="E13" i="27" s="1"/>
  <c r="E28" i="50" s="1"/>
  <c r="E12" i="19"/>
  <c r="F36" i="48" s="1"/>
  <c r="L29" i="15" l="1"/>
  <c r="K33" i="4"/>
  <c r="K28" i="15" s="1"/>
  <c r="I28" i="4"/>
  <c r="AP116" i="4"/>
  <c r="K74" i="4" s="1"/>
  <c r="L57" i="4" s="1"/>
  <c r="L23" i="4" s="1"/>
  <c r="L15" i="4" s="1"/>
  <c r="K52" i="15"/>
  <c r="K23" i="15" s="1"/>
  <c r="I14" i="4"/>
  <c r="K55" i="4"/>
  <c r="K50" i="15" s="1"/>
  <c r="K54" i="4"/>
  <c r="K49" i="15" s="1"/>
  <c r="K20" i="15" s="1"/>
  <c r="K53" i="4"/>
  <c r="K19" i="4" s="1"/>
  <c r="K33" i="15"/>
  <c r="K49" i="4"/>
  <c r="K44" i="15" s="1"/>
  <c r="K15" i="15" s="1"/>
  <c r="T116" i="4"/>
  <c r="K72" i="4" s="1"/>
  <c r="L53" i="4" s="1"/>
  <c r="L40" i="4"/>
  <c r="L35" i="15" s="1"/>
  <c r="L34" i="17" s="1"/>
  <c r="L39" i="4"/>
  <c r="L34" i="15" s="1"/>
  <c r="L33" i="17" s="1"/>
  <c r="L41" i="4"/>
  <c r="L36" i="15" s="1"/>
  <c r="L38" i="4"/>
  <c r="J51" i="15"/>
  <c r="J22" i="4"/>
  <c r="J49" i="15"/>
  <c r="J20" i="15" s="1"/>
  <c r="J20" i="4"/>
  <c r="J50" i="15"/>
  <c r="J21" i="4"/>
  <c r="J48" i="15"/>
  <c r="J19" i="4"/>
  <c r="J48" i="4"/>
  <c r="J43" i="15" s="1"/>
  <c r="J14" i="15" s="1"/>
  <c r="K51" i="15"/>
  <c r="K22" i="4"/>
  <c r="E28" i="17"/>
  <c r="E21" i="17"/>
  <c r="J28" i="17"/>
  <c r="H28" i="17"/>
  <c r="J35" i="17"/>
  <c r="L28" i="17"/>
  <c r="K21" i="4" l="1"/>
  <c r="L52" i="15"/>
  <c r="L23" i="15" s="1"/>
  <c r="L49" i="4"/>
  <c r="L44" i="15" s="1"/>
  <c r="L15" i="15" s="1"/>
  <c r="K20" i="4"/>
  <c r="K14" i="4" s="1"/>
  <c r="K48" i="15"/>
  <c r="K19" i="15" s="1"/>
  <c r="K48" i="4"/>
  <c r="K43" i="15" s="1"/>
  <c r="K14" i="15" s="1"/>
  <c r="L54" i="4"/>
  <c r="L49" i="15" s="1"/>
  <c r="L20" i="15" s="1"/>
  <c r="L55" i="4"/>
  <c r="L21" i="4" s="1"/>
  <c r="L56" i="4"/>
  <c r="L22" i="4" s="1"/>
  <c r="L33" i="15"/>
  <c r="L33" i="4"/>
  <c r="L28" i="15" s="1"/>
  <c r="L19" i="4"/>
  <c r="L48" i="15"/>
  <c r="J22" i="15"/>
  <c r="J21" i="15"/>
  <c r="J19" i="15"/>
  <c r="K21" i="15"/>
  <c r="J28" i="4"/>
  <c r="J14" i="4"/>
  <c r="K22" i="15"/>
  <c r="E21" i="19"/>
  <c r="E13" i="17"/>
  <c r="K35" i="17"/>
  <c r="L35" i="17"/>
  <c r="K28" i="4" l="1"/>
  <c r="L20" i="4"/>
  <c r="L14" i="4" s="1"/>
  <c r="L51" i="15"/>
  <c r="L22" i="15" s="1"/>
  <c r="L48" i="4"/>
  <c r="L43" i="15" s="1"/>
  <c r="L14" i="15" s="1"/>
  <c r="L50" i="15"/>
  <c r="L21" i="15" s="1"/>
  <c r="L19" i="15"/>
  <c r="E22" i="27"/>
  <c r="E14" i="27" s="1"/>
  <c r="E29" i="50" s="1"/>
  <c r="I28" i="19"/>
  <c r="F30" i="48" s="1"/>
  <c r="E13" i="19"/>
  <c r="F37" i="48" s="1"/>
  <c r="L28" i="4" l="1"/>
  <c r="F32" i="17"/>
  <c r="F27" i="17" s="1"/>
  <c r="G32" i="17"/>
  <c r="I32" i="17" l="1"/>
  <c r="G27" i="17"/>
  <c r="H32" i="17"/>
  <c r="H27" i="17" l="1"/>
  <c r="J32" i="17"/>
  <c r="I27" i="17"/>
  <c r="L32" i="17" l="1"/>
  <c r="K32" i="17"/>
  <c r="J27" i="17"/>
  <c r="K27" i="17" l="1"/>
  <c r="L27" i="17"/>
  <c r="F47" i="17" l="1"/>
  <c r="F17" i="17" l="1"/>
  <c r="F17" i="19" l="1"/>
  <c r="F18" i="27" l="1"/>
  <c r="J24" i="19"/>
  <c r="G47" i="17"/>
  <c r="G17" i="17" s="1"/>
  <c r="G17" i="19" s="1"/>
  <c r="J47" i="17"/>
  <c r="L47" i="17"/>
  <c r="I47" i="17"/>
  <c r="I17" i="17" s="1"/>
  <c r="K47" i="17"/>
  <c r="K17" i="17" s="1"/>
  <c r="H47" i="17"/>
  <c r="H17" i="17" s="1"/>
  <c r="H17" i="19" l="1"/>
  <c r="I17" i="19"/>
  <c r="K17" i="19"/>
  <c r="L17" i="17"/>
  <c r="K24" i="19"/>
  <c r="J17" i="17"/>
  <c r="G18" i="27"/>
  <c r="J17" i="19" l="1"/>
  <c r="L17" i="19"/>
  <c r="M24" i="19"/>
  <c r="I18" i="27"/>
  <c r="K18" i="27"/>
  <c r="O24" i="19"/>
  <c r="L24" i="19"/>
  <c r="H18" i="27"/>
  <c r="P24" i="19" l="1"/>
  <c r="N17" i="19"/>
  <c r="L18" i="27"/>
  <c r="N24" i="19"/>
  <c r="J18" i="27"/>
  <c r="H50" i="17"/>
  <c r="H20" i="17" s="1"/>
  <c r="H20" i="19" s="1"/>
  <c r="F51" i="17"/>
  <c r="F48" i="17"/>
  <c r="I50" i="17"/>
  <c r="I20" i="17" s="1"/>
  <c r="I20" i="19" s="1"/>
  <c r="I51" i="17"/>
  <c r="L33" i="16"/>
  <c r="K33" i="16"/>
  <c r="H48" i="17"/>
  <c r="F50" i="17"/>
  <c r="F20" i="17" s="1"/>
  <c r="F20" i="19" s="1"/>
  <c r="G50" i="17"/>
  <c r="G20" i="17" s="1"/>
  <c r="G20" i="19" s="1"/>
  <c r="F21" i="17" l="1"/>
  <c r="F43" i="17"/>
  <c r="H21" i="27"/>
  <c r="L27" i="19"/>
  <c r="M27" i="19"/>
  <c r="I21" i="27"/>
  <c r="J48" i="17"/>
  <c r="L50" i="17"/>
  <c r="L20" i="17" s="1"/>
  <c r="L20" i="19" s="1"/>
  <c r="K50" i="17"/>
  <c r="K20" i="17" s="1"/>
  <c r="K20" i="19" s="1"/>
  <c r="K27" i="19"/>
  <c r="G21" i="27"/>
  <c r="I49" i="17"/>
  <c r="I19" i="17" s="1"/>
  <c r="I19" i="19" s="1"/>
  <c r="H18" i="17"/>
  <c r="F18" i="17"/>
  <c r="F21" i="27"/>
  <c r="J27" i="19"/>
  <c r="I43" i="17"/>
  <c r="I21" i="17"/>
  <c r="G51" i="17"/>
  <c r="J32" i="16"/>
  <c r="G48" i="17"/>
  <c r="H49" i="17"/>
  <c r="H19" i="17" s="1"/>
  <c r="H19" i="19" s="1"/>
  <c r="J50" i="17"/>
  <c r="J20" i="17" s="1"/>
  <c r="J20" i="19" s="1"/>
  <c r="F49" i="17"/>
  <c r="F19" i="17" s="1"/>
  <c r="F19" i="19" s="1"/>
  <c r="J33" i="16"/>
  <c r="G49" i="17"/>
  <c r="G19" i="17" s="1"/>
  <c r="G19" i="19" s="1"/>
  <c r="H51" i="17"/>
  <c r="I48" i="17"/>
  <c r="M33" i="16"/>
  <c r="H42" i="17" l="1"/>
  <c r="H21" i="17"/>
  <c r="H43" i="17"/>
  <c r="G21" i="17"/>
  <c r="G43" i="17"/>
  <c r="H12" i="17"/>
  <c r="H18" i="19"/>
  <c r="J18" i="17"/>
  <c r="K48" i="17"/>
  <c r="L48" i="17"/>
  <c r="I13" i="17"/>
  <c r="I21" i="19"/>
  <c r="G20" i="27"/>
  <c r="K26" i="19"/>
  <c r="I20" i="27"/>
  <c r="M26" i="19"/>
  <c r="J49" i="17"/>
  <c r="J19" i="17" s="1"/>
  <c r="J19" i="19" s="1"/>
  <c r="F20" i="27"/>
  <c r="J26" i="19"/>
  <c r="N27" i="19"/>
  <c r="J21" i="27"/>
  <c r="N33" i="16"/>
  <c r="J51" i="17"/>
  <c r="O27" i="19"/>
  <c r="K21" i="27"/>
  <c r="I42" i="17"/>
  <c r="I18" i="17"/>
  <c r="L26" i="19"/>
  <c r="H20" i="27"/>
  <c r="F42" i="17"/>
  <c r="G18" i="17"/>
  <c r="G42" i="17"/>
  <c r="F18" i="19"/>
  <c r="F12" i="17"/>
  <c r="P27" i="19"/>
  <c r="L21" i="27"/>
  <c r="N20" i="19"/>
  <c r="F13" i="17"/>
  <c r="F21" i="19"/>
  <c r="J42" i="17" l="1"/>
  <c r="J21" i="17"/>
  <c r="J43" i="17"/>
  <c r="L25" i="19"/>
  <c r="H12" i="19"/>
  <c r="I36" i="48" s="1"/>
  <c r="H19" i="27"/>
  <c r="H13" i="27" s="1"/>
  <c r="H28" i="50" s="1"/>
  <c r="J28" i="19"/>
  <c r="F22" i="27"/>
  <c r="F14" i="27" s="1"/>
  <c r="F29" i="50" s="1"/>
  <c r="F13" i="19"/>
  <c r="G37" i="48" s="1"/>
  <c r="K49" i="17"/>
  <c r="K19" i="17" s="1"/>
  <c r="K19" i="19" s="1"/>
  <c r="L49" i="17"/>
  <c r="L19" i="17" s="1"/>
  <c r="L19" i="19" s="1"/>
  <c r="K51" i="17"/>
  <c r="O33" i="16"/>
  <c r="G12" i="17"/>
  <c r="G18" i="19"/>
  <c r="H21" i="19"/>
  <c r="H13" i="17"/>
  <c r="J12" i="17"/>
  <c r="J18" i="19"/>
  <c r="I12" i="17"/>
  <c r="I18" i="19"/>
  <c r="M28" i="19"/>
  <c r="I13" i="19"/>
  <c r="J37" i="48" s="1"/>
  <c r="I22" i="27"/>
  <c r="I14" i="27" s="1"/>
  <c r="I29" i="50" s="1"/>
  <c r="K18" i="17"/>
  <c r="J25" i="19"/>
  <c r="F19" i="27"/>
  <c r="F13" i="27" s="1"/>
  <c r="F28" i="50" s="1"/>
  <c r="F12" i="19"/>
  <c r="G36" i="48" s="1"/>
  <c r="G21" i="19"/>
  <c r="G13" i="17"/>
  <c r="J20" i="27"/>
  <c r="N26" i="19"/>
  <c r="L18" i="17"/>
  <c r="G30" i="48" l="1"/>
  <c r="L42" i="17"/>
  <c r="K20" i="27"/>
  <c r="O26" i="19"/>
  <c r="J21" i="19"/>
  <c r="J13" i="17"/>
  <c r="M25" i="19"/>
  <c r="J30" i="48" s="1"/>
  <c r="I12" i="19"/>
  <c r="J36" i="48" s="1"/>
  <c r="I19" i="27"/>
  <c r="I13" i="27" s="1"/>
  <c r="I28" i="50" s="1"/>
  <c r="K21" i="17"/>
  <c r="K43" i="17"/>
  <c r="K42" i="17"/>
  <c r="K28" i="19"/>
  <c r="G22" i="27"/>
  <c r="G14" i="27" s="1"/>
  <c r="G29" i="50" s="1"/>
  <c r="G13" i="19"/>
  <c r="H37" i="48" s="1"/>
  <c r="J12" i="19"/>
  <c r="K36" i="48" s="1"/>
  <c r="J19" i="27"/>
  <c r="J13" i="27" s="1"/>
  <c r="J28" i="50" s="1"/>
  <c r="N25" i="19"/>
  <c r="P33" i="16"/>
  <c r="L51" i="17"/>
  <c r="H13" i="19"/>
  <c r="I37" i="48" s="1"/>
  <c r="H22" i="27"/>
  <c r="H14" i="27" s="1"/>
  <c r="H29" i="50" s="1"/>
  <c r="L28" i="19"/>
  <c r="I30" i="48" s="1"/>
  <c r="G12" i="19"/>
  <c r="G19" i="27"/>
  <c r="G13" i="27" s="1"/>
  <c r="G28" i="50" s="1"/>
  <c r="K25" i="19"/>
  <c r="L18" i="19"/>
  <c r="L12" i="17"/>
  <c r="K12" i="17"/>
  <c r="K18" i="19"/>
  <c r="P26" i="19"/>
  <c r="L20" i="27"/>
  <c r="N19" i="19"/>
  <c r="H30" i="48" l="1"/>
  <c r="K13" i="17"/>
  <c r="K21" i="19"/>
  <c r="K12" i="19"/>
  <c r="L36" i="48" s="1"/>
  <c r="K19" i="27"/>
  <c r="K13" i="27" s="1"/>
  <c r="K28" i="50" s="1"/>
  <c r="O25" i="19"/>
  <c r="J22" i="27"/>
  <c r="J14" i="27" s="1"/>
  <c r="J29" i="50" s="1"/>
  <c r="J13" i="19"/>
  <c r="K37" i="48" s="1"/>
  <c r="N28" i="19"/>
  <c r="K30" i="48" s="1"/>
  <c r="L21" i="17"/>
  <c r="L43" i="17"/>
  <c r="N18" i="19"/>
  <c r="P25" i="19"/>
  <c r="L19" i="27"/>
  <c r="L13" i="27" s="1"/>
  <c r="L12" i="19"/>
  <c r="M36" i="48" s="1"/>
  <c r="L28" i="50" l="1"/>
  <c r="L13" i="17"/>
  <c r="L21" i="19"/>
  <c r="O28" i="19"/>
  <c r="L30" i="48" s="1"/>
  <c r="K13" i="19"/>
  <c r="L37" i="48" s="1"/>
  <c r="K22" i="27"/>
  <c r="K14" i="27" s="1"/>
  <c r="K29" i="50" s="1"/>
  <c r="N21" i="19" l="1"/>
  <c r="P28" i="19"/>
  <c r="M30" i="48" s="1"/>
  <c r="L22" i="27"/>
  <c r="L14" i="27" s="1"/>
  <c r="L13" i="19"/>
  <c r="M37" i="48" s="1"/>
  <c r="L29" i="50" l="1"/>
  <c r="O28" i="50"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JobID-1476708_1476708_test2.csv" type="6" refreshedVersion="0" background="1" saveData="1">
    <textPr fileType="mac" sourceFile="Macintosh HD:Users:Lizzy:Downloads:1476708_4E5C255F-8:DataJobID-1476708_1476708_test2.csv" comma="1">
      <textFields count="11">
        <textField/>
        <textField/>
        <textField/>
        <textField/>
        <textField/>
        <textField/>
        <textField/>
        <textField/>
        <textField/>
        <textField/>
        <textField/>
      </textFields>
    </textPr>
  </connection>
  <connection id="2" xr16:uid="{00000000-0015-0000-FFFF-FFFF01000000}" name="DataJobID-1476767_1476767_OffshoreWind.csv" type="6" refreshedVersion="0" background="1" saveData="1">
    <textPr fileType="mac" sourceFile="Macintosh HD:Users:Lizzy:Downloads:1476767_B8610353-E:DataJobID-1476767_1476767_OffshoreWind.csv" comma="1">
      <textFields count="10">
        <textField/>
        <textField/>
        <textField/>
        <textField/>
        <textField/>
        <textField/>
        <textField/>
        <textField/>
        <textField/>
        <textField/>
      </textFields>
    </textPr>
  </connection>
  <connection id="3" xr16:uid="{00000000-0015-0000-FFFF-FFFF02000000}" name="DataJobID-1476778_1476778_TotalExports.csv" type="6" refreshedVersion="0" background="1" saveData="1">
    <textPr fileType="mac" sourceFile="Macintosh HD:Users:Lizzy:Downloads:1476778_88589503-B:DataJobID-1476778_1476778_TotalExports.csv" comma="1">
      <textFields count="10">
        <textField/>
        <textField/>
        <textField/>
        <textField/>
        <textField/>
        <textField/>
        <textField/>
        <textField/>
        <textField/>
        <textField/>
      </textFields>
    </textPr>
  </connection>
  <connection id="4" xr16:uid="{00000000-0015-0000-FFFF-FFFF03000000}" name="DataJobID-1480951_1480951_OffshoreWind2.csv" type="6" refreshedVersion="0" background="1" saveData="1">
    <textPr fileType="mac" sourceFile="Macintosh HD:Users:Lizzy:Downloads:1480951_051B4083-0:DataJobID-1480951_1480951_OffshoreWind2.csv" comma="1">
      <textFields count="10">
        <textField/>
        <textField/>
        <textField/>
        <textField/>
        <textField/>
        <textField/>
        <textField/>
        <textField/>
        <textField/>
        <textField/>
      </textFields>
    </textPr>
  </connection>
  <connection id="5" xr16:uid="{00000000-0015-0000-FFFF-FFFF04000000}" name="DataJobID-1480965_1480965_TotalExports.csv" type="6" refreshedVersion="0" background="1" saveData="1">
    <textPr fileType="mac" sourceFile="Macintosh HD:Users:Lizzy:Downloads:1480965_63124313-5:DataJobID-1480965_1480965_TotalExports.csv" comma="1">
      <textFields count="10">
        <textField/>
        <textField/>
        <textField/>
        <textField/>
        <textField/>
        <textField/>
        <textField/>
        <textField/>
        <textField/>
        <textField/>
      </textFields>
    </textPr>
  </connection>
  <connection id="6" xr16:uid="{0FDA6197-EE76-9F40-9BC6-B4D22BF54BFF}" name="DataJobID-1486558_1486558_TotalExports" type="6" refreshedVersion="6" background="1" saveData="1">
    <textPr sourceFile="/Users/Lizzy/Downloads/1486558_BA8A5C69-7/DataJobID-1486558_1486558_TotalExports.csv" comma="1">
      <textFields count="10">
        <textField/>
        <textField/>
        <textField/>
        <textField/>
        <textField/>
        <textField/>
        <textField/>
        <textField/>
        <textField/>
        <textField/>
      </textFields>
    </textPr>
  </connection>
  <connection id="7" xr16:uid="{790ADCF1-9AD6-024F-A882-1FE6C344E79A}" name="DataJobID-1486578_1486578_OffshoreWind2" type="6" refreshedVersion="6" background="1" saveData="1">
    <textPr sourceFile="/Users/Lizzy/Downloads/1486578_4ED34C21-E/DataJobID-1486578_1486578_OffshoreWind2.csv" comma="1">
      <textFields count="10">
        <textField/>
        <textField/>
        <textField/>
        <textField/>
        <textField/>
        <textField/>
        <textField/>
        <textField/>
        <textField/>
        <textField/>
      </textFields>
    </textPr>
  </connection>
  <connection id="8" xr16:uid="{E557A4F2-FDD7-435F-A05C-2F302C0871DC}" keepAlive="1" name="Query - DataJobID-1516902_1516902_OffshoreWind2" description="Connection to the 'DataJobID-1516902_1516902_OffshoreWind2' query in the workbook." type="5" refreshedVersion="6" background="1" saveData="1">
    <dbPr connection="Provider=Microsoft.Mashup.OleDb.1;Data Source=$Workbook$;Location=DataJobID-1516902_1516902_OffshoreWind2;Extended Properties=&quot;&quot;" command="SELECT * FROM [DataJobID-1516902_1516902_OffshoreWind2]"/>
  </connection>
  <connection id="9" xr16:uid="{C9B50C40-A0D6-44DA-B244-48440CC2E099}" keepAlive="1" name="Query - DataJobID-1516902_1516902_OffshoreWind2 (2)" description="Connection to the 'DataJobID-1516902_1516902_OffshoreWind2 (2)' query in the workbook." type="5" refreshedVersion="6" background="1" saveData="1">
    <dbPr connection="Provider=Microsoft.Mashup.OleDb.1;Data Source=$Workbook$;Location=DataJobID-1516902_1516902_OffshoreWind2 (2);Extended Properties=&quot;&quot;" command="SELECT * FROM [DataJobID-1516902_1516902_OffshoreWind2 (2)]"/>
  </connection>
</connections>
</file>

<file path=xl/sharedStrings.xml><?xml version="1.0" encoding="utf-8"?>
<sst xmlns="http://schemas.openxmlformats.org/spreadsheetml/2006/main" count="4932" uniqueCount="567">
  <si>
    <t>Summary</t>
  </si>
  <si>
    <t>Description</t>
  </si>
  <si>
    <t>Project code</t>
  </si>
  <si>
    <t>Client</t>
  </si>
  <si>
    <t>Vivid team</t>
  </si>
  <si>
    <t>Sheet Author</t>
  </si>
  <si>
    <t>Sheet Auditor</t>
  </si>
  <si>
    <t>Launch date</t>
  </si>
  <si>
    <t>Notes</t>
  </si>
  <si>
    <t>Worksheets</t>
  </si>
  <si>
    <t>Sheet name</t>
  </si>
  <si>
    <t>Key figures</t>
  </si>
  <si>
    <t>Key calculations</t>
  </si>
  <si>
    <t>Linked Data</t>
  </si>
  <si>
    <t>Raw data</t>
  </si>
  <si>
    <t>Metric</t>
  </si>
  <si>
    <t>Level</t>
  </si>
  <si>
    <t>Period</t>
  </si>
  <si>
    <t>Source</t>
  </si>
  <si>
    <t>URL</t>
  </si>
  <si>
    <t>Date published</t>
  </si>
  <si>
    <t>Date accessed</t>
  </si>
  <si>
    <t>Selected data</t>
  </si>
  <si>
    <t>Definition</t>
  </si>
  <si>
    <t>Units</t>
  </si>
  <si>
    <t>Value</t>
  </si>
  <si>
    <t>Conversion details</t>
  </si>
  <si>
    <t>Original value</t>
  </si>
  <si>
    <t>Original units</t>
  </si>
  <si>
    <t>Conversion factor</t>
  </si>
  <si>
    <t>Money year</t>
  </si>
  <si>
    <t>SP link</t>
  </si>
  <si>
    <t>Page</t>
  </si>
  <si>
    <t>Table/figure</t>
  </si>
  <si>
    <t>Contents</t>
  </si>
  <si>
    <t>Summary tabs</t>
  </si>
  <si>
    <t>Worksheet</t>
  </si>
  <si>
    <t>Contents of sheet</t>
  </si>
  <si>
    <t>QA check</t>
  </si>
  <si>
    <t>The QA check outlines key steps for sense-checking the calculator. The QA was performed by a Vivid colleague to ensure consistency with the overall methodology.</t>
  </si>
  <si>
    <t>Assumptions log</t>
  </si>
  <si>
    <t>The assumptions log  follows the standard BEIS template for logging assumptions. The log is completed to illustrate the assumptions per step in the calculation.</t>
  </si>
  <si>
    <t>Methodology steps</t>
  </si>
  <si>
    <t>Sheet</t>
  </si>
  <si>
    <t>Data in sheet</t>
  </si>
  <si>
    <t>Calculations in sheet</t>
  </si>
  <si>
    <t>4.1.1</t>
  </si>
  <si>
    <t>Deployment</t>
  </si>
  <si>
    <t>Global, EU and UK deployment levels</t>
  </si>
  <si>
    <t>Transform deployment levels into 5 yearly flows based on difference between deployment levels and assumptions on replacements</t>
  </si>
  <si>
    <t>Tech costs</t>
  </si>
  <si>
    <t>Technology costs, split between O&amp;M and capital costs. Capital costs may be split by component if this is done in earlier phases of EINA work as well.</t>
  </si>
  <si>
    <t>None, technology costs sourced from earlier phases of EINA work</t>
  </si>
  <si>
    <t>Market turnover</t>
  </si>
  <si>
    <t>Total market turnover globally</t>
  </si>
  <si>
    <t>Turnover is calculated based on capital cost of deployment and O&amp;M costs</t>
  </si>
  <si>
    <t>4.1.2</t>
  </si>
  <si>
    <t>Tradeable %</t>
  </si>
  <si>
    <t>Assessment of which % of total market is tradeable from a UK perspective. This assessment may differ regionally if there are, for example, high transport costs which mean it is impractical for the UK to access far away (non European) markets</t>
  </si>
  <si>
    <t xml:space="preserve">Based on export judgement and existing trade data </t>
  </si>
  <si>
    <t>Total tradeable turnover</t>
  </si>
  <si>
    <t>Total tradeable turnover. Tradeable turnover is considered from a UK perspective.</t>
  </si>
  <si>
    <t>Based on multiplication of market turnover and tradeable %</t>
  </si>
  <si>
    <t>4.1.3</t>
  </si>
  <si>
    <t>UK market share</t>
  </si>
  <si>
    <t>Assessment of a path for UK market share based on current UK tradeable turnover and UK competitive advantage.</t>
  </si>
  <si>
    <t>Based on RCA (background sheet) and expert judgement</t>
  </si>
  <si>
    <t>UK captured turnover</t>
  </si>
  <si>
    <t>UK captured turnover (in £s)</t>
  </si>
  <si>
    <t>Based on multiplication of tradeable turnover and UK market share.</t>
  </si>
  <si>
    <t>4.1.5</t>
  </si>
  <si>
    <t>GVA turnover multipliers</t>
  </si>
  <si>
    <t>GVA multipliers</t>
  </si>
  <si>
    <t>None, based on ONS data</t>
  </si>
  <si>
    <t>Background tabs</t>
  </si>
  <si>
    <t>GVA associated with a technology</t>
  </si>
  <si>
    <t>Total GVA from exports</t>
  </si>
  <si>
    <t>Based on multiplication of GVA multipliers with UK captured turnover</t>
  </si>
  <si>
    <t>GVA per worker</t>
  </si>
  <si>
    <t>GVA per worker estimates based on ONS data</t>
  </si>
  <si>
    <t>None, ONS data</t>
  </si>
  <si>
    <t>Background for market share assessment (4.1.3)</t>
  </si>
  <si>
    <t>Market shares, trade volumes, RCA, etc.</t>
  </si>
  <si>
    <t>Jobs supported</t>
  </si>
  <si>
    <t>Jobs supported from export-facing industry</t>
  </si>
  <si>
    <t>Based on GVA and GVA per worker</t>
  </si>
  <si>
    <t>HS data</t>
  </si>
  <si>
    <t>Raw data used in calculating current market shares</t>
  </si>
  <si>
    <t>Background sheets</t>
  </si>
  <si>
    <t xml:space="preserve">Background for </t>
  </si>
  <si>
    <t>Background for market share assessment</t>
  </si>
  <si>
    <t>RCA, trade volumes, skills data, etc.</t>
  </si>
  <si>
    <t>Technology-level calculators within this calculator</t>
  </si>
  <si>
    <t>Offshore Wind</t>
  </si>
  <si>
    <t>QA Checklist</t>
  </si>
  <si>
    <t>Task</t>
  </si>
  <si>
    <t>Y/N</t>
  </si>
  <si>
    <t>Comments</t>
  </si>
  <si>
    <t>Added to issues log</t>
  </si>
  <si>
    <t>Fresh eyes review</t>
  </si>
  <si>
    <t>Y</t>
  </si>
  <si>
    <t>Minor issues</t>
  </si>
  <si>
    <t>n/a</t>
  </si>
  <si>
    <t>10 min to familarise yourself with other persons spreadsheet and go through each tab without asking the other person any questions. Both do this at the same time and note first impressions, if you don't understand anything, or anything is missing.</t>
  </si>
  <si>
    <t xml:space="preserve">General overview of numbers to see if there are any obvious anomolies. </t>
  </si>
  <si>
    <t>This could be a magnitude higher than expected, odd pattern (eg. up then down), missing data or all zeros, really big numbers etc.</t>
  </si>
  <si>
    <t xml:space="preserve">Check Jobs and GVA totals against QA / sense check spreadsheet </t>
  </si>
  <si>
    <t>GVA/worker: 73k vs 56k - should be closer with green prod. Adjustment</t>
  </si>
  <si>
    <t>yes</t>
  </si>
  <si>
    <t>If substantially different follow the numbers to see if there is an error, or a reason. Flag any odd ones for Maarten to review and potentially to discuss in workshop. Discuss if they are resonable and make sure this is clear in the assumptions/issue log</t>
  </si>
  <si>
    <t xml:space="preserve">Check units make sense and are consistent with other spreadsheets. </t>
  </si>
  <si>
    <t>All in appropriate units</t>
  </si>
  <si>
    <t>Deployment and tech costs units should match or be converted. If it says £millions then numbers should be in that order of magnitude. Make sure they are consistent with other workbooks you have been working on so that they can more easily be compared.</t>
  </si>
  <si>
    <t>Check each tab is a multiplication or data from the right source</t>
  </si>
  <si>
    <t>went through each tab, testing a few formulas.</t>
  </si>
  <si>
    <t>Maybe do both spreadsheets at the same time and just make sure they are both the same. Make sure EU links to EU and RoW to RoW.</t>
  </si>
  <si>
    <t>Check capital cost and O&amp;M at the top of each spreadsheet is the appropriate weighted average, sum, etc. for that tab</t>
  </si>
  <si>
    <t>all appropriate</t>
  </si>
  <si>
    <t xml:space="preserve">Maybe do both spreadsheets at the same time and just make sure they are both the same. If you can't remember which it should be then check against another spreadsheet, or discuss the merits of both. </t>
  </si>
  <si>
    <t xml:space="preserve">Check tradeable % are reasonable and discuss assumptions underpinning each one </t>
  </si>
  <si>
    <t>reasonable explanations given for all - other to be removed</t>
  </si>
  <si>
    <t>Do these make senese when compared against EU/RoW %? What was the rational for the %? Was there any data to support this? Are the assumptions clearly stated so that an outsider could understand?</t>
  </si>
  <si>
    <t xml:space="preserve">Validate that deployment and renewal are inputted correctly and that stock is accurately changed to flow </t>
  </si>
  <si>
    <t>corrected renewal calculations</t>
  </si>
  <si>
    <t xml:space="preserve">Stock divided by 5 to get to flow and the assumptions surrouonding renewal are reasonable. </t>
  </si>
  <si>
    <t>Is the tradeable market size apppropriate for the technology and actual market conditions?</t>
  </si>
  <si>
    <t>needs adjustment based on actually traded turnover</t>
  </si>
  <si>
    <t xml:space="preserve">Has the theoretical Tradeable market been checked to see if that is what is really traded? If the numbers don't match, why? Have these been used throughout following calculations? Is this clearly stated in assumptions log.  </t>
  </si>
  <si>
    <t xml:space="preserve">Any big questions that you asked each other as it wasn't clear from the speadsheet that you could easily add in the information into the spreadsheet for future reviews? </t>
  </si>
  <si>
    <t>discussed</t>
  </si>
  <si>
    <t>For example source of data or why something was done differently from normal.</t>
  </si>
  <si>
    <t>Discuss any deviations from the usual sources or standards that have been set</t>
  </si>
  <si>
    <t>Are these reasonable? Are they clearly outlined in the assumptions log? Note each of them below</t>
  </si>
  <si>
    <t xml:space="preserve">Review against </t>
  </si>
  <si>
    <t>Assumptions log:</t>
  </si>
  <si>
    <t>Location in model</t>
  </si>
  <si>
    <t>#</t>
  </si>
  <si>
    <t>Technology</t>
  </si>
  <si>
    <t>Unique ID</t>
  </si>
  <si>
    <t>Plain English description with key details</t>
  </si>
  <si>
    <t>Relevant cells in sheet</t>
  </si>
  <si>
    <t>Methodology behind assumption</t>
  </si>
  <si>
    <t>Quality Rating</t>
  </si>
  <si>
    <t>Impact rating</t>
  </si>
  <si>
    <t>Description of Quality Rating</t>
  </si>
  <si>
    <t>Description of Impact Rating</t>
  </si>
  <si>
    <t>Priority flag for risk register</t>
  </si>
  <si>
    <t>Description of Risk Rating, and any mitigation actions</t>
  </si>
  <si>
    <t>Offshore wind</t>
  </si>
  <si>
    <t>Assumed 20 year lifespan of a single offshore wind turbine</t>
  </si>
  <si>
    <t>AI36 - AR41</t>
  </si>
  <si>
    <t>This assumption drives the estimation of how much stock will need to be replaced each time period</t>
  </si>
  <si>
    <t>Green</t>
  </si>
  <si>
    <t>Medium</t>
  </si>
  <si>
    <t>This is based on in depth research in Phase 2</t>
  </si>
  <si>
    <t>The impact is significant as the lifetime has a large impact on replacement needs and hence annual demand</t>
  </si>
  <si>
    <t>No action necessary given low risk</t>
  </si>
  <si>
    <t>Assume RoW, EU and UK capacity pre 2015 grows at the same rate</t>
  </si>
  <si>
    <t>AM36 - AN41</t>
  </si>
  <si>
    <t>This is to enable replacement demand up to 2030 to be calculated. Given the lifetime of offshore wind is assumed to be 20 years, 2025 replacement demand requries 2005 stock to calculate this. However there is an absence of data so stock is back calculated assuming the growth rates (but not the levels) of offshore wind is equal across the RoW, EU and the UK</t>
  </si>
  <si>
    <t>red</t>
  </si>
  <si>
    <t>low</t>
  </si>
  <si>
    <t>This is an approximation</t>
  </si>
  <si>
    <t>Little impact given stock is very low</t>
  </si>
  <si>
    <t>Assumed constant replacement rate</t>
  </si>
  <si>
    <t>This simplifying assumption allows fror a simple stock and flow model to be setup</t>
  </si>
  <si>
    <t>Amber</t>
  </si>
  <si>
    <t>Low</t>
  </si>
  <si>
    <t>This is a basic simplificaiton</t>
  </si>
  <si>
    <t>Little impact as the time resolution of analysis is already higher than what is reported</t>
  </si>
  <si>
    <t>Assumed constant deployment rate per year within a 5 year period</t>
  </si>
  <si>
    <t>I36-P41</t>
  </si>
  <si>
    <t>This is a simplifying assumption</t>
  </si>
  <si>
    <t>Assumed 2014 deployment values for 2015 for capacity values taken from the IEA. This only applies to the rest of the world capacity because EU capacity is sourced from the European Commission, as specified in the deployment sheet</t>
  </si>
  <si>
    <t>Y62, Y66</t>
  </si>
  <si>
    <t>This is an approximation that will slightly under estimate 2015 deployment</t>
  </si>
  <si>
    <t>Little impact as the time resolution of analysis has already passed and is corrected by 2020</t>
  </si>
  <si>
    <t>Assumed rate of  cost reductions</t>
  </si>
  <si>
    <t>I14 - P15</t>
  </si>
  <si>
    <t xml:space="preserve">Based on ESME catapult model used throughout the project. </t>
  </si>
  <si>
    <t>This is based on in depth research from Transport Systems Catapult</t>
  </si>
  <si>
    <t>By 2030 to 250 the size of reductions is significant and change estimated deployment costs</t>
  </si>
  <si>
    <t xml:space="preserve">Assumed the cost decreases from innovation are shared equally across components </t>
  </si>
  <si>
    <t>I19 - P24</t>
  </si>
  <si>
    <t>This is a basic simplificaiton in the absence of detailed cost component decreases</t>
  </si>
  <si>
    <t>Limited impact on overall opportunity and the relative opportunity across components</t>
  </si>
  <si>
    <t>Assumed various levels of tradability for each component, detailed in the tradeable % tab</t>
  </si>
  <si>
    <t>G19-N23</t>
  </si>
  <si>
    <t>This is based on the the assumption that commodities and small to medium parts  are easily traded (low transport costs) internationally. We assume the physical product is easily traded and associated installation etc is less tradable, but nevertheless reasonably tradable for countries in close proximity. Trade data is adjusted based on expert opinion</t>
  </si>
  <si>
    <t>High</t>
  </si>
  <si>
    <t>The assumption is based on informed reasoning from a technical point of view. This assumption has been validated at a stakeholder workshop</t>
  </si>
  <si>
    <t>The impact is high as changes here will directly affect GVA and jobs estimates</t>
  </si>
  <si>
    <t>Assumption validated with stakeholders</t>
  </si>
  <si>
    <t>Assume O&amp;M is highly tradeable within EU but not RoW</t>
  </si>
  <si>
    <t>G23-N23 &amp; G38-N38</t>
  </si>
  <si>
    <t>While the physical product is easily traded, maintenece services etc. are not when the distance is too great. It is possible with near neighbours in Europe and hence tradeable, but not across the RoW</t>
  </si>
  <si>
    <t>UK market shares are aligned with UK Government Offshore Wind Sector Deal</t>
  </si>
  <si>
    <t>UK Market Share</t>
  </si>
  <si>
    <t>I19 - P41</t>
  </si>
  <si>
    <t>This is based on sector estimates of future UK market share</t>
  </si>
  <si>
    <t>Validated by industry and government</t>
  </si>
  <si>
    <t>Small changes in percentages can flow onto large changes in overall market estimates and therefore impact is relatively high</t>
  </si>
  <si>
    <t>Assumed that the GVA/turnover ratio stays constant over time</t>
  </si>
  <si>
    <t>GVA turnover multiplier</t>
  </si>
  <si>
    <t>I18-P22</t>
  </si>
  <si>
    <t>This is a necessary assumption given data limitations</t>
  </si>
  <si>
    <t>Based on robust ONS data</t>
  </si>
  <si>
    <t>Would have a 1:1 impact on final estimate</t>
  </si>
  <si>
    <t>Assumed that the GVA/turnover ratio based on ONS data for a combinantion of sectors is representative for the components in the technology</t>
  </si>
  <si>
    <t>Weighted average GVA per worker multiplier</t>
  </si>
  <si>
    <t>I21-P25</t>
  </si>
  <si>
    <t>Applied a weighted average of the GVA/worker across relevant SIC codes for each component</t>
  </si>
  <si>
    <t>green</t>
  </si>
  <si>
    <t>Little impact as as most viable methodologies would result in a similar number</t>
  </si>
  <si>
    <t xml:space="preserve">Green </t>
  </si>
  <si>
    <t>Assumed that the GVA per worker multiplier based on ONS data for a combinantion of sectors is representative for the components in the technology</t>
  </si>
  <si>
    <t>Assumed that the GVA per worker increases 0.8% annually</t>
  </si>
  <si>
    <t>This assumption accounts for productivity over time</t>
  </si>
  <si>
    <t>Based on robust ONS data and used across the EINAs</t>
  </si>
  <si>
    <t>NPV calculations assume a fixed price implicitly as energy demand is discounted and then converted into value at current prices.</t>
  </si>
  <si>
    <t>Market Turnover</t>
  </si>
  <si>
    <t>B116</t>
  </si>
  <si>
    <t>This is consistent with the NPV methodology used in generate the LCOE which are used to determine CAPEX.</t>
  </si>
  <si>
    <t>Based on the approach used across the EINAs</t>
  </si>
  <si>
    <t>Would be a minimal impact given discount rate</t>
  </si>
  <si>
    <t>Market shares for components are adjusted slightly to align with OWIC Vivid analysis at a total level.</t>
  </si>
  <si>
    <t>I26 - P27 &amp; I44-P44</t>
  </si>
  <si>
    <t>This aligns the HS code analysis with previous market share analysis done on the OSW sector.</t>
  </si>
  <si>
    <t>based on robust, recent analysis</t>
  </si>
  <si>
    <t>Green productivity factor used in first 5 years</t>
  </si>
  <si>
    <t>I10</t>
  </si>
  <si>
    <t>Productivity growth expected to be higher in near term in green sectors</t>
  </si>
  <si>
    <t>This aligns with ONS findings on green productivity factors</t>
  </si>
  <si>
    <t>Has a small negative effect on final jobs figures</t>
  </si>
  <si>
    <t>Assumptions</t>
  </si>
  <si>
    <t>Assumptions log link</t>
  </si>
  <si>
    <t>Note: Assumed lifetime of 20 years (see assumptions log)</t>
  </si>
  <si>
    <t>1Offshore wind</t>
  </si>
  <si>
    <t>Flow of additional and replacement capacity</t>
  </si>
  <si>
    <t>Replacement demand</t>
  </si>
  <si>
    <t>European deployment (exl UK)</t>
  </si>
  <si>
    <t>European deployment</t>
  </si>
  <si>
    <t>European</t>
  </si>
  <si>
    <t>Technology level</t>
  </si>
  <si>
    <t>TWh</t>
  </si>
  <si>
    <t>IEA ETP Energy Technology Perspectives 2017: https://www.IEA.org/reports/energy-technology-perspectives-2017</t>
  </si>
  <si>
    <t>Annual flow</t>
  </si>
  <si>
    <t>Constant deployment rate within 5 year period</t>
  </si>
  <si>
    <t>4Offshore wind</t>
  </si>
  <si>
    <t>European Commission</t>
  </si>
  <si>
    <t>Stock</t>
  </si>
  <si>
    <t>Assumed 2014 deployment values for 2015</t>
  </si>
  <si>
    <t>5Offshore wind</t>
  </si>
  <si>
    <t>Capacity added</t>
  </si>
  <si>
    <t>Rest of World deployment</t>
  </si>
  <si>
    <t xml:space="preserve">Rest of World deployment </t>
  </si>
  <si>
    <t>Rest of World</t>
  </si>
  <si>
    <t xml:space="preserve">Offshore wind </t>
  </si>
  <si>
    <t>Scenarios deployment</t>
  </si>
  <si>
    <t xml:space="preserve">World, source: IEA </t>
  </si>
  <si>
    <t xml:space="preserve">Use below growth rate applied as a ratio to the above figures </t>
  </si>
  <si>
    <t>GW</t>
  </si>
  <si>
    <t>significantly higher than IEA ETP Energy Technology Perspectives 2017: https://www.IEA.org/reports/energy-technology-perspectives-2017</t>
  </si>
  <si>
    <t>Europe deployment Scenario II</t>
  </si>
  <si>
    <t>significantly higher than IEA  ETP Energy Technology Perspectives 2017: https://www.IEA.org/reports/energy-technology-perspectives-2017</t>
  </si>
  <si>
    <t>RoW</t>
  </si>
  <si>
    <t>IEA  ETP Energy Technology Perspectives 2017: https://www.IEA.org/reports/energy-technology-perspectives-2017</t>
  </si>
  <si>
    <t>Rest of World deployment Scenario II</t>
  </si>
  <si>
    <t>2°C Scenario</t>
  </si>
  <si>
    <t xml:space="preserve"> </t>
  </si>
  <si>
    <t>Costs</t>
  </si>
  <si>
    <t xml:space="preserve">2017 = </t>
  </si>
  <si>
    <t>Market value of 4.331 deployment</t>
  </si>
  <si>
    <t>Cost component</t>
  </si>
  <si>
    <t>CAPEX</t>
  </si>
  <si>
    <t>Capital cost</t>
  </si>
  <si>
    <t>£Million/GW</t>
  </si>
  <si>
    <t>Vivid/OWIC</t>
  </si>
  <si>
    <t>Tab P1.costs</t>
  </si>
  <si>
    <t>OPEX</t>
  </si>
  <si>
    <t xml:space="preserve">O&amp;M </t>
  </si>
  <si>
    <t>Tab capacity and cost curve</t>
  </si>
  <si>
    <t>Component level</t>
  </si>
  <si>
    <t>Component</t>
  </si>
  <si>
    <t>Notes on cost breakdown</t>
  </si>
  <si>
    <t>Turbine</t>
  </si>
  <si>
    <t>£million/GW</t>
  </si>
  <si>
    <t>kilo</t>
  </si>
  <si>
    <t>10^3</t>
  </si>
  <si>
    <t xml:space="preserve">Foundations </t>
  </si>
  <si>
    <t>giga</t>
  </si>
  <si>
    <t>10^9</t>
  </si>
  <si>
    <t>Collection &amp; transmission</t>
  </si>
  <si>
    <t>tera</t>
  </si>
  <si>
    <t>10^12</t>
  </si>
  <si>
    <t>Instalation</t>
  </si>
  <si>
    <t>capex to 100%</t>
  </si>
  <si>
    <t>18% of capex+opex</t>
  </si>
  <si>
    <t>Cost reduction inputs into EMSE relative to 2015</t>
  </si>
  <si>
    <t>%</t>
  </si>
  <si>
    <t>ESME model</t>
  </si>
  <si>
    <t>Used medium run, only 2010, 2030 and 2050 are provided, inputed others</t>
  </si>
  <si>
    <t>Total costs %</t>
  </si>
  <si>
    <t>Capex %</t>
  </si>
  <si>
    <t>LCOE</t>
  </si>
  <si>
    <t>Deployment* lifespan</t>
  </si>
  <si>
    <t>Capex</t>
  </si>
  <si>
    <t>O&amp;M</t>
  </si>
  <si>
    <t>Lifespan</t>
  </si>
  <si>
    <t>Fixed offshore wind</t>
  </si>
  <si>
    <r>
      <t>Floating offshore wind</t>
    </r>
    <r>
      <rPr>
        <sz val="11"/>
        <color rgb="FF1F497D"/>
        <rFont val="Calibri"/>
        <family val="2"/>
        <scheme val="minor"/>
      </rPr>
      <t>:</t>
    </r>
  </si>
  <si>
    <t>Development and project management</t>
  </si>
  <si>
    <t>Platform</t>
  </si>
  <si>
    <t>Moorings</t>
  </si>
  <si>
    <t>Balance of plant</t>
  </si>
  <si>
    <t>Anchors</t>
  </si>
  <si>
    <t>Installation and commissioning</t>
  </si>
  <si>
    <t>Installation</t>
  </si>
  <si>
    <t>Operation, maintenance and service</t>
  </si>
  <si>
    <t>Decommissioning</t>
  </si>
  <si>
    <t>Balance of system</t>
  </si>
  <si>
    <t>£million/TWh</t>
  </si>
  <si>
    <t>Carbon Trust</t>
  </si>
  <si>
    <t>Linear cost decrease between 2010 and 2050</t>
  </si>
  <si>
    <t>6Offshore wind</t>
  </si>
  <si>
    <t>Cost decrease rate equal to total cost decrease</t>
  </si>
  <si>
    <t>7Offshore wind</t>
  </si>
  <si>
    <t>foundations</t>
  </si>
  <si>
    <t xml:space="preserve">Decommisioning </t>
  </si>
  <si>
    <t>ESME catapult model: the run used for this project is unpublished, but the general reference book is available here: https://es.catapult.org.uk/news/esme-data-references-book/</t>
  </si>
  <si>
    <t>Cost Element</t>
  </si>
  <si>
    <t>Fixed Offshore Wind</t>
  </si>
  <si>
    <t>CAPEX only</t>
  </si>
  <si>
    <t>Foundations</t>
  </si>
  <si>
    <t>Operations and maintenance</t>
  </si>
  <si>
    <t>Average strike price of £62/MWh for deployment in 2020 to 2023 from latest auctions</t>
  </si>
  <si>
    <t>Total market turnover</t>
  </si>
  <si>
    <t>Total Turnover from exports</t>
  </si>
  <si>
    <t>Turnover component</t>
  </si>
  <si>
    <t>Capital costs</t>
  </si>
  <si>
    <t>£million</t>
  </si>
  <si>
    <t>Component level (only relevant when EINA is performed at technology rather than technology family level)</t>
  </si>
  <si>
    <t>Check row</t>
  </si>
  <si>
    <t>Turnover from exports to Europe</t>
  </si>
  <si>
    <t>Turnover from exports to RoW</t>
  </si>
  <si>
    <t>PDV</t>
  </si>
  <si>
    <t>EU annual</t>
  </si>
  <si>
    <t>RoW annual</t>
  </si>
  <si>
    <t>EU replacement</t>
  </si>
  <si>
    <t>RoW replacement</t>
  </si>
  <si>
    <t>EU stock</t>
  </si>
  <si>
    <t>RoW stock</t>
  </si>
  <si>
    <t>Multiplier for decommissioning and waste management</t>
  </si>
  <si>
    <t>NPV background calculations</t>
  </si>
  <si>
    <t>NPV</t>
  </si>
  <si>
    <t>Tradeable proportion</t>
  </si>
  <si>
    <t>Tradeable % for European market</t>
  </si>
  <si>
    <t>N/A</t>
  </si>
  <si>
    <t>Highly tradeable within similar EU conditions</t>
  </si>
  <si>
    <t>8Offshore wind</t>
  </si>
  <si>
    <t>Moveable workforce, but not perfectly tradeable</t>
  </si>
  <si>
    <t>Tradeable % for RoW market</t>
  </si>
  <si>
    <t xml:space="preserve">Very tradeable </t>
  </si>
  <si>
    <t>Too big to be cost effectively transported</t>
  </si>
  <si>
    <t>Highly globally traded</t>
  </si>
  <si>
    <t>Workforce not going to RoW</t>
  </si>
  <si>
    <t>Global turnover (excl UK)</t>
  </si>
  <si>
    <t>Tradeable turnover European market</t>
  </si>
  <si>
    <t>Tradeable turnover RoW market</t>
  </si>
  <si>
    <t>Competitive advantage and market share</t>
  </si>
  <si>
    <t>European Market</t>
  </si>
  <si>
    <t>Cost share</t>
  </si>
  <si>
    <t>Based on COMTRADE analysis</t>
  </si>
  <si>
    <t>Values for component shares have been adjusted to ensure total values align with OWIC Vivid analysis</t>
  </si>
  <si>
    <t>18Offshore wind</t>
  </si>
  <si>
    <t>Adjustment factors</t>
  </si>
  <si>
    <t>Turbine / O&amp;M</t>
  </si>
  <si>
    <t>OWIC Vivid analysis</t>
  </si>
  <si>
    <t>This factor adjusts the above values to ensure total weights are aligned with OWIC Vivid analysis, while giving a more granular breakdown on components using HS code analysis</t>
  </si>
  <si>
    <t>Other</t>
  </si>
  <si>
    <t>RoW market</t>
  </si>
  <si>
    <t>All</t>
  </si>
  <si>
    <t>Europe</t>
  </si>
  <si>
    <t>Competitor 1 - Germany</t>
  </si>
  <si>
    <t>Competitor 2 - Denmark</t>
  </si>
  <si>
    <t>Competitor 3</t>
  </si>
  <si>
    <t>USA</t>
  </si>
  <si>
    <t>Total captured turnover</t>
  </si>
  <si>
    <t>Captured turnover from exports to Europe</t>
  </si>
  <si>
    <t>Optional: Captured turnover from exports to RoW</t>
  </si>
  <si>
    <t>ONS Annual Business Survey</t>
  </si>
  <si>
    <t>GVA/turnover ratio remains constant and ONS sectoral data representative for components</t>
  </si>
  <si>
    <t>11Offshore wind, 12Offshore wind</t>
  </si>
  <si>
    <t>Share of CAPEX</t>
  </si>
  <si>
    <t>SIC codes</t>
  </si>
  <si>
    <t>28.11, 28.15, 27.11 &amp; 25.11</t>
  </si>
  <si>
    <t>27.11, 27.12 &amp; 27.32</t>
  </si>
  <si>
    <t>52.22, D</t>
  </si>
  <si>
    <t>SIC code</t>
  </si>
  <si>
    <t>Code Description</t>
  </si>
  <si>
    <t>3yr ave</t>
  </si>
  <si>
    <t>Tower</t>
  </si>
  <si>
    <t>Manufacture of metal structures and parts of structures</t>
  </si>
  <si>
    <t>Under water structure</t>
  </si>
  <si>
    <t>Wind turbine</t>
  </si>
  <si>
    <t xml:space="preserve">Manufacture of engines and turbines, except aircraft, vehicles and cycle engines </t>
  </si>
  <si>
    <t>Bearings</t>
  </si>
  <si>
    <t>Manufacture of bearings, gears, gearing and driving elements</t>
  </si>
  <si>
    <t>Gearbox</t>
  </si>
  <si>
    <t>Generator</t>
  </si>
  <si>
    <t>Manufacture of electric motors, generators and transformers</t>
  </si>
  <si>
    <t>Generator parts</t>
  </si>
  <si>
    <t>Offshore high voltage station</t>
  </si>
  <si>
    <t>Electronic Control equipment</t>
  </si>
  <si>
    <t>Cables</t>
  </si>
  <si>
    <t>Manufacture of other electronic and electric wires and cables</t>
  </si>
  <si>
    <t>Install, O&amp;M</t>
  </si>
  <si>
    <t>Service activities incidental to water transportation</t>
  </si>
  <si>
    <t>D</t>
  </si>
  <si>
    <t xml:space="preserve">Electricity, gas, steam and air conditioning supply </t>
  </si>
  <si>
    <t/>
  </si>
  <si>
    <t>GVA</t>
  </si>
  <si>
    <t>£</t>
  </si>
  <si>
    <t>2050 billions</t>
  </si>
  <si>
    <t>Figure</t>
  </si>
  <si>
    <t>Gross Value Add (GVA) by component</t>
  </si>
  <si>
    <t>GVA per worker estimates</t>
  </si>
  <si>
    <t>Assumption</t>
  </si>
  <si>
    <t>Assumptions Log link</t>
  </si>
  <si>
    <t>2016 offshore wind sector multiplier</t>
  </si>
  <si>
    <t>19Offshore Wind</t>
  </si>
  <si>
    <t>https://www.ons.gov.uk/economy/environmentalaccounts/datasets/lowcarbonandrenewableenergyeconomymultipliersdataset</t>
  </si>
  <si>
    <t>Green producitvity adjustment</t>
  </si>
  <si>
    <t>£/worker</t>
  </si>
  <si>
    <t>Weighted GVA/worker by relevant SIC codes, ONS sectoral GVA/worker representative of component, GVA/worker increases at a constant rate</t>
  </si>
  <si>
    <t>13Offshore wind, 14Offshore wind, 15Offshore wind</t>
  </si>
  <si>
    <t>D, 52.22</t>
  </si>
  <si>
    <t>HS Code Description</t>
  </si>
  <si>
    <t xml:space="preserve">Does </t>
  </si>
  <si>
    <t>Total jobs supported - Green productivity adjusted</t>
  </si>
  <si>
    <t xml:space="preserve">Figure: </t>
  </si>
  <si>
    <t xml:space="preserve">Jobs supported by component </t>
  </si>
  <si>
    <t>Background notes</t>
  </si>
  <si>
    <t>Total trade</t>
  </si>
  <si>
    <t>UK</t>
  </si>
  <si>
    <t>Code</t>
  </si>
  <si>
    <t>Year</t>
  </si>
  <si>
    <t>UK to world exports ($M)</t>
  </si>
  <si>
    <t>UK to RoW exports ($M)</t>
  </si>
  <si>
    <t>UK to EU27 ($M)</t>
  </si>
  <si>
    <t>world  to EU27</t>
  </si>
  <si>
    <t>RCA</t>
  </si>
  <si>
    <t>Market share</t>
  </si>
  <si>
    <t>Average</t>
  </si>
  <si>
    <t>World Exports ($b)</t>
  </si>
  <si>
    <t>RoW (World - EU $b)</t>
  </si>
  <si>
    <t>UK exports ($ billion)</t>
  </si>
  <si>
    <t>EU27 exports ($ billion)</t>
  </si>
  <si>
    <t>World exports ($billion)</t>
  </si>
  <si>
    <t>HS code</t>
  </si>
  <si>
    <t>Used for</t>
  </si>
  <si>
    <t>EINA components</t>
  </si>
  <si>
    <t>Towers and lattice masts</t>
  </si>
  <si>
    <t>Engines; pneumatic power engines and motors, n.e.c. in heading no. 8412</t>
  </si>
  <si>
    <t>Wind turbine blades</t>
  </si>
  <si>
    <t>Engines; parts, for engines and motors of heading no. 8412</t>
  </si>
  <si>
    <t>Ball or roller bearings.</t>
  </si>
  <si>
    <t>Gears and gearing; (not toothed wheels, chain sprockets and other transmission elements presented separately); ball or roller screws; gear boxes and other speed changers, including torque converters</t>
  </si>
  <si>
    <t>Electric generating sets; wind-powered, (excluding those with spark-ignition or compression-ignition internal combustion piston engines)</t>
  </si>
  <si>
    <t>Electric motors and generators; parts suitable for use solely or principally with the machines of heading no. 8501 or 8502</t>
  </si>
  <si>
    <t>Iron or steel; structures and parts thereof, n.e.c. in heading 7308</t>
  </si>
  <si>
    <t>Electrical transformers, static converters (for example, rectifiers) and inductors.</t>
  </si>
  <si>
    <t>Electronic Control Equip.</t>
  </si>
  <si>
    <r>
      <t xml:space="preserve">Boards, panels, consoles, desks and other bases; for electric control or the distribution of electricity, (other than switching apparatus of heading no. 8517), for a </t>
    </r>
    <r>
      <rPr>
        <b/>
        <sz val="11"/>
        <color rgb="FF000000"/>
        <rFont val="Calibri"/>
        <family val="2"/>
      </rPr>
      <t>voltage exceeding 1000 volts</t>
    </r>
    <r>
      <rPr>
        <sz val="9"/>
        <color theme="1"/>
        <rFont val="Cambria"/>
        <family val="1"/>
      </rPr>
      <t> </t>
    </r>
  </si>
  <si>
    <r>
      <t xml:space="preserve">Other electric conductors, </t>
    </r>
    <r>
      <rPr>
        <b/>
        <sz val="11"/>
        <color rgb="FF000000"/>
        <rFont val="Calibri"/>
        <family val="2"/>
      </rPr>
      <t>for a voltage exceeding 1,000 V</t>
    </r>
  </si>
  <si>
    <t>Row</t>
  </si>
  <si>
    <t>OWIC MS</t>
  </si>
  <si>
    <t>Averages</t>
  </si>
  <si>
    <t>EU - Offshore wind time average</t>
  </si>
  <si>
    <t>EU</t>
  </si>
  <si>
    <t>RoW - Offshore wind time average</t>
  </si>
  <si>
    <t>Germany</t>
  </si>
  <si>
    <t>Denmark</t>
  </si>
  <si>
    <t xml:space="preserve"> World</t>
  </si>
  <si>
    <t>Exports to world ($M)</t>
  </si>
  <si>
    <t>Exports to RoW ($M)</t>
  </si>
  <si>
    <t>Exports to EU27 ($M)</t>
  </si>
  <si>
    <t>Germany Market share</t>
  </si>
  <si>
    <t>Germany component MS</t>
  </si>
  <si>
    <t>Denmark Market share</t>
  </si>
  <si>
    <t>Germany  exports ($ B)</t>
  </si>
  <si>
    <t>Denmark exports ($B)</t>
  </si>
  <si>
    <t xml:space="preserve"> EU Offshore wind time average</t>
  </si>
  <si>
    <t>World - Offshore wind time average</t>
  </si>
  <si>
    <t>Average, no data</t>
  </si>
  <si>
    <t>Competitor 3 -</t>
  </si>
  <si>
    <t>Us</t>
  </si>
  <si>
    <t>Nomenclature</t>
  </si>
  <si>
    <t>ReporterISO3</t>
  </si>
  <si>
    <t>ProductCode</t>
  </si>
  <si>
    <t>ReporterName</t>
  </si>
  <si>
    <t>PartnerISO3</t>
  </si>
  <si>
    <t>PartnerName</t>
  </si>
  <si>
    <t>TradeFlowName</t>
  </si>
  <si>
    <t>TradeFlowCode</t>
  </si>
  <si>
    <t>TradeValue in 1000 USD</t>
  </si>
  <si>
    <t>TradeValue in $M USD</t>
  </si>
  <si>
    <t>TradeValue in $B USD</t>
  </si>
  <si>
    <t>H4</t>
  </si>
  <si>
    <t xml:space="preserve">All countries  All --- All  </t>
  </si>
  <si>
    <t>WLD</t>
  </si>
  <si>
    <t>Gross Exp.</t>
  </si>
  <si>
    <t>GBR</t>
  </si>
  <si>
    <t>United Kingdom</t>
  </si>
  <si>
    <t xml:space="preserve"> Total</t>
  </si>
  <si>
    <t>Export</t>
  </si>
  <si>
    <t>EU27</t>
  </si>
  <si>
    <t xml:space="preserve">EU27 --- EU27 members --- EU27  </t>
  </si>
  <si>
    <t>DEU</t>
  </si>
  <si>
    <t>DNK</t>
  </si>
  <si>
    <t>United States</t>
  </si>
  <si>
    <t>Scenario</t>
  </si>
  <si>
    <t>Scenarios</t>
  </si>
  <si>
    <t>30 GW by 2030, ESME catapult model: the run used for this project is unpublished, but the general reference book is available here: https://es.catapult.org.uk/news/esme-data-references-book/ deployment to 2050 (baseline)</t>
  </si>
  <si>
    <t>30 GW by 2030, 75 GW by 2050 (UK CCC high ambition)</t>
  </si>
  <si>
    <t>ESME catapult model: the run used for this project is unpublished, but the general reference book is available here: https://es.catapult.org.uk/news/esme-data-references-book/ deployment to 2050</t>
  </si>
  <si>
    <t>Lifetime: 20 years</t>
  </si>
  <si>
    <t>Stock of capacity</t>
  </si>
  <si>
    <t>Replacement demand (5 yearly)</t>
  </si>
  <si>
    <t>UK deployment (includes replacement)</t>
  </si>
  <si>
    <t>UK deployment</t>
  </si>
  <si>
    <t>Scenarios data</t>
  </si>
  <si>
    <t xml:space="preserve">UK deployment </t>
  </si>
  <si>
    <t>Scenario 1: aligned with 30 by 2030 target and 2050 ESME catapult model: the run used for this project is unpublished, but the general reference book is available here: https://es.catapult.org.uk/news/esme-data-references-book/ numbers</t>
  </si>
  <si>
    <t>kW</t>
  </si>
  <si>
    <t>30 GW Sector deal target used</t>
  </si>
  <si>
    <t>Scenario 2: aligned with 30 by 30 and 75 by 2050 (UK CCC's high ambition)</t>
  </si>
  <si>
    <t>Scenario 3: ESME catapult model: the run used for this project is unpublished, but the general reference book is available here: https://es.catapult.org.uk/news/esme-data-references-book/ deployment - high innovation</t>
  </si>
  <si>
    <t>Offshore Wind (fixes)</t>
  </si>
  <si>
    <t>Offshore Wind (floating)</t>
  </si>
  <si>
    <t>World deployment Scenario II</t>
  </si>
  <si>
    <t>Levelised costs of energy (LCOE)</t>
  </si>
  <si>
    <t>2015 value based on £97/MWh in UK auctions</t>
  </si>
  <si>
    <t>Cost reductions based on ESME</t>
  </si>
  <si>
    <t>6Offshore Wind</t>
  </si>
  <si>
    <t>£/MWh</t>
  </si>
  <si>
    <t>2020-2023 price in recent auctions</t>
  </si>
  <si>
    <t>Share of capex</t>
  </si>
  <si>
    <t>share of O&amp;M</t>
  </si>
  <si>
    <t>Domestic turnover</t>
  </si>
  <si>
    <t>UK annual</t>
  </si>
  <si>
    <t>UK stock</t>
  </si>
  <si>
    <t>Domestic market</t>
  </si>
  <si>
    <t>Market shares aligned with OWIC analysis</t>
  </si>
  <si>
    <t>18Offshore Wind</t>
  </si>
  <si>
    <t>Underlying data shares</t>
  </si>
  <si>
    <t>Renewable UK (2017) Offshore Wind Industry Investment in the UK: https://cdn.ymaws.com/www.renewableuk.com/resource/resmgr/publications/Offshore_Wind_Investment_V4.pdf</t>
  </si>
  <si>
    <t>Offshore Wind Sector Deal (2019) assumptions and data underlying the following report: https://assets.publishing.service.gov.uk/government/uploads/system/uploads/attachment_data/file/790950/BEIS_Offshore_Wind_Single_Pages_web_optimised.pdf</t>
  </si>
  <si>
    <t>Cost breakdown</t>
  </si>
  <si>
    <t xml:space="preserve">Total GVA </t>
  </si>
  <si>
    <t>£ million (for charts)</t>
  </si>
  <si>
    <t>£ m</t>
  </si>
  <si>
    <t>EXPORT</t>
  </si>
  <si>
    <t>Domestic</t>
  </si>
  <si>
    <t>Notes (SIC codes)</t>
  </si>
  <si>
    <t>Share of O&amp;M</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</si>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</sst>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0.0"/>
    <numFmt numFmtId="166" formatCode="0.0%"/>
    <numFmt numFmtId="167" formatCode="_-* #,##0_-;\-* #,##0_-;_-* &quot;-&quot;??_-;_-@_-"/>
    <numFmt numFmtId="168" formatCode="_-[$£-809]* #,##0.00_-;\-[$£-809]* #,##0.00_-;_-[$£-809]* &quot;-&quot;??_-;_-@_-"/>
    <numFmt numFmtId="169" formatCode="_-[$£-809]* #,##0_-;\-[$£-809]* #,##0_-;_-[$£-809]* &quot;-&quot;??_-;_-@_-"/>
    <numFmt numFmtId="170" formatCode="_-* #,##0.0_-;\-* #,##0.0_-;_-* &quot;-&quot;??_-;_-@_-"/>
    <numFmt numFmtId="171" formatCode="_(* #,##0_);_(* \(#,##0\);_(* &quot;-&quot;??_);_(@_)"/>
    <numFmt numFmtId="172" formatCode="0.000"/>
    <numFmt numFmtId="173" formatCode="_(* #,##0.0_);_(* \(#,##0.0\);_(* &quot;-&quot;??_);_(@_)"/>
    <numFmt numFmtId="174" formatCode="0.000%"/>
  </numFmts>
  <fonts count="56">
    <font>
      <sz val="11"/>
      <color theme="1"/>
      <name val="Calibri"/>
      <family val="2"/>
      <scheme val="minor"/>
    </font>
    <font>
      <sz val="11"/>
      <color theme="1"/>
      <name val="Arial"/>
      <family val="2"/>
    </font>
    <font>
      <b/>
      <sz val="28"/>
      <color theme="1"/>
      <name val="Arial"/>
      <family val="2"/>
    </font>
    <font>
      <b/>
      <sz val="11"/>
      <color theme="1"/>
      <name val="Arial"/>
      <family val="2"/>
    </font>
    <font>
      <b/>
      <sz val="11"/>
      <color theme="1"/>
      <name val="Calibri"/>
      <family val="2"/>
      <scheme val="minor"/>
    </font>
    <font>
      <u/>
      <sz val="11"/>
      <color theme="10"/>
      <name val="Calibri"/>
      <family val="2"/>
      <scheme val="minor"/>
    </font>
    <font>
      <sz val="11"/>
      <color theme="1"/>
      <name val="Calibri"/>
      <family val="2"/>
      <scheme val="minor"/>
    </font>
    <font>
      <sz val="8"/>
      <name val="Arial"/>
      <family val="2"/>
    </font>
    <font>
      <sz val="9"/>
      <name val="Geneva"/>
      <family val="2"/>
    </font>
    <font>
      <sz val="8"/>
      <name val="Arial"/>
      <family val="2"/>
    </font>
    <font>
      <sz val="7"/>
      <name val="Arial"/>
      <family val="2"/>
    </font>
    <font>
      <sz val="10"/>
      <name val="Arial"/>
      <family val="2"/>
    </font>
    <font>
      <u/>
      <sz val="8"/>
      <color indexed="12"/>
      <name val="Arial"/>
      <family val="2"/>
    </font>
    <font>
      <sz val="8"/>
      <color indexed="8"/>
      <name val="Arial"/>
      <family val="2"/>
    </font>
    <font>
      <sz val="6"/>
      <name val="Arial"/>
      <family val="2"/>
    </font>
    <font>
      <sz val="7"/>
      <color indexed="8"/>
      <name val="Arial"/>
      <family val="2"/>
    </font>
    <font>
      <b/>
      <sz val="7"/>
      <color indexed="9"/>
      <name val="Arial"/>
      <family val="2"/>
    </font>
    <font>
      <sz val="6.5"/>
      <name val="Arial"/>
      <family val="2"/>
    </font>
    <font>
      <b/>
      <sz val="8.5"/>
      <color indexed="50"/>
      <name val="Arial"/>
      <family val="2"/>
    </font>
    <font>
      <b/>
      <sz val="7"/>
      <name val="Arial"/>
      <family val="2"/>
    </font>
    <font>
      <sz val="14"/>
      <color indexed="50"/>
      <name val="Arial"/>
      <family val="2"/>
    </font>
    <font>
      <sz val="11"/>
      <color indexed="8"/>
      <name val="Calibri"/>
      <family val="2"/>
    </font>
    <font>
      <b/>
      <sz val="28"/>
      <color theme="1"/>
      <name val="Arial"/>
      <family val="2"/>
    </font>
    <font>
      <u/>
      <sz val="11"/>
      <color theme="1"/>
      <name val="Arial"/>
      <family val="2"/>
    </font>
    <font>
      <sz val="10"/>
      <color theme="1"/>
      <name val="Arial"/>
      <family val="2"/>
    </font>
    <font>
      <sz val="11"/>
      <color theme="1"/>
      <name val="Arial"/>
      <family val="2"/>
    </font>
    <font>
      <b/>
      <sz val="12"/>
      <color theme="1"/>
      <name val="Arial"/>
      <family val="2"/>
    </font>
    <font>
      <u/>
      <sz val="11"/>
      <name val="Calibri"/>
      <family val="2"/>
      <scheme val="minor"/>
    </font>
    <font>
      <b/>
      <sz val="10"/>
      <color theme="1"/>
      <name val="Arial"/>
      <family val="2"/>
    </font>
    <font>
      <i/>
      <sz val="11"/>
      <color theme="1"/>
      <name val="Arial"/>
      <family val="2"/>
    </font>
    <font>
      <sz val="11"/>
      <color theme="8"/>
      <name val="Arial"/>
      <family val="2"/>
    </font>
    <font>
      <sz val="11"/>
      <color rgb="FFFF0000"/>
      <name val="Arial"/>
      <family val="2"/>
    </font>
    <font>
      <u/>
      <sz val="11"/>
      <color theme="11"/>
      <name val="Calibri"/>
      <family val="2"/>
      <scheme val="minor"/>
    </font>
    <font>
      <sz val="11"/>
      <color rgb="FF000000"/>
      <name val="Arial"/>
      <family val="2"/>
    </font>
    <font>
      <sz val="11"/>
      <color theme="2" tint="-0.249977111117893"/>
      <name val="Arial"/>
      <family val="2"/>
    </font>
    <font>
      <i/>
      <sz val="11"/>
      <color theme="1"/>
      <name val="Calibri"/>
      <family val="2"/>
      <scheme val="minor"/>
    </font>
    <font>
      <sz val="11"/>
      <color rgb="FF000000"/>
      <name val="Calibri"/>
      <family val="2"/>
      <scheme val="minor"/>
    </font>
    <font>
      <sz val="11"/>
      <color theme="2" tint="-0.249977111117893"/>
      <name val="Calibri"/>
      <family val="2"/>
      <scheme val="minor"/>
    </font>
    <font>
      <b/>
      <sz val="10"/>
      <color indexed="56"/>
      <name val="Arial"/>
      <family val="2"/>
    </font>
    <font>
      <b/>
      <sz val="11"/>
      <color theme="1"/>
      <name val="Calibri"/>
      <family val="2"/>
    </font>
    <font>
      <sz val="11"/>
      <color theme="1"/>
      <name val="Calibri"/>
      <family val="2"/>
    </font>
    <font>
      <b/>
      <sz val="11"/>
      <color rgb="FF000000"/>
      <name val="Calibri"/>
      <family val="2"/>
    </font>
    <font>
      <sz val="9"/>
      <color theme="1"/>
      <name val="Cambria"/>
      <family val="1"/>
    </font>
    <font>
      <b/>
      <sz val="11"/>
      <color rgb="FF000000"/>
      <name val="Arial"/>
      <family val="2"/>
    </font>
    <font>
      <sz val="14.3"/>
      <color rgb="FF888888"/>
      <name val="Trebuchet MS"/>
      <family val="2"/>
    </font>
    <font>
      <b/>
      <sz val="10"/>
      <color rgb="FF000000"/>
      <name val="Calibri"/>
      <family val="2"/>
      <scheme val="minor"/>
    </font>
    <font>
      <sz val="12"/>
      <color theme="1"/>
      <name val="Cambria"/>
      <family val="1"/>
    </font>
    <font>
      <sz val="11"/>
      <color rgb="FF000000"/>
      <name val="Calibri"/>
      <family val="2"/>
    </font>
    <font>
      <b/>
      <sz val="26"/>
      <color theme="1"/>
      <name val="Arial"/>
      <family val="2"/>
    </font>
    <font>
      <sz val="10"/>
      <color theme="2" tint="-0.749992370372631"/>
      <name val="Arial"/>
      <family val="2"/>
    </font>
    <font>
      <b/>
      <sz val="11"/>
      <color rgb="FF1F497D"/>
      <name val="Calibri"/>
      <family val="2"/>
      <scheme val="minor"/>
    </font>
    <font>
      <sz val="11"/>
      <color rgb="FF1F497D"/>
      <name val="Calibri"/>
      <family val="2"/>
    </font>
    <font>
      <sz val="11"/>
      <color rgb="FF1F497D"/>
      <name val="Calibri"/>
      <family val="2"/>
      <scheme val="minor"/>
    </font>
    <font>
      <b/>
      <sz val="10"/>
      <color rgb="FFFFFFFF"/>
      <name val="Arial"/>
      <family val="2"/>
    </font>
    <font>
      <sz val="11"/>
      <name val="Arial"/>
      <family val="2"/>
    </font>
    <font>
      <b/>
      <sz val="11"/>
      <color rgb="FFFF0000"/>
      <name val="Arial"/>
      <family val="2"/>
    </font>
  </fonts>
  <fills count="2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bgColor indexed="64"/>
      </patternFill>
    </fill>
    <fill>
      <patternFill patternType="solid">
        <fgColor theme="9"/>
        <bgColor indexed="64"/>
      </patternFill>
    </fill>
    <fill>
      <patternFill patternType="solid">
        <fgColor rgb="FFFFFFFF"/>
        <bgColor rgb="FF000000"/>
      </patternFill>
    </fill>
    <fill>
      <patternFill patternType="solid">
        <fgColor theme="0"/>
        <bgColor rgb="FF000000"/>
      </patternFill>
    </fill>
    <fill>
      <patternFill patternType="solid">
        <fgColor theme="0" tint="-0.34998626667073579"/>
        <bgColor indexed="64"/>
      </patternFill>
    </fill>
    <fill>
      <patternFill patternType="solid">
        <fgColor theme="4" tint="0.79998168889431442"/>
        <bgColor indexed="64"/>
      </patternFill>
    </fill>
    <fill>
      <patternFill patternType="solid">
        <fgColor rgb="FF4472C4"/>
        <bgColor indexed="64"/>
      </patternFill>
    </fill>
    <fill>
      <patternFill patternType="solid">
        <fgColor rgb="FFD9E2F3"/>
        <bgColor indexed="64"/>
      </patternFill>
    </fill>
    <fill>
      <patternFill patternType="solid">
        <fgColor theme="4"/>
        <bgColor indexed="64"/>
      </patternFill>
    </fill>
    <fill>
      <patternFill patternType="solid">
        <fgColor rgb="FF92D050"/>
        <bgColor indexed="64"/>
      </patternFill>
    </fill>
  </fills>
  <borders count="43">
    <border>
      <left/>
      <right/>
      <top/>
      <bottom/>
      <diagonal/>
    </border>
    <border>
      <left/>
      <right/>
      <top/>
      <bottom style="thin">
        <color auto="1"/>
      </bottom>
      <diagonal/>
    </border>
    <border>
      <left/>
      <right style="dotted">
        <color auto="1"/>
      </right>
      <top style="thin">
        <color auto="1"/>
      </top>
      <bottom/>
      <diagonal/>
    </border>
    <border>
      <left/>
      <right style="dotted">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indexed="50"/>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8EAADB"/>
      </left>
      <right style="medium">
        <color rgb="FF8EAADB"/>
      </right>
      <top/>
      <bottom style="medium">
        <color rgb="FF8EAADB"/>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8EAADB"/>
      </right>
      <top/>
      <bottom style="medium">
        <color rgb="FF8EAADB"/>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tted">
        <color auto="1"/>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s>
  <cellStyleXfs count="167">
    <xf numFmtId="0" fontId="0" fillId="0" borderId="0"/>
    <xf numFmtId="0" fontId="5" fillId="0" borderId="0" applyNumberFormat="0" applyFill="0" applyBorder="0" applyAlignment="0" applyProtection="0"/>
    <xf numFmtId="0" fontId="7" fillId="0" borderId="0" applyFill="0" applyBorder="0"/>
    <xf numFmtId="0" fontId="20" fillId="0" borderId="0"/>
    <xf numFmtId="0" fontId="14" fillId="0" borderId="0">
      <alignment horizontal="right"/>
    </xf>
    <xf numFmtId="0" fontId="18" fillId="0" borderId="0"/>
    <xf numFmtId="0" fontId="13" fillId="0" borderId="0"/>
    <xf numFmtId="0" fontId="16" fillId="0" borderId="0"/>
    <xf numFmtId="0" fontId="19" fillId="0" borderId="6" applyNumberFormat="0" applyAlignment="0"/>
    <xf numFmtId="0" fontId="10" fillId="0" borderId="0" applyAlignment="0">
      <alignment horizontal="left"/>
    </xf>
    <xf numFmtId="0" fontId="10" fillId="0" borderId="0">
      <alignment horizontal="right"/>
    </xf>
    <xf numFmtId="166" fontId="10" fillId="0" borderId="0">
      <alignment horizontal="right"/>
    </xf>
    <xf numFmtId="165" fontId="15" fillId="0" borderId="0">
      <alignment horizontal="right"/>
    </xf>
    <xf numFmtId="0" fontId="17" fillId="0" borderId="0"/>
    <xf numFmtId="43" fontId="8" fillId="0" borderId="0" applyFont="0" applyFill="0" applyBorder="0" applyAlignment="0" applyProtection="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43" fontId="21" fillId="0" borderId="0" applyFont="0" applyFill="0" applyBorder="0" applyAlignment="0" applyProtection="0"/>
    <xf numFmtId="0" fontId="11" fillId="0" borderId="0"/>
    <xf numFmtId="0" fontId="11" fillId="0" borderId="0"/>
    <xf numFmtId="43" fontId="6" fillId="0" borderId="0" applyFont="0" applyFill="0" applyBorder="0" applyAlignment="0" applyProtection="0"/>
    <xf numFmtId="0" fontId="9" fillId="0" borderId="0" applyFill="0" applyBorder="0"/>
    <xf numFmtId="166" fontId="8" fillId="0" borderId="0" applyFont="0" applyFill="0" applyBorder="0" applyAlignment="0" applyProtection="0"/>
    <xf numFmtId="0" fontId="9" fillId="0" borderId="0" applyFill="0" applyBorder="0"/>
    <xf numFmtId="166" fontId="8" fillId="0" borderId="0" applyFont="0" applyFill="0" applyBorder="0" applyAlignment="0" applyProtection="0"/>
    <xf numFmtId="0" fontId="9" fillId="0" borderId="0" applyFill="0" applyBorder="0"/>
    <xf numFmtId="166"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 fillId="0" borderId="0"/>
    <xf numFmtId="43" fontId="8"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0" fontId="7" fillId="0" borderId="0" applyFill="0" applyBorder="0"/>
    <xf numFmtId="0" fontId="7" fillId="0" borderId="0" applyFill="0" applyBorder="0"/>
    <xf numFmtId="0" fontId="7" fillId="0" borderId="0" applyFill="0" applyBorder="0"/>
    <xf numFmtId="43" fontId="6" fillId="0" borderId="0" applyFont="0" applyFill="0" applyBorder="0" applyAlignment="0" applyProtection="0"/>
  </cellStyleXfs>
  <cellXfs count="374">
    <xf numFmtId="0" fontId="0" fillId="0" borderId="0" xfId="0"/>
    <xf numFmtId="0" fontId="1" fillId="5" borderId="0" xfId="0" applyFont="1" applyFill="1"/>
    <xf numFmtId="0" fontId="3" fillId="5" borderId="0" xfId="0" applyFont="1" applyFill="1"/>
    <xf numFmtId="0" fontId="2" fillId="7" borderId="1" xfId="0" applyFont="1" applyFill="1" applyBorder="1" applyAlignment="1">
      <alignment vertical="center"/>
    </xf>
    <xf numFmtId="0" fontId="2" fillId="11" borderId="1" xfId="0" applyFont="1" applyFill="1" applyBorder="1" applyAlignment="1">
      <alignment vertical="center"/>
    </xf>
    <xf numFmtId="0" fontId="0" fillId="5" borderId="0" xfId="0" applyFill="1"/>
    <xf numFmtId="0" fontId="4" fillId="5" borderId="4" xfId="0" applyFont="1" applyFill="1" applyBorder="1"/>
    <xf numFmtId="0" fontId="1" fillId="5" borderId="0" xfId="0" quotePrefix="1" applyFont="1" applyFill="1"/>
    <xf numFmtId="0" fontId="22" fillId="10" borderId="1" xfId="0" applyFont="1" applyFill="1" applyBorder="1" applyAlignment="1">
      <alignment vertical="center"/>
    </xf>
    <xf numFmtId="0" fontId="23" fillId="9" borderId="2" xfId="0" applyFont="1" applyFill="1" applyBorder="1" applyAlignment="1">
      <alignment horizontal="left" vertical="center" indent="1"/>
    </xf>
    <xf numFmtId="0" fontId="24" fillId="9" borderId="0" xfId="0" applyFont="1" applyFill="1" applyAlignment="1">
      <alignment vertical="center"/>
    </xf>
    <xf numFmtId="0" fontId="24" fillId="9" borderId="3" xfId="0" applyFont="1" applyFill="1" applyBorder="1" applyAlignment="1">
      <alignment horizontal="left" vertical="center" indent="3"/>
    </xf>
    <xf numFmtId="0" fontId="24" fillId="9" borderId="0" xfId="0" applyFont="1" applyFill="1" applyAlignment="1">
      <alignment horizontal="left" vertical="center"/>
    </xf>
    <xf numFmtId="14" fontId="24" fillId="9" borderId="0" xfId="0" applyNumberFormat="1" applyFont="1" applyFill="1" applyAlignment="1">
      <alignment horizontal="left" vertical="center"/>
    </xf>
    <xf numFmtId="0" fontId="24" fillId="9" borderId="1" xfId="0" applyFont="1" applyFill="1" applyBorder="1" applyAlignment="1">
      <alignment vertical="center"/>
    </xf>
    <xf numFmtId="0" fontId="25" fillId="5" borderId="1" xfId="0" applyFont="1" applyFill="1" applyBorder="1" applyAlignment="1">
      <alignment vertical="center"/>
    </xf>
    <xf numFmtId="0" fontId="23" fillId="2" borderId="2" xfId="0" applyFont="1" applyFill="1" applyBorder="1" applyAlignment="1">
      <alignment horizontal="left" vertical="center" indent="1"/>
    </xf>
    <xf numFmtId="0" fontId="24" fillId="2" borderId="0" xfId="0" applyFont="1" applyFill="1" applyAlignment="1">
      <alignment vertical="center"/>
    </xf>
    <xf numFmtId="0" fontId="24" fillId="2" borderId="3" xfId="0" applyFont="1" applyFill="1" applyBorder="1" applyAlignment="1">
      <alignment horizontal="left" vertical="center" indent="3"/>
    </xf>
    <xf numFmtId="0" fontId="24" fillId="2" borderId="0" xfId="0" applyFont="1" applyFill="1" applyAlignment="1">
      <alignment horizontal="left" vertical="center"/>
    </xf>
    <xf numFmtId="0" fontId="24" fillId="2" borderId="1" xfId="0" applyFont="1" applyFill="1" applyBorder="1" applyAlignment="1">
      <alignment vertical="center"/>
    </xf>
    <xf numFmtId="0" fontId="23" fillId="4" borderId="2" xfId="0" applyFont="1" applyFill="1" applyBorder="1" applyAlignment="1">
      <alignment horizontal="left" vertical="center" indent="1"/>
    </xf>
    <xf numFmtId="0" fontId="24" fillId="4" borderId="0" xfId="0" applyFont="1" applyFill="1" applyAlignment="1">
      <alignment vertical="center"/>
    </xf>
    <xf numFmtId="0" fontId="24" fillId="4" borderId="3" xfId="0" applyFont="1" applyFill="1" applyBorder="1" applyAlignment="1">
      <alignment horizontal="left" vertical="center" indent="3"/>
    </xf>
    <xf numFmtId="0" fontId="24" fillId="4" borderId="0" xfId="0" applyFont="1" applyFill="1" applyAlignment="1">
      <alignment horizontal="left" vertical="center"/>
    </xf>
    <xf numFmtId="0" fontId="23" fillId="4" borderId="3" xfId="0" applyFont="1" applyFill="1" applyBorder="1" applyAlignment="1">
      <alignment horizontal="left" vertical="center" indent="1"/>
    </xf>
    <xf numFmtId="0" fontId="27" fillId="4" borderId="0" xfId="1" applyFont="1" applyFill="1" applyAlignment="1">
      <alignment horizontal="left" vertical="center"/>
    </xf>
    <xf numFmtId="0" fontId="27" fillId="4" borderId="0" xfId="1" applyFont="1" applyFill="1" applyAlignment="1">
      <alignment horizontal="left" vertical="center" wrapText="1"/>
    </xf>
    <xf numFmtId="14" fontId="24" fillId="4" borderId="0" xfId="0" applyNumberFormat="1" applyFont="1" applyFill="1" applyAlignment="1">
      <alignment horizontal="left" vertical="center"/>
    </xf>
    <xf numFmtId="0" fontId="24" fillId="4" borderId="1" xfId="0" applyFont="1" applyFill="1" applyBorder="1" applyAlignment="1">
      <alignment vertical="center"/>
    </xf>
    <xf numFmtId="0" fontId="23" fillId="3" borderId="2" xfId="0" applyFont="1" applyFill="1" applyBorder="1" applyAlignment="1">
      <alignment horizontal="left" vertical="center" indent="1"/>
    </xf>
    <xf numFmtId="0" fontId="24" fillId="3" borderId="7" xfId="0" applyFont="1" applyFill="1" applyBorder="1" applyAlignment="1">
      <alignment horizontal="left" vertical="center"/>
    </xf>
    <xf numFmtId="0" fontId="24" fillId="3" borderId="3" xfId="0" applyFont="1" applyFill="1" applyBorder="1" applyAlignment="1">
      <alignment horizontal="left" vertical="center" indent="3"/>
    </xf>
    <xf numFmtId="0" fontId="24" fillId="3" borderId="0" xfId="0" applyFont="1" applyFill="1" applyAlignment="1">
      <alignment horizontal="left" vertical="center"/>
    </xf>
    <xf numFmtId="1" fontId="24" fillId="3" borderId="0" xfId="0" applyNumberFormat="1" applyFont="1" applyFill="1" applyAlignment="1">
      <alignment horizontal="left" vertical="center"/>
    </xf>
    <xf numFmtId="0" fontId="23" fillId="3" borderId="3" xfId="0" applyFont="1" applyFill="1" applyBorder="1" applyAlignment="1">
      <alignment horizontal="left" vertical="center" indent="1"/>
    </xf>
    <xf numFmtId="14" fontId="24" fillId="3" borderId="0" xfId="0" applyNumberFormat="1" applyFont="1" applyFill="1" applyAlignment="1">
      <alignment horizontal="left" vertical="center"/>
    </xf>
    <xf numFmtId="0" fontId="27" fillId="3" borderId="0" xfId="1" applyFont="1" applyFill="1" applyAlignment="1">
      <alignment horizontal="left" vertical="center"/>
    </xf>
    <xf numFmtId="0" fontId="24" fillId="3" borderId="1" xfId="0" applyFont="1" applyFill="1" applyBorder="1" applyAlignment="1">
      <alignment horizontal="left" vertical="center"/>
    </xf>
    <xf numFmtId="0" fontId="25" fillId="5" borderId="0" xfId="0" applyFont="1" applyFill="1" applyAlignment="1">
      <alignment vertical="center"/>
    </xf>
    <xf numFmtId="0" fontId="24" fillId="5" borderId="0" xfId="0" applyFont="1" applyFill="1" applyAlignment="1">
      <alignment horizontal="left" vertical="center"/>
    </xf>
    <xf numFmtId="0" fontId="1" fillId="5" borderId="4" xfId="0" applyFont="1" applyFill="1" applyBorder="1"/>
    <xf numFmtId="0" fontId="3" fillId="5" borderId="4" xfId="0" applyFont="1" applyFill="1" applyBorder="1" applyAlignment="1">
      <alignment vertical="center"/>
    </xf>
    <xf numFmtId="0" fontId="24" fillId="5" borderId="4" xfId="0" applyFont="1" applyFill="1" applyBorder="1" applyAlignment="1">
      <alignment vertical="center"/>
    </xf>
    <xf numFmtId="0" fontId="24" fillId="5" borderId="4" xfId="0" applyFont="1" applyFill="1" applyBorder="1" applyAlignment="1">
      <alignment horizontal="left" vertical="center"/>
    </xf>
    <xf numFmtId="0" fontId="29" fillId="5" borderId="0" xfId="0" applyFont="1" applyFill="1"/>
    <xf numFmtId="165" fontId="1" fillId="5" borderId="0" xfId="0" applyNumberFormat="1" applyFont="1" applyFill="1"/>
    <xf numFmtId="0" fontId="3" fillId="5" borderId="4" xfId="0" applyFont="1" applyFill="1" applyBorder="1"/>
    <xf numFmtId="0" fontId="1" fillId="5" borderId="4" xfId="0" applyFont="1" applyFill="1" applyBorder="1" applyAlignment="1">
      <alignment vertical="top"/>
    </xf>
    <xf numFmtId="0" fontId="1" fillId="5" borderId="4" xfId="0" applyFont="1" applyFill="1" applyBorder="1" applyAlignment="1">
      <alignment vertical="top" wrapText="1"/>
    </xf>
    <xf numFmtId="0" fontId="3" fillId="5" borderId="4" xfId="0" applyFont="1" applyFill="1" applyBorder="1" applyAlignment="1">
      <alignment vertical="top"/>
    </xf>
    <xf numFmtId="0" fontId="29" fillId="5" borderId="0" xfId="0" applyFont="1" applyFill="1" applyAlignment="1">
      <alignment vertical="top"/>
    </xf>
    <xf numFmtId="0" fontId="1" fillId="5" borderId="0" xfId="0" applyFont="1" applyFill="1" applyAlignment="1">
      <alignment vertical="top"/>
    </xf>
    <xf numFmtId="9" fontId="1" fillId="5" borderId="4" xfId="28" applyFont="1" applyFill="1" applyBorder="1" applyAlignment="1">
      <alignment vertical="top"/>
    </xf>
    <xf numFmtId="2" fontId="1" fillId="5" borderId="0" xfId="0" applyNumberFormat="1" applyFont="1" applyFill="1" applyAlignment="1">
      <alignment vertical="top"/>
    </xf>
    <xf numFmtId="2" fontId="1" fillId="5" borderId="0" xfId="27" applyNumberFormat="1" applyFont="1" applyFill="1" applyAlignment="1">
      <alignment horizontal="right" vertical="top"/>
    </xf>
    <xf numFmtId="0" fontId="29" fillId="13" borderId="0" xfId="0" applyFont="1" applyFill="1"/>
    <xf numFmtId="0" fontId="1" fillId="13" borderId="0" xfId="0" applyFont="1" applyFill="1"/>
    <xf numFmtId="0" fontId="1" fillId="5" borderId="8" xfId="0" applyFont="1" applyFill="1" applyBorder="1"/>
    <xf numFmtId="9" fontId="1" fillId="5" borderId="4" xfId="28" applyFont="1" applyFill="1" applyBorder="1"/>
    <xf numFmtId="0" fontId="28" fillId="5" borderId="4" xfId="0" applyFont="1" applyFill="1" applyBorder="1" applyAlignment="1">
      <alignment horizontal="left" vertical="center"/>
    </xf>
    <xf numFmtId="0" fontId="24" fillId="5" borderId="4" xfId="0" applyFont="1" applyFill="1" applyBorder="1" applyAlignment="1">
      <alignment horizontal="left" vertical="center" wrapText="1"/>
    </xf>
    <xf numFmtId="0" fontId="24" fillId="5" borderId="4" xfId="0" applyFont="1" applyFill="1" applyBorder="1" applyAlignment="1">
      <alignment vertical="center" wrapText="1"/>
    </xf>
    <xf numFmtId="0" fontId="24" fillId="13" borderId="4" xfId="0" applyFont="1" applyFill="1" applyBorder="1" applyAlignment="1">
      <alignment vertical="center"/>
    </xf>
    <xf numFmtId="0" fontId="24" fillId="13" borderId="5" xfId="0" applyFont="1" applyFill="1" applyBorder="1" applyAlignment="1">
      <alignment horizontal="left" vertical="center"/>
    </xf>
    <xf numFmtId="0" fontId="2" fillId="14" borderId="1" xfId="0" applyFont="1" applyFill="1" applyBorder="1" applyAlignment="1">
      <alignment vertical="center"/>
    </xf>
    <xf numFmtId="0" fontId="24" fillId="13" borderId="5" xfId="0" applyFont="1" applyFill="1" applyBorder="1" applyAlignment="1">
      <alignment horizontal="left" vertical="center" wrapText="1"/>
    </xf>
    <xf numFmtId="168" fontId="1" fillId="5" borderId="0" xfId="0" applyNumberFormat="1" applyFont="1" applyFill="1"/>
    <xf numFmtId="169" fontId="1" fillId="15" borderId="0" xfId="0" applyNumberFormat="1" applyFont="1" applyFill="1"/>
    <xf numFmtId="0" fontId="1" fillId="15" borderId="0" xfId="0" applyFont="1" applyFill="1"/>
    <xf numFmtId="0" fontId="0" fillId="5" borderId="4" xfId="0" applyFill="1" applyBorder="1"/>
    <xf numFmtId="0" fontId="4" fillId="16" borderId="0" xfId="0" applyFont="1" applyFill="1"/>
    <xf numFmtId="0" fontId="0" fillId="16" borderId="0" xfId="0" applyFill="1"/>
    <xf numFmtId="166" fontId="0" fillId="5" borderId="4" xfId="28" applyNumberFormat="1" applyFont="1" applyFill="1" applyBorder="1"/>
    <xf numFmtId="0" fontId="0" fillId="5" borderId="10" xfId="0" applyFill="1" applyBorder="1"/>
    <xf numFmtId="9" fontId="1" fillId="5" borderId="0" xfId="28" applyFont="1" applyFill="1"/>
    <xf numFmtId="167" fontId="30" fillId="5" borderId="4" xfId="27" applyNumberFormat="1" applyFont="1" applyFill="1" applyBorder="1" applyAlignment="1">
      <alignment vertical="top"/>
    </xf>
    <xf numFmtId="10" fontId="1" fillId="5" borderId="4" xfId="0" applyNumberFormat="1" applyFont="1" applyFill="1" applyBorder="1"/>
    <xf numFmtId="9" fontId="1" fillId="5" borderId="4" xfId="0" applyNumberFormat="1" applyFont="1" applyFill="1" applyBorder="1"/>
    <xf numFmtId="0" fontId="0" fillId="5" borderId="4" xfId="0" applyFill="1" applyBorder="1" applyAlignment="1">
      <alignment horizontal="left" wrapText="1"/>
    </xf>
    <xf numFmtId="0" fontId="0" fillId="5" borderId="4" xfId="0" applyFill="1" applyBorder="1" applyAlignment="1">
      <alignment horizontal="left" vertical="center" wrapText="1"/>
    </xf>
    <xf numFmtId="0" fontId="29" fillId="5" borderId="4" xfId="0" applyFont="1" applyFill="1" applyBorder="1"/>
    <xf numFmtId="0" fontId="24" fillId="13" borderId="4" xfId="0" applyFont="1" applyFill="1" applyBorder="1" applyAlignment="1">
      <alignment horizontal="left" vertical="center"/>
    </xf>
    <xf numFmtId="0" fontId="3" fillId="5" borderId="4" xfId="0" applyFont="1" applyFill="1" applyBorder="1" applyAlignment="1">
      <alignment horizontal="center" vertical="center"/>
    </xf>
    <xf numFmtId="0" fontId="0" fillId="5" borderId="4" xfId="0" applyFill="1" applyBorder="1" applyAlignment="1">
      <alignment horizontal="left" vertical="center"/>
    </xf>
    <xf numFmtId="0" fontId="0" fillId="5" borderId="4" xfId="0" applyFill="1" applyBorder="1" applyAlignment="1">
      <alignment horizontal="left"/>
    </xf>
    <xf numFmtId="0" fontId="4" fillId="5" borderId="4" xfId="0" applyFont="1" applyFill="1" applyBorder="1" applyAlignment="1">
      <alignment horizontal="right"/>
    </xf>
    <xf numFmtId="0" fontId="0" fillId="5" borderId="4" xfId="0" applyFill="1" applyBorder="1" applyAlignment="1">
      <alignment horizontal="right"/>
    </xf>
    <xf numFmtId="0" fontId="0" fillId="5" borderId="4" xfId="0" applyFill="1" applyBorder="1" applyAlignment="1">
      <alignment wrapText="1"/>
    </xf>
    <xf numFmtId="0" fontId="3" fillId="0" borderId="0" xfId="0" applyFont="1"/>
    <xf numFmtId="0" fontId="27" fillId="5" borderId="0" xfId="1" applyFont="1" applyFill="1"/>
    <xf numFmtId="170" fontId="0" fillId="0" borderId="0" xfId="27" applyNumberFormat="1" applyFont="1"/>
    <xf numFmtId="167" fontId="0" fillId="0" borderId="0" xfId="27" applyNumberFormat="1" applyFont="1"/>
    <xf numFmtId="0" fontId="4" fillId="0" borderId="0" xfId="0" applyFont="1"/>
    <xf numFmtId="0" fontId="33" fillId="17" borderId="4" xfId="0" applyFont="1" applyFill="1" applyBorder="1" applyAlignment="1">
      <alignment vertical="top"/>
    </xf>
    <xf numFmtId="0" fontId="0" fillId="0" borderId="4" xfId="0" applyBorder="1" applyAlignment="1">
      <alignment wrapText="1"/>
    </xf>
    <xf numFmtId="164" fontId="0" fillId="0" borderId="0" xfId="0" applyNumberFormat="1"/>
    <xf numFmtId="164" fontId="0" fillId="5" borderId="0" xfId="0" applyNumberFormat="1" applyFill="1"/>
    <xf numFmtId="0" fontId="29" fillId="7" borderId="0" xfId="0" applyFont="1" applyFill="1"/>
    <xf numFmtId="0" fontId="1" fillId="7" borderId="0" xfId="0" applyFont="1" applyFill="1"/>
    <xf numFmtId="0" fontId="0" fillId="7" borderId="0" xfId="0" applyFill="1"/>
    <xf numFmtId="0" fontId="35" fillId="7" borderId="0" xfId="0" applyFont="1" applyFill="1"/>
    <xf numFmtId="167" fontId="1" fillId="5" borderId="0" xfId="27" applyNumberFormat="1" applyFont="1" applyFill="1"/>
    <xf numFmtId="0" fontId="36" fillId="0" borderId="0" xfId="0" applyFont="1" applyAlignment="1">
      <alignment horizontal="left" vertical="center"/>
    </xf>
    <xf numFmtId="0" fontId="3" fillId="5" borderId="4" xfId="0" applyFont="1" applyFill="1" applyBorder="1" applyAlignment="1">
      <alignment wrapText="1"/>
    </xf>
    <xf numFmtId="0" fontId="1" fillId="0" borderId="4" xfId="0" applyFont="1" applyBorder="1" applyAlignment="1">
      <alignment vertical="top"/>
    </xf>
    <xf numFmtId="0" fontId="1" fillId="0" borderId="4" xfId="0" applyFont="1" applyBorder="1"/>
    <xf numFmtId="0" fontId="1" fillId="0" borderId="4" xfId="0" applyFont="1" applyBorder="1" applyAlignment="1">
      <alignment vertical="top" wrapText="1"/>
    </xf>
    <xf numFmtId="167" fontId="30" fillId="0" borderId="4" xfId="27" applyNumberFormat="1" applyFont="1" applyBorder="1" applyAlignment="1">
      <alignment vertical="top"/>
    </xf>
    <xf numFmtId="0" fontId="36" fillId="0" borderId="0" xfId="0" applyFont="1" applyAlignment="1">
      <alignment wrapText="1"/>
    </xf>
    <xf numFmtId="167" fontId="1" fillId="5" borderId="4" xfId="27" applyNumberFormat="1" applyFont="1" applyFill="1" applyBorder="1"/>
    <xf numFmtId="167" fontId="1" fillId="5" borderId="4" xfId="0" applyNumberFormat="1" applyFont="1" applyFill="1" applyBorder="1"/>
    <xf numFmtId="171" fontId="1" fillId="5" borderId="4" xfId="0" applyNumberFormat="1" applyFont="1" applyFill="1" applyBorder="1"/>
    <xf numFmtId="169" fontId="1" fillId="5" borderId="4" xfId="27" applyNumberFormat="1" applyFont="1" applyFill="1" applyBorder="1"/>
    <xf numFmtId="0" fontId="33" fillId="18" borderId="4" xfId="0" applyFont="1" applyFill="1" applyBorder="1" applyAlignment="1">
      <alignment vertical="top"/>
    </xf>
    <xf numFmtId="166" fontId="0" fillId="5" borderId="0" xfId="28" applyNumberFormat="1" applyFont="1" applyFill="1"/>
    <xf numFmtId="2" fontId="37" fillId="5" borderId="4" xfId="0" applyNumberFormat="1" applyFont="1" applyFill="1" applyBorder="1"/>
    <xf numFmtId="2" fontId="37" fillId="5" borderId="10" xfId="0" applyNumberFormat="1" applyFont="1" applyFill="1" applyBorder="1"/>
    <xf numFmtId="2" fontId="0" fillId="5" borderId="4" xfId="28" applyNumberFormat="1" applyFont="1" applyFill="1" applyBorder="1"/>
    <xf numFmtId="0" fontId="0" fillId="5" borderId="0" xfId="0" applyFill="1" applyAlignment="1">
      <alignment wrapText="1"/>
    </xf>
    <xf numFmtId="0" fontId="3" fillId="4" borderId="0" xfId="0" applyFont="1" applyFill="1"/>
    <xf numFmtId="0" fontId="0" fillId="5" borderId="8" xfId="0" applyFill="1" applyBorder="1"/>
    <xf numFmtId="167" fontId="37" fillId="5" borderId="0" xfId="27" applyNumberFormat="1" applyFont="1" applyFill="1"/>
    <xf numFmtId="0" fontId="0" fillId="5" borderId="12" xfId="0" applyFill="1" applyBorder="1"/>
    <xf numFmtId="1" fontId="37" fillId="5" borderId="12" xfId="0" applyNumberFormat="1" applyFont="1" applyFill="1" applyBorder="1"/>
    <xf numFmtId="43" fontId="6" fillId="5" borderId="4" xfId="27" applyFill="1" applyBorder="1"/>
    <xf numFmtId="43" fontId="6" fillId="5" borderId="10" xfId="27" applyFill="1" applyBorder="1"/>
    <xf numFmtId="2" fontId="6" fillId="5" borderId="4" xfId="0" applyNumberFormat="1" applyFont="1" applyFill="1" applyBorder="1"/>
    <xf numFmtId="166" fontId="37" fillId="5" borderId="4" xfId="28" applyNumberFormat="1" applyFont="1" applyFill="1" applyBorder="1"/>
    <xf numFmtId="2" fontId="0" fillId="5" borderId="4" xfId="0" applyNumberFormat="1" applyFill="1" applyBorder="1"/>
    <xf numFmtId="2" fontId="0" fillId="5" borderId="10" xfId="0" applyNumberFormat="1" applyFill="1" applyBorder="1"/>
    <xf numFmtId="166" fontId="37" fillId="5" borderId="10" xfId="28" applyNumberFormat="1" applyFont="1" applyFill="1" applyBorder="1"/>
    <xf numFmtId="2" fontId="37" fillId="0" borderId="4" xfId="0" applyNumberFormat="1" applyFont="1" applyBorder="1"/>
    <xf numFmtId="1" fontId="0" fillId="5" borderId="4" xfId="0" applyNumberFormat="1" applyFill="1" applyBorder="1"/>
    <xf numFmtId="167" fontId="0" fillId="5" borderId="4" xfId="27" applyNumberFormat="1" applyFont="1" applyFill="1" applyBorder="1"/>
    <xf numFmtId="2" fontId="6" fillId="5" borderId="10" xfId="0" applyNumberFormat="1" applyFont="1" applyFill="1" applyBorder="1"/>
    <xf numFmtId="165" fontId="0" fillId="5" borderId="8" xfId="0" applyNumberFormat="1" applyFill="1" applyBorder="1"/>
    <xf numFmtId="166" fontId="1" fillId="5" borderId="4" xfId="28" applyNumberFormat="1" applyFont="1" applyFill="1" applyBorder="1"/>
    <xf numFmtId="166" fontId="1" fillId="5" borderId="4" xfId="0" applyNumberFormat="1" applyFont="1" applyFill="1" applyBorder="1"/>
    <xf numFmtId="0" fontId="5" fillId="0" borderId="0" xfId="1"/>
    <xf numFmtId="0" fontId="1" fillId="19" borderId="0" xfId="0" applyFont="1" applyFill="1"/>
    <xf numFmtId="2" fontId="34" fillId="5" borderId="4" xfId="0" applyNumberFormat="1" applyFont="1" applyFill="1" applyBorder="1"/>
    <xf numFmtId="0" fontId="34" fillId="5" borderId="4" xfId="0" applyFont="1" applyFill="1" applyBorder="1" applyAlignment="1">
      <alignment vertical="top"/>
    </xf>
    <xf numFmtId="167" fontId="1" fillId="5" borderId="4" xfId="27" applyNumberFormat="1" applyFont="1" applyFill="1" applyBorder="1" applyAlignment="1">
      <alignment vertical="top"/>
    </xf>
    <xf numFmtId="172" fontId="1" fillId="5" borderId="4" xfId="0" applyNumberFormat="1" applyFont="1" applyFill="1" applyBorder="1"/>
    <xf numFmtId="0" fontId="39" fillId="5" borderId="4" xfId="0" applyFont="1" applyFill="1" applyBorder="1" applyAlignment="1">
      <alignment vertical="center" wrapText="1"/>
    </xf>
    <xf numFmtId="0" fontId="40" fillId="5" borderId="4" xfId="0" applyFont="1" applyFill="1" applyBorder="1" applyAlignment="1">
      <alignment vertical="center" wrapText="1"/>
    </xf>
    <xf numFmtId="0" fontId="1" fillId="5" borderId="13" xfId="0" applyFont="1" applyFill="1" applyBorder="1"/>
    <xf numFmtId="0" fontId="38" fillId="5" borderId="0" xfId="159" applyFont="1" applyFill="1"/>
    <xf numFmtId="0" fontId="38" fillId="5" borderId="0" xfId="159" applyFont="1" applyFill="1" applyAlignment="1">
      <alignment horizontal="right" wrapText="1"/>
    </xf>
    <xf numFmtId="0" fontId="38" fillId="5" borderId="0" xfId="159" applyFont="1" applyFill="1" applyAlignment="1">
      <alignment wrapText="1"/>
    </xf>
    <xf numFmtId="0" fontId="24" fillId="5" borderId="0" xfId="159" applyFont="1" applyFill="1"/>
    <xf numFmtId="0" fontId="24" fillId="5" borderId="0" xfId="159" applyFont="1" applyFill="1" applyAlignment="1">
      <alignment wrapText="1"/>
    </xf>
    <xf numFmtId="0" fontId="24" fillId="5" borderId="0" xfId="159" applyFont="1" applyFill="1" applyAlignment="1">
      <alignment horizontal="right" wrapText="1"/>
    </xf>
    <xf numFmtId="167" fontId="30" fillId="5" borderId="4" xfId="27" applyNumberFormat="1" applyFont="1" applyFill="1" applyBorder="1"/>
    <xf numFmtId="0" fontId="1" fillId="5" borderId="4" xfId="28" applyNumberFormat="1" applyFont="1" applyFill="1" applyBorder="1"/>
    <xf numFmtId="167" fontId="34" fillId="5" borderId="4" xfId="0" applyNumberFormat="1" applyFont="1" applyFill="1" applyBorder="1"/>
    <xf numFmtId="164" fontId="1" fillId="5" borderId="0" xfId="0" applyNumberFormat="1" applyFont="1" applyFill="1"/>
    <xf numFmtId="171" fontId="0" fillId="5" borderId="0" xfId="0" applyNumberFormat="1" applyFill="1"/>
    <xf numFmtId="171" fontId="1" fillId="5" borderId="0" xfId="0" applyNumberFormat="1" applyFont="1" applyFill="1"/>
    <xf numFmtId="0" fontId="0" fillId="12" borderId="0" xfId="0" applyFill="1"/>
    <xf numFmtId="164" fontId="0" fillId="12" borderId="0" xfId="0" applyNumberFormat="1" applyFill="1"/>
    <xf numFmtId="171" fontId="1" fillId="12" borderId="0" xfId="0" applyNumberFormat="1" applyFont="1" applyFill="1"/>
    <xf numFmtId="0" fontId="45" fillId="0" borderId="0" xfId="0" applyFont="1" applyAlignment="1">
      <alignment horizontal="left" vertical="center" indent="8"/>
    </xf>
    <xf numFmtId="1" fontId="1" fillId="5" borderId="4" xfId="0" applyNumberFormat="1" applyFont="1" applyFill="1" applyBorder="1"/>
    <xf numFmtId="164" fontId="3" fillId="5" borderId="0" xfId="0" applyNumberFormat="1" applyFont="1" applyFill="1"/>
    <xf numFmtId="0" fontId="39" fillId="0" borderId="4" xfId="0" applyFont="1" applyBorder="1" applyAlignment="1">
      <alignment vertical="center" wrapText="1"/>
    </xf>
    <xf numFmtId="0" fontId="40" fillId="0" borderId="4" xfId="0" applyFont="1" applyBorder="1" applyAlignment="1">
      <alignment vertical="center" wrapText="1"/>
    </xf>
    <xf numFmtId="0" fontId="42" fillId="5" borderId="0" xfId="0" applyFont="1" applyFill="1" applyAlignment="1">
      <alignment vertical="center"/>
    </xf>
    <xf numFmtId="0" fontId="46" fillId="5" borderId="0" xfId="0" applyFont="1" applyFill="1" applyAlignment="1">
      <alignment vertical="center"/>
    </xf>
    <xf numFmtId="0" fontId="4" fillId="5" borderId="5" xfId="0" applyFont="1" applyFill="1" applyBorder="1"/>
    <xf numFmtId="166" fontId="0" fillId="5" borderId="0" xfId="0" applyNumberFormat="1" applyFill="1"/>
    <xf numFmtId="171" fontId="34" fillId="5" borderId="4" xfId="27" applyNumberFormat="1" applyFont="1" applyFill="1" applyBorder="1" applyAlignment="1">
      <alignment vertical="top"/>
    </xf>
    <xf numFmtId="173" fontId="1" fillId="5" borderId="4" xfId="27" applyNumberFormat="1" applyFont="1" applyFill="1" applyBorder="1" applyAlignment="1">
      <alignment vertical="top"/>
    </xf>
    <xf numFmtId="9" fontId="1" fillId="5" borderId="0" xfId="0" applyNumberFormat="1" applyFont="1" applyFill="1"/>
    <xf numFmtId="0" fontId="1" fillId="5" borderId="4" xfId="0" applyFont="1" applyFill="1" applyBorder="1" applyAlignment="1">
      <alignment wrapText="1"/>
    </xf>
    <xf numFmtId="170" fontId="6" fillId="5" borderId="4" xfId="27" applyNumberFormat="1" applyFill="1" applyBorder="1"/>
    <xf numFmtId="170" fontId="6" fillId="5" borderId="10" xfId="27" applyNumberFormat="1" applyFill="1" applyBorder="1"/>
    <xf numFmtId="170" fontId="6" fillId="5" borderId="4" xfId="0" applyNumberFormat="1" applyFont="1" applyFill="1" applyBorder="1"/>
    <xf numFmtId="170" fontId="6" fillId="5" borderId="10" xfId="0" applyNumberFormat="1" applyFont="1" applyFill="1" applyBorder="1"/>
    <xf numFmtId="170" fontId="37" fillId="5" borderId="4" xfId="27" applyNumberFormat="1" applyFont="1" applyFill="1" applyBorder="1"/>
    <xf numFmtId="170" fontId="37" fillId="5" borderId="10" xfId="27" applyNumberFormat="1" applyFont="1" applyFill="1" applyBorder="1"/>
    <xf numFmtId="170" fontId="37" fillId="5" borderId="4" xfId="0" applyNumberFormat="1" applyFont="1" applyFill="1" applyBorder="1"/>
    <xf numFmtId="170" fontId="37" fillId="5" borderId="10" xfId="0" applyNumberFormat="1" applyFont="1" applyFill="1" applyBorder="1"/>
    <xf numFmtId="9" fontId="3" fillId="5" borderId="0" xfId="0" applyNumberFormat="1" applyFont="1" applyFill="1"/>
    <xf numFmtId="0" fontId="4" fillId="5" borderId="8" xfId="0" applyFont="1" applyFill="1" applyBorder="1" applyAlignment="1">
      <alignment horizontal="center"/>
    </xf>
    <xf numFmtId="1" fontId="1" fillId="5" borderId="0" xfId="0" applyNumberFormat="1" applyFont="1" applyFill="1"/>
    <xf numFmtId="165" fontId="43" fillId="17" borderId="0" xfId="0" applyNumberFormat="1" applyFont="1" applyFill="1"/>
    <xf numFmtId="2" fontId="34" fillId="5" borderId="4" xfId="0" applyNumberFormat="1" applyFont="1" applyFill="1" applyBorder="1" applyAlignment="1">
      <alignment vertical="top"/>
    </xf>
    <xf numFmtId="0" fontId="0" fillId="14" borderId="14" xfId="0" applyFill="1" applyBorder="1" applyAlignment="1">
      <alignment wrapText="1"/>
    </xf>
    <xf numFmtId="0" fontId="3" fillId="20" borderId="4" xfId="0" applyFont="1" applyFill="1" applyBorder="1" applyAlignment="1">
      <alignment wrapText="1"/>
    </xf>
    <xf numFmtId="0" fontId="1" fillId="5" borderId="13" xfId="0" applyFont="1" applyFill="1" applyBorder="1" applyAlignment="1">
      <alignment wrapText="1"/>
    </xf>
    <xf numFmtId="0" fontId="1" fillId="0" borderId="13" xfId="0" applyFont="1" applyBorder="1" applyAlignment="1">
      <alignment vertical="top"/>
    </xf>
    <xf numFmtId="9" fontId="1" fillId="5" borderId="13" xfId="0" applyNumberFormat="1" applyFont="1" applyFill="1" applyBorder="1"/>
    <xf numFmtId="0" fontId="1" fillId="5" borderId="7" xfId="0" applyFont="1" applyFill="1" applyBorder="1"/>
    <xf numFmtId="9" fontId="1" fillId="5" borderId="7" xfId="0" applyNumberFormat="1" applyFont="1" applyFill="1" applyBorder="1"/>
    <xf numFmtId="171" fontId="1" fillId="5" borderId="4" xfId="27" applyNumberFormat="1" applyFont="1" applyFill="1" applyBorder="1" applyAlignment="1">
      <alignment vertical="top"/>
    </xf>
    <xf numFmtId="167" fontId="6" fillId="5" borderId="4" xfId="27" applyNumberFormat="1" applyFill="1" applyBorder="1"/>
    <xf numFmtId="167" fontId="0" fillId="5" borderId="10" xfId="27" applyNumberFormat="1" applyFont="1" applyFill="1" applyBorder="1"/>
    <xf numFmtId="167" fontId="6" fillId="5" borderId="10" xfId="27" applyNumberFormat="1" applyFill="1" applyBorder="1"/>
    <xf numFmtId="167" fontId="6" fillId="5" borderId="4" xfId="0" applyNumberFormat="1" applyFont="1" applyFill="1" applyBorder="1"/>
    <xf numFmtId="167" fontId="6" fillId="5" borderId="10" xfId="0" applyNumberFormat="1" applyFont="1" applyFill="1" applyBorder="1"/>
    <xf numFmtId="166" fontId="1" fillId="0" borderId="4" xfId="28" applyNumberFormat="1" applyFont="1" applyBorder="1"/>
    <xf numFmtId="0" fontId="50" fillId="0" borderId="0" xfId="0" applyFont="1" applyAlignment="1">
      <alignment vertical="center"/>
    </xf>
    <xf numFmtId="0" fontId="51" fillId="0" borderId="15" xfId="0" applyFont="1" applyBorder="1" applyAlignment="1">
      <alignment vertical="center" wrapText="1"/>
    </xf>
    <xf numFmtId="9" fontId="51" fillId="0" borderId="16" xfId="0" applyNumberFormat="1" applyFont="1" applyBorder="1" applyAlignment="1">
      <alignment vertical="center" wrapText="1"/>
    </xf>
    <xf numFmtId="0" fontId="51" fillId="0" borderId="17" xfId="0" applyFont="1" applyBorder="1" applyAlignment="1">
      <alignment vertical="center" wrapText="1"/>
    </xf>
    <xf numFmtId="9" fontId="51" fillId="0" borderId="18" xfId="0" applyNumberFormat="1" applyFont="1" applyBorder="1" applyAlignment="1">
      <alignment vertical="center" wrapText="1"/>
    </xf>
    <xf numFmtId="0" fontId="1" fillId="5" borderId="0" xfId="0" applyFont="1" applyFill="1" applyAlignment="1">
      <alignment wrapText="1"/>
    </xf>
    <xf numFmtId="0" fontId="39" fillId="5" borderId="0" xfId="0" applyFont="1" applyFill="1" applyAlignment="1">
      <alignment vertical="center" wrapText="1"/>
    </xf>
    <xf numFmtId="0" fontId="40" fillId="5" borderId="0" xfId="0" applyFont="1" applyFill="1" applyAlignment="1">
      <alignment vertical="center" wrapText="1"/>
    </xf>
    <xf numFmtId="0" fontId="0" fillId="5" borderId="7" xfId="0" applyFill="1" applyBorder="1"/>
    <xf numFmtId="9" fontId="3" fillId="5" borderId="7" xfId="0" applyNumberFormat="1" applyFont="1" applyFill="1" applyBorder="1"/>
    <xf numFmtId="166" fontId="0" fillId="5" borderId="7" xfId="0" applyNumberFormat="1" applyFill="1" applyBorder="1"/>
    <xf numFmtId="0" fontId="1" fillId="5" borderId="0" xfId="0" applyFont="1" applyFill="1" applyAlignment="1">
      <alignment vertical="top" wrapText="1"/>
    </xf>
    <xf numFmtId="0" fontId="31" fillId="5" borderId="0" xfId="0" applyFont="1" applyFill="1" applyAlignment="1">
      <alignment vertical="top"/>
    </xf>
    <xf numFmtId="2" fontId="34" fillId="5" borderId="0" xfId="0" applyNumberFormat="1" applyFont="1" applyFill="1" applyAlignment="1">
      <alignment vertical="top"/>
    </xf>
    <xf numFmtId="9" fontId="34" fillId="5" borderId="0" xfId="28" applyFont="1" applyFill="1" applyAlignment="1">
      <alignment vertical="top"/>
    </xf>
    <xf numFmtId="1" fontId="1" fillId="5" borderId="4" xfId="0" applyNumberFormat="1" applyFont="1" applyFill="1" applyBorder="1" applyAlignment="1">
      <alignment vertical="top"/>
    </xf>
    <xf numFmtId="173" fontId="1" fillId="5" borderId="0" xfId="27" applyNumberFormat="1" applyFont="1" applyFill="1" applyAlignment="1">
      <alignment vertical="top"/>
    </xf>
    <xf numFmtId="0" fontId="53" fillId="21" borderId="20" xfId="0" applyFont="1" applyFill="1" applyBorder="1" applyAlignment="1">
      <alignment horizontal="center" vertical="center" wrapText="1"/>
    </xf>
    <xf numFmtId="0" fontId="53" fillId="21" borderId="21" xfId="0" applyFont="1" applyFill="1" applyBorder="1" applyAlignment="1">
      <alignment horizontal="center" vertical="center" wrapText="1"/>
    </xf>
    <xf numFmtId="0" fontId="24" fillId="5" borderId="0" xfId="0" applyFont="1" applyFill="1"/>
    <xf numFmtId="0" fontId="28" fillId="22" borderId="19" xfId="0" applyFont="1" applyFill="1" applyBorder="1" applyAlignment="1">
      <alignment horizontal="center" vertical="center" wrapText="1"/>
    </xf>
    <xf numFmtId="9" fontId="24" fillId="22" borderId="22" xfId="0" applyNumberFormat="1" applyFont="1" applyFill="1" applyBorder="1" applyAlignment="1">
      <alignment horizontal="center" vertical="center" wrapText="1"/>
    </xf>
    <xf numFmtId="9" fontId="24" fillId="5" borderId="4" xfId="28" applyFont="1" applyFill="1" applyBorder="1"/>
    <xf numFmtId="0" fontId="28" fillId="0" borderId="19" xfId="0" applyFont="1" applyBorder="1" applyAlignment="1">
      <alignment horizontal="center" vertical="center" wrapText="1"/>
    </xf>
    <xf numFmtId="10" fontId="24" fillId="0" borderId="22" xfId="0" applyNumberFormat="1" applyFont="1" applyBorder="1" applyAlignment="1">
      <alignment horizontal="center" vertical="center" wrapText="1"/>
    </xf>
    <xf numFmtId="10" fontId="24" fillId="22" borderId="22" xfId="0" applyNumberFormat="1" applyFont="1" applyFill="1" applyBorder="1" applyAlignment="1">
      <alignment horizontal="center" vertical="center" wrapText="1"/>
    </xf>
    <xf numFmtId="2" fontId="1" fillId="5" borderId="0" xfId="0" applyNumberFormat="1" applyFont="1" applyFill="1"/>
    <xf numFmtId="0" fontId="40" fillId="5" borderId="13" xfId="0" applyFont="1" applyFill="1" applyBorder="1" applyAlignment="1">
      <alignment vertical="center" wrapText="1"/>
    </xf>
    <xf numFmtId="0" fontId="3" fillId="5" borderId="8" xfId="0" applyFont="1" applyFill="1" applyBorder="1"/>
    <xf numFmtId="0" fontId="2" fillId="10" borderId="23" xfId="0" applyFont="1" applyFill="1" applyBorder="1" applyAlignment="1">
      <alignment vertical="center"/>
    </xf>
    <xf numFmtId="0" fontId="1" fillId="5" borderId="0" xfId="0" applyFont="1" applyFill="1" applyAlignment="1">
      <alignment vertical="center"/>
    </xf>
    <xf numFmtId="0" fontId="28" fillId="5" borderId="26" xfId="0" applyFont="1" applyFill="1" applyBorder="1" applyAlignment="1">
      <alignment horizontal="center" vertical="center"/>
    </xf>
    <xf numFmtId="0" fontId="24" fillId="11" borderId="29" xfId="0" applyFont="1" applyFill="1" applyBorder="1" applyAlignment="1">
      <alignment horizontal="left" vertical="center"/>
    </xf>
    <xf numFmtId="0" fontId="24" fillId="11" borderId="31" xfId="0" applyFont="1" applyFill="1" applyBorder="1" applyAlignment="1">
      <alignment horizontal="left" vertical="center"/>
    </xf>
    <xf numFmtId="0" fontId="24" fillId="5" borderId="4" xfId="0" applyFont="1" applyFill="1" applyBorder="1" applyAlignment="1">
      <alignment horizontal="left" vertical="top" wrapText="1"/>
    </xf>
    <xf numFmtId="0" fontId="24" fillId="15" borderId="4" xfId="0" applyFont="1" applyFill="1" applyBorder="1" applyAlignment="1">
      <alignment horizontal="left" vertical="center" wrapText="1"/>
    </xf>
    <xf numFmtId="165" fontId="34" fillId="5" borderId="0" xfId="0" applyNumberFormat="1" applyFont="1" applyFill="1" applyAlignment="1">
      <alignment vertical="top"/>
    </xf>
    <xf numFmtId="11" fontId="24" fillId="5" borderId="0" xfId="0" applyNumberFormat="1" applyFont="1" applyFill="1" applyAlignment="1">
      <alignment vertical="center"/>
    </xf>
    <xf numFmtId="0" fontId="44" fillId="5" borderId="0" xfId="0" applyFont="1" applyFill="1"/>
    <xf numFmtId="0" fontId="5" fillId="5" borderId="0" xfId="1" applyFill="1"/>
    <xf numFmtId="0" fontId="1" fillId="5" borderId="0" xfId="0" applyFont="1" applyFill="1" applyAlignment="1">
      <alignment horizontal="right"/>
    </xf>
    <xf numFmtId="172" fontId="1" fillId="5" borderId="4" xfId="28" applyNumberFormat="1" applyFont="1" applyFill="1" applyBorder="1"/>
    <xf numFmtId="9" fontId="34" fillId="5" borderId="4" xfId="28" applyFont="1" applyFill="1" applyBorder="1" applyAlignment="1">
      <alignment vertical="top"/>
    </xf>
    <xf numFmtId="166" fontId="34" fillId="5" borderId="4" xfId="28" applyNumberFormat="1" applyFont="1" applyFill="1" applyBorder="1" applyAlignment="1">
      <alignment vertical="top"/>
    </xf>
    <xf numFmtId="174" fontId="1" fillId="5" borderId="0" xfId="0" applyNumberFormat="1" applyFont="1" applyFill="1"/>
    <xf numFmtId="166" fontId="1" fillId="5" borderId="0" xfId="0" applyNumberFormat="1" applyFont="1" applyFill="1"/>
    <xf numFmtId="0" fontId="35" fillId="5" borderId="0" xfId="0" applyFont="1" applyFill="1"/>
    <xf numFmtId="165" fontId="1" fillId="5" borderId="0" xfId="0" applyNumberFormat="1" applyFont="1" applyFill="1" applyAlignment="1">
      <alignment vertical="top"/>
    </xf>
    <xf numFmtId="165" fontId="34" fillId="5" borderId="4" xfId="0" applyNumberFormat="1" applyFont="1" applyFill="1" applyBorder="1" applyAlignment="1">
      <alignment vertical="top"/>
    </xf>
    <xf numFmtId="170" fontId="1" fillId="5" borderId="4" xfId="0" applyNumberFormat="1" applyFont="1" applyFill="1" applyBorder="1"/>
    <xf numFmtId="165" fontId="1" fillId="5" borderId="4" xfId="0" applyNumberFormat="1" applyFont="1" applyFill="1" applyBorder="1" applyAlignment="1">
      <alignment vertical="top"/>
    </xf>
    <xf numFmtId="167" fontId="54" fillId="5" borderId="4" xfId="27" applyNumberFormat="1" applyFont="1" applyFill="1" applyBorder="1" applyAlignment="1">
      <alignment vertical="top"/>
    </xf>
    <xf numFmtId="165" fontId="1" fillId="5" borderId="4" xfId="0" applyNumberFormat="1" applyFont="1" applyFill="1" applyBorder="1"/>
    <xf numFmtId="167" fontId="55" fillId="5" borderId="4" xfId="27" applyNumberFormat="1" applyFont="1" applyFill="1" applyBorder="1" applyAlignment="1">
      <alignment vertical="top"/>
    </xf>
    <xf numFmtId="0" fontId="1" fillId="5" borderId="12" xfId="0" applyFont="1" applyFill="1" applyBorder="1" applyAlignment="1">
      <alignment wrapText="1"/>
    </xf>
    <xf numFmtId="170" fontId="30" fillId="0" borderId="4" xfId="27" applyNumberFormat="1" applyFont="1" applyBorder="1" applyAlignment="1">
      <alignment vertical="top"/>
    </xf>
    <xf numFmtId="43" fontId="1" fillId="5" borderId="0" xfId="27" applyFont="1" applyFill="1"/>
    <xf numFmtId="0" fontId="3" fillId="5" borderId="12" xfId="0" applyFont="1" applyFill="1" applyBorder="1"/>
    <xf numFmtId="0" fontId="40" fillId="5" borderId="4" xfId="0" applyFont="1" applyFill="1" applyBorder="1" applyAlignment="1">
      <alignment horizontal="right" wrapText="1"/>
    </xf>
    <xf numFmtId="43" fontId="1" fillId="5" borderId="0" xfId="0" applyNumberFormat="1" applyFont="1" applyFill="1"/>
    <xf numFmtId="167" fontId="34" fillId="5" borderId="4" xfId="27" applyNumberFormat="1" applyFont="1" applyFill="1" applyBorder="1" applyAlignment="1">
      <alignment vertical="top"/>
    </xf>
    <xf numFmtId="9" fontId="0" fillId="5" borderId="0" xfId="28" applyFont="1" applyFill="1"/>
    <xf numFmtId="1" fontId="34" fillId="5" borderId="4" xfId="0" applyNumberFormat="1" applyFont="1" applyFill="1" applyBorder="1" applyAlignment="1">
      <alignment vertical="top"/>
    </xf>
    <xf numFmtId="0" fontId="4" fillId="5" borderId="0" xfId="0" applyFont="1" applyFill="1"/>
    <xf numFmtId="0" fontId="1" fillId="23" borderId="0" xfId="0" applyFont="1" applyFill="1"/>
    <xf numFmtId="0" fontId="3" fillId="23" borderId="0" xfId="0" applyFont="1" applyFill="1"/>
    <xf numFmtId="0" fontId="1" fillId="24" borderId="4" xfId="0" applyFont="1" applyFill="1" applyBorder="1"/>
    <xf numFmtId="0" fontId="54" fillId="5" borderId="4" xfId="0" applyFont="1" applyFill="1" applyBorder="1" applyAlignment="1">
      <alignment vertical="top"/>
    </xf>
    <xf numFmtId="0" fontId="1" fillId="0" borderId="0" xfId="0" applyFont="1"/>
    <xf numFmtId="0" fontId="31" fillId="0" borderId="4" xfId="0" applyFont="1" applyBorder="1" applyAlignment="1">
      <alignment vertical="top"/>
    </xf>
    <xf numFmtId="165" fontId="1" fillId="0" borderId="4" xfId="0" applyNumberFormat="1" applyFont="1" applyBorder="1" applyAlignment="1">
      <alignment vertical="top"/>
    </xf>
    <xf numFmtId="0" fontId="3" fillId="0" borderId="26" xfId="0" applyFont="1" applyBorder="1"/>
    <xf numFmtId="0" fontId="3" fillId="0" borderId="27" xfId="0" applyFont="1" applyBorder="1"/>
    <xf numFmtId="0" fontId="1" fillId="0" borderId="34" xfId="0" applyFont="1" applyBorder="1"/>
    <xf numFmtId="0" fontId="1" fillId="0" borderId="29" xfId="0" applyFont="1" applyBorder="1" applyAlignment="1">
      <alignment vertical="top"/>
    </xf>
    <xf numFmtId="0" fontId="1" fillId="0" borderId="35" xfId="0" applyFont="1" applyBorder="1"/>
    <xf numFmtId="0" fontId="1" fillId="0" borderId="36" xfId="0" applyFont="1" applyBorder="1"/>
    <xf numFmtId="0" fontId="1" fillId="0" borderId="37" xfId="0" applyFont="1" applyBorder="1"/>
    <xf numFmtId="2" fontId="1" fillId="0" borderId="37" xfId="0" applyNumberFormat="1" applyFont="1" applyBorder="1"/>
    <xf numFmtId="0" fontId="1" fillId="0" borderId="18" xfId="0" applyFont="1" applyBorder="1"/>
    <xf numFmtId="167" fontId="54" fillId="5" borderId="0" xfId="27" applyNumberFormat="1" applyFont="1" applyFill="1" applyBorder="1" applyAlignment="1">
      <alignment vertical="top"/>
    </xf>
    <xf numFmtId="167" fontId="55" fillId="5" borderId="0" xfId="27" applyNumberFormat="1" applyFont="1" applyFill="1" applyBorder="1" applyAlignment="1">
      <alignment vertical="top"/>
    </xf>
    <xf numFmtId="171" fontId="0" fillId="0" borderId="0" xfId="0" applyNumberFormat="1"/>
    <xf numFmtId="10" fontId="0" fillId="5" borderId="4" xfId="28" applyNumberFormat="1" applyFont="1" applyFill="1" applyBorder="1"/>
    <xf numFmtId="0" fontId="5" fillId="5" borderId="4" xfId="1" applyFill="1" applyBorder="1"/>
    <xf numFmtId="0" fontId="0" fillId="0" borderId="4" xfId="0" applyBorder="1" applyAlignment="1">
      <alignment horizontal="left" vertical="center"/>
    </xf>
    <xf numFmtId="0" fontId="23" fillId="9" borderId="40" xfId="0" applyFont="1" applyFill="1" applyBorder="1" applyAlignment="1">
      <alignment horizontal="left" vertical="center" indent="1"/>
    </xf>
    <xf numFmtId="0" fontId="24" fillId="9" borderId="23" xfId="0" applyFont="1" applyFill="1" applyBorder="1" applyAlignment="1">
      <alignment vertical="center"/>
    </xf>
    <xf numFmtId="0" fontId="1" fillId="5" borderId="23" xfId="0" applyFont="1" applyFill="1" applyBorder="1" applyAlignment="1">
      <alignment vertical="center"/>
    </xf>
    <xf numFmtId="0" fontId="23" fillId="2" borderId="40" xfId="0" applyFont="1" applyFill="1" applyBorder="1" applyAlignment="1">
      <alignment horizontal="left" vertical="center" indent="1"/>
    </xf>
    <xf numFmtId="0" fontId="24" fillId="2" borderId="23" xfId="0" applyFont="1" applyFill="1" applyBorder="1" applyAlignment="1">
      <alignment vertical="center"/>
    </xf>
    <xf numFmtId="0" fontId="5" fillId="4" borderId="0" xfId="1" applyFill="1" applyAlignment="1">
      <alignment horizontal="left" vertical="center"/>
    </xf>
    <xf numFmtId="0" fontId="23" fillId="4" borderId="40" xfId="0" applyFont="1" applyFill="1" applyBorder="1" applyAlignment="1">
      <alignment horizontal="left" vertical="center" indent="1"/>
    </xf>
    <xf numFmtId="0" fontId="24" fillId="4" borderId="23" xfId="0" applyFont="1" applyFill="1" applyBorder="1" applyAlignment="1">
      <alignment vertical="center"/>
    </xf>
    <xf numFmtId="0" fontId="23" fillId="3" borderId="40" xfId="0" applyFont="1" applyFill="1" applyBorder="1" applyAlignment="1">
      <alignment horizontal="left" vertical="center" indent="1"/>
    </xf>
    <xf numFmtId="0" fontId="24" fillId="3" borderId="23" xfId="0" applyFont="1" applyFill="1" applyBorder="1" applyAlignment="1">
      <alignment horizontal="left" vertical="center"/>
    </xf>
    <xf numFmtId="0" fontId="48" fillId="14" borderId="23" xfId="0" applyFont="1" applyFill="1" applyBorder="1"/>
    <xf numFmtId="0" fontId="0" fillId="14" borderId="23" xfId="0" applyFill="1" applyBorder="1" applyAlignment="1">
      <alignment wrapText="1"/>
    </xf>
    <xf numFmtId="0" fontId="49" fillId="5" borderId="41" xfId="0" applyFont="1" applyFill="1" applyBorder="1" applyAlignment="1">
      <alignment wrapText="1"/>
    </xf>
    <xf numFmtId="0" fontId="1" fillId="5" borderId="41" xfId="0" applyFont="1" applyFill="1" applyBorder="1" applyAlignment="1">
      <alignment wrapText="1"/>
    </xf>
    <xf numFmtId="0" fontId="2" fillId="11" borderId="23" xfId="0" applyFont="1" applyFill="1" applyBorder="1" applyAlignment="1">
      <alignment vertical="center"/>
    </xf>
    <xf numFmtId="0" fontId="2" fillId="7" borderId="23" xfId="0" applyFont="1" applyFill="1" applyBorder="1" applyAlignment="1">
      <alignment vertical="center"/>
    </xf>
    <xf numFmtId="0" fontId="1" fillId="5" borderId="4" xfId="0" applyFont="1" applyFill="1" applyBorder="1" applyAlignment="1">
      <alignment horizontal="right"/>
    </xf>
    <xf numFmtId="0" fontId="2" fillId="14" borderId="23" xfId="0" applyFont="1" applyFill="1" applyBorder="1" applyAlignment="1">
      <alignment vertical="center"/>
    </xf>
    <xf numFmtId="0" fontId="0" fillId="5" borderId="41" xfId="0" applyFill="1" applyBorder="1"/>
    <xf numFmtId="170" fontId="6" fillId="5" borderId="41" xfId="27" applyNumberFormat="1" applyFill="1" applyBorder="1"/>
    <xf numFmtId="170" fontId="37" fillId="5" borderId="41" xfId="27" applyNumberFormat="1" applyFont="1" applyFill="1" applyBorder="1"/>
    <xf numFmtId="43" fontId="6" fillId="5" borderId="41" xfId="27" applyFill="1" applyBorder="1"/>
    <xf numFmtId="166" fontId="37" fillId="5" borderId="41" xfId="28" applyNumberFormat="1" applyFont="1" applyFill="1" applyBorder="1"/>
    <xf numFmtId="2" fontId="0" fillId="5" borderId="41" xfId="0" applyNumberFormat="1" applyFill="1" applyBorder="1"/>
    <xf numFmtId="2" fontId="37" fillId="5" borderId="41" xfId="0" applyNumberFormat="1" applyFont="1" applyFill="1" applyBorder="1"/>
    <xf numFmtId="170" fontId="6" fillId="5" borderId="41" xfId="0" applyNumberFormat="1" applyFont="1" applyFill="1" applyBorder="1"/>
    <xf numFmtId="170" fontId="37" fillId="5" borderId="41" xfId="0" applyNumberFormat="1" applyFont="1" applyFill="1" applyBorder="1"/>
    <xf numFmtId="2" fontId="6" fillId="5" borderId="41" xfId="0" applyNumberFormat="1" applyFont="1" applyFill="1" applyBorder="1"/>
    <xf numFmtId="167" fontId="0" fillId="5" borderId="41" xfId="27" applyNumberFormat="1" applyFont="1" applyFill="1" applyBorder="1"/>
    <xf numFmtId="167" fontId="6" fillId="5" borderId="41" xfId="27" applyNumberFormat="1" applyFill="1" applyBorder="1"/>
    <xf numFmtId="167" fontId="6" fillId="5" borderId="41" xfId="0" applyNumberFormat="1" applyFont="1" applyFill="1" applyBorder="1"/>
    <xf numFmtId="0" fontId="3" fillId="0" borderId="38" xfId="0" applyFont="1" applyBorder="1"/>
    <xf numFmtId="0" fontId="1" fillId="0" borderId="39" xfId="0" applyFont="1" applyBorder="1"/>
    <xf numFmtId="168" fontId="1" fillId="0" borderId="39" xfId="0" applyNumberFormat="1" applyFont="1" applyBorder="1"/>
    <xf numFmtId="164" fontId="1" fillId="0" borderId="39" xfId="0" applyNumberFormat="1" applyFont="1" applyBorder="1"/>
    <xf numFmtId="9" fontId="1" fillId="0" borderId="39" xfId="28" applyFont="1" applyFill="1" applyBorder="1"/>
    <xf numFmtId="0" fontId="3" fillId="0" borderId="29" xfId="0" applyFont="1" applyBorder="1"/>
    <xf numFmtId="0" fontId="3" fillId="0" borderId="4" xfId="0" applyFont="1" applyBorder="1"/>
    <xf numFmtId="0" fontId="3" fillId="0" borderId="30" xfId="0" applyFont="1" applyBorder="1"/>
    <xf numFmtId="165" fontId="1" fillId="0" borderId="30" xfId="0" applyNumberFormat="1" applyFont="1" applyBorder="1" applyAlignment="1">
      <alignment vertical="top"/>
    </xf>
    <xf numFmtId="2" fontId="1" fillId="0" borderId="18" xfId="0" applyNumberFormat="1" applyFont="1" applyBorder="1"/>
    <xf numFmtId="0" fontId="26" fillId="6" borderId="23" xfId="0" applyFont="1" applyFill="1" applyBorder="1" applyAlignment="1">
      <alignment horizontal="left" vertical="center"/>
    </xf>
    <xf numFmtId="0" fontId="26" fillId="6" borderId="1" xfId="0" applyFont="1" applyFill="1" applyBorder="1" applyAlignment="1">
      <alignment horizontal="left" vertical="center"/>
    </xf>
    <xf numFmtId="0" fontId="26" fillId="7" borderId="23" xfId="0" applyFont="1" applyFill="1" applyBorder="1" applyAlignment="1">
      <alignment horizontal="left" vertical="center"/>
    </xf>
    <xf numFmtId="0" fontId="26" fillId="7" borderId="1" xfId="0" applyFont="1" applyFill="1" applyBorder="1" applyAlignment="1">
      <alignment horizontal="left" vertical="center"/>
    </xf>
    <xf numFmtId="0" fontId="26" fillId="8" borderId="23" xfId="0" applyFont="1" applyFill="1" applyBorder="1" applyAlignment="1">
      <alignment horizontal="left" vertical="center"/>
    </xf>
    <xf numFmtId="0" fontId="26" fillId="8" borderId="1" xfId="0" applyFont="1" applyFill="1" applyBorder="1" applyAlignment="1">
      <alignment horizontal="left" vertical="center"/>
    </xf>
    <xf numFmtId="0" fontId="28" fillId="5" borderId="13" xfId="0" applyFont="1" applyFill="1" applyBorder="1" applyAlignment="1">
      <alignment horizontal="center" vertical="center"/>
    </xf>
    <xf numFmtId="0" fontId="28" fillId="5" borderId="41" xfId="0" applyFont="1" applyFill="1" applyBorder="1" applyAlignment="1">
      <alignment horizontal="center" vertical="center"/>
    </xf>
    <xf numFmtId="0" fontId="28"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28" fillId="5" borderId="24" xfId="0" applyFont="1" applyFill="1" applyBorder="1" applyAlignment="1">
      <alignment horizontal="center" vertical="center"/>
    </xf>
    <xf numFmtId="0" fontId="28" fillId="5" borderId="25" xfId="0" applyFont="1" applyFill="1" applyBorder="1" applyAlignment="1">
      <alignment horizontal="center" vertical="center"/>
    </xf>
    <xf numFmtId="0" fontId="28" fillId="5" borderId="16" xfId="0" applyFont="1" applyFill="1" applyBorder="1" applyAlignment="1">
      <alignment horizontal="center" vertical="center"/>
    </xf>
    <xf numFmtId="0" fontId="28" fillId="5" borderId="27" xfId="0" applyFont="1" applyFill="1" applyBorder="1" applyAlignment="1">
      <alignment horizontal="center" vertical="center"/>
    </xf>
    <xf numFmtId="0" fontId="28" fillId="5" borderId="28" xfId="0" applyFont="1" applyFill="1" applyBorder="1" applyAlignment="1">
      <alignment horizontal="center" vertical="center"/>
    </xf>
    <xf numFmtId="0" fontId="24" fillId="5" borderId="4" xfId="0" applyFont="1" applyFill="1" applyBorder="1" applyAlignment="1">
      <alignment horizontal="left" vertical="center" wrapText="1"/>
    </xf>
    <xf numFmtId="0" fontId="24" fillId="5" borderId="30"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24" fillId="5" borderId="33" xfId="0" applyFont="1" applyFill="1" applyBorder="1" applyAlignment="1">
      <alignment horizontal="left" vertical="center" wrapText="1"/>
    </xf>
    <xf numFmtId="0" fontId="1" fillId="5" borderId="13" xfId="0" applyFont="1" applyFill="1" applyBorder="1" applyAlignment="1">
      <alignment horizontal="center" wrapText="1"/>
    </xf>
    <xf numFmtId="0" fontId="1" fillId="5" borderId="41" xfId="0" applyFont="1" applyFill="1" applyBorder="1" applyAlignment="1">
      <alignment horizontal="center" wrapText="1"/>
    </xf>
    <xf numFmtId="0" fontId="4" fillId="5" borderId="4" xfId="0" applyFont="1" applyFill="1" applyBorder="1" applyAlignment="1">
      <alignment horizontal="center"/>
    </xf>
    <xf numFmtId="0" fontId="40" fillId="5" borderId="8" xfId="0" applyFont="1" applyFill="1" applyBorder="1" applyAlignment="1">
      <alignment vertical="center" wrapText="1"/>
    </xf>
    <xf numFmtId="0" fontId="40" fillId="5" borderId="9" xfId="0" applyFont="1" applyFill="1" applyBorder="1" applyAlignment="1">
      <alignment vertical="center" wrapText="1"/>
    </xf>
    <xf numFmtId="0" fontId="40" fillId="5" borderId="5" xfId="0" applyFont="1" applyFill="1" applyBorder="1" applyAlignment="1">
      <alignment vertical="center" wrapText="1"/>
    </xf>
    <xf numFmtId="0" fontId="39" fillId="5" borderId="4" xfId="0" applyFont="1" applyFill="1" applyBorder="1" applyAlignment="1">
      <alignment vertical="center" wrapText="1"/>
    </xf>
    <xf numFmtId="0" fontId="1" fillId="5" borderId="12" xfId="0" applyFont="1" applyFill="1" applyBorder="1" applyAlignment="1">
      <alignment wrapText="1"/>
    </xf>
    <xf numFmtId="0" fontId="1" fillId="5" borderId="0" xfId="0" applyFont="1" applyFill="1" applyAlignment="1">
      <alignment wrapText="1"/>
    </xf>
    <xf numFmtId="0" fontId="3" fillId="5" borderId="12" xfId="0" applyFont="1" applyFill="1" applyBorder="1"/>
    <xf numFmtId="0" fontId="3" fillId="5" borderId="0" xfId="0" applyFont="1" applyFill="1"/>
    <xf numFmtId="0" fontId="1" fillId="5" borderId="8" xfId="0" applyFont="1" applyFill="1" applyBorder="1" applyAlignment="1">
      <alignment wrapText="1"/>
    </xf>
    <xf numFmtId="0" fontId="1" fillId="5" borderId="9" xfId="0" applyFont="1" applyFill="1" applyBorder="1" applyAlignment="1">
      <alignment wrapText="1"/>
    </xf>
    <xf numFmtId="0" fontId="1" fillId="5" borderId="5" xfId="0" applyFont="1" applyFill="1" applyBorder="1" applyAlignment="1">
      <alignment wrapText="1"/>
    </xf>
    <xf numFmtId="0" fontId="4" fillId="5" borderId="23" xfId="0" applyFont="1" applyFill="1" applyBorder="1" applyAlignment="1">
      <alignment horizontal="center"/>
    </xf>
    <xf numFmtId="0" fontId="4" fillId="5" borderId="42" xfId="0" applyFont="1" applyFill="1" applyBorder="1" applyAlignment="1">
      <alignment horizontal="center"/>
    </xf>
    <xf numFmtId="0" fontId="47" fillId="0" borderId="4" xfId="0" applyFont="1" applyBorder="1" applyAlignment="1">
      <alignment vertical="center" wrapText="1"/>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5" xfId="0" applyFont="1" applyFill="1" applyBorder="1" applyAlignment="1">
      <alignment horizontal="center"/>
    </xf>
    <xf numFmtId="0" fontId="40" fillId="0" borderId="4" xfId="0" applyFont="1" applyBorder="1" applyAlignment="1">
      <alignment vertical="center" wrapText="1"/>
    </xf>
    <xf numFmtId="0" fontId="39" fillId="0" borderId="4" xfId="0" applyFont="1" applyBorder="1" applyAlignment="1">
      <alignment vertical="center" wrapText="1"/>
    </xf>
    <xf numFmtId="0" fontId="39" fillId="5" borderId="0" xfId="0" applyFont="1" applyFill="1" applyAlignment="1">
      <alignment vertical="center" wrapText="1"/>
    </xf>
    <xf numFmtId="0" fontId="40" fillId="5" borderId="0" xfId="0" applyFont="1" applyFill="1" applyAlignment="1">
      <alignment vertical="center" wrapText="1"/>
    </xf>
    <xf numFmtId="0" fontId="47" fillId="5" borderId="0" xfId="0" applyFont="1" applyFill="1" applyAlignment="1">
      <alignment vertical="center" wrapText="1"/>
    </xf>
  </cellXfs>
  <cellStyles count="167">
    <cellStyle name="C01_Main head" xfId="3" xr:uid="{00000000-0005-0000-0000-000000000000}"/>
    <cellStyle name="C02_Column heads" xfId="4" xr:uid="{00000000-0005-0000-0000-000001000000}"/>
    <cellStyle name="C03_Sub head bold" xfId="5" xr:uid="{00000000-0005-0000-0000-000002000000}"/>
    <cellStyle name="C03a_Sub head" xfId="6" xr:uid="{00000000-0005-0000-0000-000003000000}"/>
    <cellStyle name="C04_Total text white bold" xfId="7" xr:uid="{00000000-0005-0000-0000-000004000000}"/>
    <cellStyle name="C04a_Total text black with rule" xfId="8" xr:uid="{00000000-0005-0000-0000-000005000000}"/>
    <cellStyle name="C05_Main text" xfId="9" xr:uid="{00000000-0005-0000-0000-000006000000}"/>
    <cellStyle name="C06_Figs" xfId="10" xr:uid="{00000000-0005-0000-0000-000007000000}"/>
    <cellStyle name="C07_Figs 1 dec percent" xfId="11" xr:uid="{00000000-0005-0000-0000-000008000000}"/>
    <cellStyle name="C08_Figs 1 decimal" xfId="12" xr:uid="{00000000-0005-0000-0000-000009000000}"/>
    <cellStyle name="C09_Notes" xfId="13" xr:uid="{00000000-0005-0000-0000-00000A000000}"/>
    <cellStyle name="Comma" xfId="27" builtinId="3"/>
    <cellStyle name="Comma 2" xfId="14" xr:uid="{00000000-0005-0000-0000-00000C000000}"/>
    <cellStyle name="Comma 2 2" xfId="160" xr:uid="{95B4E7C2-9953-4F49-9982-E33D5A41F71A}"/>
    <cellStyle name="Comma 3" xfId="166" xr:uid="{F13AC823-739B-449E-8780-0E7716F33D90}"/>
    <cellStyle name="Comma 3 2" xfId="20" xr:uid="{00000000-0005-0000-0000-00000D000000}"/>
    <cellStyle name="Comma 3 2 2" xfId="162" xr:uid="{1E0AD39A-2996-4853-A916-B0D71ECC147D}"/>
    <cellStyle name="Comma 5" xfId="17" xr:uid="{00000000-0005-0000-0000-00000E000000}"/>
    <cellStyle name="Comma 5 2" xfId="161" xr:uid="{121586F2-E2F5-4D7D-96CF-2476C20A1568}"/>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57" builtinId="9" hidden="1"/>
    <cellStyle name="Followed Hyperlink" xfId="155" builtinId="9" hidden="1"/>
    <cellStyle name="Followed Hyperlink" xfId="153" builtinId="9" hidden="1"/>
    <cellStyle name="Followed Hyperlink" xfId="151" builtinId="9" hidden="1"/>
    <cellStyle name="Followed Hyperlink" xfId="149" builtinId="9" hidden="1"/>
    <cellStyle name="Followed Hyperlink" xfId="147" builtinId="9" hidden="1"/>
    <cellStyle name="Followed Hyperlink" xfId="145" builtinId="9" hidden="1"/>
    <cellStyle name="Followed Hyperlink" xfId="143" builtinId="9" hidden="1"/>
    <cellStyle name="Followed Hyperlink" xfId="141" builtinId="9" hidden="1"/>
    <cellStyle name="Followed Hyperlink" xfId="139" builtinId="9" hidden="1"/>
    <cellStyle name="Followed Hyperlink" xfId="137" builtinId="9" hidden="1"/>
    <cellStyle name="Followed Hyperlink" xfId="135" builtinId="9" hidden="1"/>
    <cellStyle name="Followed Hyperlink" xfId="133" builtinId="9" hidden="1"/>
    <cellStyle name="Followed Hyperlink" xfId="131" builtinId="9" hidden="1"/>
    <cellStyle name="Followed Hyperlink" xfId="129" builtinId="9" hidden="1"/>
    <cellStyle name="Followed Hyperlink" xfId="127" builtinId="9" hidden="1"/>
    <cellStyle name="Followed Hyperlink" xfId="125" builtinId="9" hidden="1"/>
    <cellStyle name="Followed Hyperlink" xfId="123" builtinId="9" hidden="1"/>
    <cellStyle name="Followed Hyperlink" xfId="121" builtinId="9" hidden="1"/>
    <cellStyle name="Followed Hyperlink" xfId="119" builtinId="9" hidden="1"/>
    <cellStyle name="Followed Hyperlink" xfId="117" builtinId="9" hidden="1"/>
    <cellStyle name="Followed Hyperlink" xfId="115" builtinId="9" hidden="1"/>
    <cellStyle name="Followed Hyperlink" xfId="113" builtinId="9" hidden="1"/>
    <cellStyle name="Followed Hyperlink" xfId="111" builtinId="9" hidden="1"/>
    <cellStyle name="Followed Hyperlink" xfId="109" builtinId="9" hidden="1"/>
    <cellStyle name="Followed Hyperlink" xfId="107" builtinId="9" hidden="1"/>
    <cellStyle name="Followed Hyperlink" xfId="105" builtinId="9" hidden="1"/>
    <cellStyle name="Followed Hyperlink" xfId="103" builtinId="9" hidden="1"/>
    <cellStyle name="Followed Hyperlink" xfId="101" builtinId="9" hidden="1"/>
    <cellStyle name="Followed Hyperlink" xfId="99" builtinId="9" hidden="1"/>
    <cellStyle name="Followed Hyperlink" xfId="97" builtinId="9" hidden="1"/>
    <cellStyle name="Followed Hyperlink" xfId="95" builtinId="9" hidden="1"/>
    <cellStyle name="Followed Hyperlink" xfId="93" builtinId="9" hidden="1"/>
    <cellStyle name="Followed Hyperlink" xfId="91" builtinId="9" hidden="1"/>
    <cellStyle name="Followed Hyperlink" xfId="89" builtinId="9" hidden="1"/>
    <cellStyle name="Followed Hyperlink" xfId="87" builtinId="9" hidden="1"/>
    <cellStyle name="Followed Hyperlink" xfId="85" builtinId="9" hidden="1"/>
    <cellStyle name="Followed Hyperlink" xfId="83" builtinId="9" hidden="1"/>
    <cellStyle name="Followed Hyperlink" xfId="81" builtinId="9" hidden="1"/>
    <cellStyle name="Followed Hyperlink" xfId="79" builtinId="9" hidden="1"/>
    <cellStyle name="Followed Hyperlink" xfId="46" builtinId="9" hidden="1"/>
    <cellStyle name="Followed Hyperlink" xfId="47"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4" builtinId="9" hidden="1"/>
    <cellStyle name="Followed Hyperlink" xfId="55" builtinId="9" hidden="1"/>
    <cellStyle name="Followed Hyperlink" xfId="56" builtinId="9" hidden="1"/>
    <cellStyle name="Followed Hyperlink" xfId="58" builtinId="9" hidden="1"/>
    <cellStyle name="Followed Hyperlink" xfId="59" builtinId="9" hidden="1"/>
    <cellStyle name="Followed Hyperlink" xfId="60" builtinId="9" hidden="1"/>
    <cellStyle name="Followed Hyperlink" xfId="62" builtinId="9" hidden="1"/>
    <cellStyle name="Followed Hyperlink" xfId="63" builtinId="9" hidden="1"/>
    <cellStyle name="Followed Hyperlink" xfId="64" builtinId="9" hidden="1"/>
    <cellStyle name="Followed Hyperlink" xfId="66" builtinId="9" hidden="1"/>
    <cellStyle name="Followed Hyperlink" xfId="67" builtinId="9" hidden="1"/>
    <cellStyle name="Followed Hyperlink" xfId="68" builtinId="9" hidden="1"/>
    <cellStyle name="Followed Hyperlink" xfId="70" builtinId="9" hidden="1"/>
    <cellStyle name="Followed Hyperlink" xfId="71" builtinId="9" hidden="1"/>
    <cellStyle name="Followed Hyperlink" xfId="72" builtinId="9" hidden="1"/>
    <cellStyle name="Followed Hyperlink" xfId="74" builtinId="9" hidden="1"/>
    <cellStyle name="Followed Hyperlink" xfId="75" builtinId="9" hidden="1"/>
    <cellStyle name="Followed Hyperlink" xfId="76" builtinId="9" hidden="1"/>
    <cellStyle name="Followed Hyperlink" xfId="78" builtinId="9" hidden="1"/>
    <cellStyle name="Followed Hyperlink" xfId="77" builtinId="9" hidden="1"/>
    <cellStyle name="Followed Hyperlink" xfId="73" builtinId="9" hidden="1"/>
    <cellStyle name="Followed Hyperlink" xfId="69" builtinId="9" hidden="1"/>
    <cellStyle name="Followed Hyperlink" xfId="65" builtinId="9" hidden="1"/>
    <cellStyle name="Followed Hyperlink" xfId="61" builtinId="9" hidden="1"/>
    <cellStyle name="Followed Hyperlink" xfId="57" builtinId="9" hidden="1"/>
    <cellStyle name="Followed Hyperlink" xfId="53" builtinId="9" hidden="1"/>
    <cellStyle name="Followed Hyperlink" xfId="49" builtinId="9" hidden="1"/>
    <cellStyle name="Followed Hyperlink" xfId="4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2" builtinId="9" hidden="1"/>
    <cellStyle name="Followed Hyperlink" xfId="43" builtinId="9" hidden="1"/>
    <cellStyle name="Followed Hyperlink" xfId="44" builtinId="9" hidden="1"/>
    <cellStyle name="Followed Hyperlink" xfId="4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0" builtinId="9" hidden="1"/>
    <cellStyle name="Followed Hyperlink" xfId="31" builtinId="9" hidden="1"/>
    <cellStyle name="Followed Hyperlink" xfId="29" builtinId="9" hidden="1"/>
    <cellStyle name="Hyperlink" xfId="1" builtinId="8"/>
    <cellStyle name="Hyperlink 2" xfId="15" xr:uid="{00000000-0005-0000-0000-000092000000}"/>
    <cellStyle name="Normal" xfId="0" builtinId="0"/>
    <cellStyle name="Normal 2" xfId="2" xr:uid="{00000000-0005-0000-0000-000094000000}"/>
    <cellStyle name="Normal 2 2" xfId="159" xr:uid="{00000000-0005-0000-0000-000095000000}"/>
    <cellStyle name="Normal 3" xfId="18" xr:uid="{00000000-0005-0000-0000-000096000000}"/>
    <cellStyle name="Normal 3 2" xfId="19" xr:uid="{00000000-0005-0000-0000-000097000000}"/>
    <cellStyle name="Normal 33" xfId="23" xr:uid="{00000000-0005-0000-0000-000098000000}"/>
    <cellStyle name="Normal 33 2" xfId="164" xr:uid="{FA668A35-CFF0-4BFE-B575-1967BF5B8A19}"/>
    <cellStyle name="Normal 8" xfId="21" xr:uid="{00000000-0005-0000-0000-000099000000}"/>
    <cellStyle name="Normal 8 2" xfId="163" xr:uid="{52644549-F40F-4A61-B92C-9B3B37DE79D5}"/>
    <cellStyle name="Normal 9 10" xfId="25" xr:uid="{00000000-0005-0000-0000-00009A000000}"/>
    <cellStyle name="Normal 9 10 2" xfId="165" xr:uid="{E2B1B586-0D52-4130-AC23-3EF4B5129D54}"/>
    <cellStyle name="Per cent" xfId="28" builtinId="5"/>
    <cellStyle name="Percent 2" xfId="16" xr:uid="{00000000-0005-0000-0000-00009C000000}"/>
    <cellStyle name="Percent 2 10" xfId="26" xr:uid="{00000000-0005-0000-0000-00009D000000}"/>
    <cellStyle name="Percent 3" xfId="22" xr:uid="{00000000-0005-0000-0000-00009E000000}"/>
    <cellStyle name="Percent 8" xfId="24" xr:uid="{00000000-0005-0000-0000-00009F000000}"/>
  </cellStyles>
  <dxfs count="412">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ont>
        <color theme="8" tint="-0.24994659260841701"/>
      </font>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9"/>
        </patternFill>
      </fill>
    </dxf>
    <dxf>
      <fill>
        <patternFill>
          <bgColor theme="9"/>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9"/>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onnections" Target="connections.xml"/><Relationship Id="rId38"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GVA!$C$17</c:f>
              <c:strCache>
                <c:ptCount val="1"/>
                <c:pt idx="0">
                  <c:v>Turbine</c:v>
                </c:pt>
              </c:strCache>
            </c:strRef>
          </c:tx>
          <c:spPr>
            <a:solidFill>
              <a:schemeClr val="accent1"/>
            </a:solidFill>
            <a:ln>
              <a:noFill/>
            </a:ln>
            <a:effectLst/>
          </c:spPr>
          <c:cat>
            <c:numRef>
              <c:f>GVA!$E$16:$L$16</c:f>
              <c:numCache>
                <c:formatCode>General</c:formatCode>
                <c:ptCount val="8"/>
                <c:pt idx="0">
                  <c:v>2015</c:v>
                </c:pt>
                <c:pt idx="1">
                  <c:v>2020</c:v>
                </c:pt>
                <c:pt idx="2">
                  <c:v>2025</c:v>
                </c:pt>
                <c:pt idx="3">
                  <c:v>2030</c:v>
                </c:pt>
                <c:pt idx="4">
                  <c:v>2035</c:v>
                </c:pt>
                <c:pt idx="5">
                  <c:v>2040</c:v>
                </c:pt>
                <c:pt idx="6">
                  <c:v>2045</c:v>
                </c:pt>
                <c:pt idx="7">
                  <c:v>2050</c:v>
                </c:pt>
              </c:numCache>
            </c:numRef>
          </c:cat>
          <c:val>
            <c:numRef>
              <c:f>GVA!$I$24:$P$24</c:f>
              <c:numCache>
                <c:formatCode>_(* #,##0_);_(* \(#,##0\);_(* "-"??_);_(@_)</c:formatCode>
                <c:ptCount val="8"/>
                <c:pt idx="0">
                  <c:v>3.6980196732548301</c:v>
                </c:pt>
                <c:pt idx="1">
                  <c:v>56.923855174571045</c:v>
                </c:pt>
                <c:pt idx="2">
                  <c:v>112.28490090489439</c:v>
                </c:pt>
                <c:pt idx="3">
                  <c:v>257.47886986940875</c:v>
                </c:pt>
                <c:pt idx="4">
                  <c:v>299.97292519271701</c:v>
                </c:pt>
                <c:pt idx="5">
                  <c:v>419.82532321834935</c:v>
                </c:pt>
                <c:pt idx="6">
                  <c:v>443.58738959957117</c:v>
                </c:pt>
                <c:pt idx="7">
                  <c:v>517.09602947322196</c:v>
                </c:pt>
              </c:numCache>
            </c:numRef>
          </c:val>
          <c:extLst>
            <c:ext xmlns:c16="http://schemas.microsoft.com/office/drawing/2014/chart" uri="{C3380CC4-5D6E-409C-BE32-E72D297353CC}">
              <c16:uniqueId val="{00000000-CA72-8F4F-8A4F-55DD8913A40F}"/>
            </c:ext>
          </c:extLst>
        </c:ser>
        <c:ser>
          <c:idx val="1"/>
          <c:order val="1"/>
          <c:tx>
            <c:strRef>
              <c:f>GVA!$C$18</c:f>
              <c:strCache>
                <c:ptCount val="1"/>
                <c:pt idx="0">
                  <c:v>Foundations</c:v>
                </c:pt>
              </c:strCache>
            </c:strRef>
          </c:tx>
          <c:spPr>
            <a:solidFill>
              <a:schemeClr val="accent2"/>
            </a:solidFill>
            <a:ln>
              <a:noFill/>
            </a:ln>
            <a:effectLst/>
          </c:spPr>
          <c:cat>
            <c:numRef>
              <c:f>GVA!$E$16:$L$16</c:f>
              <c:numCache>
                <c:formatCode>General</c:formatCode>
                <c:ptCount val="8"/>
                <c:pt idx="0">
                  <c:v>2015</c:v>
                </c:pt>
                <c:pt idx="1">
                  <c:v>2020</c:v>
                </c:pt>
                <c:pt idx="2">
                  <c:v>2025</c:v>
                </c:pt>
                <c:pt idx="3">
                  <c:v>2030</c:v>
                </c:pt>
                <c:pt idx="4">
                  <c:v>2035</c:v>
                </c:pt>
                <c:pt idx="5">
                  <c:v>2040</c:v>
                </c:pt>
                <c:pt idx="6">
                  <c:v>2045</c:v>
                </c:pt>
                <c:pt idx="7">
                  <c:v>2050</c:v>
                </c:pt>
              </c:numCache>
            </c:numRef>
          </c:cat>
          <c:val>
            <c:numRef>
              <c:f>GVA!$I$25:$P$25</c:f>
              <c:numCache>
                <c:formatCode>_(* #,##0_);_(* \(#,##0\);_(* "-"??_);_(@_)</c:formatCode>
                <c:ptCount val="8"/>
                <c:pt idx="0">
                  <c:v>3.7071580056575635</c:v>
                </c:pt>
                <c:pt idx="1">
                  <c:v>54.322099832024449</c:v>
                </c:pt>
                <c:pt idx="2">
                  <c:v>105.40783087699832</c:v>
                </c:pt>
                <c:pt idx="3">
                  <c:v>171.14758832065567</c:v>
                </c:pt>
                <c:pt idx="4">
                  <c:v>197.06370703537425</c:v>
                </c:pt>
                <c:pt idx="5">
                  <c:v>292.63773932501186</c:v>
                </c:pt>
                <c:pt idx="6">
                  <c:v>313.9170797963472</c:v>
                </c:pt>
                <c:pt idx="7">
                  <c:v>328.35752838977976</c:v>
                </c:pt>
              </c:numCache>
            </c:numRef>
          </c:val>
          <c:extLst>
            <c:ext xmlns:c16="http://schemas.microsoft.com/office/drawing/2014/chart" uri="{C3380CC4-5D6E-409C-BE32-E72D297353CC}">
              <c16:uniqueId val="{00000001-CA72-8F4F-8A4F-55DD8913A40F}"/>
            </c:ext>
          </c:extLst>
        </c:ser>
        <c:ser>
          <c:idx val="3"/>
          <c:order val="2"/>
          <c:tx>
            <c:strRef>
              <c:f>GVA!$C$19</c:f>
              <c:strCache>
                <c:ptCount val="1"/>
                <c:pt idx="0">
                  <c:v>Balance of system</c:v>
                </c:pt>
              </c:strCache>
            </c:strRef>
          </c:tx>
          <c:spPr>
            <a:solidFill>
              <a:schemeClr val="accent4"/>
            </a:solidFill>
            <a:ln>
              <a:noFill/>
            </a:ln>
            <a:effectLst/>
          </c:spPr>
          <c:cat>
            <c:numRef>
              <c:f>GVA!$E$16:$L$16</c:f>
              <c:numCache>
                <c:formatCode>General</c:formatCode>
                <c:ptCount val="8"/>
                <c:pt idx="0">
                  <c:v>2015</c:v>
                </c:pt>
                <c:pt idx="1">
                  <c:v>2020</c:v>
                </c:pt>
                <c:pt idx="2">
                  <c:v>2025</c:v>
                </c:pt>
                <c:pt idx="3">
                  <c:v>2030</c:v>
                </c:pt>
                <c:pt idx="4">
                  <c:v>2035</c:v>
                </c:pt>
                <c:pt idx="5">
                  <c:v>2040</c:v>
                </c:pt>
                <c:pt idx="6">
                  <c:v>2045</c:v>
                </c:pt>
                <c:pt idx="7">
                  <c:v>2050</c:v>
                </c:pt>
              </c:numCache>
            </c:numRef>
          </c:cat>
          <c:val>
            <c:numRef>
              <c:f>GVA!$I$26:$P$26</c:f>
              <c:numCache>
                <c:formatCode>_(* #,##0_);_(* \(#,##0\);_(* "-"??_);_(@_)</c:formatCode>
                <c:ptCount val="8"/>
                <c:pt idx="0">
                  <c:v>1.3041983417286369</c:v>
                </c:pt>
                <c:pt idx="1">
                  <c:v>18.473802163930372</c:v>
                </c:pt>
                <c:pt idx="2">
                  <c:v>36.857111504531794</c:v>
                </c:pt>
                <c:pt idx="3">
                  <c:v>70.103408036524527</c:v>
                </c:pt>
                <c:pt idx="4">
                  <c:v>81.233313068626003</c:v>
                </c:pt>
                <c:pt idx="5">
                  <c:v>116.86872401450202</c:v>
                </c:pt>
                <c:pt idx="6">
                  <c:v>124.3738855937446</c:v>
                </c:pt>
                <c:pt idx="7">
                  <c:v>137.8891986657043</c:v>
                </c:pt>
              </c:numCache>
            </c:numRef>
          </c:val>
          <c:extLst>
            <c:ext xmlns:c16="http://schemas.microsoft.com/office/drawing/2014/chart" uri="{C3380CC4-5D6E-409C-BE32-E72D297353CC}">
              <c16:uniqueId val="{00000003-CA72-8F4F-8A4F-55DD8913A40F}"/>
            </c:ext>
          </c:extLst>
        </c:ser>
        <c:ser>
          <c:idx val="4"/>
          <c:order val="3"/>
          <c:tx>
            <c:strRef>
              <c:f>GVA!$C$20</c:f>
              <c:strCache>
                <c:ptCount val="1"/>
                <c:pt idx="0">
                  <c:v>Installation</c:v>
                </c:pt>
              </c:strCache>
            </c:strRef>
          </c:tx>
          <c:spPr>
            <a:solidFill>
              <a:schemeClr val="accent5"/>
            </a:solidFill>
            <a:ln>
              <a:noFill/>
            </a:ln>
            <a:effectLst/>
          </c:spPr>
          <c:cat>
            <c:numRef>
              <c:f>GVA!$E$16:$L$16</c:f>
              <c:numCache>
                <c:formatCode>General</c:formatCode>
                <c:ptCount val="8"/>
                <c:pt idx="0">
                  <c:v>2015</c:v>
                </c:pt>
                <c:pt idx="1">
                  <c:v>2020</c:v>
                </c:pt>
                <c:pt idx="2">
                  <c:v>2025</c:v>
                </c:pt>
                <c:pt idx="3">
                  <c:v>2030</c:v>
                </c:pt>
                <c:pt idx="4">
                  <c:v>2035</c:v>
                </c:pt>
                <c:pt idx="5">
                  <c:v>2040</c:v>
                </c:pt>
                <c:pt idx="6">
                  <c:v>2045</c:v>
                </c:pt>
                <c:pt idx="7">
                  <c:v>2050</c:v>
                </c:pt>
              </c:numCache>
            </c:numRef>
          </c:cat>
          <c:val>
            <c:numRef>
              <c:f>GVA!$I$27:$P$27</c:f>
              <c:numCache>
                <c:formatCode>_(* #,##0_);_(* \(#,##0\);_(* "-"??_);_(@_)</c:formatCode>
                <c:ptCount val="8"/>
                <c:pt idx="0">
                  <c:v>3.2157678203559197</c:v>
                </c:pt>
                <c:pt idx="1">
                  <c:v>47.121611840496804</c:v>
                </c:pt>
                <c:pt idx="2">
                  <c:v>91.435841156612739</c:v>
                </c:pt>
                <c:pt idx="3">
                  <c:v>148.46168040670395</c:v>
                </c:pt>
                <c:pt idx="4">
                  <c:v>170.94257290282329</c:v>
                </c:pt>
                <c:pt idx="5">
                  <c:v>253.84810242965514</c:v>
                </c:pt>
                <c:pt idx="6">
                  <c:v>272.30682963299688</c:v>
                </c:pt>
                <c:pt idx="7">
                  <c:v>284.83317186804481</c:v>
                </c:pt>
              </c:numCache>
            </c:numRef>
          </c:val>
          <c:extLst>
            <c:ext xmlns:c16="http://schemas.microsoft.com/office/drawing/2014/chart" uri="{C3380CC4-5D6E-409C-BE32-E72D297353CC}">
              <c16:uniqueId val="{00000004-CA72-8F4F-8A4F-55DD8913A40F}"/>
            </c:ext>
          </c:extLst>
        </c:ser>
        <c:ser>
          <c:idx val="6"/>
          <c:order val="4"/>
          <c:tx>
            <c:strRef>
              <c:f>GVA!$C$21</c:f>
              <c:strCache>
                <c:ptCount val="1"/>
                <c:pt idx="0">
                  <c:v>O&amp;M </c:v>
                </c:pt>
              </c:strCache>
            </c:strRef>
          </c:tx>
          <c:spPr>
            <a:solidFill>
              <a:schemeClr val="accent3"/>
            </a:solidFill>
            <a:ln>
              <a:noFill/>
            </a:ln>
            <a:effectLst/>
          </c:spPr>
          <c:cat>
            <c:numRef>
              <c:f>GVA!$E$16:$L$16</c:f>
              <c:numCache>
                <c:formatCode>General</c:formatCode>
                <c:ptCount val="8"/>
                <c:pt idx="0">
                  <c:v>2015</c:v>
                </c:pt>
                <c:pt idx="1">
                  <c:v>2020</c:v>
                </c:pt>
                <c:pt idx="2">
                  <c:v>2025</c:v>
                </c:pt>
                <c:pt idx="3">
                  <c:v>2030</c:v>
                </c:pt>
                <c:pt idx="4">
                  <c:v>2035</c:v>
                </c:pt>
                <c:pt idx="5">
                  <c:v>2040</c:v>
                </c:pt>
                <c:pt idx="6">
                  <c:v>2045</c:v>
                </c:pt>
                <c:pt idx="7">
                  <c:v>2050</c:v>
                </c:pt>
              </c:numCache>
            </c:numRef>
          </c:cat>
          <c:val>
            <c:numRef>
              <c:f>GVA!$I$28:$P$28</c:f>
              <c:numCache>
                <c:formatCode>_(* #,##0_);_(* \(#,##0\);_(* "-"??_);_(@_)</c:formatCode>
                <c:ptCount val="8"/>
                <c:pt idx="0">
                  <c:v>2.1876775632972532</c:v>
                </c:pt>
                <c:pt idx="1">
                  <c:v>41.697823908488068</c:v>
                </c:pt>
                <c:pt idx="2">
                  <c:v>145.27018404243634</c:v>
                </c:pt>
                <c:pt idx="3">
                  <c:v>306.82296527633622</c:v>
                </c:pt>
                <c:pt idx="4">
                  <c:v>473.17246125356633</c:v>
                </c:pt>
                <c:pt idx="5">
                  <c:v>836.33050999901673</c:v>
                </c:pt>
                <c:pt idx="6">
                  <c:v>944.09787176031205</c:v>
                </c:pt>
                <c:pt idx="7">
                  <c:v>1119.608913592426</c:v>
                </c:pt>
              </c:numCache>
            </c:numRef>
          </c:val>
          <c:extLst>
            <c:ext xmlns:c16="http://schemas.microsoft.com/office/drawing/2014/chart" uri="{C3380CC4-5D6E-409C-BE32-E72D297353CC}">
              <c16:uniqueId val="{00000006-CA72-8F4F-8A4F-55DD8913A40F}"/>
            </c:ext>
          </c:extLst>
        </c:ser>
        <c:dLbls>
          <c:showLegendKey val="0"/>
          <c:showVal val="0"/>
          <c:showCatName val="0"/>
          <c:showSerName val="0"/>
          <c:showPercent val="0"/>
          <c:showBubbleSize val="0"/>
        </c:dLbls>
        <c:axId val="1494113984"/>
        <c:axId val="1494115664"/>
      </c:areaChart>
      <c:catAx>
        <c:axId val="1494113984"/>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4115664"/>
        <c:crosses val="autoZero"/>
        <c:auto val="1"/>
        <c:lblAlgn val="ctr"/>
        <c:lblOffset val="100"/>
        <c:noMultiLvlLbl val="0"/>
      </c:catAx>
      <c:valAx>
        <c:axId val="1494115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a:t> GVA in £millions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41139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7084755386528"/>
          <c:y val="4.7546044770408913E-2"/>
          <c:w val="0.83118640114554287"/>
          <c:h val="0.82181475132267678"/>
        </c:manualLayout>
      </c:layout>
      <c:areaChart>
        <c:grouping val="stacked"/>
        <c:varyColors val="0"/>
        <c:ser>
          <c:idx val="0"/>
          <c:order val="0"/>
          <c:tx>
            <c:strRef>
              <c:f>'Jobs supported'!$C$18</c:f>
              <c:strCache>
                <c:ptCount val="1"/>
                <c:pt idx="0">
                  <c:v>Turbine</c:v>
                </c:pt>
              </c:strCache>
            </c:strRef>
          </c:tx>
          <c:spPr>
            <a:solidFill>
              <a:schemeClr val="accent1"/>
            </a:solidFill>
            <a:ln>
              <a:noFill/>
            </a:ln>
            <a:effectLst/>
          </c:spPr>
          <c:cat>
            <c:numRef>
              <c:f>'Jobs supported'!$E$17:$L$17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supported'!$E$18:$L$18</c:f>
              <c:numCache>
                <c:formatCode>_-* #,##0_-;\-* #,##0_-;_-* "-"??_-;_-@_-</c:formatCode>
                <c:ptCount val="8"/>
                <c:pt idx="0">
                  <c:v>65.357399030687233</c:v>
                </c:pt>
                <c:pt idx="1">
                  <c:v>912.34740970616394</c:v>
                </c:pt>
                <c:pt idx="2">
                  <c:v>1729.3569269423517</c:v>
                </c:pt>
                <c:pt idx="3">
                  <c:v>3810.6776381578666</c:v>
                </c:pt>
                <c:pt idx="4">
                  <c:v>4266.1882459321441</c:v>
                </c:pt>
                <c:pt idx="5">
                  <c:v>5737.5162309596335</c:v>
                </c:pt>
                <c:pt idx="6">
                  <c:v>5825.4814945968446</c:v>
                </c:pt>
                <c:pt idx="7">
                  <c:v>6525.6109503912885</c:v>
                </c:pt>
              </c:numCache>
            </c:numRef>
          </c:val>
          <c:extLst>
            <c:ext xmlns:c16="http://schemas.microsoft.com/office/drawing/2014/chart" uri="{C3380CC4-5D6E-409C-BE32-E72D297353CC}">
              <c16:uniqueId val="{00000000-8664-7742-B214-20BBA72D42E5}"/>
            </c:ext>
          </c:extLst>
        </c:ser>
        <c:ser>
          <c:idx val="1"/>
          <c:order val="1"/>
          <c:tx>
            <c:strRef>
              <c:f>'Jobs supported'!$C$19</c:f>
              <c:strCache>
                <c:ptCount val="1"/>
                <c:pt idx="0">
                  <c:v>Foundations</c:v>
                </c:pt>
              </c:strCache>
            </c:strRef>
          </c:tx>
          <c:spPr>
            <a:solidFill>
              <a:schemeClr val="accent2"/>
            </a:solidFill>
            <a:ln>
              <a:noFill/>
            </a:ln>
            <a:effectLst/>
          </c:spPr>
          <c:cat>
            <c:numRef>
              <c:f>'Jobs supported'!$E$17:$L$17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supported'!$E$19:$L$19</c:f>
              <c:numCache>
                <c:formatCode>_-* #,##0_-;\-* #,##0_-;_-* "-"??_-;_-@_-</c:formatCode>
                <c:ptCount val="8"/>
                <c:pt idx="0">
                  <c:v>66.123680180821268</c:v>
                </c:pt>
                <c:pt idx="1">
                  <c:v>878.68429482808847</c:v>
                </c:pt>
                <c:pt idx="2">
                  <c:v>1638.4248661027518</c:v>
                </c:pt>
                <c:pt idx="3">
                  <c:v>2556.3586110151218</c:v>
                </c:pt>
                <c:pt idx="4">
                  <c:v>2828.4921731354848</c:v>
                </c:pt>
                <c:pt idx="5">
                  <c:v>4036.2309263350548</c:v>
                </c:pt>
                <c:pt idx="6">
                  <c:v>4160.6190932278478</c:v>
                </c:pt>
                <c:pt idx="7">
                  <c:v>4182.0317866655159</c:v>
                </c:pt>
              </c:numCache>
            </c:numRef>
          </c:val>
          <c:extLst>
            <c:ext xmlns:c16="http://schemas.microsoft.com/office/drawing/2014/chart" uri="{C3380CC4-5D6E-409C-BE32-E72D297353CC}">
              <c16:uniqueId val="{00000001-8664-7742-B214-20BBA72D42E5}"/>
            </c:ext>
          </c:extLst>
        </c:ser>
        <c:ser>
          <c:idx val="3"/>
          <c:order val="2"/>
          <c:tx>
            <c:strRef>
              <c:f>'Jobs supported'!$C$20</c:f>
              <c:strCache>
                <c:ptCount val="1"/>
                <c:pt idx="0">
                  <c:v>Balance of system</c:v>
                </c:pt>
              </c:strCache>
            </c:strRef>
          </c:tx>
          <c:spPr>
            <a:solidFill>
              <a:schemeClr val="accent4"/>
            </a:solidFill>
            <a:ln>
              <a:noFill/>
            </a:ln>
            <a:effectLst/>
          </c:spPr>
          <c:cat>
            <c:numRef>
              <c:f>'Jobs supported'!$E$17:$L$17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supported'!$E$20:$L$20</c:f>
              <c:numCache>
                <c:formatCode>_-* #,##0_-;\-* #,##0_-;_-* "-"??_-;_-@_-</c:formatCode>
                <c:ptCount val="8"/>
                <c:pt idx="0">
                  <c:v>27.58378941080279</c:v>
                </c:pt>
                <c:pt idx="1">
                  <c:v>354.32922001452454</c:v>
                </c:pt>
                <c:pt idx="2">
                  <c:v>679.31204582266332</c:v>
                </c:pt>
                <c:pt idx="3">
                  <c:v>1241.6079655018304</c:v>
                </c:pt>
                <c:pt idx="4">
                  <c:v>1382.5373226638458</c:v>
                </c:pt>
                <c:pt idx="5">
                  <c:v>1911.3417220183196</c:v>
                </c:pt>
                <c:pt idx="6">
                  <c:v>1954.6390885319167</c:v>
                </c:pt>
                <c:pt idx="7">
                  <c:v>2082.4038796191871</c:v>
                </c:pt>
              </c:numCache>
            </c:numRef>
          </c:val>
          <c:extLst>
            <c:ext xmlns:c16="http://schemas.microsoft.com/office/drawing/2014/chart" uri="{C3380CC4-5D6E-409C-BE32-E72D297353CC}">
              <c16:uniqueId val="{00000003-8664-7742-B214-20BBA72D42E5}"/>
            </c:ext>
          </c:extLst>
        </c:ser>
        <c:ser>
          <c:idx val="4"/>
          <c:order val="3"/>
          <c:tx>
            <c:strRef>
              <c:f>'Jobs supported'!$C$21</c:f>
              <c:strCache>
                <c:ptCount val="1"/>
                <c:pt idx="0">
                  <c:v>Installation</c:v>
                </c:pt>
              </c:strCache>
            </c:strRef>
          </c:tx>
          <c:spPr>
            <a:solidFill>
              <a:schemeClr val="accent5"/>
            </a:solidFill>
            <a:ln>
              <a:noFill/>
            </a:ln>
            <a:effectLst/>
          </c:spPr>
          <c:cat>
            <c:numRef>
              <c:f>'Jobs supported'!$E$17:$L$17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supported'!$E$21:$L$21</c:f>
              <c:numCache>
                <c:formatCode>_-* #,##0_-;\-* #,##0_-;_-* "-"??_-;_-@_-</c:formatCode>
                <c:ptCount val="8"/>
                <c:pt idx="0">
                  <c:v>32.440559885763051</c:v>
                </c:pt>
                <c:pt idx="1">
                  <c:v>431.08626756860053</c:v>
                </c:pt>
                <c:pt idx="2">
                  <c:v>803.81823639855179</c:v>
                </c:pt>
                <c:pt idx="3">
                  <c:v>1254.1604517979524</c:v>
                </c:pt>
                <c:pt idx="4">
                  <c:v>1387.6703395529935</c:v>
                </c:pt>
                <c:pt idx="5">
                  <c:v>1980.1921296649002</c:v>
                </c:pt>
                <c:pt idx="6">
                  <c:v>2041.2174955569867</c:v>
                </c:pt>
                <c:pt idx="7">
                  <c:v>2051.722654402965</c:v>
                </c:pt>
              </c:numCache>
            </c:numRef>
          </c:val>
          <c:extLst>
            <c:ext xmlns:c16="http://schemas.microsoft.com/office/drawing/2014/chart" uri="{C3380CC4-5D6E-409C-BE32-E72D297353CC}">
              <c16:uniqueId val="{00000004-8664-7742-B214-20BBA72D42E5}"/>
            </c:ext>
          </c:extLst>
        </c:ser>
        <c:ser>
          <c:idx val="2"/>
          <c:order val="4"/>
          <c:tx>
            <c:strRef>
              <c:f>'Jobs supported'!$C$22</c:f>
              <c:strCache>
                <c:ptCount val="1"/>
                <c:pt idx="0">
                  <c:v>O&amp;M </c:v>
                </c:pt>
              </c:strCache>
            </c:strRef>
          </c:tx>
          <c:spPr>
            <a:solidFill>
              <a:schemeClr val="accent3"/>
            </a:solidFill>
            <a:ln>
              <a:noFill/>
            </a:ln>
            <a:effectLst/>
          </c:spPr>
          <c:cat>
            <c:numRef>
              <c:f>'Jobs supported'!$E$17:$L$17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supported'!$E$22:$L$22</c:f>
              <c:numCache>
                <c:formatCode>_-* #,##0_-;\-* #,##0_-;_-* "-"??_-;_-@_-</c:formatCode>
                <c:ptCount val="8"/>
                <c:pt idx="0">
                  <c:v>15.455107169995756</c:v>
                </c:pt>
                <c:pt idx="1">
                  <c:v>267.14219746567267</c:v>
                </c:pt>
                <c:pt idx="2">
                  <c:v>894.34056422265871</c:v>
                </c:pt>
                <c:pt idx="3">
                  <c:v>1815.1463423477992</c:v>
                </c:pt>
                <c:pt idx="4">
                  <c:v>2689.9275448831368</c:v>
                </c:pt>
                <c:pt idx="5">
                  <c:v>4568.7395548393979</c:v>
                </c:pt>
                <c:pt idx="6">
                  <c:v>4956.017360507577</c:v>
                </c:pt>
                <c:pt idx="7">
                  <c:v>5647.8023165990326</c:v>
                </c:pt>
              </c:numCache>
            </c:numRef>
          </c:val>
          <c:extLst>
            <c:ext xmlns:c16="http://schemas.microsoft.com/office/drawing/2014/chart" uri="{C3380CC4-5D6E-409C-BE32-E72D297353CC}">
              <c16:uniqueId val="{00000000-6877-0F4C-95AF-0CA3F258FD62}"/>
            </c:ext>
          </c:extLst>
        </c:ser>
        <c:dLbls>
          <c:showLegendKey val="0"/>
          <c:showVal val="0"/>
          <c:showCatName val="0"/>
          <c:showSerName val="0"/>
          <c:showPercent val="0"/>
          <c:showBubbleSize val="0"/>
        </c:dLbls>
        <c:axId val="1483753952"/>
        <c:axId val="1483755632"/>
      </c:areaChart>
      <c:catAx>
        <c:axId val="148375395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3755632"/>
        <c:crosses val="autoZero"/>
        <c:auto val="1"/>
        <c:lblAlgn val="ctr"/>
        <c:lblOffset val="100"/>
        <c:noMultiLvlLbl val="0"/>
      </c:catAx>
      <c:valAx>
        <c:axId val="148375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a:t> Number of jobs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w="12700" cap="sq">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837539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'GVA (2)'!$C$17</c:f>
              <c:strCache>
                <c:ptCount val="1"/>
                <c:pt idx="0">
                  <c:v>Turbine</c:v>
                </c:pt>
              </c:strCache>
            </c:strRef>
          </c:tx>
          <c:spPr>
            <a:solidFill>
              <a:schemeClr val="accent1"/>
            </a:solidFill>
            <a:ln>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(2)'!$F$24:$M$24</c:f>
              <c:numCache>
                <c:formatCode>_(* #,##0_);_(* \(#,##0\);_(* "-"??_);_(@_)</c:formatCode>
                <c:ptCount val="8"/>
                <c:pt idx="0">
                  <c:v>62.354970886256197</c:v>
                </c:pt>
                <c:pt idx="1">
                  <c:v>62.696169095237828</c:v>
                </c:pt>
                <c:pt idx="2">
                  <c:v>113.73191054928736</c:v>
                </c:pt>
                <c:pt idx="3">
                  <c:v>247.4645872325946</c:v>
                </c:pt>
                <c:pt idx="4">
                  <c:v>181.9974379172894</c:v>
                </c:pt>
                <c:pt idx="5">
                  <c:v>215.31592211102188</c:v>
                </c:pt>
                <c:pt idx="6">
                  <c:v>282.33782795512451</c:v>
                </c:pt>
                <c:pt idx="7">
                  <c:v>401.3748376021947</c:v>
                </c:pt>
              </c:numCache>
            </c:numRef>
          </c:val>
          <c:extLst>
            <c:ext xmlns:c16="http://schemas.microsoft.com/office/drawing/2014/chart" uri="{C3380CC4-5D6E-409C-BE32-E72D297353CC}">
              <c16:uniqueId val="{00000000-44E9-4776-9E8C-343332B3A4B3}"/>
            </c:ext>
          </c:extLst>
        </c:ser>
        <c:ser>
          <c:idx val="1"/>
          <c:order val="1"/>
          <c:tx>
            <c:strRef>
              <c:f>'GVA (2)'!$C$18</c:f>
              <c:strCache>
                <c:ptCount val="1"/>
                <c:pt idx="0">
                  <c:v>Foundations</c:v>
                </c:pt>
              </c:strCache>
            </c:strRef>
          </c:tx>
          <c:spPr>
            <a:solidFill>
              <a:schemeClr val="accent2"/>
            </a:solidFill>
            <a:ln>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(2)'!$F$25:$M$25</c:f>
              <c:numCache>
                <c:formatCode>_(* #,##0_);_(* \(#,##0\);_(* "-"??_);_(@_)</c:formatCode>
                <c:ptCount val="8"/>
                <c:pt idx="0">
                  <c:v>56.509192365669662</c:v>
                </c:pt>
                <c:pt idx="1">
                  <c:v>56.818403242559285</c:v>
                </c:pt>
                <c:pt idx="2">
                  <c:v>103.06954393529166</c:v>
                </c:pt>
                <c:pt idx="3">
                  <c:v>224.26478217953883</c:v>
                </c:pt>
                <c:pt idx="4">
                  <c:v>164.93517811254353</c:v>
                </c:pt>
                <c:pt idx="5">
                  <c:v>195.13005441311356</c:v>
                </c:pt>
                <c:pt idx="6">
                  <c:v>255.86865658433155</c:v>
                </c:pt>
                <c:pt idx="7">
                  <c:v>363.7459465769889</c:v>
                </c:pt>
              </c:numCache>
            </c:numRef>
          </c:val>
          <c:extLst>
            <c:ext xmlns:c16="http://schemas.microsoft.com/office/drawing/2014/chart" uri="{C3380CC4-5D6E-409C-BE32-E72D297353CC}">
              <c16:uniqueId val="{00000001-44E9-4776-9E8C-343332B3A4B3}"/>
            </c:ext>
          </c:extLst>
        </c:ser>
        <c:ser>
          <c:idx val="3"/>
          <c:order val="2"/>
          <c:tx>
            <c:strRef>
              <c:f>'GVA (2)'!$C$19</c:f>
              <c:strCache>
                <c:ptCount val="1"/>
                <c:pt idx="0">
                  <c:v>Balance of system</c:v>
                </c:pt>
              </c:strCache>
            </c:strRef>
          </c:tx>
          <c:spPr>
            <a:solidFill>
              <a:schemeClr val="accent4"/>
            </a:solidFill>
            <a:ln>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(2)'!$F$26:$M$26</c:f>
              <c:numCache>
                <c:formatCode>_(* #,##0_);_(* \(#,##0\);_(* "-"??_);_(@_)</c:formatCode>
                <c:ptCount val="8"/>
                <c:pt idx="0">
                  <c:v>15.734887184578712</c:v>
                </c:pt>
                <c:pt idx="1">
                  <c:v>15.820986420126419</c:v>
                </c:pt>
                <c:pt idx="2">
                  <c:v>28.699536802671727</c:v>
                </c:pt>
                <c:pt idx="3">
                  <c:v>62.44614193447503</c:v>
                </c:pt>
                <c:pt idx="4">
                  <c:v>45.925915974440997</c:v>
                </c:pt>
                <c:pt idx="5">
                  <c:v>54.333627220203169</c:v>
                </c:pt>
                <c:pt idx="6">
                  <c:v>71.246186273050938</c:v>
                </c:pt>
                <c:pt idx="7">
                  <c:v>101.28443167617878</c:v>
                </c:pt>
              </c:numCache>
            </c:numRef>
          </c:val>
          <c:extLst>
            <c:ext xmlns:c16="http://schemas.microsoft.com/office/drawing/2014/chart" uri="{C3380CC4-5D6E-409C-BE32-E72D297353CC}">
              <c16:uniqueId val="{00000002-44E9-4776-9E8C-343332B3A4B3}"/>
            </c:ext>
          </c:extLst>
        </c:ser>
        <c:ser>
          <c:idx val="4"/>
          <c:order val="3"/>
          <c:tx>
            <c:strRef>
              <c:f>'GVA (2)'!$C$20</c:f>
              <c:strCache>
                <c:ptCount val="1"/>
                <c:pt idx="0">
                  <c:v>Installation</c:v>
                </c:pt>
              </c:strCache>
            </c:strRef>
          </c:tx>
          <c:spPr>
            <a:solidFill>
              <a:schemeClr val="accent5"/>
            </a:solidFill>
            <a:ln>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(2)'!$F$27:$M$27</c:f>
              <c:numCache>
                <c:formatCode>_(* #,##0_);_(* \(#,##0\);_(* "-"??_);_(@_)</c:formatCode>
                <c:ptCount val="8"/>
                <c:pt idx="0">
                  <c:v>61.273501859947693</c:v>
                </c:pt>
                <c:pt idx="1">
                  <c:v>53.502363674006475</c:v>
                </c:pt>
                <c:pt idx="2">
                  <c:v>93.775105850298431</c:v>
                </c:pt>
                <c:pt idx="3">
                  <c:v>198.50826391655451</c:v>
                </c:pt>
                <c:pt idx="4">
                  <c:v>145.9925876354379</c:v>
                </c:pt>
                <c:pt idx="5">
                  <c:v>172.71962170359905</c:v>
                </c:pt>
                <c:pt idx="6">
                  <c:v>226.48247449104312</c:v>
                </c:pt>
                <c:pt idx="7">
                  <c:v>321.97019817349513</c:v>
                </c:pt>
              </c:numCache>
            </c:numRef>
          </c:val>
          <c:extLst>
            <c:ext xmlns:c16="http://schemas.microsoft.com/office/drawing/2014/chart" uri="{C3380CC4-5D6E-409C-BE32-E72D297353CC}">
              <c16:uniqueId val="{00000003-44E9-4776-9E8C-343332B3A4B3}"/>
            </c:ext>
          </c:extLst>
        </c:ser>
        <c:ser>
          <c:idx val="6"/>
          <c:order val="4"/>
          <c:tx>
            <c:strRef>
              <c:f>'GVA (2)'!$C$21</c:f>
              <c:strCache>
                <c:ptCount val="1"/>
                <c:pt idx="0">
                  <c:v>O&amp;M </c:v>
                </c:pt>
              </c:strCache>
            </c:strRef>
          </c:tx>
          <c:spPr>
            <a:solidFill>
              <a:schemeClr val="accent3"/>
            </a:solidFill>
            <a:ln>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(2)'!$F$28:$M$28</c:f>
              <c:numCache>
                <c:formatCode>_(* #,##0_);_(* \(#,##0\);_(* "-"??_);_(@_)</c:formatCode>
                <c:ptCount val="8"/>
                <c:pt idx="0">
                  <c:v>140.2494426785361</c:v>
                </c:pt>
                <c:pt idx="1">
                  <c:v>202.52243364678603</c:v>
                </c:pt>
                <c:pt idx="2">
                  <c:v>367.25829138810349</c:v>
                </c:pt>
                <c:pt idx="3">
                  <c:v>689.56107992551631</c:v>
                </c:pt>
                <c:pt idx="4">
                  <c:v>835.57538099919191</c:v>
                </c:pt>
                <c:pt idx="5">
                  <c:v>1008.7720296491847</c:v>
                </c:pt>
                <c:pt idx="6">
                  <c:v>1219.7634951839148</c:v>
                </c:pt>
                <c:pt idx="7">
                  <c:v>1452.3961239711814</c:v>
                </c:pt>
              </c:numCache>
            </c:numRef>
          </c:val>
          <c:extLst>
            <c:ext xmlns:c16="http://schemas.microsoft.com/office/drawing/2014/chart" uri="{C3380CC4-5D6E-409C-BE32-E72D297353CC}">
              <c16:uniqueId val="{00000004-44E9-4776-9E8C-343332B3A4B3}"/>
            </c:ext>
          </c:extLst>
        </c:ser>
        <c:dLbls>
          <c:showLegendKey val="0"/>
          <c:showVal val="0"/>
          <c:showCatName val="0"/>
          <c:showSerName val="0"/>
          <c:showPercent val="0"/>
          <c:showBubbleSize val="0"/>
        </c:dLbls>
        <c:axId val="1494113984"/>
        <c:axId val="1494115664"/>
      </c:areaChart>
      <c:catAx>
        <c:axId val="1494113984"/>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4115664"/>
        <c:crosses val="autoZero"/>
        <c:auto val="1"/>
        <c:lblAlgn val="ctr"/>
        <c:lblOffset val="100"/>
        <c:noMultiLvlLbl val="0"/>
      </c:catAx>
      <c:valAx>
        <c:axId val="1494115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a:t> GVA in £millions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941139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9798228346456692"/>
          <c:y val="8.4188095238095242E-2"/>
          <c:w val="0.60743066491688535"/>
          <c:h val="0.7706468253968255"/>
        </c:manualLayout>
      </c:layout>
      <c:areaChart>
        <c:grouping val="stacked"/>
        <c:varyColors val="0"/>
        <c:ser>
          <c:idx val="0"/>
          <c:order val="0"/>
          <c:tx>
            <c:strRef>
              <c:f>'GVA (2)'!$E$31</c:f>
              <c:strCache>
                <c:ptCount val="1"/>
                <c:pt idx="0">
                  <c:v>Domestic</c:v>
                </c:pt>
              </c:strCache>
            </c:strRef>
          </c:tx>
          <c:spPr>
            <a:solidFill>
              <a:schemeClr val="bg2">
                <a:lumMod val="50000"/>
              </a:schemeClr>
            </a:solidFill>
            <a:ln w="25400">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(2)'!$F$31:$M$31</c:f>
              <c:numCache>
                <c:formatCode>_(* #,##0_);_(* \(#,##0\);_(* "-"??_);_(@_)</c:formatCode>
                <c:ptCount val="8"/>
                <c:pt idx="0">
                  <c:v>336.12199497498835</c:v>
                </c:pt>
                <c:pt idx="1">
                  <c:v>391.36035607871599</c:v>
                </c:pt>
                <c:pt idx="2">
                  <c:v>706.53438852565273</c:v>
                </c:pt>
                <c:pt idx="3">
                  <c:v>1422.2448551886791</c:v>
                </c:pt>
                <c:pt idx="4">
                  <c:v>1374.4265006389037</c:v>
                </c:pt>
                <c:pt idx="5">
                  <c:v>1646.2712550971223</c:v>
                </c:pt>
                <c:pt idx="6">
                  <c:v>2055.6986404874651</c:v>
                </c:pt>
                <c:pt idx="7">
                  <c:v>2640.7715380000391</c:v>
                </c:pt>
              </c:numCache>
            </c:numRef>
          </c:val>
          <c:extLst>
            <c:ext xmlns:c16="http://schemas.microsoft.com/office/drawing/2014/chart" uri="{C3380CC4-5D6E-409C-BE32-E72D297353CC}">
              <c16:uniqueId val="{00000001-DE40-4648-883C-6E22535BC078}"/>
            </c:ext>
          </c:extLst>
        </c:ser>
        <c:ser>
          <c:idx val="1"/>
          <c:order val="1"/>
          <c:tx>
            <c:strRef>
              <c:f>'GVA (2)'!$E$30</c:f>
              <c:strCache>
                <c:ptCount val="1"/>
                <c:pt idx="0">
                  <c:v>Export</c:v>
                </c:pt>
              </c:strCache>
            </c:strRef>
          </c:tx>
          <c:spPr>
            <a:solidFill>
              <a:srgbClr val="C00000"/>
            </a:solidFill>
            <a:ln w="25400">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(2)'!$F$30:$M$30</c:f>
              <c:numCache>
                <c:formatCode>_(* #,##0_);_(* \(#,##0\);_(* "-"??_);_(@_)</c:formatCode>
                <c:ptCount val="8"/>
                <c:pt idx="0">
                  <c:v>14.112821404294204</c:v>
                </c:pt>
                <c:pt idx="1">
                  <c:v>218.53919291951073</c:v>
                </c:pt>
                <c:pt idx="2">
                  <c:v>491.25586848547357</c:v>
                </c:pt>
                <c:pt idx="3">
                  <c:v>954.01451190962916</c:v>
                </c:pt>
                <c:pt idx="4">
                  <c:v>1222.384979453107</c:v>
                </c:pt>
                <c:pt idx="5">
                  <c:v>1919.5103989865352</c:v>
                </c:pt>
                <c:pt idx="6">
                  <c:v>2098.2830563829721</c:v>
                </c:pt>
                <c:pt idx="7">
                  <c:v>2387.784841989177</c:v>
                </c:pt>
              </c:numCache>
            </c:numRef>
          </c:val>
          <c:extLst>
            <c:ext xmlns:c16="http://schemas.microsoft.com/office/drawing/2014/chart" uri="{C3380CC4-5D6E-409C-BE32-E72D297353CC}">
              <c16:uniqueId val="{00000000-DE40-4648-883C-6E22535BC078}"/>
            </c:ext>
          </c:extLst>
        </c:ser>
        <c:dLbls>
          <c:showLegendKey val="0"/>
          <c:showVal val="0"/>
          <c:showCatName val="0"/>
          <c:showSerName val="0"/>
          <c:showPercent val="0"/>
          <c:showBubbleSize val="0"/>
        </c:dLbls>
        <c:axId val="1483753952"/>
        <c:axId val="1483755632"/>
      </c:areaChart>
      <c:catAx>
        <c:axId val="148375395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5632"/>
        <c:crosses val="autoZero"/>
        <c:auto val="1"/>
        <c:lblAlgn val="ctr"/>
        <c:lblOffset val="100"/>
        <c:noMultiLvlLbl val="0"/>
      </c:catAx>
      <c:valAx>
        <c:axId val="148375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GVA £m</a:t>
                </a:r>
              </a:p>
            </c:rich>
          </c:tx>
          <c:layout>
            <c:manualLayout>
              <c:xMode val="edge"/>
              <c:yMode val="edge"/>
              <c:x val="1.5200616505544121E-2"/>
              <c:y val="0.31487380952380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12700" cap="sq">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3952"/>
        <c:crosses val="autoZero"/>
        <c:crossBetween val="midCat"/>
      </c:valAx>
      <c:spPr>
        <a:noFill/>
        <a:ln>
          <a:noFill/>
        </a:ln>
        <a:effectLst/>
      </c:spPr>
    </c:plotArea>
    <c:legend>
      <c:legendPos val="r"/>
      <c:layout>
        <c:manualLayout>
          <c:xMode val="edge"/>
          <c:yMode val="edge"/>
          <c:x val="0.80805205599300078"/>
          <c:y val="0.1811095238095238"/>
          <c:w val="0.1919479440069991"/>
          <c:h val="0.6562031746031746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5631562500000001"/>
          <c:y val="8.4188095238095242E-2"/>
          <c:w val="0.57261369910282955"/>
          <c:h val="0.7706468253968255"/>
        </c:manualLayout>
      </c:layout>
      <c:areaChart>
        <c:grouping val="stacked"/>
        <c:varyColors val="0"/>
        <c:ser>
          <c:idx val="0"/>
          <c:order val="0"/>
          <c:tx>
            <c:strRef>
              <c:f>'GVA (2)'!$C$24</c:f>
              <c:strCache>
                <c:ptCount val="1"/>
                <c:pt idx="0">
                  <c:v>Turbine</c:v>
                </c:pt>
              </c:strCache>
            </c:strRef>
          </c:tx>
          <c:spPr>
            <a:solidFill>
              <a:schemeClr val="accent2"/>
            </a:solidFill>
            <a:ln w="25400">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(2)'!$F$24:$M$24</c:f>
              <c:numCache>
                <c:formatCode>_(* #,##0_);_(* \(#,##0\);_(* "-"??_);_(@_)</c:formatCode>
                <c:ptCount val="8"/>
                <c:pt idx="0">
                  <c:v>62.354970886256197</c:v>
                </c:pt>
                <c:pt idx="1">
                  <c:v>62.696169095237828</c:v>
                </c:pt>
                <c:pt idx="2">
                  <c:v>113.73191054928736</c:v>
                </c:pt>
                <c:pt idx="3">
                  <c:v>247.4645872325946</c:v>
                </c:pt>
                <c:pt idx="4">
                  <c:v>181.9974379172894</c:v>
                </c:pt>
                <c:pt idx="5">
                  <c:v>215.31592211102188</c:v>
                </c:pt>
                <c:pt idx="6">
                  <c:v>282.33782795512451</c:v>
                </c:pt>
                <c:pt idx="7">
                  <c:v>401.3748376021947</c:v>
                </c:pt>
              </c:numCache>
            </c:numRef>
          </c:val>
          <c:extLst>
            <c:ext xmlns:c16="http://schemas.microsoft.com/office/drawing/2014/chart" uri="{C3380CC4-5D6E-409C-BE32-E72D297353CC}">
              <c16:uniqueId val="{00000000-E85F-41E3-A0DB-23A87F87D673}"/>
            </c:ext>
          </c:extLst>
        </c:ser>
        <c:ser>
          <c:idx val="1"/>
          <c:order val="1"/>
          <c:tx>
            <c:strRef>
              <c:f>'GVA (2)'!$C$25</c:f>
              <c:strCache>
                <c:ptCount val="1"/>
                <c:pt idx="0">
                  <c:v>Foundations</c:v>
                </c:pt>
              </c:strCache>
            </c:strRef>
          </c:tx>
          <c:spPr>
            <a:solidFill>
              <a:schemeClr val="accent4"/>
            </a:solidFill>
            <a:ln w="25400">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(2)'!$F$25:$M$25</c:f>
              <c:numCache>
                <c:formatCode>_(* #,##0_);_(* \(#,##0\);_(* "-"??_);_(@_)</c:formatCode>
                <c:ptCount val="8"/>
                <c:pt idx="0">
                  <c:v>56.509192365669662</c:v>
                </c:pt>
                <c:pt idx="1">
                  <c:v>56.818403242559285</c:v>
                </c:pt>
                <c:pt idx="2">
                  <c:v>103.06954393529166</c:v>
                </c:pt>
                <c:pt idx="3">
                  <c:v>224.26478217953883</c:v>
                </c:pt>
                <c:pt idx="4">
                  <c:v>164.93517811254353</c:v>
                </c:pt>
                <c:pt idx="5">
                  <c:v>195.13005441311356</c:v>
                </c:pt>
                <c:pt idx="6">
                  <c:v>255.86865658433155</c:v>
                </c:pt>
                <c:pt idx="7">
                  <c:v>363.7459465769889</c:v>
                </c:pt>
              </c:numCache>
            </c:numRef>
          </c:val>
          <c:extLst>
            <c:ext xmlns:c16="http://schemas.microsoft.com/office/drawing/2014/chart" uri="{C3380CC4-5D6E-409C-BE32-E72D297353CC}">
              <c16:uniqueId val="{00000006-E85F-41E3-A0DB-23A87F87D673}"/>
            </c:ext>
          </c:extLst>
        </c:ser>
        <c:ser>
          <c:idx val="2"/>
          <c:order val="2"/>
          <c:tx>
            <c:strRef>
              <c:f>'GVA (2)'!$C$26</c:f>
              <c:strCache>
                <c:ptCount val="1"/>
                <c:pt idx="0">
                  <c:v>Balance of system</c:v>
                </c:pt>
              </c:strCache>
            </c:strRef>
          </c:tx>
          <c:spPr>
            <a:solidFill>
              <a:srgbClr val="0070C0"/>
            </a:solidFill>
            <a:ln w="25400">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(2)'!$F$26:$M$26</c:f>
              <c:numCache>
                <c:formatCode>_(* #,##0_);_(* \(#,##0\);_(* "-"??_);_(@_)</c:formatCode>
                <c:ptCount val="8"/>
                <c:pt idx="0">
                  <c:v>15.734887184578712</c:v>
                </c:pt>
                <c:pt idx="1">
                  <c:v>15.820986420126419</c:v>
                </c:pt>
                <c:pt idx="2">
                  <c:v>28.699536802671727</c:v>
                </c:pt>
                <c:pt idx="3">
                  <c:v>62.44614193447503</c:v>
                </c:pt>
                <c:pt idx="4">
                  <c:v>45.925915974440997</c:v>
                </c:pt>
                <c:pt idx="5">
                  <c:v>54.333627220203169</c:v>
                </c:pt>
                <c:pt idx="6">
                  <c:v>71.246186273050938</c:v>
                </c:pt>
                <c:pt idx="7">
                  <c:v>101.28443167617878</c:v>
                </c:pt>
              </c:numCache>
            </c:numRef>
          </c:val>
          <c:extLst>
            <c:ext xmlns:c16="http://schemas.microsoft.com/office/drawing/2014/chart" uri="{C3380CC4-5D6E-409C-BE32-E72D297353CC}">
              <c16:uniqueId val="{00000007-E85F-41E3-A0DB-23A87F87D673}"/>
            </c:ext>
          </c:extLst>
        </c:ser>
        <c:ser>
          <c:idx val="3"/>
          <c:order val="3"/>
          <c:tx>
            <c:strRef>
              <c:f>'GVA (2)'!$C$27</c:f>
              <c:strCache>
                <c:ptCount val="1"/>
                <c:pt idx="0">
                  <c:v>Installation</c:v>
                </c:pt>
              </c:strCache>
            </c:strRef>
          </c:tx>
          <c:spPr>
            <a:solidFill>
              <a:srgbClr val="FF0000"/>
            </a:solidFill>
            <a:ln w="25400">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(2)'!$F$27:$M$27</c:f>
              <c:numCache>
                <c:formatCode>_(* #,##0_);_(* \(#,##0\);_(* "-"??_);_(@_)</c:formatCode>
                <c:ptCount val="8"/>
                <c:pt idx="0">
                  <c:v>61.273501859947693</c:v>
                </c:pt>
                <c:pt idx="1">
                  <c:v>53.502363674006475</c:v>
                </c:pt>
                <c:pt idx="2">
                  <c:v>93.775105850298431</c:v>
                </c:pt>
                <c:pt idx="3">
                  <c:v>198.50826391655451</c:v>
                </c:pt>
                <c:pt idx="4">
                  <c:v>145.9925876354379</c:v>
                </c:pt>
                <c:pt idx="5">
                  <c:v>172.71962170359905</c:v>
                </c:pt>
                <c:pt idx="6">
                  <c:v>226.48247449104312</c:v>
                </c:pt>
                <c:pt idx="7">
                  <c:v>321.97019817349513</c:v>
                </c:pt>
              </c:numCache>
            </c:numRef>
          </c:val>
          <c:extLst>
            <c:ext xmlns:c16="http://schemas.microsoft.com/office/drawing/2014/chart" uri="{C3380CC4-5D6E-409C-BE32-E72D297353CC}">
              <c16:uniqueId val="{00000008-E85F-41E3-A0DB-23A87F87D673}"/>
            </c:ext>
          </c:extLst>
        </c:ser>
        <c:ser>
          <c:idx val="4"/>
          <c:order val="4"/>
          <c:tx>
            <c:strRef>
              <c:f>'GVA (2)'!$C$28</c:f>
              <c:strCache>
                <c:ptCount val="1"/>
                <c:pt idx="0">
                  <c:v>O&amp;M </c:v>
                </c:pt>
              </c:strCache>
            </c:strRef>
          </c:tx>
          <c:spPr>
            <a:solidFill>
              <a:schemeClr val="accent5"/>
            </a:solidFill>
            <a:ln w="25400">
              <a:noFill/>
            </a:ln>
            <a:effectLst/>
          </c:spPr>
          <c:cat>
            <c:numRef>
              <c:f>'GVA (2)'!$F$16:$M$16</c:f>
              <c:numCache>
                <c:formatCode>General</c:formatCode>
                <c:ptCount val="8"/>
                <c:pt idx="0">
                  <c:v>2015</c:v>
                </c:pt>
                <c:pt idx="1">
                  <c:v>2020</c:v>
                </c:pt>
                <c:pt idx="2">
                  <c:v>2025</c:v>
                </c:pt>
                <c:pt idx="3">
                  <c:v>2030</c:v>
                </c:pt>
                <c:pt idx="4">
                  <c:v>2035</c:v>
                </c:pt>
                <c:pt idx="5">
                  <c:v>2040</c:v>
                </c:pt>
                <c:pt idx="6">
                  <c:v>2045</c:v>
                </c:pt>
                <c:pt idx="7">
                  <c:v>2050</c:v>
                </c:pt>
              </c:numCache>
            </c:numRef>
          </c:cat>
          <c:val>
            <c:numRef>
              <c:f>'GVA (2)'!$F$28:$M$28</c:f>
              <c:numCache>
                <c:formatCode>_(* #,##0_);_(* \(#,##0\);_(* "-"??_);_(@_)</c:formatCode>
                <c:ptCount val="8"/>
                <c:pt idx="0">
                  <c:v>140.2494426785361</c:v>
                </c:pt>
                <c:pt idx="1">
                  <c:v>202.52243364678603</c:v>
                </c:pt>
                <c:pt idx="2">
                  <c:v>367.25829138810349</c:v>
                </c:pt>
                <c:pt idx="3">
                  <c:v>689.56107992551631</c:v>
                </c:pt>
                <c:pt idx="4">
                  <c:v>835.57538099919191</c:v>
                </c:pt>
                <c:pt idx="5">
                  <c:v>1008.7720296491847</c:v>
                </c:pt>
                <c:pt idx="6">
                  <c:v>1219.7634951839148</c:v>
                </c:pt>
                <c:pt idx="7">
                  <c:v>1452.3961239711814</c:v>
                </c:pt>
              </c:numCache>
            </c:numRef>
          </c:val>
          <c:extLst>
            <c:ext xmlns:c16="http://schemas.microsoft.com/office/drawing/2014/chart" uri="{C3380CC4-5D6E-409C-BE32-E72D297353CC}">
              <c16:uniqueId val="{00000009-E85F-41E3-A0DB-23A87F87D673}"/>
            </c:ext>
          </c:extLst>
        </c:ser>
        <c:dLbls>
          <c:showLegendKey val="0"/>
          <c:showVal val="0"/>
          <c:showCatName val="0"/>
          <c:showSerName val="0"/>
          <c:showPercent val="0"/>
          <c:showBubbleSize val="0"/>
        </c:dLbls>
        <c:axId val="1483753952"/>
        <c:axId val="1483755632"/>
      </c:areaChart>
      <c:catAx>
        <c:axId val="148375395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5632"/>
        <c:crosses val="autoZero"/>
        <c:auto val="1"/>
        <c:lblAlgn val="ctr"/>
        <c:lblOffset val="100"/>
        <c:noMultiLvlLbl val="0"/>
      </c:catAx>
      <c:valAx>
        <c:axId val="148375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GVA £m</a:t>
                </a:r>
              </a:p>
            </c:rich>
          </c:tx>
          <c:layout>
            <c:manualLayout>
              <c:xMode val="edge"/>
              <c:yMode val="edge"/>
              <c:x val="0"/>
              <c:y val="0.2997546296296296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out"/>
        <c:minorTickMark val="none"/>
        <c:tickLblPos val="nextTo"/>
        <c:spPr>
          <a:noFill/>
          <a:ln w="12700" cap="sq">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3952"/>
        <c:crosses val="autoZero"/>
        <c:crossBetween val="midCat"/>
      </c:valAx>
      <c:spPr>
        <a:noFill/>
        <a:ln>
          <a:noFill/>
        </a:ln>
        <a:effectLst/>
      </c:spPr>
    </c:plotArea>
    <c:legend>
      <c:legendPos val="r"/>
      <c:layout>
        <c:manualLayout>
          <c:xMode val="edge"/>
          <c:yMode val="edge"/>
          <c:x val="0.76825937499999997"/>
          <c:y val="6.015714285714286E-2"/>
          <c:w val="0.23174063007528548"/>
          <c:h val="0.898976190476190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7593368055555553"/>
          <c:y val="8.4188036028895491E-2"/>
          <c:w val="0.62065989583333336"/>
          <c:h val="0.7706468253968255"/>
        </c:manualLayout>
      </c:layout>
      <c:areaChart>
        <c:grouping val="stacked"/>
        <c:varyColors val="0"/>
        <c:ser>
          <c:idx val="0"/>
          <c:order val="0"/>
          <c:tx>
            <c:strRef>
              <c:f>'GVA (2)'!$B$34:$C$34</c:f>
              <c:strCache>
                <c:ptCount val="2"/>
                <c:pt idx="0">
                  <c:v>Domestic</c:v>
                </c:pt>
                <c:pt idx="1">
                  <c:v>CAPEX</c:v>
                </c:pt>
              </c:strCache>
            </c:strRef>
          </c:tx>
          <c:spPr>
            <a:solidFill>
              <a:schemeClr val="bg2">
                <a:lumMod val="50000"/>
              </a:schemeClr>
            </a:solidFill>
            <a:ln w="25400">
              <a:noFill/>
            </a:ln>
            <a:effectLst/>
          </c:spPr>
          <c:cat>
            <c:numRef>
              <c:f>'GVA (2)'!$F$33:$M$33</c:f>
              <c:numCache>
                <c:formatCode>General</c:formatCode>
                <c:ptCount val="8"/>
                <c:pt idx="0">
                  <c:v>2015</c:v>
                </c:pt>
                <c:pt idx="1">
                  <c:v>2020</c:v>
                </c:pt>
                <c:pt idx="2">
                  <c:v>2025</c:v>
                </c:pt>
                <c:pt idx="3">
                  <c:v>2030</c:v>
                </c:pt>
                <c:pt idx="4">
                  <c:v>2035</c:v>
                </c:pt>
                <c:pt idx="5">
                  <c:v>2040</c:v>
                </c:pt>
                <c:pt idx="6">
                  <c:v>2045</c:v>
                </c:pt>
                <c:pt idx="7">
                  <c:v>2050</c:v>
                </c:pt>
              </c:numCache>
            </c:numRef>
          </c:cat>
          <c:val>
            <c:numRef>
              <c:f>'GVA (2)'!$F$34:$M$34</c:f>
              <c:numCache>
                <c:formatCode>_-* #,##0.0_-;\-* #,##0.0_-;_-* "-"??_-;_-@_-</c:formatCode>
                <c:ptCount val="8"/>
                <c:pt idx="0">
                  <c:v>195.87255229645228</c:v>
                </c:pt>
                <c:pt idx="1">
                  <c:v>188.83792243193</c:v>
                </c:pt>
                <c:pt idx="2">
                  <c:v>339.27609713754919</c:v>
                </c:pt>
                <c:pt idx="3">
                  <c:v>732.68377526316294</c:v>
                </c:pt>
                <c:pt idx="4">
                  <c:v>538.8511196397119</c:v>
                </c:pt>
                <c:pt idx="5">
                  <c:v>637.49922544793776</c:v>
                </c:pt>
                <c:pt idx="6">
                  <c:v>835.93514530355003</c:v>
                </c:pt>
                <c:pt idx="7">
                  <c:v>1188.3754140288574</c:v>
                </c:pt>
              </c:numCache>
            </c:numRef>
          </c:val>
          <c:extLst>
            <c:ext xmlns:c16="http://schemas.microsoft.com/office/drawing/2014/chart" uri="{C3380CC4-5D6E-409C-BE32-E72D297353CC}">
              <c16:uniqueId val="{00000000-DD50-4D52-9409-4F2E881E6C18}"/>
            </c:ext>
          </c:extLst>
        </c:ser>
        <c:ser>
          <c:idx val="1"/>
          <c:order val="1"/>
          <c:tx>
            <c:strRef>
              <c:f>'GVA (2)'!$B$35:$C$35</c:f>
              <c:strCache>
                <c:ptCount val="2"/>
                <c:pt idx="0">
                  <c:v>Domestic</c:v>
                </c:pt>
                <c:pt idx="1">
                  <c:v>O&amp;M</c:v>
                </c:pt>
              </c:strCache>
            </c:strRef>
          </c:tx>
          <c:spPr>
            <a:pattFill prst="pct70">
              <a:fgClr>
                <a:schemeClr val="bg2">
                  <a:lumMod val="50000"/>
                </a:schemeClr>
              </a:fgClr>
              <a:bgClr>
                <a:schemeClr val="bg1"/>
              </a:bgClr>
            </a:pattFill>
            <a:ln w="25400">
              <a:noFill/>
            </a:ln>
            <a:effectLst/>
          </c:spPr>
          <c:cat>
            <c:numRef>
              <c:f>'GVA (2)'!$F$33:$M$33</c:f>
              <c:numCache>
                <c:formatCode>General</c:formatCode>
                <c:ptCount val="8"/>
                <c:pt idx="0">
                  <c:v>2015</c:v>
                </c:pt>
                <c:pt idx="1">
                  <c:v>2020</c:v>
                </c:pt>
                <c:pt idx="2">
                  <c:v>2025</c:v>
                </c:pt>
                <c:pt idx="3">
                  <c:v>2030</c:v>
                </c:pt>
                <c:pt idx="4">
                  <c:v>2035</c:v>
                </c:pt>
                <c:pt idx="5">
                  <c:v>2040</c:v>
                </c:pt>
                <c:pt idx="6">
                  <c:v>2045</c:v>
                </c:pt>
                <c:pt idx="7">
                  <c:v>2050</c:v>
                </c:pt>
              </c:numCache>
            </c:numRef>
          </c:cat>
          <c:val>
            <c:numRef>
              <c:f>'GVA (2)'!$F$35:$M$35</c:f>
              <c:numCache>
                <c:formatCode>_-* #,##0.0_-;\-* #,##0.0_-;_-* "-"??_-;_-@_-</c:formatCode>
                <c:ptCount val="8"/>
                <c:pt idx="0">
                  <c:v>140.2494426785361</c:v>
                </c:pt>
                <c:pt idx="1">
                  <c:v>202.52243364678603</c:v>
                </c:pt>
                <c:pt idx="2">
                  <c:v>367.25829138810349</c:v>
                </c:pt>
                <c:pt idx="3">
                  <c:v>689.56107992551631</c:v>
                </c:pt>
                <c:pt idx="4">
                  <c:v>835.57538099919191</c:v>
                </c:pt>
                <c:pt idx="5">
                  <c:v>1008.7720296491847</c:v>
                </c:pt>
                <c:pt idx="6">
                  <c:v>1219.7634951839148</c:v>
                </c:pt>
                <c:pt idx="7">
                  <c:v>1452.3961239711814</c:v>
                </c:pt>
              </c:numCache>
            </c:numRef>
          </c:val>
          <c:extLst>
            <c:ext xmlns:c16="http://schemas.microsoft.com/office/drawing/2014/chart" uri="{C3380CC4-5D6E-409C-BE32-E72D297353CC}">
              <c16:uniqueId val="{00000001-DD50-4D52-9409-4F2E881E6C18}"/>
            </c:ext>
          </c:extLst>
        </c:ser>
        <c:ser>
          <c:idx val="2"/>
          <c:order val="2"/>
          <c:tx>
            <c:strRef>
              <c:f>'GVA (2)'!$B$36:$C$36</c:f>
              <c:strCache>
                <c:ptCount val="2"/>
                <c:pt idx="0">
                  <c:v>Export</c:v>
                </c:pt>
                <c:pt idx="1">
                  <c:v>CAPEX</c:v>
                </c:pt>
              </c:strCache>
            </c:strRef>
          </c:tx>
          <c:spPr>
            <a:solidFill>
              <a:srgbClr val="C00000"/>
            </a:solidFill>
            <a:ln w="25400">
              <a:noFill/>
            </a:ln>
            <a:effectLst/>
          </c:spPr>
          <c:cat>
            <c:numRef>
              <c:f>'GVA (2)'!$F$33:$M$33</c:f>
              <c:numCache>
                <c:formatCode>General</c:formatCode>
                <c:ptCount val="8"/>
                <c:pt idx="0">
                  <c:v>2015</c:v>
                </c:pt>
                <c:pt idx="1">
                  <c:v>2020</c:v>
                </c:pt>
                <c:pt idx="2">
                  <c:v>2025</c:v>
                </c:pt>
                <c:pt idx="3">
                  <c:v>2030</c:v>
                </c:pt>
                <c:pt idx="4">
                  <c:v>2035</c:v>
                </c:pt>
                <c:pt idx="5">
                  <c:v>2040</c:v>
                </c:pt>
                <c:pt idx="6">
                  <c:v>2045</c:v>
                </c:pt>
                <c:pt idx="7">
                  <c:v>2050</c:v>
                </c:pt>
              </c:numCache>
            </c:numRef>
          </c:cat>
          <c:val>
            <c:numRef>
              <c:f>'GVA (2)'!$F$36:$M$36</c:f>
              <c:numCache>
                <c:formatCode>_-* #,##0.0_-;\-* #,##0.0_-;_-* "-"??_-;_-@_-</c:formatCode>
                <c:ptCount val="8"/>
                <c:pt idx="0">
                  <c:v>11.925143840996951</c:v>
                </c:pt>
                <c:pt idx="1">
                  <c:v>176.84136901102266</c:v>
                </c:pt>
                <c:pt idx="3">
                  <c:v>647.19154663329289</c:v>
                </c:pt>
                <c:pt idx="4">
                  <c:v>749.21251819954057</c:v>
                </c:pt>
                <c:pt idx="5">
                  <c:v>1083.1798889875183</c:v>
                </c:pt>
                <c:pt idx="6">
                  <c:v>1154.18518462266</c:v>
                </c:pt>
                <c:pt idx="7">
                  <c:v>1268.175928396751</c:v>
                </c:pt>
              </c:numCache>
            </c:numRef>
          </c:val>
          <c:extLst>
            <c:ext xmlns:c16="http://schemas.microsoft.com/office/drawing/2014/chart" uri="{C3380CC4-5D6E-409C-BE32-E72D297353CC}">
              <c16:uniqueId val="{00000004-DD50-4D52-9409-4F2E881E6C18}"/>
            </c:ext>
          </c:extLst>
        </c:ser>
        <c:ser>
          <c:idx val="3"/>
          <c:order val="3"/>
          <c:tx>
            <c:strRef>
              <c:f>'GVA (2)'!$B$37:$C$37</c:f>
              <c:strCache>
                <c:ptCount val="2"/>
                <c:pt idx="0">
                  <c:v>Export</c:v>
                </c:pt>
                <c:pt idx="1">
                  <c:v>O&amp;M</c:v>
                </c:pt>
              </c:strCache>
            </c:strRef>
          </c:tx>
          <c:spPr>
            <a:pattFill prst="pct70">
              <a:fgClr>
                <a:srgbClr val="FF0000"/>
              </a:fgClr>
              <a:bgClr>
                <a:schemeClr val="bg1"/>
              </a:bgClr>
            </a:pattFill>
            <a:ln w="25400">
              <a:noFill/>
            </a:ln>
            <a:effectLst/>
          </c:spPr>
          <c:cat>
            <c:numRef>
              <c:f>'GVA (2)'!$F$33:$M$33</c:f>
              <c:numCache>
                <c:formatCode>General</c:formatCode>
                <c:ptCount val="8"/>
                <c:pt idx="0">
                  <c:v>2015</c:v>
                </c:pt>
                <c:pt idx="1">
                  <c:v>2020</c:v>
                </c:pt>
                <c:pt idx="2">
                  <c:v>2025</c:v>
                </c:pt>
                <c:pt idx="3">
                  <c:v>2030</c:v>
                </c:pt>
                <c:pt idx="4">
                  <c:v>2035</c:v>
                </c:pt>
                <c:pt idx="5">
                  <c:v>2040</c:v>
                </c:pt>
                <c:pt idx="6">
                  <c:v>2045</c:v>
                </c:pt>
                <c:pt idx="7">
                  <c:v>2050</c:v>
                </c:pt>
              </c:numCache>
            </c:numRef>
          </c:cat>
          <c:val>
            <c:numRef>
              <c:f>'GVA (2)'!$F$37:$M$37</c:f>
              <c:numCache>
                <c:formatCode>_-* #,##0.0_-;\-* #,##0.0_-;_-* "-"??_-;_-@_-</c:formatCode>
                <c:ptCount val="8"/>
                <c:pt idx="0">
                  <c:v>2.1876775632972532</c:v>
                </c:pt>
                <c:pt idx="1">
                  <c:v>41.697823908488068</c:v>
                </c:pt>
                <c:pt idx="2">
                  <c:v>145.27018404243634</c:v>
                </c:pt>
                <c:pt idx="3">
                  <c:v>306.82296527633622</c:v>
                </c:pt>
                <c:pt idx="4">
                  <c:v>473.17246125356633</c:v>
                </c:pt>
                <c:pt idx="5">
                  <c:v>836.33050999901673</c:v>
                </c:pt>
                <c:pt idx="6">
                  <c:v>944.09787176031205</c:v>
                </c:pt>
                <c:pt idx="7">
                  <c:v>1119.608913592426</c:v>
                </c:pt>
              </c:numCache>
            </c:numRef>
          </c:val>
          <c:extLst>
            <c:ext xmlns:c16="http://schemas.microsoft.com/office/drawing/2014/chart" uri="{C3380CC4-5D6E-409C-BE32-E72D297353CC}">
              <c16:uniqueId val="{00000005-DD50-4D52-9409-4F2E881E6C18}"/>
            </c:ext>
          </c:extLst>
        </c:ser>
        <c:dLbls>
          <c:showLegendKey val="0"/>
          <c:showVal val="0"/>
          <c:showCatName val="0"/>
          <c:showSerName val="0"/>
          <c:showPercent val="0"/>
          <c:showBubbleSize val="0"/>
        </c:dLbls>
        <c:axId val="1483753952"/>
        <c:axId val="1483755632"/>
      </c:areaChart>
      <c:catAx>
        <c:axId val="148375395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5632"/>
        <c:crosses val="autoZero"/>
        <c:auto val="1"/>
        <c:lblAlgn val="ctr"/>
        <c:lblOffset val="100"/>
        <c:noMultiLvlLbl val="0"/>
      </c:catAx>
      <c:valAx>
        <c:axId val="148375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GVA £m</a:t>
                </a:r>
              </a:p>
            </c:rich>
          </c:tx>
          <c:layout>
            <c:manualLayout>
              <c:xMode val="edge"/>
              <c:yMode val="edge"/>
              <c:x val="1.5200616505544121E-2"/>
              <c:y val="0.31487380952380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12700" cap="sq">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3952"/>
        <c:crosses val="autoZero"/>
        <c:crossBetween val="midCat"/>
      </c:valAx>
      <c:spPr>
        <a:noFill/>
        <a:ln>
          <a:noFill/>
        </a:ln>
        <a:effectLst/>
      </c:spPr>
    </c:plotArea>
    <c:legend>
      <c:legendPos val="r"/>
      <c:layout>
        <c:manualLayout>
          <c:xMode val="edge"/>
          <c:yMode val="edge"/>
          <c:x val="0.81687152777777783"/>
          <c:y val="0.10425369192012741"/>
          <c:w val="0.18312847222222223"/>
          <c:h val="0.7834557805653706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52395833333334"/>
          <c:y val="8.4187962962962964E-2"/>
          <c:w val="0.63829878472222223"/>
          <c:h val="0.7706468253968255"/>
        </c:manualLayout>
      </c:layout>
      <c:areaChart>
        <c:grouping val="stacked"/>
        <c:varyColors val="0"/>
        <c:ser>
          <c:idx val="0"/>
          <c:order val="0"/>
          <c:tx>
            <c:strRef>
              <c:f>'Jobs supported (2)'!$B$26:$C$26</c:f>
              <c:strCache>
                <c:ptCount val="2"/>
                <c:pt idx="0">
                  <c:v>Domestic</c:v>
                </c:pt>
                <c:pt idx="1">
                  <c:v>CAPEX</c:v>
                </c:pt>
              </c:strCache>
            </c:strRef>
          </c:tx>
          <c:spPr>
            <a:solidFill>
              <a:schemeClr val="bg2">
                <a:lumMod val="50000"/>
              </a:schemeClr>
            </a:solidFill>
            <a:ln w="25400">
              <a:noFill/>
            </a:ln>
            <a:effectLst/>
          </c:spPr>
          <c:cat>
            <c:numRef>
              <c:f>'Jobs supported (2)'!$E$25:$L$25</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(2)'!$E$26:$L$26</c:f>
              <c:numCache>
                <c:formatCode>_-* #,##0_-;\-* #,##0_-;_-* "-"??_-;_-@_-</c:formatCode>
                <c:ptCount val="8"/>
                <c:pt idx="0">
                  <c:v>3060.8967927484018</c:v>
                </c:pt>
                <c:pt idx="1">
                  <c:v>2716.8340854390258</c:v>
                </c:pt>
                <c:pt idx="2">
                  <c:v>4707.0653081610453</c:v>
                </c:pt>
                <c:pt idx="3">
                  <c:v>9795.1427665765859</c:v>
                </c:pt>
                <c:pt idx="4">
                  <c:v>6922.4579262321622</c:v>
                </c:pt>
                <c:pt idx="5">
                  <c:v>7869.8877172794837</c:v>
                </c:pt>
                <c:pt idx="6">
                  <c:v>9916.5087372275484</c:v>
                </c:pt>
                <c:pt idx="7">
                  <c:v>13546.815370353163</c:v>
                </c:pt>
              </c:numCache>
            </c:numRef>
          </c:val>
          <c:extLst>
            <c:ext xmlns:c16="http://schemas.microsoft.com/office/drawing/2014/chart" uri="{C3380CC4-5D6E-409C-BE32-E72D297353CC}">
              <c16:uniqueId val="{00000000-DD50-4D52-9409-4F2E881E6C18}"/>
            </c:ext>
          </c:extLst>
        </c:ser>
        <c:ser>
          <c:idx val="1"/>
          <c:order val="1"/>
          <c:tx>
            <c:strRef>
              <c:f>'Jobs supported (2)'!$B$27:$C$27</c:f>
              <c:strCache>
                <c:ptCount val="2"/>
                <c:pt idx="0">
                  <c:v>Domestic</c:v>
                </c:pt>
                <c:pt idx="1">
                  <c:v>O&amp;M</c:v>
                </c:pt>
              </c:strCache>
            </c:strRef>
          </c:tx>
          <c:spPr>
            <a:pattFill prst="pct70">
              <a:fgClr>
                <a:srgbClr val="ABE1FA">
                  <a:lumMod val="50000"/>
                </a:srgbClr>
              </a:fgClr>
              <a:bgClr>
                <a:sysClr val="window" lastClr="FFFFFF"/>
              </a:bgClr>
            </a:pattFill>
            <a:ln w="25400">
              <a:noFill/>
            </a:ln>
            <a:effectLst/>
          </c:spPr>
          <c:cat>
            <c:numRef>
              <c:f>'Jobs supported (2)'!$E$25:$L$25</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(2)'!$E$27:$L$27</c:f>
              <c:numCache>
                <c:formatCode>_-* #,##0_-;\-* #,##0_-;_-* "-"??_-;_-@_-</c:formatCode>
                <c:ptCount val="8"/>
                <c:pt idx="0">
                  <c:v>990.80879353262844</c:v>
                </c:pt>
                <c:pt idx="1">
                  <c:v>1297.4846859930542</c:v>
                </c:pt>
                <c:pt idx="2">
                  <c:v>2260.9869306666401</c:v>
                </c:pt>
                <c:pt idx="3">
                  <c:v>4079.4021755343933</c:v>
                </c:pt>
                <c:pt idx="4">
                  <c:v>4750.1438000456055</c:v>
                </c:pt>
                <c:pt idx="5">
                  <c:v>5510.7599430747432</c:v>
                </c:pt>
                <c:pt idx="6">
                  <c:v>6403.1169211020442</c:v>
                </c:pt>
                <c:pt idx="7">
                  <c:v>7326.5281242392794</c:v>
                </c:pt>
              </c:numCache>
            </c:numRef>
          </c:val>
          <c:extLst>
            <c:ext xmlns:c16="http://schemas.microsoft.com/office/drawing/2014/chart" uri="{C3380CC4-5D6E-409C-BE32-E72D297353CC}">
              <c16:uniqueId val="{00000001-DD50-4D52-9409-4F2E881E6C18}"/>
            </c:ext>
          </c:extLst>
        </c:ser>
        <c:ser>
          <c:idx val="2"/>
          <c:order val="2"/>
          <c:tx>
            <c:strRef>
              <c:f>'Jobs supported (2)'!$B$28:$C$28</c:f>
              <c:strCache>
                <c:ptCount val="2"/>
                <c:pt idx="0">
                  <c:v>Export</c:v>
                </c:pt>
                <c:pt idx="1">
                  <c:v>CAPEX</c:v>
                </c:pt>
              </c:strCache>
            </c:strRef>
          </c:tx>
          <c:spPr>
            <a:solidFill>
              <a:srgbClr val="C00000"/>
            </a:solidFill>
            <a:ln w="25400">
              <a:noFill/>
            </a:ln>
            <a:effectLst/>
          </c:spPr>
          <c:cat>
            <c:numRef>
              <c:f>'Jobs supported (2)'!$E$25:$L$25</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(2)'!$E$28:$L$28</c:f>
              <c:numCache>
                <c:formatCode>_-* #,##0_-;\-* #,##0_-;_-* "-"??_-;_-@_-</c:formatCode>
                <c:ptCount val="8"/>
                <c:pt idx="0">
                  <c:v>191.50542850807432</c:v>
                </c:pt>
                <c:pt idx="1">
                  <c:v>2576.4471921173772</c:v>
                </c:pt>
                <c:pt idx="2">
                  <c:v>4850.9120752663184</c:v>
                </c:pt>
                <c:pt idx="3">
                  <c:v>8862.8046664727717</c:v>
                </c:pt>
                <c:pt idx="4">
                  <c:v>9864.8880812844673</c:v>
                </c:pt>
                <c:pt idx="5">
                  <c:v>13665.281008977909</c:v>
                </c:pt>
                <c:pt idx="6">
                  <c:v>13981.957171913595</c:v>
                </c:pt>
                <c:pt idx="7">
                  <c:v>14841.769271078958</c:v>
                </c:pt>
              </c:numCache>
            </c:numRef>
          </c:val>
          <c:extLst>
            <c:ext xmlns:c16="http://schemas.microsoft.com/office/drawing/2014/chart" uri="{C3380CC4-5D6E-409C-BE32-E72D297353CC}">
              <c16:uniqueId val="{00000004-DD50-4D52-9409-4F2E881E6C18}"/>
            </c:ext>
          </c:extLst>
        </c:ser>
        <c:ser>
          <c:idx val="3"/>
          <c:order val="3"/>
          <c:tx>
            <c:strRef>
              <c:f>'Jobs supported (2)'!$B$29:$C$29</c:f>
              <c:strCache>
                <c:ptCount val="2"/>
                <c:pt idx="0">
                  <c:v>Export</c:v>
                </c:pt>
                <c:pt idx="1">
                  <c:v>O&amp;M</c:v>
                </c:pt>
              </c:strCache>
            </c:strRef>
          </c:tx>
          <c:spPr>
            <a:pattFill prst="pct70">
              <a:fgClr>
                <a:srgbClr val="C00000"/>
              </a:fgClr>
              <a:bgClr>
                <a:sysClr val="window" lastClr="FFFFFF"/>
              </a:bgClr>
            </a:pattFill>
            <a:ln w="25400">
              <a:noFill/>
            </a:ln>
            <a:effectLst/>
          </c:spPr>
          <c:cat>
            <c:numRef>
              <c:f>'Jobs supported (2)'!$E$25:$L$25</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(2)'!$E$29:$L$29</c:f>
              <c:numCache>
                <c:formatCode>_-* #,##0_-;\-* #,##0_-;_-* "-"??_-;_-@_-</c:formatCode>
                <c:ptCount val="8"/>
                <c:pt idx="0">
                  <c:v>15.455107169995756</c:v>
                </c:pt>
                <c:pt idx="1">
                  <c:v>267.14219746567267</c:v>
                </c:pt>
                <c:pt idx="2">
                  <c:v>894.34056422265871</c:v>
                </c:pt>
                <c:pt idx="3">
                  <c:v>1815.1463423477992</c:v>
                </c:pt>
                <c:pt idx="4">
                  <c:v>2689.9275448831368</c:v>
                </c:pt>
                <c:pt idx="5">
                  <c:v>4568.7395548393979</c:v>
                </c:pt>
                <c:pt idx="6">
                  <c:v>4956.017360507577</c:v>
                </c:pt>
                <c:pt idx="7">
                  <c:v>5647.8023165990326</c:v>
                </c:pt>
              </c:numCache>
            </c:numRef>
          </c:val>
          <c:extLst>
            <c:ext xmlns:c16="http://schemas.microsoft.com/office/drawing/2014/chart" uri="{C3380CC4-5D6E-409C-BE32-E72D297353CC}">
              <c16:uniqueId val="{00000005-DD50-4D52-9409-4F2E881E6C18}"/>
            </c:ext>
          </c:extLst>
        </c:ser>
        <c:dLbls>
          <c:showLegendKey val="0"/>
          <c:showVal val="0"/>
          <c:showCatName val="0"/>
          <c:showSerName val="0"/>
          <c:showPercent val="0"/>
          <c:showBubbleSize val="0"/>
        </c:dLbls>
        <c:axId val="1483753952"/>
        <c:axId val="1483755632"/>
      </c:areaChart>
      <c:catAx>
        <c:axId val="148375395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5632"/>
        <c:crosses val="autoZero"/>
        <c:auto val="1"/>
        <c:lblAlgn val="ctr"/>
        <c:lblOffset val="100"/>
        <c:noMultiLvlLbl val="0"/>
      </c:catAx>
      <c:valAx>
        <c:axId val="148375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Jobs supported</a:t>
                </a:r>
              </a:p>
            </c:rich>
          </c:tx>
          <c:layout>
            <c:manualLayout>
              <c:xMode val="edge"/>
              <c:yMode val="edge"/>
              <c:x val="1.5200616505544121E-2"/>
              <c:y val="0.31487380952380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12700" cap="sq">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3952"/>
        <c:crosses val="autoZero"/>
        <c:crossBetween val="midCat"/>
      </c:valAx>
      <c:spPr>
        <a:noFill/>
        <a:ln>
          <a:noFill/>
        </a:ln>
        <a:effectLst/>
      </c:spPr>
    </c:plotArea>
    <c:legend>
      <c:legendPos val="r"/>
      <c:layout>
        <c:manualLayout>
          <c:xMode val="edge"/>
          <c:yMode val="edge"/>
          <c:x val="0.80805208333333334"/>
          <c:y val="9.9914506172839521E-2"/>
          <c:w val="0.19194786657355042"/>
          <c:h val="0.7603564814814813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277395833333332"/>
          <c:y val="8.4188047576997785E-2"/>
          <c:w val="0.59482656249999999"/>
          <c:h val="0.7706468253968255"/>
        </c:manualLayout>
      </c:layout>
      <c:areaChart>
        <c:grouping val="stacked"/>
        <c:varyColors val="0"/>
        <c:ser>
          <c:idx val="0"/>
          <c:order val="0"/>
          <c:tx>
            <c:strRef>
              <c:f>'Jobs supported (2)'!$C$18</c:f>
              <c:strCache>
                <c:ptCount val="1"/>
                <c:pt idx="0">
                  <c:v>Turbine</c:v>
                </c:pt>
              </c:strCache>
            </c:strRef>
          </c:tx>
          <c:spPr>
            <a:solidFill>
              <a:schemeClr val="accent2"/>
            </a:solidFill>
            <a:ln w="25400">
              <a:noFill/>
            </a:ln>
            <a:effectLst/>
          </c:spPr>
          <c:cat>
            <c:numRef>
              <c:f>'Jobs supported (2)'!$E$17:$L$17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(2)'!$E$18:$L$18</c:f>
              <c:numCache>
                <c:formatCode>_-* #,##0_-;\-* #,##0_-;_-* "-"??_-;_-@_-</c:formatCode>
                <c:ptCount val="8"/>
                <c:pt idx="0">
                  <c:v>1102.0381376643636</c:v>
                </c:pt>
                <c:pt idx="1">
                  <c:v>1004.8632036098022</c:v>
                </c:pt>
                <c:pt idx="2">
                  <c:v>1751.6430591980406</c:v>
                </c:pt>
                <c:pt idx="3">
                  <c:v>3662.4666299083142</c:v>
                </c:pt>
                <c:pt idx="4">
                  <c:v>2588.3513651563248</c:v>
                </c:pt>
                <c:pt idx="5">
                  <c:v>2942.6014334383376</c:v>
                </c:pt>
                <c:pt idx="6">
                  <c:v>3707.8461438274294</c:v>
                </c:pt>
                <c:pt idx="7">
                  <c:v>5065.2410503647934</c:v>
                </c:pt>
              </c:numCache>
            </c:numRef>
          </c:val>
          <c:extLst>
            <c:ext xmlns:c16="http://schemas.microsoft.com/office/drawing/2014/chart" uri="{C3380CC4-5D6E-409C-BE32-E72D297353CC}">
              <c16:uniqueId val="{00000000-E85F-41E3-A0DB-23A87F87D673}"/>
            </c:ext>
          </c:extLst>
        </c:ser>
        <c:ser>
          <c:idx val="1"/>
          <c:order val="1"/>
          <c:tx>
            <c:strRef>
              <c:f>'Jobs supported (2)'!$C$19</c:f>
              <c:strCache>
                <c:ptCount val="1"/>
                <c:pt idx="0">
                  <c:v>Foundations</c:v>
                </c:pt>
              </c:strCache>
            </c:strRef>
          </c:tx>
          <c:spPr>
            <a:solidFill>
              <a:schemeClr val="accent4"/>
            </a:solidFill>
            <a:ln w="25400">
              <a:noFill/>
            </a:ln>
            <a:effectLst/>
          </c:spPr>
          <c:cat>
            <c:numRef>
              <c:f>'Jobs supported (2)'!$E$17:$L$17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(2)'!$E$19:$L$19</c:f>
              <c:numCache>
                <c:formatCode>_-* #,##0_-;\-* #,##0_-;_-* "-"??_-;_-@_-</c:formatCode>
                <c:ptCount val="8"/>
                <c:pt idx="0">
                  <c:v>1007.9407884858316</c:v>
                </c:pt>
                <c:pt idx="1">
                  <c:v>919.06312054994771</c:v>
                </c:pt>
                <c:pt idx="2">
                  <c:v>1602.0792982497703</c:v>
                </c:pt>
                <c:pt idx="3">
                  <c:v>3349.7475056322687</c:v>
                </c:pt>
                <c:pt idx="4">
                  <c:v>2367.3454000451407</c:v>
                </c:pt>
                <c:pt idx="5">
                  <c:v>2691.3478832097285</c:v>
                </c:pt>
                <c:pt idx="6">
                  <c:v>3391.2522970523523</c:v>
                </c:pt>
                <c:pt idx="7">
                  <c:v>4632.7462577619162</c:v>
                </c:pt>
              </c:numCache>
            </c:numRef>
          </c:val>
          <c:extLst>
            <c:ext xmlns:c16="http://schemas.microsoft.com/office/drawing/2014/chart" uri="{C3380CC4-5D6E-409C-BE32-E72D297353CC}">
              <c16:uniqueId val="{00000006-E85F-41E3-A0DB-23A87F87D673}"/>
            </c:ext>
          </c:extLst>
        </c:ser>
        <c:ser>
          <c:idx val="2"/>
          <c:order val="2"/>
          <c:tx>
            <c:strRef>
              <c:f>'Jobs supported (2)'!$C$20</c:f>
              <c:strCache>
                <c:ptCount val="1"/>
                <c:pt idx="0">
                  <c:v>Balance of system</c:v>
                </c:pt>
              </c:strCache>
            </c:strRef>
          </c:tx>
          <c:spPr>
            <a:solidFill>
              <a:srgbClr val="0070C0"/>
            </a:solidFill>
            <a:ln w="25400">
              <a:noFill/>
            </a:ln>
            <a:effectLst/>
          </c:spPr>
          <c:cat>
            <c:numRef>
              <c:f>'Jobs supported (2)'!$E$17:$L$17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(2)'!$E$20:$L$20</c:f>
              <c:numCache>
                <c:formatCode>_-* #,##0_-;\-* #,##0_-;_-* "-"??_-;_-@_-</c:formatCode>
                <c:ptCount val="8"/>
                <c:pt idx="0">
                  <c:v>332.79279739528022</c:v>
                </c:pt>
                <c:pt idx="1">
                  <c:v>303.44797071872046</c:v>
                </c:pt>
                <c:pt idx="2">
                  <c:v>528.96009111263675</c:v>
                </c:pt>
                <c:pt idx="3">
                  <c:v>1105.9894149554943</c:v>
                </c:pt>
                <c:pt idx="4">
                  <c:v>781.62874950758624</c:v>
                </c:pt>
                <c:pt idx="5">
                  <c:v>888.60496672897705</c:v>
                </c:pt>
                <c:pt idx="6">
                  <c:v>1119.693092591903</c:v>
                </c:pt>
                <c:pt idx="7">
                  <c:v>1529.5983696216649</c:v>
                </c:pt>
              </c:numCache>
            </c:numRef>
          </c:val>
          <c:extLst>
            <c:ext xmlns:c16="http://schemas.microsoft.com/office/drawing/2014/chart" uri="{C3380CC4-5D6E-409C-BE32-E72D297353CC}">
              <c16:uniqueId val="{00000007-E85F-41E3-A0DB-23A87F87D673}"/>
            </c:ext>
          </c:extLst>
        </c:ser>
        <c:ser>
          <c:idx val="3"/>
          <c:order val="3"/>
          <c:tx>
            <c:strRef>
              <c:f>'Jobs supported (2)'!$C$21</c:f>
              <c:strCache>
                <c:ptCount val="1"/>
                <c:pt idx="0">
                  <c:v>Installation</c:v>
                </c:pt>
              </c:strCache>
            </c:strRef>
          </c:tx>
          <c:spPr>
            <a:solidFill>
              <a:srgbClr val="FF0000"/>
            </a:solidFill>
            <a:ln w="25400">
              <a:noFill/>
            </a:ln>
            <a:effectLst/>
          </c:spPr>
          <c:cat>
            <c:numRef>
              <c:f>'Jobs supported (2)'!$E$17:$L$17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(2)'!$E$21:$L$21</c:f>
              <c:numCache>
                <c:formatCode>_-* #,##0_-;\-* #,##0_-;_-* "-"??_-;_-@_-</c:formatCode>
                <c:ptCount val="8"/>
                <c:pt idx="0">
                  <c:v>618.12506920292651</c:v>
                </c:pt>
                <c:pt idx="1">
                  <c:v>489.45979056055495</c:v>
                </c:pt>
                <c:pt idx="2">
                  <c:v>824.38285960059738</c:v>
                </c:pt>
                <c:pt idx="3">
                  <c:v>1676.9392160805091</c:v>
                </c:pt>
                <c:pt idx="4">
                  <c:v>1185.1324115231114</c:v>
                </c:pt>
                <c:pt idx="5">
                  <c:v>1347.3334339024404</c:v>
                </c:pt>
                <c:pt idx="6">
                  <c:v>1697.7172037558651</c:v>
                </c:pt>
                <c:pt idx="7">
                  <c:v>2319.229692604787</c:v>
                </c:pt>
              </c:numCache>
            </c:numRef>
          </c:val>
          <c:extLst>
            <c:ext xmlns:c16="http://schemas.microsoft.com/office/drawing/2014/chart" uri="{C3380CC4-5D6E-409C-BE32-E72D297353CC}">
              <c16:uniqueId val="{00000008-E85F-41E3-A0DB-23A87F87D673}"/>
            </c:ext>
          </c:extLst>
        </c:ser>
        <c:ser>
          <c:idx val="4"/>
          <c:order val="4"/>
          <c:tx>
            <c:strRef>
              <c:f>'Jobs supported (2)'!$C$22</c:f>
              <c:strCache>
                <c:ptCount val="1"/>
                <c:pt idx="0">
                  <c:v>O&amp;M </c:v>
                </c:pt>
              </c:strCache>
            </c:strRef>
          </c:tx>
          <c:spPr>
            <a:solidFill>
              <a:schemeClr val="accent5"/>
            </a:solidFill>
            <a:ln w="25400">
              <a:noFill/>
            </a:ln>
            <a:effectLst/>
          </c:spPr>
          <c:cat>
            <c:numRef>
              <c:f>'Jobs supported (2)'!$E$17:$L$17</c:f>
              <c:numCache>
                <c:formatCode>General</c:formatCode>
                <c:ptCount val="8"/>
                <c:pt idx="0">
                  <c:v>2015</c:v>
                </c:pt>
                <c:pt idx="1">
                  <c:v>2020</c:v>
                </c:pt>
                <c:pt idx="2">
                  <c:v>2025</c:v>
                </c:pt>
                <c:pt idx="3">
                  <c:v>2030</c:v>
                </c:pt>
                <c:pt idx="4">
                  <c:v>2035</c:v>
                </c:pt>
                <c:pt idx="5">
                  <c:v>2040</c:v>
                </c:pt>
                <c:pt idx="6">
                  <c:v>2045</c:v>
                </c:pt>
                <c:pt idx="7">
                  <c:v>2050</c:v>
                </c:pt>
              </c:numCache>
            </c:numRef>
          </c:cat>
          <c:val>
            <c:numRef>
              <c:f>'Jobs supported (2)'!$E$22:$L$22</c:f>
              <c:numCache>
                <c:formatCode>_-* #,##0_-;\-* #,##0_-;_-* "-"??_-;_-@_-</c:formatCode>
                <c:ptCount val="8"/>
                <c:pt idx="0">
                  <c:v>990.80879353262844</c:v>
                </c:pt>
                <c:pt idx="1">
                  <c:v>1297.4846859930542</c:v>
                </c:pt>
                <c:pt idx="2">
                  <c:v>2260.9869306666401</c:v>
                </c:pt>
                <c:pt idx="3">
                  <c:v>4079.4021755343933</c:v>
                </c:pt>
                <c:pt idx="4">
                  <c:v>4750.1438000456055</c:v>
                </c:pt>
                <c:pt idx="5">
                  <c:v>5510.7599430747432</c:v>
                </c:pt>
                <c:pt idx="6">
                  <c:v>6403.1169211020442</c:v>
                </c:pt>
                <c:pt idx="7">
                  <c:v>7326.5281242392794</c:v>
                </c:pt>
              </c:numCache>
            </c:numRef>
          </c:val>
          <c:extLst>
            <c:ext xmlns:c16="http://schemas.microsoft.com/office/drawing/2014/chart" uri="{C3380CC4-5D6E-409C-BE32-E72D297353CC}">
              <c16:uniqueId val="{00000009-E85F-41E3-A0DB-23A87F87D673}"/>
            </c:ext>
          </c:extLst>
        </c:ser>
        <c:dLbls>
          <c:showLegendKey val="0"/>
          <c:showVal val="0"/>
          <c:showCatName val="0"/>
          <c:showSerName val="0"/>
          <c:showPercent val="0"/>
          <c:showBubbleSize val="0"/>
        </c:dLbls>
        <c:axId val="1483753952"/>
        <c:axId val="1483755632"/>
      </c:areaChart>
      <c:catAx>
        <c:axId val="148375395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5632"/>
        <c:crosses val="autoZero"/>
        <c:auto val="1"/>
        <c:lblAlgn val="ctr"/>
        <c:lblOffset val="100"/>
        <c:noMultiLvlLbl val="0"/>
      </c:catAx>
      <c:valAx>
        <c:axId val="148375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Jobs</a:t>
                </a:r>
                <a:r>
                  <a:rPr lang="en-GB" baseline="0"/>
                  <a:t> supported</a:t>
                </a:r>
                <a:endParaRPr lang="en-GB"/>
              </a:p>
            </c:rich>
          </c:tx>
          <c:layout>
            <c:manualLayout>
              <c:xMode val="edge"/>
              <c:yMode val="edge"/>
              <c:x val="0"/>
              <c:y val="0.2997546296296296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w="12700" cap="sq">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3753952"/>
        <c:crosses val="autoZero"/>
        <c:crossBetween val="midCat"/>
      </c:valAx>
      <c:spPr>
        <a:noFill/>
        <a:ln>
          <a:noFill/>
        </a:ln>
        <a:effectLst/>
      </c:spPr>
    </c:plotArea>
    <c:legend>
      <c:legendPos val="r"/>
      <c:layout>
        <c:manualLayout>
          <c:xMode val="edge"/>
          <c:yMode val="edge"/>
          <c:x val="0.76645434027777792"/>
          <c:y val="0.15815092592592594"/>
          <c:w val="0.23174063007528548"/>
          <c:h val="0.7405061728395061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 id="18">
  <a:schemeClr val="accent5"/>
</cs:colorStyle>
</file>

<file path=xl/charts/colors8.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372269</xdr:colOff>
      <xdr:row>2</xdr:row>
      <xdr:rowOff>132669</xdr:rowOff>
    </xdr:from>
    <xdr:to>
      <xdr:col>8</xdr:col>
      <xdr:colOff>1478956</xdr:colOff>
      <xdr:row>12</xdr:row>
      <xdr:rowOff>130968</xdr:rowOff>
    </xdr:to>
    <xdr:sp macro="" textlink="">
      <xdr:nvSpPr>
        <xdr:cNvPr id="4" name="Rectangle 3">
          <a:extLst>
            <a:ext uri="{FF2B5EF4-FFF2-40B4-BE49-F238E27FC236}">
              <a16:creationId xmlns:a16="http://schemas.microsoft.com/office/drawing/2014/main" id="{C880DD84-F245-4B09-A2AD-0842C22BEE46}"/>
            </a:ext>
          </a:extLst>
        </xdr:cNvPr>
        <xdr:cNvSpPr/>
      </xdr:nvSpPr>
      <xdr:spPr>
        <a:xfrm>
          <a:off x="12623800" y="942294"/>
          <a:ext cx="6726437" cy="2641487"/>
        </a:xfrm>
        <a:prstGeom prst="rect">
          <a:avLst/>
        </a:prstGeom>
        <a:solidFill>
          <a:schemeClr val="accent3"/>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000" b="1">
              <a:solidFill>
                <a:sysClr val="windowText" lastClr="000000"/>
              </a:solidFill>
            </a:rPr>
            <a:t>Overview</a:t>
          </a:r>
          <a:endParaRPr lang="en-GB" sz="1100" b="1">
            <a:solidFill>
              <a:sysClr val="windowText" lastClr="000000"/>
            </a:solidFill>
          </a:endParaRPr>
        </a:p>
        <a:p>
          <a:pPr algn="l"/>
          <a:endParaRPr lang="en-GB" sz="1100" b="1">
            <a:solidFill>
              <a:sysClr val="windowText" lastClr="000000"/>
            </a:solidFill>
          </a:endParaRPr>
        </a:p>
        <a:p>
          <a:pPr algn="l"/>
          <a:r>
            <a:rPr lang="en-GB" sz="1600" b="0" baseline="0">
              <a:solidFill>
                <a:sysClr val="windowText" lastClr="000000"/>
              </a:solidFill>
            </a:rPr>
            <a:t>The steps of the EINA methodolody relevant to the business opportunities section are outlined on the left. </a:t>
          </a:r>
        </a:p>
        <a:p>
          <a:pPr algn="l"/>
          <a:endParaRPr lang="en-GB" sz="1600" b="0" baseline="0">
            <a:solidFill>
              <a:sysClr val="windowText" lastClr="000000"/>
            </a:solidFill>
          </a:endParaRPr>
        </a:p>
        <a:p>
          <a:pPr algn="l"/>
          <a:r>
            <a:rPr lang="en-GB" sz="1600" b="0" baseline="0">
              <a:solidFill>
                <a:sysClr val="windowText" lastClr="000000"/>
              </a:solidFill>
            </a:rPr>
            <a:t>For certain steps, in particular Step 4.1.3, it will be necessary to perform further background calculations and store information in order to complete the necessary fields in the calculation sheets. The background sheets allow space for this.</a:t>
          </a:r>
          <a:endParaRPr lang="en-GB" sz="1600" b="0">
            <a:solidFill>
              <a:sysClr val="windowText" lastClr="000000"/>
            </a:solidFill>
          </a:endParaRPr>
        </a:p>
      </xdr:txBody>
    </xdr:sp>
    <xdr:clientData/>
  </xdr:twoCellAnchor>
  <xdr:twoCellAnchor>
    <xdr:from>
      <xdr:col>0</xdr:col>
      <xdr:colOff>0</xdr:colOff>
      <xdr:row>9</xdr:row>
      <xdr:rowOff>95250</xdr:rowOff>
    </xdr:from>
    <xdr:to>
      <xdr:col>0</xdr:col>
      <xdr:colOff>489857</xdr:colOff>
      <xdr:row>22</xdr:row>
      <xdr:rowOff>95250</xdr:rowOff>
    </xdr:to>
    <xdr:sp macro="" textlink="">
      <xdr:nvSpPr>
        <xdr:cNvPr id="5" name="Arrow: Down 4">
          <a:extLst>
            <a:ext uri="{FF2B5EF4-FFF2-40B4-BE49-F238E27FC236}">
              <a16:creationId xmlns:a16="http://schemas.microsoft.com/office/drawing/2014/main" id="{9A59FDAD-FB77-4954-99DA-36E50BA752FF}"/>
            </a:ext>
          </a:extLst>
        </xdr:cNvPr>
        <xdr:cNvSpPr/>
      </xdr:nvSpPr>
      <xdr:spPr>
        <a:xfrm>
          <a:off x="0" y="2755900"/>
          <a:ext cx="489857" cy="5257800"/>
        </a:xfrm>
        <a:prstGeom prst="downArrow">
          <a:avLst>
            <a:gd name="adj1" fmla="val 50000"/>
            <a:gd name="adj2" fmla="val 785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6</xdr:row>
      <xdr:rowOff>158750</xdr:rowOff>
    </xdr:from>
    <xdr:to>
      <xdr:col>8</xdr:col>
      <xdr:colOff>277091</xdr:colOff>
      <xdr:row>10</xdr:row>
      <xdr:rowOff>118533</xdr:rowOff>
    </xdr:to>
    <xdr:sp macro="" textlink="">
      <xdr:nvSpPr>
        <xdr:cNvPr id="2" name="Speech Bubble: Rectangle 1">
          <a:extLst>
            <a:ext uri="{FF2B5EF4-FFF2-40B4-BE49-F238E27FC236}">
              <a16:creationId xmlns:a16="http://schemas.microsoft.com/office/drawing/2014/main" id="{559913CD-E574-4B5E-9A18-0071975D4054}"/>
            </a:ext>
          </a:extLst>
        </xdr:cNvPr>
        <xdr:cNvSpPr/>
      </xdr:nvSpPr>
      <xdr:spPr>
        <a:xfrm>
          <a:off x="7568045" y="1648114"/>
          <a:ext cx="2632364" cy="669828"/>
        </a:xfrm>
        <a:prstGeom prst="wedgeRectCallout">
          <a:avLst>
            <a:gd name="adj1" fmla="val -37570"/>
            <a:gd name="adj2" fmla="val 72740"/>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N/A denotes that</a:t>
          </a:r>
          <a:r>
            <a:rPr lang="en-GB" sz="1100" baseline="0">
              <a:solidFill>
                <a:sysClr val="windowText" lastClr="000000"/>
              </a:solidFill>
            </a:rPr>
            <a:t> trade data is unavailable or category is not traded (ie capex materials)</a:t>
          </a:r>
        </a:p>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888547</xdr:colOff>
      <xdr:row>1</xdr:row>
      <xdr:rowOff>131989</xdr:rowOff>
    </xdr:from>
    <xdr:to>
      <xdr:col>12</xdr:col>
      <xdr:colOff>353786</xdr:colOff>
      <xdr:row>5</xdr:row>
      <xdr:rowOff>125329</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1799271" y="758634"/>
          <a:ext cx="15540765" cy="695182"/>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performs a simple calculation. It multiplies the UK market share by total tradeable turnover to calculate the total turnover captured by the UK. </a:t>
          </a:r>
          <a:endParaRPr lang="en-GB" sz="1100" b="0">
            <a:solidFill>
              <a:sysClr val="windowText" lastClr="000000"/>
            </a:solidFill>
          </a:endParaRPr>
        </a:p>
        <a:p>
          <a:pPr algn="l"/>
          <a:endParaRPr lang="en-GB" sz="11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xdr:row>
      <xdr:rowOff>128587</xdr:rowOff>
    </xdr:from>
    <xdr:to>
      <xdr:col>15</xdr:col>
      <xdr:colOff>38100</xdr:colOff>
      <xdr:row>7</xdr:row>
      <xdr:rowOff>46463</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97002" y="755843"/>
          <a:ext cx="13637013" cy="986535"/>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GVA</a:t>
          </a:r>
          <a:r>
            <a:rPr lang="en-GB" sz="1100" b="0" baseline="0">
              <a:solidFill>
                <a:sysClr val="windowText" lastClr="000000"/>
              </a:solidFill>
            </a:rPr>
            <a:t> multipliers are based on ONS Annual Business Survey (ABS) data. For the lowest level code available, the average GVA/turnover ratio should be calculated. The data can be relatively noisy, and hence a 3 year average is recommended. </a:t>
          </a:r>
        </a:p>
        <a:p>
          <a:pPr algn="l"/>
          <a:endParaRPr lang="en-GB" sz="1100" b="1">
            <a:solidFill>
              <a:sysClr val="windowText" lastClr="000000"/>
            </a:solidFill>
          </a:endParaRPr>
        </a:p>
      </xdr:txBody>
    </xdr:sp>
    <xdr:clientData/>
  </xdr:twoCellAnchor>
  <xdr:twoCellAnchor>
    <xdr:from>
      <xdr:col>3</xdr:col>
      <xdr:colOff>743414</xdr:colOff>
      <xdr:row>22</xdr:row>
      <xdr:rowOff>77439</xdr:rowOff>
    </xdr:from>
    <xdr:to>
      <xdr:col>5</xdr:col>
      <xdr:colOff>260540</xdr:colOff>
      <xdr:row>25</xdr:row>
      <xdr:rowOff>36169</xdr:rowOff>
    </xdr:to>
    <xdr:sp macro="" textlink="">
      <xdr:nvSpPr>
        <xdr:cNvPr id="3" name="Speech Bubble: Rectangle 2">
          <a:extLst>
            <a:ext uri="{FF2B5EF4-FFF2-40B4-BE49-F238E27FC236}">
              <a16:creationId xmlns:a16="http://schemas.microsoft.com/office/drawing/2014/main" id="{C2FFB72C-09D1-407A-B776-C4B31CA7567F}"/>
            </a:ext>
          </a:extLst>
        </xdr:cNvPr>
        <xdr:cNvSpPr/>
      </xdr:nvSpPr>
      <xdr:spPr>
        <a:xfrm>
          <a:off x="3864207" y="4638598"/>
          <a:ext cx="1747370" cy="493059"/>
        </a:xfrm>
        <a:prstGeom prst="wedgeRectCallout">
          <a:avLst>
            <a:gd name="adj1" fmla="val 22976"/>
            <a:gd name="adj2" fmla="val -80913"/>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Capex component proportions from costs tab</a:t>
          </a:r>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521154</xdr:colOff>
      <xdr:row>1</xdr:row>
      <xdr:rowOff>159204</xdr:rowOff>
    </xdr:from>
    <xdr:to>
      <xdr:col>15</xdr:col>
      <xdr:colOff>502104</xdr:colOff>
      <xdr:row>6</xdr:row>
      <xdr:rowOff>18144</xdr:rowOff>
    </xdr:to>
    <xdr:sp macro="" textlink="">
      <xdr:nvSpPr>
        <xdr:cNvPr id="2" name="Rectangle 1">
          <a:extLst>
            <a:ext uri="{FF2B5EF4-FFF2-40B4-BE49-F238E27FC236}">
              <a16:creationId xmlns:a16="http://schemas.microsoft.com/office/drawing/2014/main" id="{00000000-0008-0000-0C00-000002000000}"/>
            </a:ext>
          </a:extLst>
        </xdr:cNvPr>
        <xdr:cNvSpPr/>
      </xdr:nvSpPr>
      <xdr:spPr>
        <a:xfrm>
          <a:off x="1274083" y="785133"/>
          <a:ext cx="16899164" cy="766082"/>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simply multiplies the GVA mulipliers with UK captured turnover. </a:t>
          </a:r>
          <a:endParaRPr lang="en-GB" sz="1100" b="0">
            <a:solidFill>
              <a:sysClr val="windowText" lastClr="000000"/>
            </a:solidFill>
          </a:endParaRPr>
        </a:p>
        <a:p>
          <a:pPr algn="l"/>
          <a:endParaRPr lang="en-GB" sz="1100" b="1">
            <a:solidFill>
              <a:sysClr val="windowText" lastClr="000000"/>
            </a:solidFill>
          </a:endParaRPr>
        </a:p>
      </xdr:txBody>
    </xdr:sp>
    <xdr:clientData/>
  </xdr:twoCellAnchor>
  <xdr:twoCellAnchor>
    <xdr:from>
      <xdr:col>2</xdr:col>
      <xdr:colOff>1079499</xdr:colOff>
      <xdr:row>34</xdr:row>
      <xdr:rowOff>0</xdr:rowOff>
    </xdr:from>
    <xdr:to>
      <xdr:col>10</xdr:col>
      <xdr:colOff>809624</xdr:colOff>
      <xdr:row>63</xdr:row>
      <xdr:rowOff>15875</xdr:rowOff>
    </xdr:to>
    <xdr:graphicFrame macro="">
      <xdr:nvGraphicFramePr>
        <xdr:cNvPr id="9" name="Chart 2">
          <a:extLst>
            <a:ext uri="{FF2B5EF4-FFF2-40B4-BE49-F238E27FC236}">
              <a16:creationId xmlns:a16="http://schemas.microsoft.com/office/drawing/2014/main" id="{E19067C5-60AD-264A-92D6-6F1C6D7D95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807357</xdr:colOff>
      <xdr:row>23</xdr:row>
      <xdr:rowOff>36286</xdr:rowOff>
    </xdr:from>
    <xdr:to>
      <xdr:col>7</xdr:col>
      <xdr:colOff>1331232</xdr:colOff>
      <xdr:row>24</xdr:row>
      <xdr:rowOff>160944</xdr:rowOff>
    </xdr:to>
    <xdr:sp macro="" textlink="">
      <xdr:nvSpPr>
        <xdr:cNvPr id="4" name="Speech Bubble: Rectangle 3">
          <a:extLst>
            <a:ext uri="{FF2B5EF4-FFF2-40B4-BE49-F238E27FC236}">
              <a16:creationId xmlns:a16="http://schemas.microsoft.com/office/drawing/2014/main" id="{7BDC7695-3312-4505-ADE2-4153A7BC83D6}"/>
            </a:ext>
          </a:extLst>
        </xdr:cNvPr>
        <xdr:cNvSpPr/>
      </xdr:nvSpPr>
      <xdr:spPr>
        <a:xfrm>
          <a:off x="6966857" y="5016500"/>
          <a:ext cx="2047875" cy="306087"/>
        </a:xfrm>
        <a:prstGeom prst="wedgeRectCallout">
          <a:avLst>
            <a:gd name="adj1" fmla="val 68007"/>
            <a:gd name="adj2" fmla="val -979"/>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GVA in £millions for graph</a:t>
          </a:r>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521154</xdr:colOff>
      <xdr:row>1</xdr:row>
      <xdr:rowOff>159203</xdr:rowOff>
    </xdr:from>
    <xdr:to>
      <xdr:col>15</xdr:col>
      <xdr:colOff>502104</xdr:colOff>
      <xdr:row>7</xdr:row>
      <xdr:rowOff>71437</xdr:rowOff>
    </xdr:to>
    <xdr:sp macro="" textlink="">
      <xdr:nvSpPr>
        <xdr:cNvPr id="2" name="Rectangle 1">
          <a:extLst>
            <a:ext uri="{FF2B5EF4-FFF2-40B4-BE49-F238E27FC236}">
              <a16:creationId xmlns:a16="http://schemas.microsoft.com/office/drawing/2014/main" id="{00000000-0008-0000-0D00-000002000000}"/>
            </a:ext>
          </a:extLst>
        </xdr:cNvPr>
        <xdr:cNvSpPr/>
      </xdr:nvSpPr>
      <xdr:spPr>
        <a:xfrm>
          <a:off x="1021217" y="786266"/>
          <a:ext cx="15768637" cy="959984"/>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stores GVA per worker estimates, which may be broken down per component if relevant. To compute GVA/worker estimates, ONS ABS survey data can again be used. </a:t>
          </a:r>
          <a:r>
            <a:rPr lang="en-GB" sz="1100" b="1" baseline="0">
              <a:solidFill>
                <a:sysClr val="windowText" lastClr="000000"/>
              </a:solidFill>
            </a:rPr>
            <a:t>Note, the GVA/worker estimate should be increased by 0.8% annually to account for productivity growth. </a:t>
          </a:r>
          <a:endParaRPr lang="en-GB" sz="1100" b="1">
            <a:solidFill>
              <a:sysClr val="windowText" lastClr="000000"/>
            </a:solidFill>
          </a:endParaRPr>
        </a:p>
        <a:p>
          <a:pPr algn="l"/>
          <a:endParaRPr lang="en-GB" sz="1100" b="1">
            <a:solidFill>
              <a:sysClr val="windowText" lastClr="000000"/>
            </a:solidFill>
          </a:endParaRPr>
        </a:p>
      </xdr:txBody>
    </xdr:sp>
    <xdr:clientData/>
  </xdr:twoCellAnchor>
  <xdr:twoCellAnchor>
    <xdr:from>
      <xdr:col>3</xdr:col>
      <xdr:colOff>246063</xdr:colOff>
      <xdr:row>9</xdr:row>
      <xdr:rowOff>134938</xdr:rowOff>
    </xdr:from>
    <xdr:to>
      <xdr:col>6</xdr:col>
      <xdr:colOff>974613</xdr:colOff>
      <xdr:row>12</xdr:row>
      <xdr:rowOff>22451</xdr:rowOff>
    </xdr:to>
    <xdr:sp macro="" textlink="">
      <xdr:nvSpPr>
        <xdr:cNvPr id="5" name="Speech Bubble: Rectangle 4">
          <a:extLst>
            <a:ext uri="{FF2B5EF4-FFF2-40B4-BE49-F238E27FC236}">
              <a16:creationId xmlns:a16="http://schemas.microsoft.com/office/drawing/2014/main" id="{32E2862D-4A6F-4AA9-AC86-DF4F806EEC04}"/>
            </a:ext>
          </a:extLst>
        </xdr:cNvPr>
        <xdr:cNvSpPr/>
      </xdr:nvSpPr>
      <xdr:spPr>
        <a:xfrm>
          <a:off x="3754438" y="5961063"/>
          <a:ext cx="4879863" cy="601888"/>
        </a:xfrm>
        <a:prstGeom prst="wedgeRectCallout">
          <a:avLst>
            <a:gd name="adj1" fmla="val 58990"/>
            <a:gd name="adj2" fmla="val -22428"/>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From ONS Renewable Energy Economy Survey.</a:t>
          </a:r>
          <a:r>
            <a:rPr lang="en-GB" sz="1100" baseline="0">
              <a:solidFill>
                <a:sysClr val="windowText" lastClr="000000"/>
              </a:solidFill>
            </a:rPr>
            <a:t> This is a factor &gt;1 to take account of the fact green productivity tyically higher. </a:t>
          </a:r>
          <a:r>
            <a:rPr lang="en-GB" sz="1100">
              <a:solidFill>
                <a:sysClr val="windowText" lastClr="000000"/>
              </a:solidFill>
            </a:rPr>
            <a:t> </a:t>
          </a:r>
          <a:r>
            <a:rPr lang="en-GB" sz="1100">
              <a:solidFill>
                <a:sysClr val="windowText" lastClr="000000"/>
              </a:solidFill>
              <a:effectLst/>
              <a:latin typeface="+mn-lt"/>
              <a:ea typeface="+mn-ea"/>
              <a:cs typeface="+mn-cs"/>
            </a:rPr>
            <a:t>Applied for first 5</a:t>
          </a:r>
          <a:r>
            <a:rPr lang="en-GB" sz="1100" baseline="0">
              <a:solidFill>
                <a:sysClr val="windowText" lastClr="000000"/>
              </a:solidFill>
              <a:effectLst/>
              <a:latin typeface="+mn-lt"/>
              <a:ea typeface="+mn-ea"/>
              <a:cs typeface="+mn-cs"/>
            </a:rPr>
            <a:t> years, before reducing back down to overall productivity factor</a:t>
          </a:r>
          <a:endParaRPr lang="en-GB" sz="1100">
            <a:solidFill>
              <a:sysClr val="windowText" lastClr="000000"/>
            </a:solidFill>
          </a:endParaRPr>
        </a:p>
        <a:p>
          <a:pPr algn="l"/>
          <a:endParaRPr lang="en-GB" sz="11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298905</xdr:colOff>
      <xdr:row>2</xdr:row>
      <xdr:rowOff>21622</xdr:rowOff>
    </xdr:from>
    <xdr:to>
      <xdr:col>15</xdr:col>
      <xdr:colOff>279855</xdr:colOff>
      <xdr:row>6</xdr:row>
      <xdr:rowOff>158751</xdr:rowOff>
    </xdr:to>
    <xdr:sp macro="" textlink="">
      <xdr:nvSpPr>
        <xdr:cNvPr id="2" name="Rectangle 1">
          <a:extLst>
            <a:ext uri="{FF2B5EF4-FFF2-40B4-BE49-F238E27FC236}">
              <a16:creationId xmlns:a16="http://schemas.microsoft.com/office/drawing/2014/main" id="{00000000-0008-0000-0E00-000002000000}"/>
            </a:ext>
          </a:extLst>
        </xdr:cNvPr>
        <xdr:cNvSpPr/>
      </xdr:nvSpPr>
      <xdr:spPr>
        <a:xfrm>
          <a:off x="753988" y="825955"/>
          <a:ext cx="15115117" cy="856796"/>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divides the estimated UK GVA by GVA per worker estimates to obtain an indicative estimate of the jobs supported by the industry.</a:t>
          </a:r>
          <a:endParaRPr lang="en-GB" sz="1100" b="0">
            <a:solidFill>
              <a:sysClr val="windowText" lastClr="000000"/>
            </a:solidFill>
          </a:endParaRPr>
        </a:p>
        <a:p>
          <a:pPr algn="l"/>
          <a:endParaRPr lang="en-GB" sz="1100" b="1">
            <a:solidFill>
              <a:sysClr val="windowText" lastClr="000000"/>
            </a:solidFill>
          </a:endParaRPr>
        </a:p>
      </xdr:txBody>
    </xdr:sp>
    <xdr:clientData/>
  </xdr:twoCellAnchor>
  <xdr:twoCellAnchor>
    <xdr:from>
      <xdr:col>2</xdr:col>
      <xdr:colOff>254533</xdr:colOff>
      <xdr:row>27</xdr:row>
      <xdr:rowOff>141817</xdr:rowOff>
    </xdr:from>
    <xdr:to>
      <xdr:col>9</xdr:col>
      <xdr:colOff>582084</xdr:colOff>
      <xdr:row>56</xdr:row>
      <xdr:rowOff>84667</xdr:rowOff>
    </xdr:to>
    <xdr:graphicFrame macro="">
      <xdr:nvGraphicFramePr>
        <xdr:cNvPr id="9" name="Chart 2">
          <a:extLst>
            <a:ext uri="{FF2B5EF4-FFF2-40B4-BE49-F238E27FC236}">
              <a16:creationId xmlns:a16="http://schemas.microsoft.com/office/drawing/2014/main" id="{BD8A7967-9769-8A47-8B0C-DEA48DEAA1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612775</xdr:colOff>
      <xdr:row>2</xdr:row>
      <xdr:rowOff>47625</xdr:rowOff>
    </xdr:from>
    <xdr:to>
      <xdr:col>34</xdr:col>
      <xdr:colOff>527050</xdr:colOff>
      <xdr:row>13</xdr:row>
      <xdr:rowOff>12700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282775" y="847725"/>
          <a:ext cx="6645275" cy="233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sheet is to store key information</a:t>
          </a:r>
          <a:r>
            <a:rPr lang="en-GB" sz="1100" baseline="0"/>
            <a:t> relevant to assessing tradeable % and market shares. This information may be stored across multiple sheets and should include</a:t>
          </a:r>
        </a:p>
        <a:p>
          <a:endParaRPr lang="en-GB" sz="1100" baseline="0"/>
        </a:p>
        <a:p>
          <a:r>
            <a:rPr lang="en-GB" sz="1100" baseline="0"/>
            <a:t>- RCA calculations for relevant HS codes</a:t>
          </a:r>
        </a:p>
        <a:p>
          <a:r>
            <a:rPr lang="en-GB" sz="1100" baseline="0"/>
            <a:t>- Notes from exprt interviews</a:t>
          </a:r>
        </a:p>
        <a:p>
          <a:r>
            <a:rPr lang="en-GB" sz="1100" baseline="0"/>
            <a:t>- Current trade data for relevant HS codes</a:t>
          </a:r>
        </a:p>
        <a:p>
          <a:r>
            <a:rPr lang="en-GB" sz="1100" baseline="0"/>
            <a:t>- Further relevant evidence used to inform market share assessment</a:t>
          </a:r>
          <a:endParaRPr lang="en-GB" sz="1100"/>
        </a:p>
      </xdr:txBody>
    </xdr:sp>
    <xdr:clientData/>
  </xdr:twoCellAnchor>
  <xdr:twoCellAnchor>
    <xdr:from>
      <xdr:col>10</xdr:col>
      <xdr:colOff>139700</xdr:colOff>
      <xdr:row>45</xdr:row>
      <xdr:rowOff>177800</xdr:rowOff>
    </xdr:from>
    <xdr:to>
      <xdr:col>14</xdr:col>
      <xdr:colOff>279400</xdr:colOff>
      <xdr:row>48</xdr:row>
      <xdr:rowOff>50800</xdr:rowOff>
    </xdr:to>
    <xdr:sp macro="" textlink="">
      <xdr:nvSpPr>
        <xdr:cNvPr id="10" name="Rectangle 9">
          <a:extLst>
            <a:ext uri="{FF2B5EF4-FFF2-40B4-BE49-F238E27FC236}">
              <a16:creationId xmlns:a16="http://schemas.microsoft.com/office/drawing/2014/main" id="{C5AC437E-5233-254D-850D-3E7CF6FF22D2}"/>
            </a:ext>
          </a:extLst>
        </xdr:cNvPr>
        <xdr:cNvSpPr/>
      </xdr:nvSpPr>
      <xdr:spPr>
        <a:xfrm>
          <a:off x="12458700" y="13982700"/>
          <a:ext cx="4330700" cy="444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0000"/>
              </a:solidFill>
            </a:rPr>
            <a:t>This is RoW, world exports totals</a:t>
          </a:r>
          <a:r>
            <a:rPr lang="en-GB" sz="1100" baseline="0">
              <a:solidFill>
                <a:srgbClr val="FF0000"/>
              </a:solidFill>
            </a:rPr>
            <a:t> 1.5% which is similar to OWIC's 1.3%</a:t>
          </a:r>
          <a:endParaRPr lang="en-GB" sz="1100">
            <a:solidFill>
              <a:srgbClr val="FF0000"/>
            </a:solidFill>
          </a:endParaRPr>
        </a:p>
        <a:p>
          <a:pPr algn="l"/>
          <a:r>
            <a:rPr lang="en-GB" sz="1100">
              <a:solidFill>
                <a:srgbClr val="FF0000"/>
              </a:solidFill>
            </a:rPr>
            <a: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369455</xdr:colOff>
      <xdr:row>1</xdr:row>
      <xdr:rowOff>92362</xdr:rowOff>
    </xdr:from>
    <xdr:to>
      <xdr:col>16</xdr:col>
      <xdr:colOff>69272</xdr:colOff>
      <xdr:row>21</xdr:row>
      <xdr:rowOff>0</xdr:rowOff>
    </xdr:to>
    <xdr:sp macro="" textlink="">
      <xdr:nvSpPr>
        <xdr:cNvPr id="4" name="Rectangle 3">
          <a:extLst>
            <a:ext uri="{FF2B5EF4-FFF2-40B4-BE49-F238E27FC236}">
              <a16:creationId xmlns:a16="http://schemas.microsoft.com/office/drawing/2014/main" id="{0AF4A9F5-1F3B-4B64-B4E7-0F5A6A9FC5FA}"/>
            </a:ext>
          </a:extLst>
        </xdr:cNvPr>
        <xdr:cNvSpPr/>
      </xdr:nvSpPr>
      <xdr:spPr>
        <a:xfrm>
          <a:off x="923637" y="715817"/>
          <a:ext cx="15009090" cy="3388592"/>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mn-lt"/>
              <a:ea typeface="+mn-ea"/>
              <a:cs typeface="+mn-cs"/>
            </a:rPr>
            <a:t>Overview</a:t>
          </a:r>
          <a:endParaRPr kumimoji="0" lang="en-GB"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ysClr val="windowText" lastClr="000000"/>
              </a:solidFill>
              <a:effectLst/>
              <a:uLnTx/>
              <a:uFillTx/>
              <a:latin typeface="+mn-lt"/>
              <a:ea typeface="+mn-ea"/>
              <a:cs typeface="+mn-cs"/>
            </a:rPr>
            <a:t>The "flow" of deployment, </a:t>
          </a:r>
          <a:r>
            <a:rPr kumimoji="0" lang="en-GB" sz="1600" b="0" i="0" u="none" strike="noStrike" kern="0" cap="none" spc="0" normalizeH="0" baseline="0" noProof="0">
              <a:ln>
                <a:noFill/>
              </a:ln>
              <a:solidFill>
                <a:sysClr val="windowText" lastClr="000000"/>
              </a:solidFill>
              <a:effectLst/>
              <a:uLnTx/>
              <a:uFillTx/>
              <a:latin typeface="+mn-lt"/>
              <a:ea typeface="+mn-ea"/>
              <a:cs typeface="+mn-cs"/>
            </a:rPr>
            <a:t>ie the additional stock built and hence potentially traded, is calculated in columns I-P.</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1" i="1" u="none" strike="noStrike" kern="0" cap="none" spc="0" normalizeH="0" baseline="0" noProof="0">
              <a:ln>
                <a:noFill/>
              </a:ln>
              <a:solidFill>
                <a:sysClr val="windowText" lastClr="000000"/>
              </a:solidFill>
              <a:effectLst/>
              <a:uLnTx/>
              <a:uFillTx/>
              <a:latin typeface="+mn-lt"/>
              <a:ea typeface="+mn-ea"/>
              <a:cs typeface="+mn-cs"/>
            </a:rPr>
            <a:t>Deployment levels </a:t>
          </a:r>
          <a:r>
            <a:rPr kumimoji="0" lang="en-GB" sz="1600" b="0" i="1" u="none" strike="noStrike" kern="0" cap="none" spc="0" normalizeH="0" baseline="0" noProof="0">
              <a:ln>
                <a:noFill/>
              </a:ln>
              <a:solidFill>
                <a:sysClr val="windowText" lastClr="000000"/>
              </a:solidFill>
              <a:effectLst/>
              <a:uLnTx/>
              <a:uFillTx/>
              <a:latin typeface="+mn-lt"/>
              <a:ea typeface="+mn-ea"/>
              <a:cs typeface="+mn-cs"/>
            </a:rPr>
            <a:t>are in</a:t>
          </a:r>
          <a:r>
            <a:rPr kumimoji="0" lang="en-GB" sz="1600" b="0" i="0" u="none" strike="noStrike" kern="0" cap="none" spc="0" normalizeH="0" baseline="0" noProof="0">
              <a:ln>
                <a:noFill/>
              </a:ln>
              <a:solidFill>
                <a:sysClr val="windowText" lastClr="000000"/>
              </a:solidFill>
              <a:effectLst/>
              <a:uLnTx/>
              <a:uFillTx/>
              <a:latin typeface="+mn-lt"/>
              <a:ea typeface="+mn-ea"/>
              <a:cs typeface="+mn-cs"/>
            </a:rPr>
            <a:t> column S onwards.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ysClr val="windowText" lastClr="000000"/>
              </a:solidFill>
              <a:effectLst/>
              <a:uLnTx/>
              <a:uFillTx/>
              <a:latin typeface="+mn-lt"/>
              <a:ea typeface="+mn-ea"/>
              <a:cs typeface="+mn-cs"/>
            </a:rPr>
            <a:t>Note</a:t>
          </a:r>
          <a:r>
            <a:rPr kumimoji="0" lang="en-GB" sz="1600" b="0" i="0" u="none" strike="noStrike" kern="0" cap="none" spc="0" normalizeH="0" baseline="0" noProof="0">
              <a:ln>
                <a:noFill/>
              </a:ln>
              <a:solidFill>
                <a:sysClr val="windowText" lastClr="000000"/>
              </a:solidFill>
              <a:effectLst/>
              <a:uLnTx/>
              <a:uFillTx/>
              <a:latin typeface="+mn-lt"/>
              <a:ea typeface="+mn-ea"/>
              <a:cs typeface="+mn-cs"/>
            </a:rPr>
            <a:t>: ESME provides UK deployment in the domestic analysis (as seen in rows 45-52 from column Y onwards) from ESME EINA Sub-themes: High Innovation, Aligned v1.2.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0" i="0" u="none" strike="noStrike" kern="0" cap="none" spc="0" normalizeH="0" baseline="0" noProof="0">
              <a:ln>
                <a:noFill/>
              </a:ln>
              <a:solidFill>
                <a:sysClr val="windowText" lastClr="000000"/>
              </a:solidFill>
              <a:effectLst/>
              <a:uLnTx/>
              <a:uFillTx/>
              <a:latin typeface="+mn-lt"/>
              <a:ea typeface="+mn-ea"/>
              <a:cs typeface="+mn-cs"/>
            </a:rPr>
            <a:t>These UK deployment figures for the domestic analysis are not necessarily comparable to those used in the export analysis. In the export analysis, the crucial outcome is an appropriately sized EU export market. Given differences in modelling between ESME and IEA deployment forecasts, subtracting ESME UK deployment from IEA EU deployment can lead to unrealistic UK shares of total EU deployment. As a result, the export analysis subtracts a "UK deployment" figure from the EU market which is different from ESME results, but better alligned with IEA modelling assumptions to ensure a realistic EU market size is obtained. The EU export market sizing was then sense-checked at a stakeholder workshop.</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16</xdr:col>
      <xdr:colOff>606136</xdr:colOff>
      <xdr:row>2</xdr:row>
      <xdr:rowOff>17319</xdr:rowOff>
    </xdr:from>
    <xdr:to>
      <xdr:col>19</xdr:col>
      <xdr:colOff>1801091</xdr:colOff>
      <xdr:row>7</xdr:row>
      <xdr:rowOff>121227</xdr:rowOff>
    </xdr:to>
    <xdr:sp macro="" textlink="">
      <xdr:nvSpPr>
        <xdr:cNvPr id="5" name="Rectangle 4">
          <a:extLst>
            <a:ext uri="{FF2B5EF4-FFF2-40B4-BE49-F238E27FC236}">
              <a16:creationId xmlns:a16="http://schemas.microsoft.com/office/drawing/2014/main" id="{E4852AA2-C05C-4432-B802-5705D3E9CDFB}"/>
            </a:ext>
          </a:extLst>
        </xdr:cNvPr>
        <xdr:cNvSpPr/>
      </xdr:nvSpPr>
      <xdr:spPr>
        <a:xfrm>
          <a:off x="16469591" y="813955"/>
          <a:ext cx="4052455" cy="987136"/>
        </a:xfrm>
        <a:prstGeom prst="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Note</a:t>
          </a:r>
        </a:p>
        <a:p>
          <a:pPr algn="l"/>
          <a:r>
            <a:rPr lang="en-GB" sz="1100" b="0">
              <a:solidFill>
                <a:sysClr val="windowText" lastClr="000000"/>
              </a:solidFill>
            </a:rPr>
            <a:t>Scenarios 1 &amp; 2 align with the UK's 30</a:t>
          </a:r>
          <a:r>
            <a:rPr lang="en-GB" sz="1100" b="0" baseline="0">
              <a:solidFill>
                <a:sysClr val="windowText" lastClr="000000"/>
              </a:solidFill>
            </a:rPr>
            <a:t> by 30 target, with Scenario 1 following ESME deployment to 2050, while scenario 2 aligns with the CCC's high ambition scneario. Scenario 3 follows ESME deployment to 2030 (and undershoots the 2030 30GW target).</a:t>
          </a:r>
          <a:endParaRPr lang="en-GB" sz="1100" b="0">
            <a:solidFill>
              <a:sysClr val="windowText" lastClr="000000"/>
            </a:solidFill>
          </a:endParaRPr>
        </a:p>
      </xdr:txBody>
    </xdr:sp>
    <xdr:clientData/>
  </xdr:twoCellAnchor>
  <xdr:twoCellAnchor>
    <xdr:from>
      <xdr:col>33</xdr:col>
      <xdr:colOff>658091</xdr:colOff>
      <xdr:row>7</xdr:row>
      <xdr:rowOff>138545</xdr:rowOff>
    </xdr:from>
    <xdr:to>
      <xdr:col>44</xdr:col>
      <xdr:colOff>69273</xdr:colOff>
      <xdr:row>15</xdr:row>
      <xdr:rowOff>51954</xdr:rowOff>
    </xdr:to>
    <xdr:sp macro="" textlink="">
      <xdr:nvSpPr>
        <xdr:cNvPr id="3" name="Rectangle 5">
          <a:extLst>
            <a:ext uri="{FF2B5EF4-FFF2-40B4-BE49-F238E27FC236}">
              <a16:creationId xmlns:a16="http://schemas.microsoft.com/office/drawing/2014/main" id="{11946F15-73D2-43C2-8CC6-1ED259007BA8}"/>
            </a:ext>
          </a:extLst>
        </xdr:cNvPr>
        <xdr:cNvSpPr/>
      </xdr:nvSpPr>
      <xdr:spPr>
        <a:xfrm>
          <a:off x="39814500" y="1818409"/>
          <a:ext cx="6061364" cy="1298863"/>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000" b="1">
              <a:solidFill>
                <a:sysClr val="windowText" lastClr="000000"/>
              </a:solidFill>
            </a:rPr>
            <a:t>Note</a:t>
          </a:r>
        </a:p>
        <a:p>
          <a:pPr algn="l"/>
          <a:r>
            <a:rPr lang="en-GB" sz="1400" b="0">
              <a:solidFill>
                <a:sysClr val="windowText" lastClr="000000"/>
              </a:solidFill>
            </a:rPr>
            <a:t>Replacement demand is generated based on previous deployment (where</a:t>
          </a:r>
          <a:r>
            <a:rPr lang="en-GB" sz="1400" b="0" baseline="0">
              <a:solidFill>
                <a:sysClr val="windowText" lastClr="000000"/>
              </a:solidFill>
            </a:rPr>
            <a:t> available) and lifetime assumptions (detailed in the assumptions log). When previous deployment is not</a:t>
          </a:r>
          <a:r>
            <a:rPr lang="en-GB" sz="1400" b="0">
              <a:solidFill>
                <a:sysClr val="windowText" lastClr="000000"/>
              </a:solidFill>
            </a:rPr>
            <a:t> available, asssumptions</a:t>
          </a:r>
          <a:r>
            <a:rPr lang="en-GB" sz="1400" b="0" baseline="0">
              <a:solidFill>
                <a:sysClr val="windowText" lastClr="000000"/>
              </a:solidFill>
            </a:rPr>
            <a:t> on previous stocks are made based on the recent growth trajectory.</a:t>
          </a:r>
        </a:p>
        <a:p>
          <a:pPr algn="l"/>
          <a:endParaRPr lang="en-GB" sz="1400" b="0">
            <a:solidFill>
              <a:sysClr val="windowText" lastClr="000000"/>
            </a:solidFill>
          </a:endParaRPr>
        </a:p>
      </xdr:txBody>
    </xdr:sp>
    <xdr:clientData/>
  </xdr:twoCellAnchor>
  <xdr:twoCellAnchor>
    <xdr:from>
      <xdr:col>18</xdr:col>
      <xdr:colOff>813954</xdr:colOff>
      <xdr:row>55</xdr:row>
      <xdr:rowOff>34636</xdr:rowOff>
    </xdr:from>
    <xdr:to>
      <xdr:col>23</xdr:col>
      <xdr:colOff>123176</xdr:colOff>
      <xdr:row>57</xdr:row>
      <xdr:rowOff>142009</xdr:rowOff>
    </xdr:to>
    <xdr:sp macro="" textlink="">
      <xdr:nvSpPr>
        <xdr:cNvPr id="2" name="Speech Bubble: Rectangle 6">
          <a:extLst>
            <a:ext uri="{FF2B5EF4-FFF2-40B4-BE49-F238E27FC236}">
              <a16:creationId xmlns:a16="http://schemas.microsoft.com/office/drawing/2014/main" id="{FA1F8008-C7B6-427E-84CD-C995CB6C6B3F}"/>
            </a:ext>
          </a:extLst>
        </xdr:cNvPr>
        <xdr:cNvSpPr/>
      </xdr:nvSpPr>
      <xdr:spPr>
        <a:xfrm>
          <a:off x="17906999" y="10512136"/>
          <a:ext cx="9561586" cy="453737"/>
        </a:xfrm>
        <a:prstGeom prst="wedgeRectCallout">
          <a:avLst>
            <a:gd name="adj1" fmla="val 337"/>
            <a:gd name="adj2" fmla="val 113893"/>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solidFill>
                <a:sysClr val="windowText" lastClr="000000"/>
              </a:solidFill>
            </a:rPr>
            <a:t>This is IEA ETP data that is not explicitely used in the calculator. However the EU and RoW deployment scenarios use it to comvert GW to TWh to take account of changing conversion rates between GW and TWh over time.</a:t>
          </a:r>
          <a:endParaRPr lang="en-GB" sz="1100" b="0" baseline="0">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269876</xdr:colOff>
      <xdr:row>33</xdr:row>
      <xdr:rowOff>79376</xdr:rowOff>
    </xdr:from>
    <xdr:to>
      <xdr:col>1</xdr:col>
      <xdr:colOff>1108983</xdr:colOff>
      <xdr:row>42</xdr:row>
      <xdr:rowOff>89203</xdr:rowOff>
    </xdr:to>
    <xdr:sp macro="" textlink="">
      <xdr:nvSpPr>
        <xdr:cNvPr id="3" name="TextBox 2">
          <a:extLst>
            <a:ext uri="{FF2B5EF4-FFF2-40B4-BE49-F238E27FC236}">
              <a16:creationId xmlns:a16="http://schemas.microsoft.com/office/drawing/2014/main" id="{F109FA72-BCD2-4F48-91AA-38F2F06BF546}"/>
            </a:ext>
          </a:extLst>
        </xdr:cNvPr>
        <xdr:cNvSpPr txBox="1"/>
      </xdr:nvSpPr>
      <xdr:spPr>
        <a:xfrm>
          <a:off x="269876" y="6413501"/>
          <a:ext cx="1616982" cy="1867202"/>
        </a:xfrm>
        <a:prstGeom prst="wedgeRectCallout">
          <a:avLst>
            <a:gd name="adj1" fmla="val 64177"/>
            <a:gd name="adj2" fmla="val 19482"/>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Proportional breakdown of LCOE</a:t>
          </a:r>
          <a:r>
            <a:rPr lang="en-GB" sz="1100" baseline="0">
              <a:solidFill>
                <a:schemeClr val="dk1"/>
              </a:solidFill>
              <a:effectLst/>
              <a:latin typeface="+mn-lt"/>
              <a:ea typeface="+mn-ea"/>
              <a:cs typeface="+mn-cs"/>
            </a:rPr>
            <a:t> is for all components. This calculation splits out the proportions of </a:t>
          </a:r>
          <a:r>
            <a:rPr lang="en-GB" sz="1100">
              <a:solidFill>
                <a:schemeClr val="dk1"/>
              </a:solidFill>
              <a:effectLst/>
              <a:latin typeface="+mn-lt"/>
              <a:ea typeface="+mn-ea"/>
              <a:cs typeface="+mn-cs"/>
            </a:rPr>
            <a:t>capex costs</a:t>
          </a:r>
          <a:r>
            <a:rPr lang="en-GB" sz="1100" baseline="0">
              <a:solidFill>
                <a:schemeClr val="dk1"/>
              </a:solidFill>
              <a:effectLst/>
              <a:latin typeface="+mn-lt"/>
              <a:ea typeface="+mn-ea"/>
              <a:cs typeface="+mn-cs"/>
            </a:rPr>
            <a:t> from O&amp;M of the LCOE costs</a:t>
          </a:r>
          <a:endParaRPr lang="en-GB">
            <a:effectLst/>
          </a:endParaRPr>
        </a:p>
      </xdr:txBody>
    </xdr:sp>
    <xdr:clientData/>
  </xdr:twoCellAnchor>
  <xdr:twoCellAnchor>
    <xdr:from>
      <xdr:col>7</xdr:col>
      <xdr:colOff>10584</xdr:colOff>
      <xdr:row>33</xdr:row>
      <xdr:rowOff>95251</xdr:rowOff>
    </xdr:from>
    <xdr:to>
      <xdr:col>13</xdr:col>
      <xdr:colOff>128360</xdr:colOff>
      <xdr:row>36</xdr:row>
      <xdr:rowOff>30844</xdr:rowOff>
    </xdr:to>
    <xdr:sp macro="" textlink="">
      <xdr:nvSpPr>
        <xdr:cNvPr id="4" name="Speech Bubble: Rectangle 3">
          <a:extLst>
            <a:ext uri="{FF2B5EF4-FFF2-40B4-BE49-F238E27FC236}">
              <a16:creationId xmlns:a16="http://schemas.microsoft.com/office/drawing/2014/main" id="{0D86120F-1A88-4E04-9128-5E7604AFAE06}"/>
            </a:ext>
          </a:extLst>
        </xdr:cNvPr>
        <xdr:cNvSpPr/>
      </xdr:nvSpPr>
      <xdr:spPr>
        <a:xfrm>
          <a:off x="10805584" y="6429376"/>
          <a:ext cx="8229901" cy="649968"/>
        </a:xfrm>
        <a:prstGeom prst="wedgeRectCallout">
          <a:avLst>
            <a:gd name="adj1" fmla="val -20019"/>
            <a:gd name="adj2" fmla="val -88972"/>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These reflect the innovation assumptions and resultant</a:t>
          </a:r>
          <a:r>
            <a:rPr lang="en-GB" sz="1100" baseline="0">
              <a:solidFill>
                <a:sysClr val="windowText" lastClr="000000"/>
              </a:solidFill>
            </a:rPr>
            <a:t> cost decrease</a:t>
          </a:r>
          <a:r>
            <a:rPr lang="en-GB" sz="1100">
              <a:solidFill>
                <a:sysClr val="windowText" lastClr="000000"/>
              </a:solidFill>
            </a:rPr>
            <a:t> we use throughout</a:t>
          </a:r>
          <a:r>
            <a:rPr lang="en-GB" sz="1100" baseline="0">
              <a:solidFill>
                <a:sysClr val="windowText" lastClr="000000"/>
              </a:solidFill>
            </a:rPr>
            <a:t> the project and are based on the ESME modelling. Assumed to be a linear decrease</a:t>
          </a:r>
        </a:p>
      </xdr:txBody>
    </xdr:sp>
    <xdr:clientData/>
  </xdr:twoCellAnchor>
  <xdr:twoCellAnchor>
    <xdr:from>
      <xdr:col>2</xdr:col>
      <xdr:colOff>0</xdr:colOff>
      <xdr:row>3</xdr:row>
      <xdr:rowOff>0</xdr:rowOff>
    </xdr:from>
    <xdr:to>
      <xdr:col>12</xdr:col>
      <xdr:colOff>769793</xdr:colOff>
      <xdr:row>10</xdr:row>
      <xdr:rowOff>131617</xdr:rowOff>
    </xdr:to>
    <xdr:sp macro="" textlink="">
      <xdr:nvSpPr>
        <xdr:cNvPr id="6" name="Rectangle 5">
          <a:extLst>
            <a:ext uri="{FF2B5EF4-FFF2-40B4-BE49-F238E27FC236}">
              <a16:creationId xmlns:a16="http://schemas.microsoft.com/office/drawing/2014/main" id="{023639A8-1BAF-4CD5-908F-31F4206FC894}"/>
            </a:ext>
          </a:extLst>
        </xdr:cNvPr>
        <xdr:cNvSpPr/>
      </xdr:nvSpPr>
      <xdr:spPr>
        <a:xfrm>
          <a:off x="2343727" y="969818"/>
          <a:ext cx="17071975" cy="1343890"/>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000" b="1">
              <a:solidFill>
                <a:sysClr val="windowText" lastClr="000000"/>
              </a:solidFill>
            </a:rPr>
            <a:t>Overview</a:t>
          </a:r>
          <a:endParaRPr lang="en-GB" sz="1100" b="1">
            <a:solidFill>
              <a:sysClr val="windowText" lastClr="000000"/>
            </a:solidFill>
          </a:endParaRPr>
        </a:p>
        <a:p>
          <a:pPr algn="l"/>
          <a:endParaRPr lang="en-GB" sz="1100" b="1">
            <a:solidFill>
              <a:sysClr val="windowText" lastClr="000000"/>
            </a:solidFill>
          </a:endParaRPr>
        </a:p>
        <a:p>
          <a:pPr algn="l"/>
          <a:r>
            <a:rPr lang="en-GB" sz="1600" b="0" baseline="0">
              <a:solidFill>
                <a:sysClr val="windowText" lastClr="000000"/>
              </a:solidFill>
            </a:rPr>
            <a:t>Technology level costs are taken from Phase 2 output. The degree of breakdown of the costs into cost components is dependent on the the level of detail of the EINA and the size (in terms of turnover) of the technology under consideration.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9070</xdr:colOff>
      <xdr:row>25</xdr:row>
      <xdr:rowOff>36285</xdr:rowOff>
    </xdr:from>
    <xdr:to>
      <xdr:col>12</xdr:col>
      <xdr:colOff>1074964</xdr:colOff>
      <xdr:row>32</xdr:row>
      <xdr:rowOff>72797</xdr:rowOff>
    </xdr:to>
    <xdr:sp macro="" textlink="">
      <xdr:nvSpPr>
        <xdr:cNvPr id="3" name="TextBox 2">
          <a:extLst>
            <a:ext uri="{FF2B5EF4-FFF2-40B4-BE49-F238E27FC236}">
              <a16:creationId xmlns:a16="http://schemas.microsoft.com/office/drawing/2014/main" id="{A27124C2-CA37-40CF-8B53-46D70518FE7F}"/>
            </a:ext>
          </a:extLst>
        </xdr:cNvPr>
        <xdr:cNvSpPr txBox="1"/>
      </xdr:nvSpPr>
      <xdr:spPr>
        <a:xfrm>
          <a:off x="2417534" y="5166178"/>
          <a:ext cx="12482287" cy="1274762"/>
        </a:xfrm>
        <a:prstGeom prst="wedgeRectCallout">
          <a:avLst>
            <a:gd name="adj1" fmla="val -22720"/>
            <a:gd name="adj2" fmla="val 66962"/>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To determine market turnover, it is necessary to multiply the deployment results by tech costs. Given LCOE are used, an adjustment to these costs is required to properly isolate market turnover. To do this, it is necessary to first calculate the NPV of electricity generation from our deployment data. Then multiply this NPV of electricity generation with LCOE to isolate NPV costs (ie the numerator of the LCOE). For CAPEX, the discounted costs are likely to be similar to the undiscounted costs because they will be incurred immediately or in the phase-in period (ie time period -1, -2 etc) of the plant. Therefore, the adjustment is completed.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Provided OPEX applies to the entire stock (not just new deployment) then stock can be multiplied by LCOE which isolates the correct market turnover. This is making the assumption that O&amp;M and electricity generation are annually constant. </a:t>
          </a:r>
          <a:endParaRPr lang="en-GB" sz="1100"/>
        </a:p>
      </xdr:txBody>
    </xdr:sp>
    <xdr:clientData/>
  </xdr:twoCellAnchor>
  <xdr:twoCellAnchor>
    <xdr:from>
      <xdr:col>1</xdr:col>
      <xdr:colOff>1487716</xdr:colOff>
      <xdr:row>43</xdr:row>
      <xdr:rowOff>163285</xdr:rowOff>
    </xdr:from>
    <xdr:to>
      <xdr:col>4</xdr:col>
      <xdr:colOff>308430</xdr:colOff>
      <xdr:row>46</xdr:row>
      <xdr:rowOff>9070</xdr:rowOff>
    </xdr:to>
    <xdr:sp macro="" textlink="">
      <xdr:nvSpPr>
        <xdr:cNvPr id="4" name="TextBox 3">
          <a:extLst>
            <a:ext uri="{FF2B5EF4-FFF2-40B4-BE49-F238E27FC236}">
              <a16:creationId xmlns:a16="http://schemas.microsoft.com/office/drawing/2014/main" id="{2E888AA4-9BE3-495C-9397-405656A5F113}"/>
            </a:ext>
          </a:extLst>
        </xdr:cNvPr>
        <xdr:cNvSpPr txBox="1"/>
      </xdr:nvSpPr>
      <xdr:spPr>
        <a:xfrm>
          <a:off x="2354491" y="21175435"/>
          <a:ext cx="2573564" cy="388710"/>
        </a:xfrm>
        <a:prstGeom prst="wedgeRectCallout">
          <a:avLst>
            <a:gd name="adj1" fmla="val -22720"/>
            <a:gd name="adj2" fmla="val 66962"/>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Background</a:t>
          </a:r>
          <a:r>
            <a:rPr lang="en-GB" sz="1100" baseline="0">
              <a:solidFill>
                <a:schemeClr val="dk1"/>
              </a:solidFill>
              <a:effectLst/>
              <a:latin typeface="+mn-lt"/>
              <a:ea typeface="+mn-ea"/>
              <a:cs typeface="+mn-cs"/>
            </a:rPr>
            <a:t> calculations for above numbers</a:t>
          </a:r>
          <a:endParaRPr lang="en-GB" sz="1100"/>
        </a:p>
      </xdr:txBody>
    </xdr:sp>
    <xdr:clientData/>
  </xdr:twoCellAnchor>
  <xdr:twoCellAnchor>
    <xdr:from>
      <xdr:col>1</xdr:col>
      <xdr:colOff>0</xdr:colOff>
      <xdr:row>2</xdr:row>
      <xdr:rowOff>0</xdr:rowOff>
    </xdr:from>
    <xdr:to>
      <xdr:col>6</xdr:col>
      <xdr:colOff>397122</xdr:colOff>
      <xdr:row>9</xdr:row>
      <xdr:rowOff>133350</xdr:rowOff>
    </xdr:to>
    <xdr:sp macro="" textlink="">
      <xdr:nvSpPr>
        <xdr:cNvPr id="5" name="Rectangle 4">
          <a:extLst>
            <a:ext uri="{FF2B5EF4-FFF2-40B4-BE49-F238E27FC236}">
              <a16:creationId xmlns:a16="http://schemas.microsoft.com/office/drawing/2014/main" id="{CC44FEDE-85F5-4FFF-967F-E1592B5BDF84}"/>
            </a:ext>
          </a:extLst>
        </xdr:cNvPr>
        <xdr:cNvSpPr/>
      </xdr:nvSpPr>
      <xdr:spPr>
        <a:xfrm>
          <a:off x="912091" y="796636"/>
          <a:ext cx="5950486" cy="1345623"/>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 tab calculates</a:t>
          </a:r>
          <a:r>
            <a:rPr lang="en-GB" sz="1100" b="0" baseline="0">
              <a:solidFill>
                <a:sysClr val="windowText" lastClr="000000"/>
              </a:solidFill>
            </a:rPr>
            <a:t>  turnover by multiplying deployment and cost figures. This figure should represent the annual turnover associated with all deployment during that period.</a:t>
          </a:r>
          <a:endParaRPr lang="en-GB" sz="1100" b="1"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34637</xdr:colOff>
      <xdr:row>1</xdr:row>
      <xdr:rowOff>138545</xdr:rowOff>
    </xdr:from>
    <xdr:to>
      <xdr:col>6</xdr:col>
      <xdr:colOff>1080261</xdr:colOff>
      <xdr:row>7</xdr:row>
      <xdr:rowOff>138546</xdr:rowOff>
    </xdr:to>
    <xdr:sp macro="" textlink="">
      <xdr:nvSpPr>
        <xdr:cNvPr id="4" name="Rectangle 3">
          <a:extLst>
            <a:ext uri="{FF2B5EF4-FFF2-40B4-BE49-F238E27FC236}">
              <a16:creationId xmlns:a16="http://schemas.microsoft.com/office/drawing/2014/main" id="{613A6140-1E5A-494D-B86D-6193EA86F9C5}"/>
            </a:ext>
          </a:extLst>
        </xdr:cNvPr>
        <xdr:cNvSpPr/>
      </xdr:nvSpPr>
      <xdr:spPr>
        <a:xfrm>
          <a:off x="34637" y="762000"/>
          <a:ext cx="10085715" cy="1143001"/>
        </a:xfrm>
        <a:prstGeom prst="rect">
          <a:avLst/>
        </a:prstGeom>
        <a:solidFill>
          <a:schemeClr val="accent3"/>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000" b="1">
              <a:solidFill>
                <a:sysClr val="windowText" lastClr="000000"/>
              </a:solidFill>
            </a:rPr>
            <a:t>Overview</a:t>
          </a:r>
          <a:endParaRPr lang="en-GB" sz="1600" b="1">
            <a:solidFill>
              <a:sysClr val="windowText" lastClr="000000"/>
            </a:solidFill>
          </a:endParaRPr>
        </a:p>
        <a:p>
          <a:pPr algn="l"/>
          <a:r>
            <a:rPr lang="en-GB" sz="1600" b="0">
              <a:solidFill>
                <a:sysClr val="windowText" lastClr="000000"/>
              </a:solidFill>
            </a:rPr>
            <a:t>This</a:t>
          </a:r>
          <a:r>
            <a:rPr lang="en-GB" sz="1600" b="0" baseline="0">
              <a:solidFill>
                <a:sysClr val="windowText" lastClr="000000"/>
              </a:solidFill>
            </a:rPr>
            <a:t> assumptions log closely follows the standard BEIS template for logging assumptions. The log is completed to illustrate the assumptions per step in the calculation. These will typically be very similar per technology. </a:t>
          </a:r>
          <a:endParaRPr lang="en-GB" sz="16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97142</xdr:colOff>
      <xdr:row>17</xdr:row>
      <xdr:rowOff>37644</xdr:rowOff>
    </xdr:from>
    <xdr:to>
      <xdr:col>1</xdr:col>
      <xdr:colOff>1525892</xdr:colOff>
      <xdr:row>26</xdr:row>
      <xdr:rowOff>81642</xdr:rowOff>
    </xdr:to>
    <xdr:sp macro="" textlink="">
      <xdr:nvSpPr>
        <xdr:cNvPr id="3" name="TextBox 2">
          <a:extLst>
            <a:ext uri="{FF2B5EF4-FFF2-40B4-BE49-F238E27FC236}">
              <a16:creationId xmlns:a16="http://schemas.microsoft.com/office/drawing/2014/main" id="{795F270F-81A0-4097-94B1-E66227B13A3C}"/>
            </a:ext>
          </a:extLst>
        </xdr:cNvPr>
        <xdr:cNvSpPr txBox="1"/>
      </xdr:nvSpPr>
      <xdr:spPr>
        <a:xfrm>
          <a:off x="97142" y="3493858"/>
          <a:ext cx="2258786" cy="1812927"/>
        </a:xfrm>
        <a:prstGeom prst="wedgeRectCallout">
          <a:avLst>
            <a:gd name="adj1" fmla="val 60316"/>
            <a:gd name="adj2" fmla="val -20870"/>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Market shares were updated to be the same</a:t>
          </a:r>
          <a:r>
            <a:rPr lang="en-GB" sz="1100" baseline="0">
              <a:solidFill>
                <a:schemeClr val="dk1"/>
              </a:solidFill>
              <a:effectLst/>
              <a:latin typeface="+mn-lt"/>
              <a:ea typeface="+mn-ea"/>
              <a:cs typeface="+mn-cs"/>
            </a:rPr>
            <a:t> as the numbers used in the offshore wind sector deal. These are the market shares that correspond to the numbers published by OWIC (2018) </a:t>
          </a:r>
          <a:r>
            <a:rPr lang="en-GB"/>
            <a:t>Economic Impacts of the UK Offshore Wind: Scenarios for the Sector Deal</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twoCellAnchor>
    <xdr:from>
      <xdr:col>0</xdr:col>
      <xdr:colOff>669636</xdr:colOff>
      <xdr:row>2</xdr:row>
      <xdr:rowOff>23092</xdr:rowOff>
    </xdr:from>
    <xdr:to>
      <xdr:col>16</xdr:col>
      <xdr:colOff>142443</xdr:colOff>
      <xdr:row>8</xdr:row>
      <xdr:rowOff>168349</xdr:rowOff>
    </xdr:to>
    <xdr:sp macro="" textlink="">
      <xdr:nvSpPr>
        <xdr:cNvPr id="4" name="Rectangle 3">
          <a:extLst>
            <a:ext uri="{FF2B5EF4-FFF2-40B4-BE49-F238E27FC236}">
              <a16:creationId xmlns:a16="http://schemas.microsoft.com/office/drawing/2014/main" id="{0D47BB26-0DA4-4F2F-9D82-1D320B5722BB}"/>
            </a:ext>
          </a:extLst>
        </xdr:cNvPr>
        <xdr:cNvSpPr/>
      </xdr:nvSpPr>
      <xdr:spPr>
        <a:xfrm>
          <a:off x="669636" y="819728"/>
          <a:ext cx="17968625" cy="1184348"/>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b="1">
              <a:solidFill>
                <a:sysClr val="windowText" lastClr="000000"/>
              </a:solidFill>
            </a:rPr>
            <a:t>Instructions</a:t>
          </a:r>
          <a:endParaRPr kumimoji="0" lang="en-GB"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mn-lt"/>
              <a:ea typeface="+mn-ea"/>
              <a:cs typeface="+mn-cs"/>
            </a:rPr>
            <a:t>The market share % entered in this sheet reflects the % of the tradeable market the UK is deemed to be able to capture. The assessment of this % is based on RCA calculations, assessment of UK skills and expert evidence, as described in the methodology document.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888547</xdr:colOff>
      <xdr:row>1</xdr:row>
      <xdr:rowOff>131989</xdr:rowOff>
    </xdr:from>
    <xdr:to>
      <xdr:col>12</xdr:col>
      <xdr:colOff>353786</xdr:colOff>
      <xdr:row>5</xdr:row>
      <xdr:rowOff>125329</xdr:rowOff>
    </xdr:to>
    <xdr:sp macro="" textlink="">
      <xdr:nvSpPr>
        <xdr:cNvPr id="2" name="Rectangle 1">
          <a:extLst>
            <a:ext uri="{FF2B5EF4-FFF2-40B4-BE49-F238E27FC236}">
              <a16:creationId xmlns:a16="http://schemas.microsoft.com/office/drawing/2014/main" id="{9D4CFA81-1905-46D9-884A-33B104582743}"/>
            </a:ext>
          </a:extLst>
        </xdr:cNvPr>
        <xdr:cNvSpPr/>
      </xdr:nvSpPr>
      <xdr:spPr>
        <a:xfrm>
          <a:off x="1755322" y="760639"/>
          <a:ext cx="14762389" cy="736290"/>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performs a simple calculation. It multiplies the UK market share by total tradeable turnover to calculate the total turnover captured by the UK. </a:t>
          </a:r>
          <a:endParaRPr lang="en-GB" sz="1100" b="0">
            <a:solidFill>
              <a:sysClr val="windowText" lastClr="000000"/>
            </a:solidFill>
          </a:endParaRPr>
        </a:p>
        <a:p>
          <a:pPr algn="l"/>
          <a:endParaRPr lang="en-GB" sz="1100" b="1">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38100</xdr:colOff>
      <xdr:row>1</xdr:row>
      <xdr:rowOff>128587</xdr:rowOff>
    </xdr:from>
    <xdr:to>
      <xdr:col>15</xdr:col>
      <xdr:colOff>38100</xdr:colOff>
      <xdr:row>7</xdr:row>
      <xdr:rowOff>46463</xdr:rowOff>
    </xdr:to>
    <xdr:sp macro="" textlink="">
      <xdr:nvSpPr>
        <xdr:cNvPr id="2" name="Rectangle 1">
          <a:extLst>
            <a:ext uri="{FF2B5EF4-FFF2-40B4-BE49-F238E27FC236}">
              <a16:creationId xmlns:a16="http://schemas.microsoft.com/office/drawing/2014/main" id="{7B17317B-FB23-47D9-A837-79A3C67D5D72}"/>
            </a:ext>
          </a:extLst>
        </xdr:cNvPr>
        <xdr:cNvSpPr/>
      </xdr:nvSpPr>
      <xdr:spPr>
        <a:xfrm>
          <a:off x="762000" y="757237"/>
          <a:ext cx="13011150" cy="1022776"/>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GVA</a:t>
          </a:r>
          <a:r>
            <a:rPr lang="en-GB" sz="1100" b="0" baseline="0">
              <a:solidFill>
                <a:sysClr val="windowText" lastClr="000000"/>
              </a:solidFill>
            </a:rPr>
            <a:t> multipliers are based on ONS Annual Business Survey (ABS) data. For the lowest level code available, the average GVA/turnover ratio should be calculated. The data can be relatively noisy, and hence a 5 year average is used. </a:t>
          </a:r>
        </a:p>
        <a:p>
          <a:pPr algn="l"/>
          <a:endParaRPr lang="en-GB" sz="1100" b="1">
            <a:solidFill>
              <a:sysClr val="windowText" lastClr="000000"/>
            </a:solidFill>
          </a:endParaRPr>
        </a:p>
      </xdr:txBody>
    </xdr:sp>
    <xdr:clientData/>
  </xdr:twoCellAnchor>
  <xdr:twoCellAnchor>
    <xdr:from>
      <xdr:col>3</xdr:col>
      <xdr:colOff>708567</xdr:colOff>
      <xdr:row>23</xdr:row>
      <xdr:rowOff>100670</xdr:rowOff>
    </xdr:from>
    <xdr:to>
      <xdr:col>5</xdr:col>
      <xdr:colOff>225693</xdr:colOff>
      <xdr:row>26</xdr:row>
      <xdr:rowOff>59400</xdr:rowOff>
    </xdr:to>
    <xdr:sp macro="" textlink="">
      <xdr:nvSpPr>
        <xdr:cNvPr id="3" name="Speech Bubble: Rectangle 2">
          <a:extLst>
            <a:ext uri="{FF2B5EF4-FFF2-40B4-BE49-F238E27FC236}">
              <a16:creationId xmlns:a16="http://schemas.microsoft.com/office/drawing/2014/main" id="{CDB1CAE7-2CE8-405D-A586-72ACEC664048}"/>
            </a:ext>
          </a:extLst>
        </xdr:cNvPr>
        <xdr:cNvSpPr/>
      </xdr:nvSpPr>
      <xdr:spPr>
        <a:xfrm>
          <a:off x="3682226" y="4816707"/>
          <a:ext cx="1654443" cy="516291"/>
        </a:xfrm>
        <a:prstGeom prst="wedgeRectCallout">
          <a:avLst>
            <a:gd name="adj1" fmla="val 22976"/>
            <a:gd name="adj2" fmla="val -80913"/>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Capex component proportions from costs tab</a:t>
          </a:r>
          <a:endParaRPr lang="en-GB"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521154</xdr:colOff>
      <xdr:row>1</xdr:row>
      <xdr:rowOff>159204</xdr:rowOff>
    </xdr:from>
    <xdr:to>
      <xdr:col>15</xdr:col>
      <xdr:colOff>502104</xdr:colOff>
      <xdr:row>6</xdr:row>
      <xdr:rowOff>18144</xdr:rowOff>
    </xdr:to>
    <xdr:sp macro="" textlink="">
      <xdr:nvSpPr>
        <xdr:cNvPr id="2" name="Rectangle 1">
          <a:extLst>
            <a:ext uri="{FF2B5EF4-FFF2-40B4-BE49-F238E27FC236}">
              <a16:creationId xmlns:a16="http://schemas.microsoft.com/office/drawing/2014/main" id="{BFF28FF3-5DF9-4C21-A5CF-FB27953612AF}"/>
            </a:ext>
          </a:extLst>
        </xdr:cNvPr>
        <xdr:cNvSpPr/>
      </xdr:nvSpPr>
      <xdr:spPr>
        <a:xfrm>
          <a:off x="1235529" y="787854"/>
          <a:ext cx="16125825" cy="782865"/>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simply multiplies the GVA multipliers with UK captured turnover. </a:t>
          </a:r>
          <a:endParaRPr lang="en-GB" sz="1100" b="0">
            <a:solidFill>
              <a:sysClr val="windowText" lastClr="000000"/>
            </a:solidFill>
          </a:endParaRPr>
        </a:p>
        <a:p>
          <a:pPr algn="l"/>
          <a:endParaRPr lang="en-GB" sz="1100" b="1">
            <a:solidFill>
              <a:sysClr val="windowText" lastClr="000000"/>
            </a:solidFill>
          </a:endParaRPr>
        </a:p>
      </xdr:txBody>
    </xdr:sp>
    <xdr:clientData/>
  </xdr:twoCellAnchor>
  <xdr:twoCellAnchor>
    <xdr:from>
      <xdr:col>2</xdr:col>
      <xdr:colOff>58964</xdr:colOff>
      <xdr:row>63</xdr:row>
      <xdr:rowOff>108856</xdr:rowOff>
    </xdr:from>
    <xdr:to>
      <xdr:col>9</xdr:col>
      <xdr:colOff>1013732</xdr:colOff>
      <xdr:row>92</xdr:row>
      <xdr:rowOff>124731</xdr:rowOff>
    </xdr:to>
    <xdr:graphicFrame macro="">
      <xdr:nvGraphicFramePr>
        <xdr:cNvPr id="3" name="Chart 2">
          <a:extLst>
            <a:ext uri="{FF2B5EF4-FFF2-40B4-BE49-F238E27FC236}">
              <a16:creationId xmlns:a16="http://schemas.microsoft.com/office/drawing/2014/main" id="{D4F68750-BE74-403D-A646-9F16F30D7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1265463</xdr:colOff>
      <xdr:row>43</xdr:row>
      <xdr:rowOff>0</xdr:rowOff>
    </xdr:from>
    <xdr:to>
      <xdr:col>11</xdr:col>
      <xdr:colOff>840841</xdr:colOff>
      <xdr:row>57</xdr:row>
      <xdr:rowOff>43500</xdr:rowOff>
    </xdr:to>
    <xdr:graphicFrame macro="">
      <xdr:nvGraphicFramePr>
        <xdr:cNvPr id="6" name="Chart 5">
          <a:extLst>
            <a:ext uri="{FF2B5EF4-FFF2-40B4-BE49-F238E27FC236}">
              <a16:creationId xmlns:a16="http://schemas.microsoft.com/office/drawing/2014/main" id="{CFD605C0-B0A6-415F-9B7E-EA391CE3D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78</xdr:colOff>
      <xdr:row>43</xdr:row>
      <xdr:rowOff>13606</xdr:rowOff>
    </xdr:from>
    <xdr:to>
      <xdr:col>7</xdr:col>
      <xdr:colOff>314019</xdr:colOff>
      <xdr:row>61</xdr:row>
      <xdr:rowOff>26312</xdr:rowOff>
    </xdr:to>
    <xdr:graphicFrame macro="">
      <xdr:nvGraphicFramePr>
        <xdr:cNvPr id="7" name="Chart 6">
          <a:extLst>
            <a:ext uri="{FF2B5EF4-FFF2-40B4-BE49-F238E27FC236}">
              <a16:creationId xmlns:a16="http://schemas.microsoft.com/office/drawing/2014/main" id="{538265E9-16E3-458A-82D4-C982D321C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27214</xdr:colOff>
      <xdr:row>42</xdr:row>
      <xdr:rowOff>95249</xdr:rowOff>
    </xdr:from>
    <xdr:to>
      <xdr:col>17</xdr:col>
      <xdr:colOff>598890</xdr:colOff>
      <xdr:row>60</xdr:row>
      <xdr:rowOff>107955</xdr:rowOff>
    </xdr:to>
    <xdr:graphicFrame macro="">
      <xdr:nvGraphicFramePr>
        <xdr:cNvPr id="8" name="Chart 7">
          <a:extLst>
            <a:ext uri="{FF2B5EF4-FFF2-40B4-BE49-F238E27FC236}">
              <a16:creationId xmlns:a16="http://schemas.microsoft.com/office/drawing/2014/main" id="{3F23C41E-D08B-4A70-8622-3CD499D1D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3</xdr:col>
      <xdr:colOff>246063</xdr:colOff>
      <xdr:row>9</xdr:row>
      <xdr:rowOff>134938</xdr:rowOff>
    </xdr:from>
    <xdr:to>
      <xdr:col>6</xdr:col>
      <xdr:colOff>974613</xdr:colOff>
      <xdr:row>12</xdr:row>
      <xdr:rowOff>22451</xdr:rowOff>
    </xdr:to>
    <xdr:sp macro="" textlink="">
      <xdr:nvSpPr>
        <xdr:cNvPr id="3" name="Speech Bubble: Rectangle 2">
          <a:extLst>
            <a:ext uri="{FF2B5EF4-FFF2-40B4-BE49-F238E27FC236}">
              <a16:creationId xmlns:a16="http://schemas.microsoft.com/office/drawing/2014/main" id="{F333D425-A04F-4CB2-B4DC-C2CD8C2C1CDC}"/>
            </a:ext>
          </a:extLst>
        </xdr:cNvPr>
        <xdr:cNvSpPr/>
      </xdr:nvSpPr>
      <xdr:spPr>
        <a:xfrm>
          <a:off x="3589338" y="2230438"/>
          <a:ext cx="5062425" cy="639988"/>
        </a:xfrm>
        <a:prstGeom prst="wedgeRectCallout">
          <a:avLst>
            <a:gd name="adj1" fmla="val 58990"/>
            <a:gd name="adj2" fmla="val -22428"/>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From ONS Renewable Energy Economy Survey.</a:t>
          </a:r>
          <a:r>
            <a:rPr lang="en-GB" sz="1100" baseline="0">
              <a:solidFill>
                <a:sysClr val="windowText" lastClr="000000"/>
              </a:solidFill>
            </a:rPr>
            <a:t> This is a factor &gt;1 to take account of the fact green productivity tyically higher. </a:t>
          </a:r>
          <a:r>
            <a:rPr lang="en-GB" sz="1100">
              <a:solidFill>
                <a:sysClr val="windowText" lastClr="000000"/>
              </a:solidFill>
            </a:rPr>
            <a:t> </a:t>
          </a:r>
          <a:r>
            <a:rPr lang="en-GB" sz="1100">
              <a:solidFill>
                <a:sysClr val="windowText" lastClr="000000"/>
              </a:solidFill>
              <a:effectLst/>
              <a:latin typeface="+mn-lt"/>
              <a:ea typeface="+mn-ea"/>
              <a:cs typeface="+mn-cs"/>
            </a:rPr>
            <a:t>Applied for first 5</a:t>
          </a:r>
          <a:r>
            <a:rPr lang="en-GB" sz="1100" baseline="0">
              <a:solidFill>
                <a:sysClr val="windowText" lastClr="000000"/>
              </a:solidFill>
              <a:effectLst/>
              <a:latin typeface="+mn-lt"/>
              <a:ea typeface="+mn-ea"/>
              <a:cs typeface="+mn-cs"/>
            </a:rPr>
            <a:t> years, before reducing back down to overall productivity factor</a:t>
          </a:r>
          <a:endParaRPr lang="en-GB" sz="1100">
            <a:solidFill>
              <a:sysClr val="windowText" lastClr="000000"/>
            </a:solidFill>
          </a:endParaRPr>
        </a:p>
        <a:p>
          <a:pPr algn="l"/>
          <a:endParaRPr lang="en-GB" sz="1100">
            <a:solidFill>
              <a:sysClr val="windowText" lastClr="000000"/>
            </a:solidFill>
          </a:endParaRPr>
        </a:p>
      </xdr:txBody>
    </xdr:sp>
    <xdr:clientData/>
  </xdr:twoCellAnchor>
  <xdr:twoCellAnchor>
    <xdr:from>
      <xdr:col>1</xdr:col>
      <xdr:colOff>0</xdr:colOff>
      <xdr:row>2</xdr:row>
      <xdr:rowOff>0</xdr:rowOff>
    </xdr:from>
    <xdr:to>
      <xdr:col>4</xdr:col>
      <xdr:colOff>88447</xdr:colOff>
      <xdr:row>8</xdr:row>
      <xdr:rowOff>139164</xdr:rowOff>
    </xdr:to>
    <xdr:sp macro="" textlink="">
      <xdr:nvSpPr>
        <xdr:cNvPr id="4" name="Rectangle 3">
          <a:extLst>
            <a:ext uri="{FF2B5EF4-FFF2-40B4-BE49-F238E27FC236}">
              <a16:creationId xmlns:a16="http://schemas.microsoft.com/office/drawing/2014/main" id="{AA687DE3-4DA4-4949-BF18-D939A8C3608C}"/>
            </a:ext>
          </a:extLst>
        </xdr:cNvPr>
        <xdr:cNvSpPr/>
      </xdr:nvSpPr>
      <xdr:spPr>
        <a:xfrm>
          <a:off x="496455" y="796636"/>
          <a:ext cx="4452628" cy="1178255"/>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stores GVA per worker estimates, which may be broken down per component if relevant. Note, the GVA/worker estimate is increased by 0.8% annually to account for productivity growth. </a:t>
          </a:r>
          <a:endParaRPr lang="en-GB" sz="1100" b="0">
            <a:solidFill>
              <a:sysClr val="windowText" lastClr="000000"/>
            </a:solidFill>
          </a:endParaRPr>
        </a:p>
        <a:p>
          <a:pPr algn="l"/>
          <a:endParaRPr lang="en-GB" sz="1100" b="1">
            <a:solidFill>
              <a:sysClr val="windowText" lastClr="00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298905</xdr:colOff>
      <xdr:row>2</xdr:row>
      <xdr:rowOff>21622</xdr:rowOff>
    </xdr:from>
    <xdr:to>
      <xdr:col>15</xdr:col>
      <xdr:colOff>279855</xdr:colOff>
      <xdr:row>6</xdr:row>
      <xdr:rowOff>158751</xdr:rowOff>
    </xdr:to>
    <xdr:sp macro="" textlink="">
      <xdr:nvSpPr>
        <xdr:cNvPr id="2" name="Rectangle 1">
          <a:extLst>
            <a:ext uri="{FF2B5EF4-FFF2-40B4-BE49-F238E27FC236}">
              <a16:creationId xmlns:a16="http://schemas.microsoft.com/office/drawing/2014/main" id="{532D26EC-569F-410D-AE1A-BADC4C7755A6}"/>
            </a:ext>
          </a:extLst>
        </xdr:cNvPr>
        <xdr:cNvSpPr/>
      </xdr:nvSpPr>
      <xdr:spPr>
        <a:xfrm>
          <a:off x="727530" y="831247"/>
          <a:ext cx="14449425" cy="880079"/>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sheet divides the estimated UK GVA by GVA per worker estimates to obtain an indicative estimate of the jobs supported by the industry.</a:t>
          </a:r>
          <a:endParaRPr lang="en-GB" sz="1100" b="0">
            <a:solidFill>
              <a:sysClr val="windowText" lastClr="000000"/>
            </a:solidFill>
          </a:endParaRPr>
        </a:p>
        <a:p>
          <a:pPr algn="l"/>
          <a:endParaRPr lang="en-GB" sz="1100" b="1">
            <a:solidFill>
              <a:sysClr val="windowText" lastClr="000000"/>
            </a:solidFill>
          </a:endParaRPr>
        </a:p>
      </xdr:txBody>
    </xdr:sp>
    <xdr:clientData/>
  </xdr:twoCellAnchor>
  <xdr:twoCellAnchor>
    <xdr:from>
      <xdr:col>8</xdr:col>
      <xdr:colOff>979713</xdr:colOff>
      <xdr:row>32</xdr:row>
      <xdr:rowOff>131535</xdr:rowOff>
    </xdr:from>
    <xdr:to>
      <xdr:col>15</xdr:col>
      <xdr:colOff>486831</xdr:colOff>
      <xdr:row>50</xdr:row>
      <xdr:rowOff>144241</xdr:rowOff>
    </xdr:to>
    <xdr:graphicFrame macro="">
      <xdr:nvGraphicFramePr>
        <xdr:cNvPr id="4" name="Chart 3">
          <a:extLst>
            <a:ext uri="{FF2B5EF4-FFF2-40B4-BE49-F238E27FC236}">
              <a16:creationId xmlns:a16="http://schemas.microsoft.com/office/drawing/2014/main" id="{D124922F-1DB6-4320-8AAC-14F6E6800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952500</xdr:colOff>
      <xdr:row>34</xdr:row>
      <xdr:rowOff>63499</xdr:rowOff>
    </xdr:from>
    <xdr:to>
      <xdr:col>7</xdr:col>
      <xdr:colOff>1266441</xdr:colOff>
      <xdr:row>52</xdr:row>
      <xdr:rowOff>76205</xdr:rowOff>
    </xdr:to>
    <xdr:graphicFrame macro="">
      <xdr:nvGraphicFramePr>
        <xdr:cNvPr id="5" name="Chart 4">
          <a:extLst>
            <a:ext uri="{FF2B5EF4-FFF2-40B4-BE49-F238E27FC236}">
              <a16:creationId xmlns:a16="http://schemas.microsoft.com/office/drawing/2014/main" id="{2F8F6485-EF5D-4362-8EAA-380AECC2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xdr:colOff>
      <xdr:row>1</xdr:row>
      <xdr:rowOff>28574</xdr:rowOff>
    </xdr:from>
    <xdr:to>
      <xdr:col>16</xdr:col>
      <xdr:colOff>119062</xdr:colOff>
      <xdr:row>23</xdr:row>
      <xdr:rowOff>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075458" y="652029"/>
          <a:ext cx="14907059" cy="3798744"/>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mn-lt"/>
              <a:ea typeface="+mn-ea"/>
              <a:cs typeface="+mn-cs"/>
            </a:rPr>
            <a:t>Overview</a:t>
          </a:r>
          <a:endParaRPr kumimoji="0" lang="en-GB"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ysClr val="windowText" lastClr="000000"/>
              </a:solidFill>
              <a:effectLst/>
              <a:uLnTx/>
              <a:uFillTx/>
              <a:latin typeface="+mn-lt"/>
              <a:ea typeface="+mn-ea"/>
              <a:cs typeface="+mn-cs"/>
            </a:rPr>
            <a:t>The "flow" of deployment, </a:t>
          </a:r>
          <a:r>
            <a:rPr kumimoji="0" lang="en-GB" sz="1600" b="0" i="0" u="none" strike="noStrike" kern="0" cap="none" spc="0" normalizeH="0" baseline="0" noProof="0">
              <a:ln>
                <a:noFill/>
              </a:ln>
              <a:solidFill>
                <a:sysClr val="windowText" lastClr="000000"/>
              </a:solidFill>
              <a:effectLst/>
              <a:uLnTx/>
              <a:uFillTx/>
              <a:latin typeface="+mn-lt"/>
              <a:ea typeface="+mn-ea"/>
              <a:cs typeface="+mn-cs"/>
            </a:rPr>
            <a:t>ie the additional stock built and hence potentially traded, is calculated in columns I-P.</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1" i="1" u="none" strike="noStrike" kern="0" cap="none" spc="0" normalizeH="0" baseline="0" noProof="0">
              <a:ln>
                <a:noFill/>
              </a:ln>
              <a:solidFill>
                <a:sysClr val="windowText" lastClr="000000"/>
              </a:solidFill>
              <a:effectLst/>
              <a:uLnTx/>
              <a:uFillTx/>
              <a:latin typeface="+mn-lt"/>
              <a:ea typeface="+mn-ea"/>
              <a:cs typeface="+mn-cs"/>
            </a:rPr>
            <a:t>Deployment levels </a:t>
          </a:r>
          <a:r>
            <a:rPr kumimoji="0" lang="en-GB" sz="1600" b="0" i="1" u="none" strike="noStrike" kern="0" cap="none" spc="0" normalizeH="0" baseline="0" noProof="0">
              <a:ln>
                <a:noFill/>
              </a:ln>
              <a:solidFill>
                <a:sysClr val="windowText" lastClr="000000"/>
              </a:solidFill>
              <a:effectLst/>
              <a:uLnTx/>
              <a:uFillTx/>
              <a:latin typeface="+mn-lt"/>
              <a:ea typeface="+mn-ea"/>
              <a:cs typeface="+mn-cs"/>
            </a:rPr>
            <a:t>are in</a:t>
          </a:r>
          <a:r>
            <a:rPr kumimoji="0" lang="en-GB" sz="1600" b="0" i="0" u="none" strike="noStrike" kern="0" cap="none" spc="0" normalizeH="0" baseline="0" noProof="0">
              <a:ln>
                <a:noFill/>
              </a:ln>
              <a:solidFill>
                <a:sysClr val="windowText" lastClr="000000"/>
              </a:solidFill>
              <a:effectLst/>
              <a:uLnTx/>
              <a:uFillTx/>
              <a:latin typeface="+mn-lt"/>
              <a:ea typeface="+mn-ea"/>
              <a:cs typeface="+mn-cs"/>
            </a:rPr>
            <a:t> column S onwards.</a:t>
          </a: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6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600" b="1" i="0" u="none" strike="noStrike" kern="0" cap="none" spc="0" normalizeH="0" baseline="0" noProof="0">
              <a:ln>
                <a:noFill/>
              </a:ln>
              <a:solidFill>
                <a:sysClr val="windowText" lastClr="000000"/>
              </a:solidFill>
              <a:effectLst/>
              <a:uLnTx/>
              <a:uFillTx/>
              <a:latin typeface="+mn-lt"/>
              <a:ea typeface="+mn-ea"/>
              <a:cs typeface="+mn-cs"/>
            </a:rPr>
            <a:t>Note: </a:t>
          </a:r>
          <a:r>
            <a:rPr lang="en-GB" sz="1600" b="0" i="0">
              <a:solidFill>
                <a:sysClr val="windowText" lastClr="000000"/>
              </a:solidFill>
              <a:effectLst/>
              <a:latin typeface="+mn-lt"/>
              <a:ea typeface="+mn-ea"/>
              <a:cs typeface="+mn-cs"/>
            </a:rPr>
            <a:t>The purpose of the (export) deployment sheet is to get a realistic deployment number for potential UK export markets in the EU and the rest of the world. This is based on IEA estimates of technology deployment in the EU and Global markets.  UK deployment is subtracted from EU deployment to isolate the UK export market. In the methodology, it was envisaged the IEA scenarios would provide EU deployment, whilst ESME modelling would provide the UK deployment. However, ESME and the IEA have substantially different modelling approaches, leading to clear differences in future energy system designs. These modelling differences often lead to ESME UK deployment figures being an unrealistically high or low share of EU deployment; therefore, other sources are used for UK deployment to avoid incorrect export market sizing. Hence, the UK deployment figures in the export analysis are not necessarily comparable to the domestic analysis where ESME EINA Sub-themes: High Innovation, Aligned v1.2 is  used. This is not a problem because the purpose of UK deployment in the export analysis is to adjust EU deployment to reflect the UK’s share of the EU market rather than provide an indication of what the UK’s energy system will look like. </a:t>
          </a:r>
          <a:endParaRPr kumimoji="0" lang="en-GB"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20</xdr:col>
      <xdr:colOff>1104983</xdr:colOff>
      <xdr:row>25</xdr:row>
      <xdr:rowOff>138546</xdr:rowOff>
    </xdr:from>
    <xdr:to>
      <xdr:col>22</xdr:col>
      <xdr:colOff>1021772</xdr:colOff>
      <xdr:row>31</xdr:row>
      <xdr:rowOff>51955</xdr:rowOff>
    </xdr:to>
    <xdr:sp macro="" textlink="">
      <xdr:nvSpPr>
        <xdr:cNvPr id="8" name="Rectangle 7">
          <a:extLst>
            <a:ext uri="{FF2B5EF4-FFF2-40B4-BE49-F238E27FC236}">
              <a16:creationId xmlns:a16="http://schemas.microsoft.com/office/drawing/2014/main" id="{00000000-0008-0000-0400-000008000000}"/>
            </a:ext>
          </a:extLst>
        </xdr:cNvPr>
        <xdr:cNvSpPr/>
      </xdr:nvSpPr>
      <xdr:spPr>
        <a:xfrm>
          <a:off x="21748256" y="4935682"/>
          <a:ext cx="4003880" cy="952500"/>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b="1" baseline="0">
              <a:solidFill>
                <a:sysClr val="windowText" lastClr="000000"/>
              </a:solidFill>
            </a:rPr>
            <a:t>Note: only 1 deployment scenario</a:t>
          </a:r>
        </a:p>
        <a:p>
          <a:pPr algn="l"/>
          <a:endParaRPr lang="en-GB" sz="1100" b="0" baseline="0">
            <a:solidFill>
              <a:sysClr val="windowText" lastClr="000000"/>
            </a:solidFill>
          </a:endParaRPr>
        </a:p>
        <a:p>
          <a:pPr algn="l"/>
          <a:r>
            <a:rPr lang="en-GB" sz="1400" b="0" baseline="0">
              <a:solidFill>
                <a:sysClr val="windowText" lastClr="000000"/>
              </a:solidFill>
            </a:rPr>
            <a:t>UK deployment is a substantial part of EU deployment and was only available for one scenario</a:t>
          </a:r>
          <a:endParaRPr lang="en-GB" sz="1400" b="0" baseline="0">
            <a:solidFill>
              <a:srgbClr val="FF0000"/>
            </a:solidFill>
          </a:endParaRPr>
        </a:p>
      </xdr:txBody>
    </xdr:sp>
    <xdr:clientData/>
  </xdr:twoCellAnchor>
  <xdr:twoCellAnchor>
    <xdr:from>
      <xdr:col>18</xdr:col>
      <xdr:colOff>38100</xdr:colOff>
      <xdr:row>54</xdr:row>
      <xdr:rowOff>13854</xdr:rowOff>
    </xdr:from>
    <xdr:to>
      <xdr:col>20</xdr:col>
      <xdr:colOff>346363</xdr:colOff>
      <xdr:row>56</xdr:row>
      <xdr:rowOff>86591</xdr:rowOff>
    </xdr:to>
    <xdr:sp macro="" textlink="">
      <xdr:nvSpPr>
        <xdr:cNvPr id="5" name="Speech Bubble: Rectangle 8">
          <a:extLst>
            <a:ext uri="{FF2B5EF4-FFF2-40B4-BE49-F238E27FC236}">
              <a16:creationId xmlns:a16="http://schemas.microsoft.com/office/drawing/2014/main" id="{D06EBD43-0E3B-4C73-BFAB-B6010665BB42}"/>
            </a:ext>
          </a:extLst>
        </xdr:cNvPr>
        <xdr:cNvSpPr/>
      </xdr:nvSpPr>
      <xdr:spPr>
        <a:xfrm>
          <a:off x="17131145" y="10075718"/>
          <a:ext cx="3858491" cy="453737"/>
        </a:xfrm>
        <a:prstGeom prst="wedgeRectCallout">
          <a:avLst>
            <a:gd name="adj1" fmla="val -22581"/>
            <a:gd name="adj2" fmla="val -64542"/>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solidFill>
                <a:sysClr val="windowText" lastClr="000000"/>
              </a:solidFill>
            </a:rPr>
            <a:t>EU and ROW deployment in GW and converted to TWH using the same capacity factor/ratio as IEA deployment ratios</a:t>
          </a:r>
          <a:endParaRPr lang="en-GB" sz="1100" b="0" baseline="0">
            <a:solidFill>
              <a:srgbClr val="FF0000"/>
            </a:solidFill>
          </a:endParaRPr>
        </a:p>
      </xdr:txBody>
    </xdr:sp>
    <xdr:clientData/>
  </xdr:twoCellAnchor>
  <xdr:twoCellAnchor>
    <xdr:from>
      <xdr:col>19</xdr:col>
      <xdr:colOff>0</xdr:colOff>
      <xdr:row>26</xdr:row>
      <xdr:rowOff>0</xdr:rowOff>
    </xdr:from>
    <xdr:to>
      <xdr:col>20</xdr:col>
      <xdr:colOff>244619</xdr:colOff>
      <xdr:row>31</xdr:row>
      <xdr:rowOff>38966</xdr:rowOff>
    </xdr:to>
    <xdr:sp macro="" textlink="">
      <xdr:nvSpPr>
        <xdr:cNvPr id="10" name="Rectangle 9">
          <a:extLst>
            <a:ext uri="{FF2B5EF4-FFF2-40B4-BE49-F238E27FC236}">
              <a16:creationId xmlns:a16="http://schemas.microsoft.com/office/drawing/2014/main" id="{88A4494A-BE6C-4348-8786-4D86DF5192A2}"/>
            </a:ext>
          </a:extLst>
        </xdr:cNvPr>
        <xdr:cNvSpPr/>
      </xdr:nvSpPr>
      <xdr:spPr>
        <a:xfrm>
          <a:off x="18720955" y="4970318"/>
          <a:ext cx="2166937" cy="904875"/>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000" b="1">
              <a:solidFill>
                <a:sysClr val="windowText" lastClr="000000"/>
              </a:solidFill>
            </a:rPr>
            <a:t>Note</a:t>
          </a:r>
        </a:p>
        <a:p>
          <a:pPr algn="l"/>
          <a:r>
            <a:rPr lang="en-GB" sz="1400" b="0">
              <a:solidFill>
                <a:sysClr val="windowText" lastClr="000000"/>
              </a:solidFill>
            </a:rPr>
            <a:t>Deployment outside</a:t>
          </a:r>
          <a:r>
            <a:rPr lang="en-GB" sz="1400" b="0" baseline="0">
              <a:solidFill>
                <a:sysClr val="windowText" lastClr="000000"/>
              </a:solidFill>
            </a:rPr>
            <a:t> UK </a:t>
          </a:r>
          <a:r>
            <a:rPr lang="en-GB" sz="1400" b="0">
              <a:solidFill>
                <a:sysClr val="windowText" lastClr="000000"/>
              </a:solidFill>
            </a:rPr>
            <a:t>is based</a:t>
          </a:r>
          <a:r>
            <a:rPr lang="en-GB" sz="1400" b="0" baseline="0">
              <a:solidFill>
                <a:sysClr val="windowText" lastClr="000000"/>
              </a:solidFill>
            </a:rPr>
            <a:t> on IEA estimates.</a:t>
          </a:r>
        </a:p>
        <a:p>
          <a:pPr algn="l"/>
          <a:endParaRPr lang="en-GB" sz="1400" b="0">
            <a:solidFill>
              <a:sysClr val="windowText" lastClr="000000"/>
            </a:solidFill>
          </a:endParaRPr>
        </a:p>
      </xdr:txBody>
    </xdr:sp>
    <xdr:clientData/>
  </xdr:twoCellAnchor>
  <xdr:twoCellAnchor>
    <xdr:from>
      <xdr:col>34</xdr:col>
      <xdr:colOff>17318</xdr:colOff>
      <xdr:row>18</xdr:row>
      <xdr:rowOff>103909</xdr:rowOff>
    </xdr:from>
    <xdr:to>
      <xdr:col>43</xdr:col>
      <xdr:colOff>554182</xdr:colOff>
      <xdr:row>26</xdr:row>
      <xdr:rowOff>21648</xdr:rowOff>
    </xdr:to>
    <xdr:sp macro="" textlink="">
      <xdr:nvSpPr>
        <xdr:cNvPr id="17" name="Rectangle 6">
          <a:extLst>
            <a:ext uri="{FF2B5EF4-FFF2-40B4-BE49-F238E27FC236}">
              <a16:creationId xmlns:a16="http://schemas.microsoft.com/office/drawing/2014/main" id="{3DFE5243-F51B-4FFE-A614-C5FA4F0486CB}"/>
            </a:ext>
          </a:extLst>
        </xdr:cNvPr>
        <xdr:cNvSpPr/>
      </xdr:nvSpPr>
      <xdr:spPr>
        <a:xfrm>
          <a:off x="35692773" y="3688773"/>
          <a:ext cx="5836227" cy="1303193"/>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000" b="1">
              <a:solidFill>
                <a:sysClr val="windowText" lastClr="000000"/>
              </a:solidFill>
            </a:rPr>
            <a:t>Note</a:t>
          </a:r>
        </a:p>
        <a:p>
          <a:pPr algn="l"/>
          <a:r>
            <a:rPr lang="en-GB" sz="1400" b="0">
              <a:solidFill>
                <a:sysClr val="windowText" lastClr="000000"/>
              </a:solidFill>
            </a:rPr>
            <a:t>Replacement demand is generated based on previous deployment (where</a:t>
          </a:r>
          <a:r>
            <a:rPr lang="en-GB" sz="1400" b="0" baseline="0">
              <a:solidFill>
                <a:sysClr val="windowText" lastClr="000000"/>
              </a:solidFill>
            </a:rPr>
            <a:t> available) and lifetime assumptions (detailed in the assumptions log). When previous deployment is not</a:t>
          </a:r>
          <a:r>
            <a:rPr lang="en-GB" sz="1400" b="0">
              <a:solidFill>
                <a:sysClr val="windowText" lastClr="000000"/>
              </a:solidFill>
            </a:rPr>
            <a:t> available, asssumptions</a:t>
          </a:r>
          <a:r>
            <a:rPr lang="en-GB" sz="1400" b="0" baseline="0">
              <a:solidFill>
                <a:sysClr val="windowText" lastClr="000000"/>
              </a:solidFill>
            </a:rPr>
            <a:t> on previous stocks are made based on the recent growth trajectory.</a:t>
          </a:r>
        </a:p>
        <a:p>
          <a:pPr algn="l"/>
          <a:endParaRPr lang="en-GB" sz="1400" b="0">
            <a:solidFill>
              <a:sysClr val="windowText" lastClr="000000"/>
            </a:solidFill>
          </a:endParaRPr>
        </a:p>
      </xdr:txBody>
    </xdr:sp>
    <xdr:clientData/>
  </xdr:twoCellAnchor>
  <xdr:twoCellAnchor>
    <xdr:from>
      <xdr:col>17</xdr:col>
      <xdr:colOff>569551</xdr:colOff>
      <xdr:row>70</xdr:row>
      <xdr:rowOff>110186</xdr:rowOff>
    </xdr:from>
    <xdr:to>
      <xdr:col>22</xdr:col>
      <xdr:colOff>1905000</xdr:colOff>
      <xdr:row>72</xdr:row>
      <xdr:rowOff>182923</xdr:rowOff>
    </xdr:to>
    <xdr:sp macro="" textlink="">
      <xdr:nvSpPr>
        <xdr:cNvPr id="15" name="Speech Bubble: Rectangle 10">
          <a:extLst>
            <a:ext uri="{FF2B5EF4-FFF2-40B4-BE49-F238E27FC236}">
              <a16:creationId xmlns:a16="http://schemas.microsoft.com/office/drawing/2014/main" id="{ECB15B22-EE8B-4358-B472-AB43CACB1333}"/>
            </a:ext>
          </a:extLst>
        </xdr:cNvPr>
        <xdr:cNvSpPr/>
      </xdr:nvSpPr>
      <xdr:spPr>
        <a:xfrm>
          <a:off x="17143051" y="13719030"/>
          <a:ext cx="9562668" cy="453737"/>
        </a:xfrm>
        <a:prstGeom prst="wedgeRectCallout">
          <a:avLst>
            <a:gd name="adj1" fmla="val 337"/>
            <a:gd name="adj2" fmla="val 113893"/>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solidFill>
                <a:sysClr val="windowText" lastClr="000000"/>
              </a:solidFill>
            </a:rPr>
            <a:t>This is IEA ETP data that is not explicitely used in the calculator. However the EU and RoW deployment scenarios use it to comvert GW to TWh to take account of changing conversion rates between GW and TWh over time.</a:t>
          </a:r>
          <a:endParaRPr lang="en-GB" sz="1100" b="0" baseline="0">
            <a:solidFill>
              <a:srgbClr val="FF0000"/>
            </a:solidFill>
          </a:endParaRPr>
        </a:p>
      </xdr:txBody>
    </xdr:sp>
    <xdr:clientData/>
  </xdr:twoCellAnchor>
  <xdr:twoCellAnchor>
    <xdr:from>
      <xdr:col>18</xdr:col>
      <xdr:colOff>509803</xdr:colOff>
      <xdr:row>11</xdr:row>
      <xdr:rowOff>83344</xdr:rowOff>
    </xdr:from>
    <xdr:to>
      <xdr:col>27</xdr:col>
      <xdr:colOff>142875</xdr:colOff>
      <xdr:row>23</xdr:row>
      <xdr:rowOff>94168</xdr:rowOff>
    </xdr:to>
    <xdr:sp macro="" textlink="">
      <xdr:nvSpPr>
        <xdr:cNvPr id="39" name="Rectangle 11">
          <a:extLst>
            <a:ext uri="{FF2B5EF4-FFF2-40B4-BE49-F238E27FC236}">
              <a16:creationId xmlns:a16="http://schemas.microsoft.com/office/drawing/2014/main" id="{F98F2C93-8474-4288-A3CF-69797508746B}"/>
            </a:ext>
          </a:extLst>
        </xdr:cNvPr>
        <xdr:cNvSpPr/>
      </xdr:nvSpPr>
      <xdr:spPr>
        <a:xfrm>
          <a:off x="17678616" y="2512219"/>
          <a:ext cx="13932478" cy="2153949"/>
        </a:xfrm>
        <a:prstGeom prst="rect">
          <a:avLst/>
        </a:prstGeom>
        <a:solidFill>
          <a:schemeClr val="accent6">
            <a:lumMod val="60000"/>
            <a:lumOff val="4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2000" b="1">
              <a:solidFill>
                <a:sysClr val="windowText" lastClr="000000"/>
              </a:solidFill>
            </a:rPr>
            <a:t>Methodology note for EU and RoW</a:t>
          </a:r>
          <a:r>
            <a:rPr lang="en-GB" sz="2000" b="1" baseline="0">
              <a:solidFill>
                <a:sysClr val="windowText" lastClr="000000"/>
              </a:solidFill>
            </a:rPr>
            <a:t> deployment scenarios</a:t>
          </a:r>
        </a:p>
        <a:p>
          <a:pPr algn="l"/>
          <a:endParaRPr lang="en-GB" sz="2000" b="1"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600" b="1" baseline="0">
              <a:solidFill>
                <a:sysClr val="windowText" lastClr="000000"/>
              </a:solidFill>
            </a:rPr>
            <a:t>EU deployment </a:t>
          </a:r>
          <a:r>
            <a:rPr lang="en-GB" sz="1600" b="0" baseline="0">
              <a:solidFill>
                <a:sysClr val="windowText" lastClr="000000"/>
              </a:solidFill>
            </a:rPr>
            <a:t>is based on the European Commission's (2013) Energy Roadmap 2050 as in Vivid's recent OWIC analysis. As detailed in the EINA methodology, UK deployment is stripped out of the EU deployment figure.</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6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600" b="1" baseline="0">
              <a:solidFill>
                <a:sysClr val="windowText" lastClr="000000"/>
              </a:solidFill>
            </a:rPr>
            <a:t>RoW deployment</a:t>
          </a:r>
          <a:r>
            <a:rPr lang="en-GB" sz="1600" b="0" baseline="0">
              <a:solidFill>
                <a:sysClr val="windowText" lastClr="000000"/>
              </a:solidFill>
            </a:rPr>
            <a:t> is based on the IEA's Energy Technology Perspectives (ETP) 2017. As detailed in the EINA methodology, RoW deployment is calculated by subtracting EU deployment from global deployment in the IEA ETP. </a:t>
          </a:r>
          <a:endParaRPr lang="en-GB" sz="160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1</xdr:row>
      <xdr:rowOff>76200</xdr:rowOff>
    </xdr:from>
    <xdr:to>
      <xdr:col>15</xdr:col>
      <xdr:colOff>638174</xdr:colOff>
      <xdr:row>10</xdr:row>
      <xdr:rowOff>119062</xdr:rowOff>
    </xdr:to>
    <xdr:sp macro="" textlink="">
      <xdr:nvSpPr>
        <xdr:cNvPr id="2" name="Rectangle 1">
          <a:extLst>
            <a:ext uri="{FF2B5EF4-FFF2-40B4-BE49-F238E27FC236}">
              <a16:creationId xmlns:a16="http://schemas.microsoft.com/office/drawing/2014/main" id="{843FB848-4F2F-40C1-9D9A-80462A2E0A6B}"/>
            </a:ext>
          </a:extLst>
        </xdr:cNvPr>
        <xdr:cNvSpPr/>
      </xdr:nvSpPr>
      <xdr:spPr>
        <a:xfrm>
          <a:off x="2349500" y="704850"/>
          <a:ext cx="20332699" cy="1674812"/>
        </a:xfrm>
        <a:prstGeom prst="rect">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Instructions</a:t>
          </a:r>
        </a:p>
        <a:p>
          <a:pPr algn="l"/>
          <a:endParaRPr lang="en-GB" sz="1100" b="1">
            <a:solidFill>
              <a:sysClr val="windowText" lastClr="000000"/>
            </a:solidFill>
          </a:endParaRPr>
        </a:p>
        <a:p>
          <a:pPr algn="l"/>
          <a:r>
            <a:rPr lang="en-GB" sz="1100" b="0" baseline="0">
              <a:solidFill>
                <a:sysClr val="windowText" lastClr="000000"/>
              </a:solidFill>
            </a:rPr>
            <a:t>Technology level costs can be taken from Stage 2 output and should be obtained from Carbon Trust/ E4tech. </a:t>
          </a:r>
          <a:r>
            <a:rPr lang="en-GB" sz="1100" b="1" baseline="0">
              <a:solidFill>
                <a:sysClr val="windowText" lastClr="000000"/>
              </a:solidFill>
            </a:rPr>
            <a:t>Make sure to chase MH to obtain these. </a:t>
          </a:r>
        </a:p>
        <a:p>
          <a:pPr algn="l"/>
          <a:r>
            <a:rPr lang="en-GB" sz="1100" b="0" baseline="0">
              <a:solidFill>
                <a:sysClr val="windowText" lastClr="000000"/>
              </a:solidFill>
            </a:rPr>
            <a:t>The degree of breakdown of the costs into cost components is dependent on the the level of detail of the EINA and the size (in terms of turnover) of the technology under consideration.  The minimal breakdown is between capital costs and  O&amp;M costs (including fuel) so that the tradeable portion of costs can be understood.  </a:t>
          </a:r>
        </a:p>
        <a:p>
          <a:pPr algn="l"/>
          <a:r>
            <a:rPr lang="en-GB" sz="1100" b="0" baseline="0">
              <a:solidFill>
                <a:sysClr val="windowText" lastClr="000000"/>
              </a:solidFill>
            </a:rPr>
            <a:t> </a:t>
          </a:r>
        </a:p>
        <a:p>
          <a:pPr algn="l"/>
          <a:r>
            <a:rPr lang="en-GB" sz="1100" b="0" baseline="0">
              <a:solidFill>
                <a:sysClr val="windowText" lastClr="000000"/>
              </a:solidFill>
            </a:rPr>
            <a:t>The relevant cost unit should allow for easy conversion to total turnover and hence should be directly related to the unit in which deployment projections are provided.</a:t>
          </a:r>
        </a:p>
        <a:p>
          <a:pPr algn="l"/>
          <a:r>
            <a:rPr lang="en-GB" sz="1100" b="0" baseline="0">
              <a:solidFill>
                <a:sysClr val="windowText" lastClr="000000"/>
              </a:solidFill>
            </a:rPr>
            <a:t>It is acceptable to assume technology costs in the UK are representative for technology costs globally. </a:t>
          </a:r>
          <a:endParaRPr lang="en-GB" sz="1100" b="1">
            <a:solidFill>
              <a:sysClr val="windowText" lastClr="000000"/>
            </a:solidFill>
          </a:endParaRPr>
        </a:p>
      </xdr:txBody>
    </xdr:sp>
    <xdr:clientData/>
  </xdr:twoCellAnchor>
  <xdr:twoCellAnchor>
    <xdr:from>
      <xdr:col>7</xdr:col>
      <xdr:colOff>1504950</xdr:colOff>
      <xdr:row>32</xdr:row>
      <xdr:rowOff>114300</xdr:rowOff>
    </xdr:from>
    <xdr:to>
      <xdr:col>11</xdr:col>
      <xdr:colOff>567191</xdr:colOff>
      <xdr:row>37</xdr:row>
      <xdr:rowOff>171450</xdr:rowOff>
    </xdr:to>
    <xdr:sp macro="" textlink="">
      <xdr:nvSpPr>
        <xdr:cNvPr id="3" name="Rectangle 2">
          <a:extLst>
            <a:ext uri="{FF2B5EF4-FFF2-40B4-BE49-F238E27FC236}">
              <a16:creationId xmlns:a16="http://schemas.microsoft.com/office/drawing/2014/main" id="{F9589BF9-C3F6-4A6B-B3E1-3D3A18FDED15}"/>
            </a:ext>
          </a:extLst>
        </xdr:cNvPr>
        <xdr:cNvSpPr/>
      </xdr:nvSpPr>
      <xdr:spPr>
        <a:xfrm>
          <a:off x="12839700" y="6194425"/>
          <a:ext cx="5015366" cy="9302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These reflect the innovation assumptions we use throughout</a:t>
          </a:r>
          <a:r>
            <a:rPr lang="en-GB" sz="1100" baseline="0">
              <a:solidFill>
                <a:sysClr val="windowText" lastClr="000000"/>
              </a:solidFill>
            </a:rPr>
            <a:t> the project. The relevant assumptions are in SP here: https://vivideconomics.sharepoint.com/:b:/s/projects/181011BEI/Eegknv_5E6BHr9JxkWhJfUIBxeMI_exK0w1p_rcwe5_XsQ?e=ayF0HM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326572</xdr:colOff>
      <xdr:row>32</xdr:row>
      <xdr:rowOff>163287</xdr:rowOff>
    </xdr:from>
    <xdr:to>
      <xdr:col>1</xdr:col>
      <xdr:colOff>1165679</xdr:colOff>
      <xdr:row>41</xdr:row>
      <xdr:rowOff>175381</xdr:rowOff>
    </xdr:to>
    <xdr:sp macro="" textlink="">
      <xdr:nvSpPr>
        <xdr:cNvPr id="3" name="TextBox 2">
          <a:extLst>
            <a:ext uri="{FF2B5EF4-FFF2-40B4-BE49-F238E27FC236}">
              <a16:creationId xmlns:a16="http://schemas.microsoft.com/office/drawing/2014/main" id="{E2F3ECBD-B75E-49E2-8E28-B3AB9E1107E6}"/>
            </a:ext>
          </a:extLst>
        </xdr:cNvPr>
        <xdr:cNvSpPr txBox="1"/>
      </xdr:nvSpPr>
      <xdr:spPr>
        <a:xfrm>
          <a:off x="326572" y="6368144"/>
          <a:ext cx="1614714" cy="1876273"/>
        </a:xfrm>
        <a:prstGeom prst="wedgeRectCallout">
          <a:avLst>
            <a:gd name="adj1" fmla="val 64177"/>
            <a:gd name="adj2" fmla="val 19482"/>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Proportional breakdown of LCOE</a:t>
          </a:r>
          <a:r>
            <a:rPr lang="en-GB" sz="1100" baseline="0">
              <a:solidFill>
                <a:schemeClr val="dk1"/>
              </a:solidFill>
              <a:effectLst/>
              <a:latin typeface="+mn-lt"/>
              <a:ea typeface="+mn-ea"/>
              <a:cs typeface="+mn-cs"/>
            </a:rPr>
            <a:t> is for all components. This calculation splits out the proportions of </a:t>
          </a:r>
          <a:r>
            <a:rPr lang="en-GB" sz="1100">
              <a:solidFill>
                <a:schemeClr val="dk1"/>
              </a:solidFill>
              <a:effectLst/>
              <a:latin typeface="+mn-lt"/>
              <a:ea typeface="+mn-ea"/>
              <a:cs typeface="+mn-cs"/>
            </a:rPr>
            <a:t>capex costs</a:t>
          </a:r>
          <a:r>
            <a:rPr lang="en-GB" sz="1100" baseline="0">
              <a:solidFill>
                <a:schemeClr val="dk1"/>
              </a:solidFill>
              <a:effectLst/>
              <a:latin typeface="+mn-lt"/>
              <a:ea typeface="+mn-ea"/>
              <a:cs typeface="+mn-cs"/>
            </a:rPr>
            <a:t> from O&amp;M of the LCOE costs</a:t>
          </a:r>
          <a:endParaRPr lang="en-GB">
            <a:effectLst/>
          </a:endParaRPr>
        </a:p>
      </xdr:txBody>
    </xdr:sp>
    <xdr:clientData/>
  </xdr:twoCellAnchor>
  <xdr:twoCellAnchor>
    <xdr:from>
      <xdr:col>7</xdr:col>
      <xdr:colOff>24191</xdr:colOff>
      <xdr:row>33</xdr:row>
      <xdr:rowOff>4537</xdr:rowOff>
    </xdr:from>
    <xdr:to>
      <xdr:col>13</xdr:col>
      <xdr:colOff>141967</xdr:colOff>
      <xdr:row>35</xdr:row>
      <xdr:rowOff>132898</xdr:rowOff>
    </xdr:to>
    <xdr:sp macro="" textlink="">
      <xdr:nvSpPr>
        <xdr:cNvPr id="4" name="Speech Bubble: Rectangle 3">
          <a:extLst>
            <a:ext uri="{FF2B5EF4-FFF2-40B4-BE49-F238E27FC236}">
              <a16:creationId xmlns:a16="http://schemas.microsoft.com/office/drawing/2014/main" id="{575AA13F-5B5C-420B-A31C-B713B7729661}"/>
            </a:ext>
          </a:extLst>
        </xdr:cNvPr>
        <xdr:cNvSpPr/>
      </xdr:nvSpPr>
      <xdr:spPr>
        <a:xfrm>
          <a:off x="10787441" y="6386287"/>
          <a:ext cx="8227633" cy="659040"/>
        </a:xfrm>
        <a:prstGeom prst="wedgeRectCallout">
          <a:avLst>
            <a:gd name="adj1" fmla="val -20019"/>
            <a:gd name="adj2" fmla="val -88972"/>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These reflect the innovation assumptions and resultant</a:t>
          </a:r>
          <a:r>
            <a:rPr lang="en-GB" sz="1100" baseline="0">
              <a:solidFill>
                <a:sysClr val="windowText" lastClr="000000"/>
              </a:solidFill>
            </a:rPr>
            <a:t> cost decrease</a:t>
          </a:r>
          <a:r>
            <a:rPr lang="en-GB" sz="1100">
              <a:solidFill>
                <a:sysClr val="windowText" lastClr="000000"/>
              </a:solidFill>
            </a:rPr>
            <a:t> we use throughout</a:t>
          </a:r>
          <a:r>
            <a:rPr lang="en-GB" sz="1100" baseline="0">
              <a:solidFill>
                <a:sysClr val="windowText" lastClr="000000"/>
              </a:solidFill>
            </a:rPr>
            <a:t> the project and are based on the ESME modelling. Assumed to be a linear decrease</a:t>
          </a:r>
        </a:p>
      </xdr:txBody>
    </xdr:sp>
    <xdr:clientData/>
  </xdr:twoCellAnchor>
  <xdr:twoCellAnchor>
    <xdr:from>
      <xdr:col>1</xdr:col>
      <xdr:colOff>421821</xdr:colOff>
      <xdr:row>1</xdr:row>
      <xdr:rowOff>68036</xdr:rowOff>
    </xdr:from>
    <xdr:to>
      <xdr:col>14</xdr:col>
      <xdr:colOff>648606</xdr:colOff>
      <xdr:row>9</xdr:row>
      <xdr:rowOff>114301</xdr:rowOff>
    </xdr:to>
    <xdr:sp macro="" textlink="">
      <xdr:nvSpPr>
        <xdr:cNvPr id="5" name="Rectangle 4">
          <a:extLst>
            <a:ext uri="{FF2B5EF4-FFF2-40B4-BE49-F238E27FC236}">
              <a16:creationId xmlns:a16="http://schemas.microsoft.com/office/drawing/2014/main" id="{1925A7D8-9AB5-4FC4-BD18-84A3A8C7B003}"/>
            </a:ext>
          </a:extLst>
        </xdr:cNvPr>
        <xdr:cNvSpPr/>
      </xdr:nvSpPr>
      <xdr:spPr>
        <a:xfrm>
          <a:off x="1197428" y="693965"/>
          <a:ext cx="19412857" cy="1461407"/>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baseline="0">
              <a:solidFill>
                <a:sysClr val="windowText" lastClr="000000"/>
              </a:solidFill>
            </a:rPr>
            <a:t>Technology level costs can be taken from Stage 2 output and should be obtained from Carbon Trust/ E4tech. The degree of breakdown of the costs into cost components is dependent on the the level of detail of the EINA and the size (in terms of turnover) of the technology under consideration.  The minimal breakdown is between capital costs and  O&amp;M costs (including fuel) so that the tradeable portion of costs can be understood.  </a:t>
          </a:r>
        </a:p>
        <a:p>
          <a:pPr algn="l"/>
          <a:r>
            <a:rPr lang="en-GB" sz="1100" b="0" baseline="0">
              <a:solidFill>
                <a:sysClr val="windowText" lastClr="000000"/>
              </a:solidFill>
            </a:rPr>
            <a:t> </a:t>
          </a:r>
        </a:p>
        <a:p>
          <a:pPr algn="l"/>
          <a:r>
            <a:rPr lang="en-GB" sz="1100" b="0" baseline="0">
              <a:solidFill>
                <a:sysClr val="windowText" lastClr="000000"/>
              </a:solidFill>
            </a:rPr>
            <a:t>The relevant cost unit should allow for easy conversion to total turnover and hence should be directly related to the unit in which deployment projections are provided.</a:t>
          </a:r>
        </a:p>
        <a:p>
          <a:pPr algn="l"/>
          <a:r>
            <a:rPr lang="en-GB" sz="1100" b="0" baseline="0">
              <a:solidFill>
                <a:sysClr val="windowText" lastClr="000000"/>
              </a:solidFill>
            </a:rPr>
            <a:t>It is acceptable to assume technology costs in the UK are representative for technology costs globally. </a:t>
          </a:r>
          <a:endParaRPr lang="en-GB"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561975</xdr:colOff>
      <xdr:row>2</xdr:row>
      <xdr:rowOff>9525</xdr:rowOff>
    </xdr:from>
    <xdr:to>
      <xdr:col>15</xdr:col>
      <xdr:colOff>561975</xdr:colOff>
      <xdr:row>8</xdr:row>
      <xdr:rowOff>27214</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469118" y="816882"/>
          <a:ext cx="18569214" cy="1106261"/>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Calculate</a:t>
          </a:r>
          <a:r>
            <a:rPr lang="en-GB" sz="1100" b="0" baseline="0">
              <a:solidFill>
                <a:sysClr val="windowText" lastClr="000000"/>
              </a:solidFill>
            </a:rPr>
            <a:t> global turnover by multiplying deployment and cost figures. This figure should represent the annual turnover associated with all deployment during that period.</a:t>
          </a:r>
          <a:endParaRPr lang="en-GB" sz="1100" b="1" baseline="0">
            <a:solidFill>
              <a:sysClr val="windowText" lastClr="000000"/>
            </a:solidFill>
          </a:endParaRPr>
        </a:p>
        <a:p>
          <a:pPr algn="l"/>
          <a:endParaRPr lang="en-GB" sz="1100" b="1" baseline="0">
            <a:solidFill>
              <a:sysClr val="windowText" lastClr="000000"/>
            </a:solidFill>
          </a:endParaRPr>
        </a:p>
        <a:p>
          <a:pPr algn="l"/>
          <a:r>
            <a:rPr lang="en-GB" sz="1100" b="1" baseline="0">
              <a:solidFill>
                <a:sysClr val="windowText" lastClr="000000"/>
              </a:solidFill>
            </a:rPr>
            <a:t>NB </a:t>
          </a:r>
          <a:r>
            <a:rPr lang="en-GB" sz="1100" b="0" baseline="0">
              <a:solidFill>
                <a:sysClr val="windowText" lastClr="000000"/>
              </a:solidFill>
            </a:rPr>
            <a:t>Global and regional turnovers should be calculated </a:t>
          </a:r>
          <a:r>
            <a:rPr lang="en-GB" sz="1100" b="0" i="1" baseline="0">
              <a:solidFill>
                <a:sysClr val="windowText" lastClr="000000"/>
              </a:solidFill>
            </a:rPr>
            <a:t>excluding UK turnover </a:t>
          </a:r>
          <a:r>
            <a:rPr lang="en-GB" sz="1100" b="0" i="0" baseline="0">
              <a:solidFill>
                <a:sysClr val="windowText" lastClr="000000"/>
              </a:solidFill>
            </a:rPr>
            <a:t> </a:t>
          </a:r>
          <a:endParaRPr lang="en-GB" sz="1100" b="1">
            <a:solidFill>
              <a:sysClr val="windowText" lastClr="000000"/>
            </a:solidFill>
          </a:endParaRPr>
        </a:p>
      </xdr:txBody>
    </xdr:sp>
    <xdr:clientData/>
  </xdr:twoCellAnchor>
  <xdr:twoCellAnchor>
    <xdr:from>
      <xdr:col>2</xdr:col>
      <xdr:colOff>9071</xdr:colOff>
      <xdr:row>59</xdr:row>
      <xdr:rowOff>90713</xdr:rowOff>
    </xdr:from>
    <xdr:to>
      <xdr:col>12</xdr:col>
      <xdr:colOff>153082</xdr:colOff>
      <xdr:row>67</xdr:row>
      <xdr:rowOff>95249</xdr:rowOff>
    </xdr:to>
    <xdr:sp macro="" textlink="">
      <xdr:nvSpPr>
        <xdr:cNvPr id="3" name="TextBox 2">
          <a:extLst>
            <a:ext uri="{FF2B5EF4-FFF2-40B4-BE49-F238E27FC236}">
              <a16:creationId xmlns:a16="http://schemas.microsoft.com/office/drawing/2014/main" id="{D647FEDC-82B0-4204-8E9A-69D98E45BC3F}"/>
            </a:ext>
          </a:extLst>
        </xdr:cNvPr>
        <xdr:cNvSpPr txBox="1"/>
      </xdr:nvSpPr>
      <xdr:spPr>
        <a:xfrm>
          <a:off x="2417535" y="11139713"/>
          <a:ext cx="11560404" cy="1419679"/>
        </a:xfrm>
        <a:prstGeom prst="wedgeRectCallout">
          <a:avLst>
            <a:gd name="adj1" fmla="val -22720"/>
            <a:gd name="adj2" fmla="val 66962"/>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To determine market turnover, it is necessary to multiply the deployment results by tech costs. Given LCOE are used, an adjustment to these costs is required to properly isolate market turnover. To do this, it is necessary to first calculate the NPV of electricity generation from our deployment data. Then multiply this NPV of electricity generation with LCOE to isolate NPV costs (ie the numerator of the LCOE). For CAPEX, the discounted costs are likely to be similar to the undiscounted costs because they will be incurred immediately or in the phase-in period (ie time period -1, -2 etc) of the plant. Therefore, the adjustment is completed.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Provided OPEX applies to the entire stock (not just new deployment) then stock can be multiplied by LCOE which isolates the correct market turnover. This is making the assumption that O&amp;M and electricity generation are annually constant. </a:t>
          </a:r>
          <a:endParaRPr lang="en-GB" sz="1100"/>
        </a:p>
      </xdr:txBody>
    </xdr:sp>
    <xdr:clientData/>
  </xdr:twoCellAnchor>
  <xdr:twoCellAnchor>
    <xdr:from>
      <xdr:col>1</xdr:col>
      <xdr:colOff>1487716</xdr:colOff>
      <xdr:row>81</xdr:row>
      <xdr:rowOff>163285</xdr:rowOff>
    </xdr:from>
    <xdr:to>
      <xdr:col>4</xdr:col>
      <xdr:colOff>308430</xdr:colOff>
      <xdr:row>84</xdr:row>
      <xdr:rowOff>9070</xdr:rowOff>
    </xdr:to>
    <xdr:sp macro="" textlink="">
      <xdr:nvSpPr>
        <xdr:cNvPr id="4" name="TextBox 3">
          <a:extLst>
            <a:ext uri="{FF2B5EF4-FFF2-40B4-BE49-F238E27FC236}">
              <a16:creationId xmlns:a16="http://schemas.microsoft.com/office/drawing/2014/main" id="{7C92500A-5E5E-46BD-9808-3CCD9A5509ED}"/>
            </a:ext>
          </a:extLst>
        </xdr:cNvPr>
        <xdr:cNvSpPr txBox="1"/>
      </xdr:nvSpPr>
      <xdr:spPr>
        <a:xfrm>
          <a:off x="2394859" y="21118285"/>
          <a:ext cx="2757714" cy="390071"/>
        </a:xfrm>
        <a:prstGeom prst="wedgeRectCallout">
          <a:avLst>
            <a:gd name="adj1" fmla="val -22720"/>
            <a:gd name="adj2" fmla="val 66962"/>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Background</a:t>
          </a:r>
          <a:r>
            <a:rPr lang="en-GB" sz="1100" baseline="0">
              <a:solidFill>
                <a:schemeClr val="dk1"/>
              </a:solidFill>
              <a:effectLst/>
              <a:latin typeface="+mn-lt"/>
              <a:ea typeface="+mn-ea"/>
              <a:cs typeface="+mn-cs"/>
            </a:rPr>
            <a:t> calculations for above numbers</a:t>
          </a:r>
          <a:endParaRPr lang="en-GB" sz="1100"/>
        </a:p>
      </xdr:txBody>
    </xdr:sp>
    <xdr:clientData/>
  </xdr:twoCellAnchor>
  <xdr:twoCellAnchor>
    <xdr:from>
      <xdr:col>1</xdr:col>
      <xdr:colOff>117929</xdr:colOff>
      <xdr:row>51</xdr:row>
      <xdr:rowOff>126998</xdr:rowOff>
    </xdr:from>
    <xdr:to>
      <xdr:col>1</xdr:col>
      <xdr:colOff>1433286</xdr:colOff>
      <xdr:row>58</xdr:row>
      <xdr:rowOff>163283</xdr:rowOff>
    </xdr:to>
    <xdr:sp macro="" textlink="">
      <xdr:nvSpPr>
        <xdr:cNvPr id="5" name="TextBox 4">
          <a:extLst>
            <a:ext uri="{FF2B5EF4-FFF2-40B4-BE49-F238E27FC236}">
              <a16:creationId xmlns:a16="http://schemas.microsoft.com/office/drawing/2014/main" id="{CB64B49E-C7DD-4BAC-A2A4-BF013DA60AA2}"/>
            </a:ext>
          </a:extLst>
        </xdr:cNvPr>
        <xdr:cNvSpPr txBox="1"/>
      </xdr:nvSpPr>
      <xdr:spPr>
        <a:xfrm>
          <a:off x="1025072" y="9833427"/>
          <a:ext cx="1315357" cy="1306285"/>
        </a:xfrm>
        <a:prstGeom prst="wedgeRectCallout">
          <a:avLst>
            <a:gd name="adj1" fmla="val 64177"/>
            <a:gd name="adj2" fmla="val 19482"/>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Tradeable</a:t>
          </a:r>
          <a:r>
            <a:rPr lang="en-GB" sz="1100" baseline="0">
              <a:solidFill>
                <a:schemeClr val="dk1"/>
              </a:solidFill>
              <a:effectLst/>
              <a:latin typeface="+mn-lt"/>
              <a:ea typeface="+mn-ea"/>
              <a:cs typeface="+mn-cs"/>
            </a:rPr>
            <a:t> and markrt levels of decomissioning are due to start in line with replacement rate in deployment tab.</a:t>
          </a:r>
          <a:endParaRPr lang="en-GB" sz="1100"/>
        </a:p>
      </xdr:txBody>
    </xdr:sp>
    <xdr:clientData/>
  </xdr:twoCellAnchor>
  <xdr:twoCellAnchor>
    <xdr:from>
      <xdr:col>0</xdr:col>
      <xdr:colOff>95250</xdr:colOff>
      <xdr:row>89</xdr:row>
      <xdr:rowOff>122463</xdr:rowOff>
    </xdr:from>
    <xdr:to>
      <xdr:col>1</xdr:col>
      <xdr:colOff>1088572</xdr:colOff>
      <xdr:row>104</xdr:row>
      <xdr:rowOff>108857</xdr:rowOff>
    </xdr:to>
    <xdr:sp macro="" textlink="">
      <xdr:nvSpPr>
        <xdr:cNvPr id="6" name="TextBox 5">
          <a:extLst>
            <a:ext uri="{FF2B5EF4-FFF2-40B4-BE49-F238E27FC236}">
              <a16:creationId xmlns:a16="http://schemas.microsoft.com/office/drawing/2014/main" id="{00AACB45-FB95-4158-8AF5-17073750381B}"/>
            </a:ext>
          </a:extLst>
        </xdr:cNvPr>
        <xdr:cNvSpPr txBox="1"/>
      </xdr:nvSpPr>
      <xdr:spPr>
        <a:xfrm>
          <a:off x="95250" y="16491856"/>
          <a:ext cx="1864179" cy="2639787"/>
        </a:xfrm>
        <a:prstGeom prst="wedgeRectCallout">
          <a:avLst>
            <a:gd name="adj1" fmla="val 57318"/>
            <a:gd name="adj2" fmla="val 113869"/>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Note that turnover calculations have been performed</a:t>
          </a:r>
          <a:r>
            <a:rPr lang="en-GB" sz="1100" baseline="0">
              <a:solidFill>
                <a:schemeClr val="dk1"/>
              </a:solidFill>
              <a:effectLst/>
              <a:latin typeface="+mn-lt"/>
              <a:ea typeface="+mn-ea"/>
              <a:cs typeface="+mn-cs"/>
            </a:rPr>
            <a:t> based on a 25 year lifetime, as this is consistent with the inital presentation of the tech cost. This is consistent with the more conservative 20 year lifetime used in the deployment calculations https://www.carbontrust.com/media/670664/floating-offshore-wind-market-technology-review.pdf</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36713</xdr:colOff>
      <xdr:row>1</xdr:row>
      <xdr:rowOff>101844</xdr:rowOff>
    </xdr:from>
    <xdr:to>
      <xdr:col>14</xdr:col>
      <xdr:colOff>380999</xdr:colOff>
      <xdr:row>7</xdr:row>
      <xdr:rowOff>168519</xdr:rowOff>
    </xdr:to>
    <xdr:sp macro="" textlink="">
      <xdr:nvSpPr>
        <xdr:cNvPr id="3" name="Rectangle 1">
          <a:extLst>
            <a:ext uri="{FF2B5EF4-FFF2-40B4-BE49-F238E27FC236}">
              <a16:creationId xmlns:a16="http://schemas.microsoft.com/office/drawing/2014/main" id="{00000000-0008-0000-0700-000002000000}"/>
            </a:ext>
          </a:extLst>
        </xdr:cNvPr>
        <xdr:cNvSpPr/>
      </xdr:nvSpPr>
      <xdr:spPr>
        <a:xfrm>
          <a:off x="827288" y="730494"/>
          <a:ext cx="11840961" cy="1171575"/>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This</a:t>
          </a:r>
          <a:r>
            <a:rPr lang="en-GB" sz="1100" b="0" baseline="0">
              <a:solidFill>
                <a:sysClr val="windowText" lastClr="000000"/>
              </a:solidFill>
            </a:rPr>
            <a:t> assessment considers the % of total turnover that is tradeable from a UK perspective. It is one of the two elements (aside from competitive advantage) used to assess the market share the UK may capture In principle this assessment should only exclude elements of total turnover if these are untradeable for practical reasons. For example, transporting offshore wind foundations from the UK to China is likely extremely costly and unlikely to occur no matter how competitive UK producers are.</a:t>
          </a:r>
        </a:p>
        <a:p>
          <a:pPr algn="l"/>
          <a:endParaRPr lang="en-GB" sz="1100" b="0" baseline="0">
            <a:solidFill>
              <a:sysClr val="windowText" lastClr="000000"/>
            </a:solidFill>
          </a:endParaRPr>
        </a:p>
        <a:p>
          <a:pPr algn="l"/>
          <a:endParaRPr lang="en-GB" sz="1100" b="1">
            <a:solidFill>
              <a:sysClr val="windowText" lastClr="000000"/>
            </a:solidFill>
          </a:endParaRPr>
        </a:p>
      </xdr:txBody>
    </xdr:sp>
    <xdr:clientData/>
  </xdr:twoCellAnchor>
  <xdr:twoCellAnchor>
    <xdr:from>
      <xdr:col>14</xdr:col>
      <xdr:colOff>387350</xdr:colOff>
      <xdr:row>17</xdr:row>
      <xdr:rowOff>134632</xdr:rowOff>
    </xdr:from>
    <xdr:to>
      <xdr:col>22</xdr:col>
      <xdr:colOff>401420</xdr:colOff>
      <xdr:row>24</xdr:row>
      <xdr:rowOff>0</xdr:rowOff>
    </xdr:to>
    <xdr:sp macro="" textlink="">
      <xdr:nvSpPr>
        <xdr:cNvPr id="6" name="Rectangle 3">
          <a:extLst>
            <a:ext uri="{FF2B5EF4-FFF2-40B4-BE49-F238E27FC236}">
              <a16:creationId xmlns:a16="http://schemas.microsoft.com/office/drawing/2014/main" id="{00000000-0008-0000-0700-000004000000}"/>
            </a:ext>
          </a:extLst>
        </xdr:cNvPr>
        <xdr:cNvSpPr/>
      </xdr:nvSpPr>
      <xdr:spPr>
        <a:xfrm>
          <a:off x="15668171" y="3658882"/>
          <a:ext cx="4694928" cy="1117225"/>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Trade data looks at a much broader set of goods than used in offshore wind,</a:t>
          </a:r>
          <a:r>
            <a:rPr lang="en-GB" sz="1100" baseline="0">
              <a:solidFill>
                <a:sysClr val="windowText" lastClr="000000"/>
              </a:solidFill>
            </a:rPr>
            <a:t> while it is representative of the wider sector it does not focus on offshore wind.</a:t>
          </a:r>
        </a:p>
        <a:p>
          <a:pPr algn="l"/>
          <a:r>
            <a:rPr lang="en-GB" sz="1100" baseline="0">
              <a:solidFill>
                <a:sysClr val="windowText" lastClr="000000"/>
              </a:solidFill>
            </a:rPr>
            <a:t>Expert information suggests that there is little impediment to what could be traded as Siemens and Vestas have large market shares across the world.</a:t>
          </a:r>
        </a:p>
        <a:p>
          <a:pPr algn="l"/>
          <a:endParaRPr lang="en-GB" sz="1100" baseline="0">
            <a:solidFill>
              <a:srgbClr val="FF0000"/>
            </a:solidFill>
          </a:endParaRPr>
        </a:p>
      </xdr:txBody>
    </xdr:sp>
    <xdr:clientData/>
  </xdr:twoCellAnchor>
  <xdr:twoCellAnchor>
    <xdr:from>
      <xdr:col>0</xdr:col>
      <xdr:colOff>423333</xdr:colOff>
      <xdr:row>15</xdr:row>
      <xdr:rowOff>162818</xdr:rowOff>
    </xdr:from>
    <xdr:to>
      <xdr:col>1</xdr:col>
      <xdr:colOff>1315357</xdr:colOff>
      <xdr:row>26</xdr:row>
      <xdr:rowOff>17317</xdr:rowOff>
    </xdr:to>
    <xdr:sp macro="" textlink="">
      <xdr:nvSpPr>
        <xdr:cNvPr id="5" name="TextBox 4">
          <a:extLst>
            <a:ext uri="{FF2B5EF4-FFF2-40B4-BE49-F238E27FC236}">
              <a16:creationId xmlns:a16="http://schemas.microsoft.com/office/drawing/2014/main" id="{F0BD8BF3-C240-457C-A9D3-85A6D8E731DA}"/>
            </a:ext>
          </a:extLst>
        </xdr:cNvPr>
        <xdr:cNvSpPr txBox="1"/>
      </xdr:nvSpPr>
      <xdr:spPr>
        <a:xfrm>
          <a:off x="423333" y="3297409"/>
          <a:ext cx="1688660" cy="1794135"/>
        </a:xfrm>
        <a:prstGeom prst="wedgeRectCallout">
          <a:avLst>
            <a:gd name="adj1" fmla="val 61255"/>
            <a:gd name="adj2" fmla="val 21330"/>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From this point onwards O&amp;M and decomissioning are</a:t>
          </a:r>
          <a:r>
            <a:rPr lang="en-GB" sz="1100" baseline="0">
              <a:solidFill>
                <a:schemeClr val="dk1"/>
              </a:solidFill>
              <a:effectLst/>
              <a:latin typeface="+mn-lt"/>
              <a:ea typeface="+mn-ea"/>
              <a:cs typeface="+mn-cs"/>
            </a:rPr>
            <a:t> considered together. It is assumed that they will largey be undertaken together and that as decomissioning is so new, the best approximation is O&amp;M services</a:t>
          </a: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561975</xdr:colOff>
      <xdr:row>2</xdr:row>
      <xdr:rowOff>9525</xdr:rowOff>
    </xdr:from>
    <xdr:to>
      <xdr:col>11</xdr:col>
      <xdr:colOff>40821</xdr:colOff>
      <xdr:row>6</xdr:row>
      <xdr:rowOff>11906</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990725" y="819150"/>
          <a:ext cx="16909596" cy="740569"/>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endParaRPr lang="en-GB" sz="1100" b="1">
            <a:solidFill>
              <a:sysClr val="windowText" lastClr="000000"/>
            </a:solidFill>
          </a:endParaRPr>
        </a:p>
        <a:p>
          <a:pPr algn="l"/>
          <a:r>
            <a:rPr lang="en-GB" sz="1100" b="0">
              <a:solidFill>
                <a:sysClr val="windowText" lastClr="000000"/>
              </a:solidFill>
            </a:rPr>
            <a:t>Total</a:t>
          </a:r>
          <a:r>
            <a:rPr lang="en-GB" sz="1100" b="0" baseline="0">
              <a:solidFill>
                <a:sysClr val="windowText" lastClr="000000"/>
              </a:solidFill>
            </a:rPr>
            <a:t> tradeable turnover is simply the multiplication of market turnover and the tradeable %.</a:t>
          </a:r>
        </a:p>
        <a:p>
          <a:pPr algn="l"/>
          <a:endParaRPr lang="en-GB" sz="1100" b="0" baseline="0">
            <a:solidFill>
              <a:sysClr val="windowText" lastClr="000000"/>
            </a:solidFill>
          </a:endParaRPr>
        </a:p>
        <a:p>
          <a:pPr algn="l"/>
          <a:endParaRPr lang="en-GB" sz="1100" b="0">
            <a:solidFill>
              <a:sysClr val="windowText" lastClr="000000"/>
            </a:solidFill>
          </a:endParaRPr>
        </a:p>
        <a:p>
          <a:pPr algn="l"/>
          <a:endParaRPr lang="en-GB" sz="11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788193</xdr:colOff>
      <xdr:row>2</xdr:row>
      <xdr:rowOff>21167</xdr:rowOff>
    </xdr:from>
    <xdr:to>
      <xdr:col>16</xdr:col>
      <xdr:colOff>34132</xdr:colOff>
      <xdr:row>7</xdr:row>
      <xdr:rowOff>68036</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788193" y="823988"/>
          <a:ext cx="16023546" cy="958548"/>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Instructions</a:t>
          </a:r>
          <a:endParaRPr lang="en-GB" sz="1100" b="0">
            <a:solidFill>
              <a:sysClr val="windowText" lastClr="000000"/>
            </a:solidFill>
          </a:endParaRPr>
        </a:p>
        <a:p>
          <a:pPr algn="l"/>
          <a:r>
            <a:rPr lang="en-GB" sz="1100" b="0">
              <a:solidFill>
                <a:sysClr val="windowText" lastClr="000000"/>
              </a:solidFill>
            </a:rPr>
            <a:t>The market share % entered in this sheet reflects the % of the tradeable market the UK is deemed to be able to capture. The assessment of this % is based on RCA calculations, assessment of UK skills and expert evidence, as described in the methodology document. </a:t>
          </a:r>
        </a:p>
        <a:p>
          <a:pPr algn="l"/>
          <a:endParaRPr lang="en-GB" sz="1100" b="0">
            <a:solidFill>
              <a:sysClr val="windowText" lastClr="000000"/>
            </a:solidFill>
          </a:endParaRPr>
        </a:p>
        <a:p>
          <a:pPr algn="l"/>
          <a:r>
            <a:rPr lang="en-GB" sz="1100" b="0">
              <a:solidFill>
                <a:sysClr val="windowText" lastClr="000000"/>
              </a:solidFill>
            </a:rPr>
            <a:t>The UK market share may differ for different regions. Indeed, it will likely always differ between UK and export markets. However, it may also be significantly different between closeby export markets (like the EU) and other markets.  </a:t>
          </a:r>
        </a:p>
        <a:p>
          <a:pPr algn="l"/>
          <a:r>
            <a:rPr lang="en-GB" sz="1100" b="0">
              <a:solidFill>
                <a:sysClr val="windowText" lastClr="000000"/>
              </a:solidFill>
            </a:rPr>
            <a:t> </a:t>
          </a:r>
        </a:p>
      </xdr:txBody>
    </xdr:sp>
    <xdr:clientData/>
  </xdr:twoCellAnchor>
  <xdr:twoCellAnchor>
    <xdr:from>
      <xdr:col>0</xdr:col>
      <xdr:colOff>124356</xdr:colOff>
      <xdr:row>45</xdr:row>
      <xdr:rowOff>166689</xdr:rowOff>
    </xdr:from>
    <xdr:to>
      <xdr:col>1</xdr:col>
      <xdr:colOff>1553106</xdr:colOff>
      <xdr:row>56</xdr:row>
      <xdr:rowOff>0</xdr:rowOff>
    </xdr:to>
    <xdr:sp macro="" textlink="">
      <xdr:nvSpPr>
        <xdr:cNvPr id="3" name="TextBox 2">
          <a:extLst>
            <a:ext uri="{FF2B5EF4-FFF2-40B4-BE49-F238E27FC236}">
              <a16:creationId xmlns:a16="http://schemas.microsoft.com/office/drawing/2014/main" id="{D115F61A-840A-4D80-A8FC-644D0E9748F1}"/>
            </a:ext>
          </a:extLst>
        </xdr:cNvPr>
        <xdr:cNvSpPr txBox="1"/>
      </xdr:nvSpPr>
      <xdr:spPr>
        <a:xfrm>
          <a:off x="124356" y="8036720"/>
          <a:ext cx="2214563" cy="1821655"/>
        </a:xfrm>
        <a:prstGeom prst="wedgeRectCallout">
          <a:avLst>
            <a:gd name="adj1" fmla="val 60316"/>
            <a:gd name="adj2" fmla="val -20870"/>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Market shares were updated to be the same</a:t>
          </a:r>
          <a:r>
            <a:rPr lang="en-GB" sz="1100" baseline="0">
              <a:solidFill>
                <a:schemeClr val="dk1"/>
              </a:solidFill>
              <a:effectLst/>
              <a:latin typeface="+mn-lt"/>
              <a:ea typeface="+mn-ea"/>
              <a:cs typeface="+mn-cs"/>
            </a:rPr>
            <a:t> as the numbers used in the offshore wind sector deal. These are the market shares that correspond to the numbers published by OWIC (2018) </a:t>
          </a:r>
          <a:r>
            <a:rPr lang="en-GB"/>
            <a:t>Economic Impacts of the UK Offshore Wind: Scenarios for the Sector Deal</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aJobID-1486578_1486578_OffshoreWind2" connectionId="7" xr16:uid="{1ADB358E-12ED-4140-8EB8-0BA5B55CC9E8}"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aJobID-1486558_1486558_TotalExports" connectionId="6" xr16:uid="{72B07FD8-1B77-8E4B-97CD-87F015310B0E}"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taJobID-1476778_1476778_TotalExports" connectionId="3" xr16:uid="{00000000-0016-0000-1000-000000000000}" autoFormatId="0"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DataJobID-1476767_1476767_OffshoreWind" connectionId="2" xr16:uid="{00000000-0016-0000-1000-000003000000}" autoFormatId="0"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DataJobID-1480965_1480965_TotalExports" connectionId="5" xr16:uid="{00000000-0016-0000-1000-000002000000}" autoFormatId="0"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DataJobID-1480951_1480951_OffshoreWind2" connectionId="4" xr16:uid="{00000000-0016-0000-1000-000001000000}"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New Chart Colours">
      <a:dk1>
        <a:sysClr val="windowText" lastClr="000000"/>
      </a:dk1>
      <a:lt1>
        <a:sysClr val="window" lastClr="FFFFFF"/>
      </a:lt1>
      <a:dk2>
        <a:srgbClr val="FDC692"/>
      </a:dk2>
      <a:lt2>
        <a:srgbClr val="ABE1FA"/>
      </a:lt2>
      <a:accent1>
        <a:srgbClr val="569497"/>
      </a:accent1>
      <a:accent2>
        <a:srgbClr val="9FD18B"/>
      </a:accent2>
      <a:accent3>
        <a:srgbClr val="FFDB74"/>
      </a:accent3>
      <a:accent4>
        <a:srgbClr val="F7955B"/>
      </a:accent4>
      <a:accent5>
        <a:srgbClr val="20C4F4"/>
      </a:accent5>
      <a:accent6>
        <a:srgbClr val="76AEB9"/>
      </a:accent6>
      <a:hlink>
        <a:srgbClr val="DDE5B5"/>
      </a:hlink>
      <a:folHlink>
        <a:srgbClr val="DFC7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ew Chart Colours">
    <a:dk1>
      <a:sysClr val="windowText" lastClr="000000"/>
    </a:dk1>
    <a:lt1>
      <a:sysClr val="window" lastClr="FFFFFF"/>
    </a:lt1>
    <a:dk2>
      <a:srgbClr val="FDC692"/>
    </a:dk2>
    <a:lt2>
      <a:srgbClr val="ABE1FA"/>
    </a:lt2>
    <a:accent1>
      <a:srgbClr val="569497"/>
    </a:accent1>
    <a:accent2>
      <a:srgbClr val="9FD18B"/>
    </a:accent2>
    <a:accent3>
      <a:srgbClr val="FFDB74"/>
    </a:accent3>
    <a:accent4>
      <a:srgbClr val="F7955B"/>
    </a:accent4>
    <a:accent5>
      <a:srgbClr val="20C4F4"/>
    </a:accent5>
    <a:accent6>
      <a:srgbClr val="76AEB9"/>
    </a:accent6>
    <a:hlink>
      <a:srgbClr val="DDE5B5"/>
    </a:hlink>
    <a:folHlink>
      <a:srgbClr val="DFC7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New Chart Colours">
    <a:dk1>
      <a:sysClr val="windowText" lastClr="000000"/>
    </a:dk1>
    <a:lt1>
      <a:sysClr val="window" lastClr="FFFFFF"/>
    </a:lt1>
    <a:dk2>
      <a:srgbClr val="FDC692"/>
    </a:dk2>
    <a:lt2>
      <a:srgbClr val="ABE1FA"/>
    </a:lt2>
    <a:accent1>
      <a:srgbClr val="569497"/>
    </a:accent1>
    <a:accent2>
      <a:srgbClr val="9FD18B"/>
    </a:accent2>
    <a:accent3>
      <a:srgbClr val="FFDB74"/>
    </a:accent3>
    <a:accent4>
      <a:srgbClr val="F7955B"/>
    </a:accent4>
    <a:accent5>
      <a:srgbClr val="20C4F4"/>
    </a:accent5>
    <a:accent6>
      <a:srgbClr val="76AEB9"/>
    </a:accent6>
    <a:hlink>
      <a:srgbClr val="DDE5B5"/>
    </a:hlink>
    <a:folHlink>
      <a:srgbClr val="DFC7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8.bin"/><Relationship Id="rId1" Type="http://schemas.openxmlformats.org/officeDocument/2006/relationships/hyperlink" Target="https://www.ons.gov.uk/economy/environmentalaccounts/datasets/lowcarbonandrenewableenergyeconomymultipliersdataset"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 Id="rId6" Type="http://schemas.openxmlformats.org/officeDocument/2006/relationships/queryTable" Target="../queryTables/queryTable6.xml"/><Relationship Id="rId5" Type="http://schemas.openxmlformats.org/officeDocument/2006/relationships/queryTable" Target="../queryTables/queryTable5.xml"/><Relationship Id="rId4" Type="http://schemas.openxmlformats.org/officeDocument/2006/relationships/queryTable" Target="../queryTables/queryTable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13.bin"/><Relationship Id="rId1" Type="http://schemas.openxmlformats.org/officeDocument/2006/relationships/hyperlink" Target="https://www.ons.gov.uk/economy/environmentalaccounts/datasets/lowcarbonandrenewableenergyeconomymultipliersdataset"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E48"/>
  <sheetViews>
    <sheetView workbookViewId="0"/>
  </sheetViews>
  <sheetFormatPr defaultColWidth="8.81640625" defaultRowHeight="14"/>
  <cols>
    <col min="1" max="1" width="19.453125" style="39" customWidth="1"/>
    <col min="2" max="10" width="25.81640625" style="40" customWidth="1"/>
    <col min="11" max="18" width="15.81640625" style="40" customWidth="1"/>
    <col min="19" max="16384" width="8.81640625" style="40"/>
  </cols>
  <sheetData>
    <row r="1" spans="1:3" s="8" customFormat="1" ht="49.5" customHeight="1">
      <c r="A1" s="232" t="s">
        <v>0</v>
      </c>
      <c r="B1" s="232"/>
      <c r="C1" s="232"/>
    </row>
    <row r="2" spans="1:3" s="10" customFormat="1" ht="14.5" customHeight="1">
      <c r="A2" s="9" t="s">
        <v>1</v>
      </c>
    </row>
    <row r="3" spans="1:3" s="12" customFormat="1" ht="14.5" customHeight="1">
      <c r="A3" s="11" t="s">
        <v>2</v>
      </c>
    </row>
    <row r="4" spans="1:3" s="12" customFormat="1" ht="14.5" customHeight="1">
      <c r="A4" s="11" t="s">
        <v>3</v>
      </c>
    </row>
    <row r="5" spans="1:3" s="12" customFormat="1" ht="14.5" customHeight="1">
      <c r="A5" s="11" t="s">
        <v>4</v>
      </c>
    </row>
    <row r="6" spans="1:3" s="12" customFormat="1" ht="14.5" customHeight="1">
      <c r="A6" s="11" t="s">
        <v>5</v>
      </c>
    </row>
    <row r="7" spans="1:3" s="12" customFormat="1" ht="14.5" customHeight="1">
      <c r="A7" s="11" t="s">
        <v>6</v>
      </c>
    </row>
    <row r="8" spans="1:3" s="12" customFormat="1" ht="14.5" customHeight="1">
      <c r="A8" s="11" t="s">
        <v>7</v>
      </c>
      <c r="B8" s="13"/>
      <c r="C8" s="13"/>
    </row>
    <row r="9" spans="1:3" s="14" customFormat="1" ht="14.5" customHeight="1">
      <c r="A9" s="289" t="s">
        <v>8</v>
      </c>
      <c r="B9" s="290"/>
      <c r="C9" s="290"/>
    </row>
    <row r="10" spans="1:3" s="15" customFormat="1">
      <c r="A10" s="291"/>
      <c r="B10" s="291"/>
      <c r="C10" s="291"/>
    </row>
    <row r="11" spans="1:3" s="331" customFormat="1" ht="14.5" customHeight="1">
      <c r="A11" s="330" t="s">
        <v>9</v>
      </c>
      <c r="B11" s="330"/>
      <c r="C11" s="330"/>
    </row>
    <row r="12" spans="1:3" s="17" customFormat="1" ht="14.5" customHeight="1">
      <c r="A12" s="16" t="s">
        <v>1</v>
      </c>
    </row>
    <row r="13" spans="1:3" s="19" customFormat="1" ht="14.5" customHeight="1">
      <c r="A13" s="18" t="s">
        <v>10</v>
      </c>
    </row>
    <row r="14" spans="1:3" s="19" customFormat="1" ht="14.5" customHeight="1">
      <c r="A14" s="18" t="s">
        <v>11</v>
      </c>
    </row>
    <row r="15" spans="1:3" s="19" customFormat="1" ht="14.5" customHeight="1">
      <c r="A15" s="18" t="s">
        <v>12</v>
      </c>
    </row>
    <row r="16" spans="1:3" s="19" customFormat="1" ht="14.5" customHeight="1">
      <c r="A16" s="18" t="s">
        <v>13</v>
      </c>
    </row>
    <row r="17" spans="1:5" s="20" customFormat="1" ht="14.5" customHeight="1">
      <c r="A17" s="292" t="s">
        <v>8</v>
      </c>
      <c r="B17" s="293"/>
      <c r="C17" s="293"/>
      <c r="D17" s="293"/>
      <c r="E17" s="293"/>
    </row>
    <row r="18" spans="1:5" s="15" customFormat="1">
      <c r="A18" s="291"/>
      <c r="B18" s="291"/>
      <c r="C18" s="291"/>
      <c r="D18" s="291"/>
      <c r="E18" s="291"/>
    </row>
    <row r="19" spans="1:5" s="333" customFormat="1" ht="14.5" customHeight="1">
      <c r="A19" s="332" t="s">
        <v>14</v>
      </c>
      <c r="B19" s="332"/>
      <c r="C19" s="332"/>
      <c r="D19" s="332"/>
      <c r="E19" s="332"/>
    </row>
    <row r="20" spans="1:5" s="22" customFormat="1" ht="14.5" customHeight="1">
      <c r="A20" s="21" t="s">
        <v>1</v>
      </c>
    </row>
    <row r="21" spans="1:5" s="24" customFormat="1" ht="14.5" customHeight="1">
      <c r="A21" s="23" t="s">
        <v>10</v>
      </c>
    </row>
    <row r="22" spans="1:5" s="24" customFormat="1" ht="14.5" customHeight="1">
      <c r="A22" s="23" t="s">
        <v>15</v>
      </c>
    </row>
    <row r="23" spans="1:5" s="24" customFormat="1" ht="14.5" customHeight="1">
      <c r="A23" s="23" t="s">
        <v>16</v>
      </c>
    </row>
    <row r="24" spans="1:5" s="24" customFormat="1" ht="14.5" customHeight="1">
      <c r="A24" s="23" t="s">
        <v>17</v>
      </c>
    </row>
    <row r="25" spans="1:5" s="22" customFormat="1" ht="14.5" customHeight="1">
      <c r="A25" s="25" t="s">
        <v>18</v>
      </c>
    </row>
    <row r="26" spans="1:5" s="24" customFormat="1" ht="14.5" customHeight="1">
      <c r="A26" s="23" t="s">
        <v>19</v>
      </c>
      <c r="B26" s="26"/>
      <c r="C26" s="27"/>
      <c r="D26" s="27"/>
      <c r="E26" s="294"/>
    </row>
    <row r="27" spans="1:5" s="24" customFormat="1" ht="14.5" customHeight="1">
      <c r="A27" s="23" t="s">
        <v>20</v>
      </c>
    </row>
    <row r="28" spans="1:5" s="24" customFormat="1" ht="14.5" customHeight="1">
      <c r="A28" s="23" t="s">
        <v>21</v>
      </c>
      <c r="B28" s="28"/>
      <c r="C28" s="28"/>
      <c r="D28" s="28"/>
    </row>
    <row r="29" spans="1:5" s="29" customFormat="1" ht="14.5" customHeight="1">
      <c r="A29" s="295" t="s">
        <v>8</v>
      </c>
      <c r="B29" s="296"/>
      <c r="C29" s="296"/>
      <c r="D29" s="296"/>
      <c r="E29" s="296"/>
    </row>
    <row r="30" spans="1:5" s="15" customFormat="1">
      <c r="A30" s="291"/>
      <c r="B30" s="291"/>
      <c r="C30" s="291"/>
      <c r="D30" s="291"/>
      <c r="E30" s="291"/>
    </row>
    <row r="31" spans="1:5" s="335" customFormat="1" ht="14.5" customHeight="1">
      <c r="A31" s="334" t="s">
        <v>22</v>
      </c>
      <c r="B31" s="334"/>
      <c r="C31" s="334"/>
      <c r="D31" s="334"/>
      <c r="E31" s="334"/>
    </row>
    <row r="32" spans="1:5" s="31" customFormat="1">
      <c r="A32" s="30" t="s">
        <v>1</v>
      </c>
    </row>
    <row r="33" spans="1:2" s="33" customFormat="1" ht="12.5">
      <c r="A33" s="32" t="s">
        <v>23</v>
      </c>
    </row>
    <row r="34" spans="1:2" s="33" customFormat="1" ht="12.5">
      <c r="A34" s="32" t="s">
        <v>24</v>
      </c>
    </row>
    <row r="35" spans="1:2" s="33" customFormat="1" ht="12.5">
      <c r="A35" s="32" t="s">
        <v>25</v>
      </c>
      <c r="B35" s="34"/>
    </row>
    <row r="36" spans="1:2" s="33" customFormat="1">
      <c r="A36" s="35" t="s">
        <v>26</v>
      </c>
    </row>
    <row r="37" spans="1:2" s="33" customFormat="1" ht="12.5">
      <c r="A37" s="32" t="s">
        <v>27</v>
      </c>
    </row>
    <row r="38" spans="1:2" s="33" customFormat="1" ht="12.5">
      <c r="A38" s="32" t="s">
        <v>28</v>
      </c>
    </row>
    <row r="39" spans="1:2" s="33" customFormat="1" ht="12.5">
      <c r="A39" s="32" t="s">
        <v>29</v>
      </c>
    </row>
    <row r="40" spans="1:2" s="33" customFormat="1" ht="12.5">
      <c r="A40" s="32" t="s">
        <v>30</v>
      </c>
    </row>
    <row r="41" spans="1:2" s="33" customFormat="1">
      <c r="A41" s="35" t="s">
        <v>18</v>
      </c>
    </row>
    <row r="42" spans="1:2" s="33" customFormat="1" ht="12.5">
      <c r="A42" s="32" t="s">
        <v>20</v>
      </c>
    </row>
    <row r="43" spans="1:2" s="33" customFormat="1" ht="12.5">
      <c r="A43" s="32" t="s">
        <v>21</v>
      </c>
      <c r="B43" s="36"/>
    </row>
    <row r="44" spans="1:2" s="33" customFormat="1" ht="14.5">
      <c r="A44" s="32" t="s">
        <v>19</v>
      </c>
      <c r="B44" s="37"/>
    </row>
    <row r="45" spans="1:2" s="33" customFormat="1" ht="12.5">
      <c r="A45" s="32" t="s">
        <v>31</v>
      </c>
    </row>
    <row r="46" spans="1:2" s="33" customFormat="1" ht="12.5">
      <c r="A46" s="32" t="s">
        <v>32</v>
      </c>
    </row>
    <row r="47" spans="1:2" s="33" customFormat="1" ht="12.5">
      <c r="A47" s="32" t="s">
        <v>33</v>
      </c>
    </row>
    <row r="48" spans="1:2" s="38" customFormat="1">
      <c r="A48" s="297" t="s">
        <v>8</v>
      </c>
      <c r="B48" s="298"/>
    </row>
  </sheetData>
  <mergeCells count="3">
    <mergeCell ref="A11:XFD11"/>
    <mergeCell ref="A19:XFD19"/>
    <mergeCell ref="A31:XFD31"/>
  </mergeCells>
  <pageMargins left="0.7" right="0.7" top="0.75" bottom="0.75" header="0.3" footer="0.3"/>
  <pageSetup paperSize="9" orientation="portrait" horizontalDpi="4294967294" verticalDpi="429496729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39997558519241921"/>
  </sheetPr>
  <dimension ref="A1:BK116"/>
  <sheetViews>
    <sheetView topLeftCell="A23" workbookViewId="0">
      <selection activeCell="F58" sqref="F58"/>
    </sheetView>
  </sheetViews>
  <sheetFormatPr defaultColWidth="8.81640625" defaultRowHeight="14"/>
  <cols>
    <col min="1" max="1" width="13" style="1" customWidth="1"/>
    <col min="2" max="2" width="23.1796875" style="1" customWidth="1"/>
    <col min="3" max="3" width="24.26953125" style="1" customWidth="1"/>
    <col min="4" max="4" width="12.1796875" style="1" customWidth="1"/>
    <col min="5" max="5" width="10.26953125" style="1" customWidth="1"/>
    <col min="6" max="6" width="8.81640625" style="1"/>
    <col min="7" max="7" width="15.7265625" style="1" customWidth="1"/>
    <col min="8" max="8" width="21.81640625" style="1" customWidth="1"/>
    <col min="9" max="9" width="10" style="1" bestFit="1" customWidth="1"/>
    <col min="10" max="10" width="25.453125" style="1" customWidth="1"/>
    <col min="11" max="12" width="23.1796875" style="1" customWidth="1"/>
    <col min="13" max="13" width="22.26953125" style="1" customWidth="1"/>
    <col min="14" max="15" width="24.26953125" style="1" customWidth="1"/>
    <col min="16" max="16" width="21.453125" style="1" customWidth="1"/>
    <col min="17" max="16384" width="8.81640625" style="1"/>
  </cols>
  <sheetData>
    <row r="1" spans="2:17" s="3" customFormat="1" ht="49.5" customHeight="1">
      <c r="B1" s="304" t="s">
        <v>336</v>
      </c>
      <c r="C1" s="304"/>
      <c r="D1" s="304"/>
      <c r="E1" s="304"/>
      <c r="F1" s="304"/>
      <c r="G1" s="304"/>
      <c r="H1" s="304"/>
      <c r="I1" s="304"/>
      <c r="J1" s="304"/>
      <c r="K1" s="304"/>
      <c r="L1" s="304"/>
      <c r="M1" s="304"/>
      <c r="N1" s="304"/>
      <c r="O1" s="304"/>
      <c r="P1" s="304"/>
      <c r="Q1" s="304"/>
    </row>
    <row r="4" spans="2:17">
      <c r="P4" s="7"/>
      <c r="Q4" s="2"/>
    </row>
    <row r="5" spans="2:17">
      <c r="Q5" s="2"/>
    </row>
    <row r="11" spans="2:17">
      <c r="C11" s="2" t="s">
        <v>337</v>
      </c>
      <c r="D11" s="2"/>
      <c r="E11" s="2"/>
      <c r="F11" s="2"/>
      <c r="G11" s="2"/>
      <c r="H11" s="165"/>
    </row>
    <row r="12" spans="2:17" ht="14.5">
      <c r="C12" s="45" t="s">
        <v>243</v>
      </c>
      <c r="J12" s="67"/>
      <c r="K12" s="157"/>
      <c r="M12" s="75"/>
      <c r="N12" s="157"/>
      <c r="O12" s="157"/>
    </row>
    <row r="13" spans="2:17">
      <c r="B13" s="47" t="s">
        <v>137</v>
      </c>
      <c r="C13" s="47" t="s">
        <v>338</v>
      </c>
      <c r="D13" s="47" t="s">
        <v>24</v>
      </c>
      <c r="E13" s="47">
        <v>2015</v>
      </c>
      <c r="F13" s="47">
        <v>2020</v>
      </c>
      <c r="G13" s="47">
        <v>2025</v>
      </c>
      <c r="H13" s="47">
        <v>2030</v>
      </c>
      <c r="I13" s="47">
        <v>2035</v>
      </c>
      <c r="J13" s="47">
        <v>2040</v>
      </c>
      <c r="K13" s="47">
        <v>2045</v>
      </c>
      <c r="L13" s="47">
        <v>2050</v>
      </c>
    </row>
    <row r="14" spans="2:17">
      <c r="B14" s="58" t="s">
        <v>148</v>
      </c>
      <c r="C14" s="41" t="s">
        <v>339</v>
      </c>
      <c r="D14" s="41" t="s">
        <v>340</v>
      </c>
      <c r="E14" s="111">
        <f t="shared" ref="E14:L14" si="0">SUM(E19:E22)</f>
        <v>1570.2028833709239</v>
      </c>
      <c r="F14" s="111">
        <f t="shared" si="0"/>
        <v>9022.6992697805217</v>
      </c>
      <c r="G14" s="111">
        <f t="shared" si="0"/>
        <v>8687.8497383168469</v>
      </c>
      <c r="H14" s="111">
        <f t="shared" si="0"/>
        <v>20141.741665764312</v>
      </c>
      <c r="I14" s="111">
        <f t="shared" si="0"/>
        <v>23672.0290623951</v>
      </c>
      <c r="J14" s="111">
        <f t="shared" si="0"/>
        <v>31640.444490831454</v>
      </c>
      <c r="K14" s="111">
        <f t="shared" si="0"/>
        <v>33014.084058322784</v>
      </c>
      <c r="L14" s="111">
        <f t="shared" si="0"/>
        <v>41809.481527470518</v>
      </c>
    </row>
    <row r="15" spans="2:17">
      <c r="C15" s="41" t="s">
        <v>307</v>
      </c>
      <c r="D15" s="41" t="s">
        <v>340</v>
      </c>
      <c r="E15" s="112">
        <f>E23+E24</f>
        <v>409.55316394711679</v>
      </c>
      <c r="F15" s="112">
        <f t="shared" ref="F15:L15" si="1">F23+F24</f>
        <v>2751.3462192587185</v>
      </c>
      <c r="G15" s="112">
        <f t="shared" si="1"/>
        <v>5083.0536652609726</v>
      </c>
      <c r="H15" s="112">
        <f t="shared" si="1"/>
        <v>10287.161299065694</v>
      </c>
      <c r="I15" s="112">
        <f t="shared" si="1"/>
        <v>17099.12114253252</v>
      </c>
      <c r="J15" s="112">
        <f t="shared" si="1"/>
        <v>30721.644285566646</v>
      </c>
      <c r="K15" s="112">
        <f t="shared" si="1"/>
        <v>36042.424657435549</v>
      </c>
      <c r="L15" s="112">
        <f t="shared" si="1"/>
        <v>53326.314312917282</v>
      </c>
    </row>
    <row r="17" spans="2:12" ht="14.5">
      <c r="C17" s="45" t="s">
        <v>341</v>
      </c>
    </row>
    <row r="18" spans="2:12">
      <c r="C18" s="47" t="s">
        <v>283</v>
      </c>
      <c r="D18" s="47" t="s">
        <v>24</v>
      </c>
      <c r="E18" s="47">
        <v>2015</v>
      </c>
      <c r="F18" s="47">
        <v>2020</v>
      </c>
      <c r="G18" s="47">
        <v>2025</v>
      </c>
      <c r="H18" s="47">
        <v>2030</v>
      </c>
      <c r="I18" s="47">
        <v>2035</v>
      </c>
      <c r="J18" s="47">
        <v>2040</v>
      </c>
      <c r="K18" s="47">
        <v>2045</v>
      </c>
      <c r="L18" s="47">
        <v>2050</v>
      </c>
    </row>
    <row r="19" spans="2:12">
      <c r="C19" s="48" t="s">
        <v>285</v>
      </c>
      <c r="D19" s="41" t="s">
        <v>340</v>
      </c>
      <c r="E19" s="111">
        <f>E38+E53</f>
        <v>650.86129880660053</v>
      </c>
      <c r="F19" s="111">
        <f t="shared" ref="F19:L19" si="2">F38+F53</f>
        <v>3739.9789719297501</v>
      </c>
      <c r="G19" s="111">
        <f t="shared" si="2"/>
        <v>3601.1812386805586</v>
      </c>
      <c r="H19" s="111">
        <f t="shared" si="2"/>
        <v>8348.9084624929783</v>
      </c>
      <c r="I19" s="111">
        <f t="shared" si="2"/>
        <v>9812.240025863257</v>
      </c>
      <c r="J19" s="111">
        <f t="shared" si="2"/>
        <v>13115.210151639983</v>
      </c>
      <c r="K19" s="111">
        <f t="shared" si="2"/>
        <v>13684.594428320324</v>
      </c>
      <c r="L19" s="111">
        <f t="shared" si="2"/>
        <v>17330.355037293477</v>
      </c>
    </row>
    <row r="20" spans="2:12">
      <c r="C20" s="41" t="s">
        <v>327</v>
      </c>
      <c r="D20" s="41" t="s">
        <v>340</v>
      </c>
      <c r="E20" s="111">
        <f t="shared" ref="E20:L24" si="3">E39+E54</f>
        <v>471.8744416347854</v>
      </c>
      <c r="F20" s="111">
        <f t="shared" si="3"/>
        <v>2711.4847546490682</v>
      </c>
      <c r="G20" s="111">
        <f t="shared" si="3"/>
        <v>2610.8563980434046</v>
      </c>
      <c r="H20" s="111">
        <f t="shared" si="3"/>
        <v>6052.9586353074083</v>
      </c>
      <c r="I20" s="111">
        <f t="shared" si="3"/>
        <v>7113.8740187508592</v>
      </c>
      <c r="J20" s="111">
        <f t="shared" si="3"/>
        <v>9508.5273599389875</v>
      </c>
      <c r="K20" s="111">
        <f t="shared" si="3"/>
        <v>9921.3309605322356</v>
      </c>
      <c r="L20" s="111">
        <f t="shared" si="3"/>
        <v>12564.507402037771</v>
      </c>
    </row>
    <row r="21" spans="2:12">
      <c r="C21" s="41" t="s">
        <v>320</v>
      </c>
      <c r="D21" s="41" t="s">
        <v>340</v>
      </c>
      <c r="E21" s="111">
        <f t="shared" si="3"/>
        <v>138.30802599640259</v>
      </c>
      <c r="F21" s="111">
        <f t="shared" si="3"/>
        <v>794.74553153507168</v>
      </c>
      <c r="G21" s="111">
        <f t="shared" si="3"/>
        <v>765.25101321961847</v>
      </c>
      <c r="H21" s="111">
        <f t="shared" si="3"/>
        <v>1774.1430482797577</v>
      </c>
      <c r="I21" s="111">
        <f t="shared" si="3"/>
        <v>2085.1010054959415</v>
      </c>
      <c r="J21" s="111">
        <f t="shared" si="3"/>
        <v>2786.982157223496</v>
      </c>
      <c r="K21" s="111">
        <f t="shared" si="3"/>
        <v>2907.9763160180687</v>
      </c>
      <c r="L21" s="111">
        <f t="shared" si="3"/>
        <v>3682.7004454248636</v>
      </c>
    </row>
    <row r="22" spans="2:12">
      <c r="C22" s="41" t="s">
        <v>317</v>
      </c>
      <c r="D22" s="41" t="s">
        <v>340</v>
      </c>
      <c r="E22" s="111">
        <f t="shared" si="3"/>
        <v>309.15911693313524</v>
      </c>
      <c r="F22" s="111">
        <f t="shared" si="3"/>
        <v>1776.4900116666308</v>
      </c>
      <c r="G22" s="111">
        <f t="shared" si="3"/>
        <v>1710.5610883732647</v>
      </c>
      <c r="H22" s="111">
        <f t="shared" si="3"/>
        <v>3965.7315196841646</v>
      </c>
      <c r="I22" s="111">
        <f t="shared" si="3"/>
        <v>4660.8140122850464</v>
      </c>
      <c r="J22" s="111">
        <f t="shared" si="3"/>
        <v>6229.7248220289912</v>
      </c>
      <c r="K22" s="111">
        <f t="shared" si="3"/>
        <v>6500.1823534521536</v>
      </c>
      <c r="L22" s="111">
        <f t="shared" si="3"/>
        <v>8231.9186427143995</v>
      </c>
    </row>
    <row r="23" spans="2:12">
      <c r="C23" s="41" t="s">
        <v>328</v>
      </c>
      <c r="D23" s="41" t="s">
        <v>340</v>
      </c>
      <c r="E23" s="111">
        <f t="shared" si="3"/>
        <v>0</v>
      </c>
      <c r="F23" s="111">
        <f t="shared" si="3"/>
        <v>0</v>
      </c>
      <c r="G23" s="111">
        <f t="shared" si="3"/>
        <v>185.36684418175349</v>
      </c>
      <c r="H23" s="111">
        <f t="shared" si="3"/>
        <v>359.62177944797952</v>
      </c>
      <c r="I23" s="111">
        <f t="shared" si="3"/>
        <v>1694.0610228490498</v>
      </c>
      <c r="J23" s="111">
        <f t="shared" si="3"/>
        <v>9668.2351507560525</v>
      </c>
      <c r="K23" s="111">
        <f t="shared" si="3"/>
        <v>9080.2592206126683</v>
      </c>
      <c r="L23" s="111">
        <f t="shared" si="3"/>
        <v>20948.813599696907</v>
      </c>
    </row>
    <row r="24" spans="2:12">
      <c r="C24" s="105" t="s">
        <v>280</v>
      </c>
      <c r="D24" s="41" t="s">
        <v>340</v>
      </c>
      <c r="E24" s="111">
        <f t="shared" si="3"/>
        <v>409.55316394711679</v>
      </c>
      <c r="F24" s="111">
        <f t="shared" si="3"/>
        <v>2751.3462192587185</v>
      </c>
      <c r="G24" s="111">
        <f t="shared" si="3"/>
        <v>4897.686821079219</v>
      </c>
      <c r="H24" s="111">
        <f t="shared" si="3"/>
        <v>9927.5395196177142</v>
      </c>
      <c r="I24" s="111">
        <f t="shared" si="3"/>
        <v>15405.060119683469</v>
      </c>
      <c r="J24" s="111">
        <f t="shared" si="3"/>
        <v>21053.409134810594</v>
      </c>
      <c r="K24" s="111">
        <f t="shared" si="3"/>
        <v>26962.165436822877</v>
      </c>
      <c r="L24" s="111">
        <f t="shared" si="3"/>
        <v>32377.500713220375</v>
      </c>
    </row>
    <row r="25" spans="2:12">
      <c r="C25" s="41"/>
      <c r="D25" s="41" t="s">
        <v>340</v>
      </c>
      <c r="E25" s="41"/>
      <c r="F25" s="113"/>
      <c r="G25" s="113"/>
      <c r="H25" s="113"/>
      <c r="I25" s="113"/>
      <c r="J25" s="113"/>
      <c r="K25" s="113"/>
      <c r="L25" s="113"/>
    </row>
    <row r="26" spans="2:12">
      <c r="C26" s="41"/>
      <c r="D26" s="41" t="s">
        <v>340</v>
      </c>
      <c r="E26" s="41"/>
      <c r="F26" s="113"/>
      <c r="G26" s="113"/>
      <c r="H26" s="113"/>
      <c r="I26" s="113"/>
      <c r="J26" s="113"/>
      <c r="K26" s="113"/>
      <c r="L26" s="113"/>
    </row>
    <row r="28" spans="2:12">
      <c r="C28" s="69" t="s">
        <v>342</v>
      </c>
      <c r="D28" s="69"/>
      <c r="E28" s="69"/>
      <c r="F28" s="68">
        <f t="shared" ref="F28:L28" si="4">SUM(F19:F26)</f>
        <v>11774.045489039239</v>
      </c>
      <c r="G28" s="68">
        <f t="shared" si="4"/>
        <v>13770.90340357782</v>
      </c>
      <c r="H28" s="68">
        <f t="shared" si="4"/>
        <v>30428.902964830006</v>
      </c>
      <c r="I28" s="68">
        <f t="shared" si="4"/>
        <v>40771.150204927617</v>
      </c>
      <c r="J28" s="68">
        <f t="shared" si="4"/>
        <v>62362.088776398101</v>
      </c>
      <c r="K28" s="68">
        <f t="shared" si="4"/>
        <v>69056.508715758333</v>
      </c>
      <c r="L28" s="68">
        <f t="shared" si="4"/>
        <v>95135.7958403878</v>
      </c>
    </row>
    <row r="30" spans="2:12">
      <c r="C30" s="2" t="s">
        <v>343</v>
      </c>
    </row>
    <row r="31" spans="2:12" ht="14.5">
      <c r="C31" s="45" t="s">
        <v>243</v>
      </c>
    </row>
    <row r="32" spans="2:12">
      <c r="B32" s="47" t="s">
        <v>137</v>
      </c>
      <c r="C32" s="47" t="s">
        <v>338</v>
      </c>
      <c r="D32" s="47" t="s">
        <v>24</v>
      </c>
      <c r="E32" s="47">
        <v>2015</v>
      </c>
      <c r="F32" s="47">
        <v>2020</v>
      </c>
      <c r="G32" s="47">
        <v>2025</v>
      </c>
      <c r="H32" s="47">
        <v>2030</v>
      </c>
      <c r="I32" s="47">
        <v>2035</v>
      </c>
      <c r="J32" s="47">
        <v>2040</v>
      </c>
      <c r="K32" s="47">
        <v>2045</v>
      </c>
      <c r="L32" s="47">
        <v>2050</v>
      </c>
    </row>
    <row r="33" spans="2:12">
      <c r="B33" s="58" t="str">
        <f>B14</f>
        <v>Offshore wind</v>
      </c>
      <c r="C33" s="41" t="s">
        <v>339</v>
      </c>
      <c r="D33" s="41" t="s">
        <v>340</v>
      </c>
      <c r="E33" s="111">
        <f t="shared" ref="E33:L33" si="5">SUM(E38:E41)</f>
        <v>1235.2262682517933</v>
      </c>
      <c r="F33" s="111">
        <f t="shared" si="5"/>
        <v>5033.0976946407245</v>
      </c>
      <c r="G33" s="111">
        <f t="shared" si="5"/>
        <v>5171.1371633092831</v>
      </c>
      <c r="H33" s="111">
        <f t="shared" si="5"/>
        <v>6471.6858436298089</v>
      </c>
      <c r="I33" s="111">
        <f t="shared" si="5"/>
        <v>7451.6644705774352</v>
      </c>
      <c r="J33" s="111">
        <f t="shared" si="5"/>
        <v>11065.651193128388</v>
      </c>
      <c r="K33" s="111">
        <f t="shared" si="5"/>
        <v>11870.297100449648</v>
      </c>
      <c r="L33" s="111">
        <f t="shared" si="5"/>
        <v>12416.340709096294</v>
      </c>
    </row>
    <row r="34" spans="2:12">
      <c r="C34" s="41" t="s">
        <v>307</v>
      </c>
      <c r="D34" s="41" t="s">
        <v>340</v>
      </c>
      <c r="E34" s="112">
        <f>E42+E43</f>
        <v>322.18182230506523</v>
      </c>
      <c r="F34" s="112">
        <f t="shared" ref="F34:L34" si="6">F42+F43</f>
        <v>1625.8450054871932</v>
      </c>
      <c r="G34" s="112">
        <f t="shared" si="6"/>
        <v>3041.9568191041426</v>
      </c>
      <c r="H34" s="112">
        <f t="shared" si="6"/>
        <v>4719.7481972395826</v>
      </c>
      <c r="I34" s="112">
        <f t="shared" si="6"/>
        <v>7278.6431386372369</v>
      </c>
      <c r="J34" s="112">
        <f t="shared" si="6"/>
        <v>12864.973823941964</v>
      </c>
      <c r="K34" s="112">
        <f t="shared" si="6"/>
        <v>14522.720697407072</v>
      </c>
      <c r="L34" s="112">
        <f t="shared" si="6"/>
        <v>17222.544429756119</v>
      </c>
    </row>
    <row r="36" spans="2:12" ht="14.5">
      <c r="C36" s="45" t="s">
        <v>341</v>
      </c>
    </row>
    <row r="37" spans="2:12">
      <c r="C37" s="47" t="s">
        <v>283</v>
      </c>
      <c r="D37" s="47" t="s">
        <v>24</v>
      </c>
      <c r="E37" s="47">
        <v>2015</v>
      </c>
      <c r="F37" s="47">
        <v>2020</v>
      </c>
      <c r="G37" s="47">
        <v>2025</v>
      </c>
      <c r="H37" s="47">
        <v>2030</v>
      </c>
      <c r="I37" s="47">
        <v>2035</v>
      </c>
      <c r="J37" s="47">
        <v>2040</v>
      </c>
      <c r="K37" s="47">
        <v>2045</v>
      </c>
      <c r="L37" s="47">
        <v>2050</v>
      </c>
    </row>
    <row r="38" spans="2:12">
      <c r="C38" s="41" t="str">
        <f t="shared" ref="C38:C43" si="7">C19</f>
        <v>Turbine</v>
      </c>
      <c r="D38" s="41" t="s">
        <v>340</v>
      </c>
      <c r="E38" s="110">
        <f>'Tech costs'!I19*D$71</f>
        <v>512.01088839452575</v>
      </c>
      <c r="F38" s="110">
        <f>'Tech costs'!J19*E$71</f>
        <v>2086.2581117681761</v>
      </c>
      <c r="G38" s="110">
        <f>'Tech costs'!K19*F$71</f>
        <v>2143.4765443769052</v>
      </c>
      <c r="H38" s="110">
        <f>'Tech costs'!L19*G$71</f>
        <v>2682.5640802610606</v>
      </c>
      <c r="I38" s="110">
        <f>'Tech costs'!M19*H$71</f>
        <v>3088.7728375450511</v>
      </c>
      <c r="J38" s="110">
        <f>'Tech costs'!N19*I$71</f>
        <v>4586.7984220221297</v>
      </c>
      <c r="K38" s="110">
        <f>'Tech costs'!O19*J$71</f>
        <v>4920.3304043314602</v>
      </c>
      <c r="L38" s="110">
        <f>'Tech costs'!P19*K$71</f>
        <v>5146.6697239777395</v>
      </c>
    </row>
    <row r="39" spans="2:12">
      <c r="C39" s="41" t="str">
        <f t="shared" si="7"/>
        <v>foundations</v>
      </c>
      <c r="D39" s="41" t="s">
        <v>340</v>
      </c>
      <c r="E39" s="110">
        <f>'Tech costs'!I20*D$71</f>
        <v>371.20789408603116</v>
      </c>
      <c r="F39" s="110">
        <f>'Tech costs'!J20*E$71</f>
        <v>1512.5371310319274</v>
      </c>
      <c r="G39" s="110">
        <f>'Tech costs'!K20*F$71</f>
        <v>1554.0204946732561</v>
      </c>
      <c r="H39" s="110">
        <f>'Tech costs'!L20*G$71</f>
        <v>1944.8589581892688</v>
      </c>
      <c r="I39" s="110">
        <f>'Tech costs'!M20*H$71</f>
        <v>2239.3603072201618</v>
      </c>
      <c r="J39" s="110">
        <f>'Tech costs'!N20*I$71</f>
        <v>3325.4288559660436</v>
      </c>
      <c r="K39" s="110">
        <f>'Tech costs'!O20*J$71</f>
        <v>3567.2395431403088</v>
      </c>
      <c r="L39" s="110">
        <f>'Tech costs'!P20*K$71</f>
        <v>3731.3355498838605</v>
      </c>
    </row>
    <row r="40" spans="2:12" ht="15" customHeight="1">
      <c r="C40" s="41" t="str">
        <f t="shared" si="7"/>
        <v>Balance of system</v>
      </c>
      <c r="D40" s="41" t="s">
        <v>340</v>
      </c>
      <c r="E40" s="110">
        <f>'Tech costs'!I21*D$71</f>
        <v>108.80231378383671</v>
      </c>
      <c r="F40" s="110">
        <f>'Tech costs'!J21*E$71</f>
        <v>443.32984875073737</v>
      </c>
      <c r="G40" s="110">
        <f>'Tech costs'!K21*F$71</f>
        <v>455.48876568009223</v>
      </c>
      <c r="H40" s="110">
        <f>'Tech costs'!L21*G$71</f>
        <v>570.04486705547538</v>
      </c>
      <c r="I40" s="110">
        <f>'Tech costs'!M21*H$71</f>
        <v>656.36422797832324</v>
      </c>
      <c r="J40" s="110">
        <f>'Tech costs'!N21*I$71</f>
        <v>974.69466467970244</v>
      </c>
      <c r="K40" s="110">
        <f>'Tech costs'!O21*J$71</f>
        <v>1045.5702109204353</v>
      </c>
      <c r="L40" s="110">
        <f>'Tech costs'!P21*K$71</f>
        <v>1093.6673163452695</v>
      </c>
    </row>
    <row r="41" spans="2:12">
      <c r="C41" s="41" t="str">
        <f t="shared" si="7"/>
        <v>Installation</v>
      </c>
      <c r="D41" s="41" t="s">
        <v>340</v>
      </c>
      <c r="E41" s="110">
        <f>'Tech costs'!I22*D$71</f>
        <v>243.20517198739969</v>
      </c>
      <c r="F41" s="110">
        <f>'Tech costs'!J22*E$71</f>
        <v>990.97260308988348</v>
      </c>
      <c r="G41" s="110">
        <f>'Tech costs'!K22*F$71</f>
        <v>1018.1513585790296</v>
      </c>
      <c r="H41" s="110">
        <f>'Tech costs'!L22*G$71</f>
        <v>1274.2179381240037</v>
      </c>
      <c r="I41" s="110">
        <f>'Tech costs'!M22*H$71</f>
        <v>1467.1670978338991</v>
      </c>
      <c r="J41" s="110">
        <f>'Tech costs'!N22*I$71</f>
        <v>2178.7292504605116</v>
      </c>
      <c r="K41" s="110">
        <f>'Tech costs'!O22*J$71</f>
        <v>2337.1569420574433</v>
      </c>
      <c r="L41" s="110">
        <f>'Tech costs'!P22*K$71</f>
        <v>2444.6681188894258</v>
      </c>
    </row>
    <row r="42" spans="2:12">
      <c r="C42" s="41" t="str">
        <f t="shared" si="7"/>
        <v xml:space="preserve">Decommisioning </v>
      </c>
      <c r="D42" s="41" t="s">
        <v>340</v>
      </c>
      <c r="E42" s="112">
        <f>D73*'Tech costs'!I23*'Market turnover'!$D$79</f>
        <v>0</v>
      </c>
      <c r="F42" s="112">
        <f>E73*'Tech costs'!J23*'Market turnover'!$D$79</f>
        <v>0</v>
      </c>
      <c r="G42" s="112">
        <f>F73*'Tech costs'!K23*'Market turnover'!$D$79</f>
        <v>145.8219174229794</v>
      </c>
      <c r="H42" s="112">
        <f>G73*'Tech costs'!L23*'Market turnover'!$D$79</f>
        <v>282.90246649907721</v>
      </c>
      <c r="I42" s="112">
        <f>H73*'Tech costs'!M23*'Market turnover'!$D$79</f>
        <v>1332.6613379745859</v>
      </c>
      <c r="J42" s="112">
        <f>I73*'Tech costs'!N23*'Market turnover'!$D$79</f>
        <v>5393.1944968502075</v>
      </c>
      <c r="K42" s="112">
        <f>J73*'Tech costs'!O23*'Market turnover'!$D$79</f>
        <v>5373.7611840308518</v>
      </c>
      <c r="L42" s="112">
        <f>K73*'Tech costs'!P23*'Market turnover'!$D$79</f>
        <v>6586.2149277593871</v>
      </c>
    </row>
    <row r="43" spans="2:12">
      <c r="C43" s="41" t="str">
        <f t="shared" si="7"/>
        <v xml:space="preserve">O&amp;M </v>
      </c>
      <c r="D43" s="41" t="s">
        <v>340</v>
      </c>
      <c r="E43" s="112">
        <f>'Tech costs'!I24*Deployment!Y36</f>
        <v>322.18182230506523</v>
      </c>
      <c r="F43" s="112">
        <f>'Tech costs'!J24*Deployment!Z36</f>
        <v>1625.8450054871932</v>
      </c>
      <c r="G43" s="112">
        <f>'Tech costs'!K24*Deployment!AA36</f>
        <v>2896.1349016811632</v>
      </c>
      <c r="H43" s="112">
        <f>'Tech costs'!L24*Deployment!AB36</f>
        <v>4436.8457307405051</v>
      </c>
      <c r="I43" s="112">
        <f>'Tech costs'!M24*Deployment!AC36</f>
        <v>5945.981800662651</v>
      </c>
      <c r="J43" s="112">
        <f>'Tech costs'!N24*Deployment!AD36</f>
        <v>7471.7793270917555</v>
      </c>
      <c r="K43" s="112">
        <f>'Tech costs'!O24*Deployment!AE36</f>
        <v>9148.9595133762214</v>
      </c>
      <c r="L43" s="112">
        <f>'Tech costs'!P24*Deployment!AF36</f>
        <v>10636.32950199673</v>
      </c>
    </row>
    <row r="44" spans="2:12">
      <c r="F44" s="102"/>
      <c r="G44" s="102"/>
      <c r="H44" s="102"/>
      <c r="I44" s="102"/>
      <c r="J44" s="102"/>
      <c r="K44" s="102"/>
      <c r="L44" s="102"/>
    </row>
    <row r="45" spans="2:12">
      <c r="C45" s="2" t="s">
        <v>344</v>
      </c>
    </row>
    <row r="46" spans="2:12" ht="14.5">
      <c r="C46" s="45" t="s">
        <v>243</v>
      </c>
    </row>
    <row r="47" spans="2:12">
      <c r="B47" s="47" t="s">
        <v>137</v>
      </c>
      <c r="C47" s="47" t="s">
        <v>338</v>
      </c>
      <c r="D47" s="47" t="s">
        <v>24</v>
      </c>
      <c r="E47" s="47">
        <v>2015</v>
      </c>
      <c r="F47" s="47">
        <v>2020</v>
      </c>
      <c r="G47" s="47">
        <v>2025</v>
      </c>
      <c r="H47" s="47">
        <v>2030</v>
      </c>
      <c r="I47" s="47">
        <v>2035</v>
      </c>
      <c r="J47" s="47">
        <v>2040</v>
      </c>
      <c r="K47" s="47">
        <v>2045</v>
      </c>
      <c r="L47" s="47">
        <v>2050</v>
      </c>
    </row>
    <row r="48" spans="2:12">
      <c r="B48" s="58" t="str">
        <f>B14</f>
        <v>Offshore wind</v>
      </c>
      <c r="C48" s="41" t="s">
        <v>339</v>
      </c>
      <c r="D48" s="41" t="s">
        <v>340</v>
      </c>
      <c r="E48" s="111">
        <f t="shared" ref="E48:L48" si="8">SUM(E53:E56)</f>
        <v>334.97661511913043</v>
      </c>
      <c r="F48" s="111">
        <f t="shared" si="8"/>
        <v>3989.6015751397968</v>
      </c>
      <c r="G48" s="111">
        <f t="shared" si="8"/>
        <v>3516.7125750075638</v>
      </c>
      <c r="H48" s="111">
        <f t="shared" si="8"/>
        <v>13670.055822134502</v>
      </c>
      <c r="I48" s="111">
        <f t="shared" si="8"/>
        <v>16220.364591817668</v>
      </c>
      <c r="J48" s="111">
        <f t="shared" si="8"/>
        <v>20574.793297703072</v>
      </c>
      <c r="K48" s="111">
        <f t="shared" si="8"/>
        <v>21143.786957873133</v>
      </c>
      <c r="L48" s="111">
        <f t="shared" si="8"/>
        <v>29393.140818374217</v>
      </c>
    </row>
    <row r="49" spans="3:12">
      <c r="C49" s="41" t="s">
        <v>307</v>
      </c>
      <c r="D49" s="41" t="s">
        <v>340</v>
      </c>
      <c r="E49" s="112">
        <f>E57+E58</f>
        <v>87.37134164205159</v>
      </c>
      <c r="F49" s="112">
        <f t="shared" ref="F49:L49" si="9">F57+F58</f>
        <v>1125.5012137715253</v>
      </c>
      <c r="G49" s="112">
        <f t="shared" si="9"/>
        <v>2041.0968461568302</v>
      </c>
      <c r="H49" s="112">
        <f t="shared" si="9"/>
        <v>5567.4131018261114</v>
      </c>
      <c r="I49" s="112">
        <f t="shared" si="9"/>
        <v>9820.4780038952831</v>
      </c>
      <c r="J49" s="112">
        <f t="shared" si="9"/>
        <v>17856.670461624683</v>
      </c>
      <c r="K49" s="112">
        <f t="shared" si="9"/>
        <v>21519.703960028473</v>
      </c>
      <c r="L49" s="112">
        <f t="shared" si="9"/>
        <v>36103.769883161163</v>
      </c>
    </row>
    <row r="51" spans="3:12" ht="14.5">
      <c r="C51" s="45" t="s">
        <v>341</v>
      </c>
    </row>
    <row r="52" spans="3:12">
      <c r="C52" s="47" t="s">
        <v>283</v>
      </c>
      <c r="D52" s="47" t="s">
        <v>24</v>
      </c>
      <c r="E52" s="47">
        <v>2015</v>
      </c>
      <c r="F52" s="47">
        <v>2020</v>
      </c>
      <c r="G52" s="47">
        <v>2025</v>
      </c>
      <c r="H52" s="47">
        <v>2030</v>
      </c>
      <c r="I52" s="47">
        <v>2035</v>
      </c>
      <c r="J52" s="47">
        <v>2040</v>
      </c>
      <c r="K52" s="47">
        <v>2045</v>
      </c>
      <c r="L52" s="47">
        <v>2050</v>
      </c>
    </row>
    <row r="53" spans="3:12">
      <c r="C53" s="41" t="str">
        <f>C19</f>
        <v>Turbine</v>
      </c>
      <c r="D53" s="41" t="s">
        <v>340</v>
      </c>
      <c r="E53" s="110">
        <f>'Tech costs'!I19*D$72</f>
        <v>138.85041041207481</v>
      </c>
      <c r="F53" s="110">
        <f>'Tech costs'!J19*E$72</f>
        <v>1653.7208601615739</v>
      </c>
      <c r="G53" s="110">
        <f>'Tech costs'!K19*F$72</f>
        <v>1457.7046943036535</v>
      </c>
      <c r="H53" s="110">
        <f>'Tech costs'!L19*G$72</f>
        <v>5666.3443822319177</v>
      </c>
      <c r="I53" s="110">
        <f>'Tech costs'!M19*H$72</f>
        <v>6723.4671883182054</v>
      </c>
      <c r="J53" s="110">
        <f>'Tech costs'!N19*I$72</f>
        <v>8528.4117296178538</v>
      </c>
      <c r="K53" s="110">
        <f>'Tech costs'!O19*J$72</f>
        <v>8764.2640239888642</v>
      </c>
      <c r="L53" s="110">
        <f>'Tech costs'!P19*K$72</f>
        <v>12183.685313315738</v>
      </c>
    </row>
    <row r="54" spans="3:12">
      <c r="C54" s="41" t="str">
        <f>C20</f>
        <v>foundations</v>
      </c>
      <c r="D54" s="41" t="s">
        <v>340</v>
      </c>
      <c r="E54" s="110">
        <f>'Tech costs'!I20*D$72</f>
        <v>100.66654754875422</v>
      </c>
      <c r="F54" s="110">
        <f>'Tech costs'!J20*E$72</f>
        <v>1198.9476236171408</v>
      </c>
      <c r="G54" s="110">
        <f>'Tech costs'!K20*F$72</f>
        <v>1056.8359033701488</v>
      </c>
      <c r="H54" s="110">
        <f>'Tech costs'!L20*G$72</f>
        <v>4108.0996771181399</v>
      </c>
      <c r="I54" s="110">
        <f>'Tech costs'!M20*H$72</f>
        <v>4874.5137115306979</v>
      </c>
      <c r="J54" s="110">
        <f>'Tech costs'!N20*I$72</f>
        <v>6183.098503972943</v>
      </c>
      <c r="K54" s="110">
        <f>'Tech costs'!O20*J$72</f>
        <v>6354.0914173919264</v>
      </c>
      <c r="L54" s="110">
        <f>'Tech costs'!P20*K$72</f>
        <v>8833.1718521539096</v>
      </c>
    </row>
    <row r="55" spans="3:12">
      <c r="C55" s="41" t="str">
        <f>C21</f>
        <v>Balance of system</v>
      </c>
      <c r="D55" s="41" t="s">
        <v>340</v>
      </c>
      <c r="E55" s="110">
        <f>'Tech costs'!I21*D$72</f>
        <v>29.505712212565889</v>
      </c>
      <c r="F55" s="110">
        <f>'Tech costs'!J21*E$72</f>
        <v>351.41568278433436</v>
      </c>
      <c r="G55" s="110">
        <f>'Tech costs'!K21*F$72</f>
        <v>309.7622475395263</v>
      </c>
      <c r="H55" s="110">
        <f>'Tech costs'!L21*G$72</f>
        <v>1204.0981812242824</v>
      </c>
      <c r="I55" s="110">
        <f>'Tech costs'!M21*H$72</f>
        <v>1428.7367775176185</v>
      </c>
      <c r="J55" s="110">
        <f>'Tech costs'!N21*I$72</f>
        <v>1812.2874925437936</v>
      </c>
      <c r="K55" s="110">
        <f>'Tech costs'!O21*J$72</f>
        <v>1862.4061050976334</v>
      </c>
      <c r="L55" s="110">
        <f>'Tech costs'!P21*K$72</f>
        <v>2589.0331290795943</v>
      </c>
    </row>
    <row r="56" spans="3:12">
      <c r="C56" s="41" t="str">
        <f>C22</f>
        <v>Installation</v>
      </c>
      <c r="D56" s="41" t="s">
        <v>340</v>
      </c>
      <c r="E56" s="110">
        <f>'Tech costs'!I22*D$72</f>
        <v>65.953944945735515</v>
      </c>
      <c r="F56" s="110">
        <f>'Tech costs'!J22*E$72</f>
        <v>785.51740857674747</v>
      </c>
      <c r="G56" s="110">
        <f>'Tech costs'!K22*F$72</f>
        <v>692.4097297942352</v>
      </c>
      <c r="H56" s="110">
        <f>'Tech costs'!L22*G$72</f>
        <v>2691.5135815601607</v>
      </c>
      <c r="I56" s="110">
        <f>'Tech costs'!M22*H$72</f>
        <v>3193.646914451147</v>
      </c>
      <c r="J56" s="110">
        <f>'Tech costs'!N22*I$72</f>
        <v>4050.99557156848</v>
      </c>
      <c r="K56" s="110">
        <f>'Tech costs'!O22*J$72</f>
        <v>4163.0254113947103</v>
      </c>
      <c r="L56" s="110">
        <f>'Tech costs'!P22*K$72</f>
        <v>5787.2505238249742</v>
      </c>
    </row>
    <row r="57" spans="3:12">
      <c r="C57" s="41" t="str">
        <f t="shared" ref="C57:C58" si="10">C23</f>
        <v xml:space="preserve">Decommisioning </v>
      </c>
      <c r="D57" s="41" t="s">
        <v>340</v>
      </c>
      <c r="E57" s="112">
        <f>D74*'Tech costs'!I23*'Market turnover'!$D$79</f>
        <v>0</v>
      </c>
      <c r="F57" s="112">
        <f>E74*'Tech costs'!J23*'Market turnover'!$D$79</f>
        <v>0</v>
      </c>
      <c r="G57" s="112">
        <f>F74*'Tech costs'!K23*'Market turnover'!$D$79</f>
        <v>39.544926758774082</v>
      </c>
      <c r="H57" s="112">
        <f>G74*'Tech costs'!L23*'Market turnover'!$D$79</f>
        <v>76.719312948902314</v>
      </c>
      <c r="I57" s="112">
        <f>H74*'Tech costs'!M23*'Market turnover'!$D$79</f>
        <v>361.3996848744639</v>
      </c>
      <c r="J57" s="112">
        <f>I74*'Tech costs'!N23*'Market turnover'!$D$79</f>
        <v>4275.0406539058449</v>
      </c>
      <c r="K57" s="112">
        <f>J74*'Tech costs'!O23*'Market turnover'!$D$79</f>
        <v>3706.498036581816</v>
      </c>
      <c r="L57" s="112">
        <f>K74*'Tech costs'!P23*'Market turnover'!$D$79</f>
        <v>14362.598671937518</v>
      </c>
    </row>
    <row r="58" spans="3:12">
      <c r="C58" s="41" t="str">
        <f t="shared" si="10"/>
        <v xml:space="preserve">O&amp;M </v>
      </c>
      <c r="D58" s="41" t="s">
        <v>340</v>
      </c>
      <c r="E58" s="112">
        <f>'Tech costs'!I24*Deployment!Y41</f>
        <v>87.37134164205159</v>
      </c>
      <c r="F58" s="112">
        <f>'Tech costs'!J24*Deployment!Z41</f>
        <v>1125.5012137715253</v>
      </c>
      <c r="G58" s="112">
        <f>'Tech costs'!K24*Deployment!AA41</f>
        <v>2001.551919398056</v>
      </c>
      <c r="H58" s="112">
        <f>'Tech costs'!L24*Deployment!AB41</f>
        <v>5490.693788877209</v>
      </c>
      <c r="I58" s="112">
        <f>'Tech costs'!M24*Deployment!AC41</f>
        <v>9459.0783190208185</v>
      </c>
      <c r="J58" s="112">
        <f>'Tech costs'!N24*Deployment!AD41</f>
        <v>13581.629807718838</v>
      </c>
      <c r="K58" s="112">
        <f>'Tech costs'!O24*Deployment!AE41</f>
        <v>17813.205923446658</v>
      </c>
      <c r="L58" s="112">
        <f>'Tech costs'!P24*Deployment!AF41</f>
        <v>21741.171211223646</v>
      </c>
    </row>
    <row r="69" spans="3:11">
      <c r="C69" s="1" t="s">
        <v>345</v>
      </c>
    </row>
    <row r="70" spans="3:11">
      <c r="D70" s="1">
        <v>2015</v>
      </c>
      <c r="E70" s="1">
        <v>2020</v>
      </c>
      <c r="F70" s="1">
        <v>2025</v>
      </c>
      <c r="G70" s="1">
        <v>2030</v>
      </c>
      <c r="H70" s="1">
        <v>2035</v>
      </c>
      <c r="I70" s="1">
        <v>2040</v>
      </c>
      <c r="J70" s="1">
        <v>2045</v>
      </c>
      <c r="K70" s="1">
        <v>2050</v>
      </c>
    </row>
    <row r="71" spans="3:11">
      <c r="C71" s="1" t="s">
        <v>346</v>
      </c>
      <c r="D71" s="229">
        <f t="shared" ref="D71:K71" si="11">C116</f>
        <v>28.659702269367681</v>
      </c>
      <c r="E71" s="229">
        <f t="shared" si="11"/>
        <v>120.17615851199169</v>
      </c>
      <c r="F71" s="229">
        <f t="shared" si="11"/>
        <v>127.17295134520619</v>
      </c>
      <c r="G71" s="229">
        <f t="shared" si="11"/>
        <v>164.07491429650381</v>
      </c>
      <c r="H71" s="229">
        <f t="shared" si="11"/>
        <v>195.51028369682197</v>
      </c>
      <c r="I71" s="229">
        <f t="shared" si="11"/>
        <v>300.82480906188664</v>
      </c>
      <c r="J71" s="229">
        <f t="shared" si="11"/>
        <v>334.80070795602177</v>
      </c>
      <c r="K71" s="229">
        <f t="shared" si="11"/>
        <v>363.84604772569901</v>
      </c>
    </row>
    <row r="72" spans="3:11">
      <c r="C72" s="1" t="s">
        <v>347</v>
      </c>
      <c r="D72" s="229">
        <f t="shared" ref="D72:K72" si="12">M116</f>
        <v>7.7721226493200497</v>
      </c>
      <c r="E72" s="229">
        <f t="shared" si="12"/>
        <v>95.26041821207221</v>
      </c>
      <c r="F72" s="229">
        <f t="shared" si="12"/>
        <v>86.485951362834314</v>
      </c>
      <c r="G72" s="229">
        <f t="shared" si="12"/>
        <v>346.57325643408342</v>
      </c>
      <c r="H72" s="229">
        <f t="shared" si="12"/>
        <v>425.57580196125173</v>
      </c>
      <c r="I72" s="229">
        <f t="shared" si="12"/>
        <v>559.33520379829486</v>
      </c>
      <c r="J72" s="229">
        <f t="shared" si="12"/>
        <v>596.35869114843581</v>
      </c>
      <c r="K72" s="229">
        <f t="shared" si="12"/>
        <v>861.33091605447464</v>
      </c>
    </row>
    <row r="73" spans="3:11">
      <c r="C73" s="229" t="s">
        <v>348</v>
      </c>
      <c r="D73" s="229">
        <f t="shared" ref="D73:K73" si="13">Y116</f>
        <v>0</v>
      </c>
      <c r="E73" s="229">
        <f t="shared" si="13"/>
        <v>0</v>
      </c>
      <c r="F73" s="229">
        <f t="shared" si="13"/>
        <v>14.697283215060345</v>
      </c>
      <c r="G73" s="229">
        <f t="shared" si="13"/>
        <v>29.39456643012069</v>
      </c>
      <c r="H73" s="229">
        <f t="shared" si="13"/>
        <v>143.29851134683844</v>
      </c>
      <c r="I73" s="229">
        <f t="shared" si="13"/>
        <v>600.88079255995842</v>
      </c>
      <c r="J73" s="229">
        <f t="shared" si="13"/>
        <v>621.16747351097058</v>
      </c>
      <c r="K73" s="229">
        <f t="shared" si="13"/>
        <v>790.98000505239827</v>
      </c>
    </row>
    <row r="74" spans="3:11">
      <c r="C74" s="229" t="s">
        <v>349</v>
      </c>
      <c r="D74" s="229">
        <f t="shared" ref="D74:K74" si="14">AI116</f>
        <v>0</v>
      </c>
      <c r="E74" s="229">
        <f t="shared" si="14"/>
        <v>0</v>
      </c>
      <c r="F74" s="229">
        <f t="shared" si="14"/>
        <v>3.9857039227282307</v>
      </c>
      <c r="G74" s="229">
        <f t="shared" si="14"/>
        <v>7.9714078454564614</v>
      </c>
      <c r="H74" s="229">
        <f t="shared" si="14"/>
        <v>38.860613246600245</v>
      </c>
      <c r="I74" s="229">
        <f t="shared" si="14"/>
        <v>476.30209106036119</v>
      </c>
      <c r="J74" s="229">
        <f t="shared" si="14"/>
        <v>428.44405289144333</v>
      </c>
      <c r="K74" s="229">
        <f t="shared" si="14"/>
        <v>1724.8948743249603</v>
      </c>
    </row>
    <row r="75" spans="3:11">
      <c r="C75" s="229" t="s">
        <v>350</v>
      </c>
      <c r="D75" s="229">
        <f>AT116</f>
        <v>143.29851134683844</v>
      </c>
      <c r="E75" s="229">
        <f t="shared" ref="E75:K75" si="15">AU116</f>
        <v>744.17930390679692</v>
      </c>
      <c r="F75" s="229">
        <f t="shared" si="15"/>
        <v>1365.3467774177677</v>
      </c>
      <c r="G75" s="229">
        <f t="shared" si="15"/>
        <v>2156.3267824701657</v>
      </c>
      <c r="H75" s="229">
        <f t="shared" si="15"/>
        <v>2990.579689607438</v>
      </c>
      <c r="I75" s="229">
        <f t="shared" si="15"/>
        <v>3893.8229423569123</v>
      </c>
      <c r="J75" s="229">
        <f t="shared" si="15"/>
        <v>4946.6590086260494</v>
      </c>
      <c r="K75" s="229">
        <f t="shared" si="15"/>
        <v>5974.9092422021477</v>
      </c>
    </row>
    <row r="76" spans="3:11">
      <c r="C76" s="229" t="s">
        <v>351</v>
      </c>
      <c r="D76" s="229">
        <f>BD116</f>
        <v>38.860613246600245</v>
      </c>
      <c r="E76" s="229">
        <f t="shared" ref="E76:K76" si="16">BE116</f>
        <v>515.16270430696125</v>
      </c>
      <c r="F76" s="229">
        <f t="shared" si="16"/>
        <v>943.60675719840481</v>
      </c>
      <c r="G76" s="229">
        <f t="shared" si="16"/>
        <v>2668.5016315233656</v>
      </c>
      <c r="H76" s="229">
        <f t="shared" si="16"/>
        <v>4757.5200280830231</v>
      </c>
      <c r="I76" s="229">
        <f t="shared" si="16"/>
        <v>7077.8939560141371</v>
      </c>
      <c r="J76" s="229">
        <f t="shared" si="16"/>
        <v>9631.2433588648728</v>
      </c>
      <c r="K76" s="229">
        <f t="shared" si="16"/>
        <v>12213.00306481229</v>
      </c>
    </row>
    <row r="77" spans="3:11">
      <c r="C77" s="229"/>
    </row>
    <row r="78" spans="3:11">
      <c r="C78" s="229"/>
    </row>
    <row r="79" spans="3:11">
      <c r="C79" s="1" t="s">
        <v>352</v>
      </c>
      <c r="D79" s="1">
        <f>(1.1)^20</f>
        <v>6.7274999493256091</v>
      </c>
    </row>
    <row r="80" spans="3:11">
      <c r="C80" s="229"/>
    </row>
    <row r="81" spans="1:63" s="267" customFormat="1">
      <c r="A81" s="268" t="s">
        <v>353</v>
      </c>
    </row>
    <row r="86" spans="1:63">
      <c r="C86" s="1" t="s">
        <v>346</v>
      </c>
      <c r="M86" s="1" t="s">
        <v>347</v>
      </c>
      <c r="Y86" s="1" t="s">
        <v>348</v>
      </c>
      <c r="AI86" s="1" t="s">
        <v>349</v>
      </c>
      <c r="AT86" s="1" t="s">
        <v>350</v>
      </c>
      <c r="BD86" s="1" t="s">
        <v>351</v>
      </c>
    </row>
    <row r="88" spans="1:63">
      <c r="C88" s="1">
        <v>2015</v>
      </c>
      <c r="D88" s="1">
        <v>2020</v>
      </c>
      <c r="E88" s="1">
        <v>2025</v>
      </c>
      <c r="F88" s="1">
        <v>2030</v>
      </c>
      <c r="G88" s="1">
        <v>2035</v>
      </c>
      <c r="H88" s="1">
        <v>2040</v>
      </c>
      <c r="I88" s="1">
        <v>2045</v>
      </c>
      <c r="J88" s="1">
        <v>2050</v>
      </c>
      <c r="M88" s="1">
        <v>2015</v>
      </c>
      <c r="N88" s="1">
        <v>2020</v>
      </c>
      <c r="O88" s="1">
        <v>2025</v>
      </c>
      <c r="P88" s="1">
        <v>2030</v>
      </c>
      <c r="Q88" s="1">
        <v>2035</v>
      </c>
      <c r="R88" s="1">
        <v>2040</v>
      </c>
      <c r="S88" s="1">
        <v>2045</v>
      </c>
      <c r="T88" s="1">
        <v>2050</v>
      </c>
      <c r="Y88" s="1">
        <v>2015</v>
      </c>
      <c r="Z88" s="1">
        <v>2020</v>
      </c>
      <c r="AA88" s="1">
        <v>2025</v>
      </c>
      <c r="AB88" s="1">
        <v>2030</v>
      </c>
      <c r="AC88" s="1">
        <v>2035</v>
      </c>
      <c r="AD88" s="1">
        <v>2040</v>
      </c>
      <c r="AE88" s="1">
        <v>2045</v>
      </c>
      <c r="AF88" s="1">
        <v>2050</v>
      </c>
      <c r="AI88" s="1">
        <v>2015</v>
      </c>
      <c r="AJ88" s="1">
        <v>2020</v>
      </c>
      <c r="AK88" s="1">
        <v>2025</v>
      </c>
      <c r="AL88" s="1">
        <v>2030</v>
      </c>
      <c r="AM88" s="1">
        <v>2035</v>
      </c>
      <c r="AN88" s="1">
        <v>2040</v>
      </c>
      <c r="AO88" s="1">
        <v>2045</v>
      </c>
      <c r="AP88" s="1">
        <v>2050</v>
      </c>
      <c r="AT88" s="1">
        <v>2015</v>
      </c>
      <c r="AU88" s="1">
        <v>2020</v>
      </c>
      <c r="AV88" s="1">
        <v>2025</v>
      </c>
      <c r="AW88" s="1">
        <v>2030</v>
      </c>
      <c r="AX88" s="1">
        <v>2035</v>
      </c>
      <c r="AY88" s="1">
        <v>2040</v>
      </c>
      <c r="AZ88" s="1">
        <v>2045</v>
      </c>
      <c r="BA88" s="1">
        <v>2050</v>
      </c>
      <c r="BD88" s="1">
        <v>2015</v>
      </c>
      <c r="BE88" s="1">
        <v>2020</v>
      </c>
      <c r="BF88" s="1">
        <v>2025</v>
      </c>
      <c r="BG88" s="1">
        <v>2030</v>
      </c>
      <c r="BH88" s="1">
        <v>2035</v>
      </c>
      <c r="BI88" s="1">
        <v>2040</v>
      </c>
      <c r="BJ88" s="1">
        <v>2045</v>
      </c>
      <c r="BK88" s="1">
        <v>2050</v>
      </c>
    </row>
    <row r="89" spans="1:63">
      <c r="B89" s="1">
        <v>1</v>
      </c>
      <c r="C89" s="229">
        <f>Deployment!I36</f>
        <v>3.3663578746528087</v>
      </c>
      <c r="D89" s="229">
        <f>Deployment!J36</f>
        <v>14.115846485424541</v>
      </c>
      <c r="E89" s="229">
        <f>Deployment!K36</f>
        <v>14.93768714622515</v>
      </c>
      <c r="F89" s="229">
        <f>Deployment!L36</f>
        <v>19.272177867854957</v>
      </c>
      <c r="G89" s="229">
        <f>Deployment!M36</f>
        <v>22.964564562202707</v>
      </c>
      <c r="H89" s="229">
        <f>Deployment!N36</f>
        <v>35.334769194681968</v>
      </c>
      <c r="I89" s="229">
        <f>Deployment!O36</f>
        <v>39.325565530097023</v>
      </c>
      <c r="J89" s="229">
        <f>Deployment!P36</f>
        <v>42.737220240834425</v>
      </c>
      <c r="L89" s="1">
        <v>1</v>
      </c>
      <c r="M89" s="186">
        <f>Deployment!I41</f>
        <v>0.91291061007533814</v>
      </c>
      <c r="N89" s="186">
        <f>Deployment!J41</f>
        <v>11.189252978865797</v>
      </c>
      <c r="O89" s="186">
        <f>Deployment!K41</f>
        <v>10.158607395175171</v>
      </c>
      <c r="P89" s="186">
        <f>Deployment!L41</f>
        <v>40.708364656946756</v>
      </c>
      <c r="Q89" s="186">
        <f>Deployment!M41</f>
        <v>49.987974010643924</v>
      </c>
      <c r="R89" s="186">
        <f>Deployment!N41</f>
        <v>65.699303160223195</v>
      </c>
      <c r="S89" s="186">
        <f>Deployment!O41</f>
        <v>70.048068092141847</v>
      </c>
      <c r="T89" s="186">
        <f>Deployment!P41</f>
        <v>101.17160620475178</v>
      </c>
      <c r="U89" s="186"/>
      <c r="V89" s="186"/>
      <c r="W89" s="186"/>
      <c r="X89" s="186">
        <v>1</v>
      </c>
      <c r="Y89" s="186">
        <f>Deployment!AK36</f>
        <v>0</v>
      </c>
      <c r="Z89" s="186">
        <f>Deployment!AL36</f>
        <v>0</v>
      </c>
      <c r="AA89" s="186">
        <f>Deployment!AM36</f>
        <v>1.7263373716168249</v>
      </c>
      <c r="AB89" s="186">
        <f>Deployment!AN36</f>
        <v>3.4526747432336498</v>
      </c>
      <c r="AC89" s="186">
        <f>Deployment!AO36</f>
        <v>16.831789373264044</v>
      </c>
      <c r="AD89" s="186">
        <f>Deployment!AP36</f>
        <v>70.579232427122705</v>
      </c>
      <c r="AE89" s="186">
        <f>Deployment!AQ36</f>
        <v>72.962098359508929</v>
      </c>
      <c r="AF89" s="186">
        <f>Deployment!AR36</f>
        <v>92.908214596041148</v>
      </c>
      <c r="AH89" s="1">
        <v>1</v>
      </c>
      <c r="AI89" s="186">
        <f>Deployment!AK41</f>
        <v>0</v>
      </c>
      <c r="AJ89" s="186">
        <f>Deployment!AL41</f>
        <v>0</v>
      </c>
      <c r="AK89" s="186">
        <f>Deployment!AM41</f>
        <v>0.46815928721812206</v>
      </c>
      <c r="AL89" s="186">
        <f>Deployment!AN41</f>
        <v>0.93631857443624411</v>
      </c>
      <c r="AM89" s="186">
        <f>Deployment!AO41</f>
        <v>4.5645530503766905</v>
      </c>
      <c r="AN89" s="186">
        <f>Deployment!AP41</f>
        <v>55.946264894328984</v>
      </c>
      <c r="AO89" s="186">
        <f>Deployment!AQ41</f>
        <v>50.324877688657729</v>
      </c>
      <c r="AP89" s="186">
        <f>Deployment!AR41</f>
        <v>202.60550471029751</v>
      </c>
      <c r="AS89" s="1">
        <v>1</v>
      </c>
      <c r="AT89" s="1">
        <f>Deployment!Y36</f>
        <v>16.831789373264044</v>
      </c>
      <c r="AU89" s="1">
        <f>Deployment!Z36</f>
        <v>87.411021800386749</v>
      </c>
      <c r="AV89" s="1">
        <f>Deployment!AA36</f>
        <v>160.37312015989568</v>
      </c>
      <c r="AW89" s="1">
        <f>Deployment!AB36</f>
        <v>253.28133475593683</v>
      </c>
      <c r="AX89" s="1">
        <f>Deployment!AC36</f>
        <v>351.2723681936863</v>
      </c>
      <c r="AY89" s="1">
        <f>Deployment!AD36</f>
        <v>457.36698173997343</v>
      </c>
      <c r="AZ89" s="1">
        <f>Deployment!AE36</f>
        <v>581.0327110309496</v>
      </c>
      <c r="BA89" s="1">
        <f>Deployment!AF36</f>
        <v>701.81059763908058</v>
      </c>
      <c r="BC89" s="1">
        <v>1</v>
      </c>
      <c r="BD89" s="1">
        <f>Deployment!Y41</f>
        <v>4.5645530503766905</v>
      </c>
      <c r="BE89" s="1">
        <f>Deployment!Z41</f>
        <v>60.510817944705671</v>
      </c>
      <c r="BF89" s="1">
        <f>Deployment!AA41</f>
        <v>110.8356956333634</v>
      </c>
      <c r="BG89" s="1">
        <f>Deployment!AB41</f>
        <v>313.44120034366091</v>
      </c>
      <c r="BH89" s="1">
        <f>Deployment!AC41</f>
        <v>558.81651734650382</v>
      </c>
      <c r="BI89" s="1">
        <f>Deployment!AD41</f>
        <v>831.36676825329084</v>
      </c>
      <c r="BJ89" s="1">
        <f>Deployment!AE41</f>
        <v>1131.2822310253423</v>
      </c>
      <c r="BK89" s="1">
        <f>Deployment!AF41</f>
        <v>1434.5347573388037</v>
      </c>
    </row>
    <row r="90" spans="1:63">
      <c r="B90" s="1">
        <f>1+B89</f>
        <v>2</v>
      </c>
      <c r="C90" s="229">
        <f>C89</f>
        <v>3.3663578746528087</v>
      </c>
      <c r="D90" s="229">
        <f t="shared" ref="D90:J90" si="17">D89</f>
        <v>14.115846485424541</v>
      </c>
      <c r="E90" s="229">
        <f t="shared" si="17"/>
        <v>14.93768714622515</v>
      </c>
      <c r="F90" s="229">
        <f t="shared" si="17"/>
        <v>19.272177867854957</v>
      </c>
      <c r="G90" s="229">
        <f t="shared" si="17"/>
        <v>22.964564562202707</v>
      </c>
      <c r="H90" s="229">
        <f t="shared" si="17"/>
        <v>35.334769194681968</v>
      </c>
      <c r="I90" s="229">
        <f t="shared" si="17"/>
        <v>39.325565530097023</v>
      </c>
      <c r="J90" s="229">
        <f t="shared" si="17"/>
        <v>42.737220240834425</v>
      </c>
      <c r="L90" s="1">
        <v>2</v>
      </c>
      <c r="M90" s="186">
        <f>M89</f>
        <v>0.91291061007533814</v>
      </c>
      <c r="N90" s="186">
        <f t="shared" ref="N90:T105" si="18">N89</f>
        <v>11.189252978865797</v>
      </c>
      <c r="O90" s="186">
        <f t="shared" si="18"/>
        <v>10.158607395175171</v>
      </c>
      <c r="P90" s="186">
        <f t="shared" si="18"/>
        <v>40.708364656946756</v>
      </c>
      <c r="Q90" s="186">
        <f t="shared" si="18"/>
        <v>49.987974010643924</v>
      </c>
      <c r="R90" s="186">
        <f t="shared" si="18"/>
        <v>65.699303160223195</v>
      </c>
      <c r="S90" s="186">
        <f t="shared" si="18"/>
        <v>70.048068092141847</v>
      </c>
      <c r="T90" s="186">
        <f t="shared" si="18"/>
        <v>101.17160620475178</v>
      </c>
      <c r="X90" s="1">
        <v>2</v>
      </c>
      <c r="Y90" s="186">
        <f>Y89</f>
        <v>0</v>
      </c>
      <c r="Z90" s="186">
        <f t="shared" ref="Z90:AF105" si="19">Z89</f>
        <v>0</v>
      </c>
      <c r="AA90" s="186">
        <f t="shared" si="19"/>
        <v>1.7263373716168249</v>
      </c>
      <c r="AB90" s="186">
        <f t="shared" si="19"/>
        <v>3.4526747432336498</v>
      </c>
      <c r="AC90" s="186">
        <f t="shared" si="19"/>
        <v>16.831789373264044</v>
      </c>
      <c r="AD90" s="186">
        <f t="shared" si="19"/>
        <v>70.579232427122705</v>
      </c>
      <c r="AE90" s="186">
        <f t="shared" si="19"/>
        <v>72.962098359508929</v>
      </c>
      <c r="AF90" s="186">
        <f t="shared" si="19"/>
        <v>92.908214596041148</v>
      </c>
      <c r="AH90" s="1">
        <v>2</v>
      </c>
      <c r="AI90" s="186">
        <f>AI89</f>
        <v>0</v>
      </c>
      <c r="AJ90" s="186">
        <f t="shared" ref="AJ90:AP105" si="20">AJ89</f>
        <v>0</v>
      </c>
      <c r="AK90" s="186">
        <f t="shared" si="20"/>
        <v>0.46815928721812206</v>
      </c>
      <c r="AL90" s="186">
        <f t="shared" si="20"/>
        <v>0.93631857443624411</v>
      </c>
      <c r="AM90" s="186">
        <f t="shared" si="20"/>
        <v>4.5645530503766905</v>
      </c>
      <c r="AN90" s="186">
        <f t="shared" si="20"/>
        <v>55.946264894328984</v>
      </c>
      <c r="AO90" s="186">
        <f t="shared" si="20"/>
        <v>50.324877688657729</v>
      </c>
      <c r="AP90" s="186">
        <f t="shared" si="20"/>
        <v>202.60550471029751</v>
      </c>
      <c r="AS90" s="1">
        <v>2</v>
      </c>
      <c r="AT90" s="1">
        <f>AT89</f>
        <v>16.831789373264044</v>
      </c>
      <c r="AU90" s="1">
        <f t="shared" ref="AU90:BA105" si="21">AU89</f>
        <v>87.411021800386749</v>
      </c>
      <c r="AV90" s="1">
        <f t="shared" si="21"/>
        <v>160.37312015989568</v>
      </c>
      <c r="AW90" s="1">
        <f t="shared" si="21"/>
        <v>253.28133475593683</v>
      </c>
      <c r="AX90" s="1">
        <f t="shared" si="21"/>
        <v>351.2723681936863</v>
      </c>
      <c r="AY90" s="1">
        <f t="shared" si="21"/>
        <v>457.36698173997343</v>
      </c>
      <c r="AZ90" s="1">
        <f t="shared" si="21"/>
        <v>581.0327110309496</v>
      </c>
      <c r="BA90" s="1">
        <f t="shared" si="21"/>
        <v>701.81059763908058</v>
      </c>
      <c r="BC90" s="1">
        <v>2</v>
      </c>
      <c r="BD90" s="1">
        <f>BD89</f>
        <v>4.5645530503766905</v>
      </c>
      <c r="BE90" s="1">
        <f t="shared" ref="BE90:BE108" si="22">BE89</f>
        <v>60.510817944705671</v>
      </c>
      <c r="BF90" s="1">
        <f t="shared" ref="BF90:BF108" si="23">BF89</f>
        <v>110.8356956333634</v>
      </c>
      <c r="BG90" s="1">
        <f t="shared" ref="BG90:BG108" si="24">BG89</f>
        <v>313.44120034366091</v>
      </c>
      <c r="BH90" s="1">
        <f t="shared" ref="BH90:BH108" si="25">BH89</f>
        <v>558.81651734650382</v>
      </c>
      <c r="BI90" s="1">
        <f t="shared" ref="BI90:BI108" si="26">BI89</f>
        <v>831.36676825329084</v>
      </c>
      <c r="BJ90" s="1">
        <f t="shared" ref="BJ90:BJ108" si="27">BJ89</f>
        <v>1131.2822310253423</v>
      </c>
      <c r="BK90" s="1">
        <f t="shared" ref="BK90:BK108" si="28">BK89</f>
        <v>1434.5347573388037</v>
      </c>
    </row>
    <row r="91" spans="1:63">
      <c r="B91" s="1">
        <f t="shared" ref="B91:B108" si="29">1+B90</f>
        <v>3</v>
      </c>
      <c r="C91" s="229">
        <f t="shared" ref="C91:C108" si="30">C90</f>
        <v>3.3663578746528087</v>
      </c>
      <c r="D91" s="229">
        <f t="shared" ref="D91:D108" si="31">D90</f>
        <v>14.115846485424541</v>
      </c>
      <c r="E91" s="229">
        <f t="shared" ref="E91:E108" si="32">E90</f>
        <v>14.93768714622515</v>
      </c>
      <c r="F91" s="229">
        <f t="shared" ref="F91:F108" si="33">F90</f>
        <v>19.272177867854957</v>
      </c>
      <c r="G91" s="229">
        <f t="shared" ref="G91:G108" si="34">G90</f>
        <v>22.964564562202707</v>
      </c>
      <c r="H91" s="229">
        <f t="shared" ref="H91:H108" si="35">H90</f>
        <v>35.334769194681968</v>
      </c>
      <c r="I91" s="229">
        <f t="shared" ref="I91:I108" si="36">I90</f>
        <v>39.325565530097023</v>
      </c>
      <c r="J91" s="229">
        <f t="shared" ref="J91:J108" si="37">J90</f>
        <v>42.737220240834425</v>
      </c>
      <c r="L91" s="1">
        <v>3</v>
      </c>
      <c r="M91" s="186">
        <f t="shared" ref="M91:M108" si="38">M90</f>
        <v>0.91291061007533814</v>
      </c>
      <c r="N91" s="186">
        <f t="shared" si="18"/>
        <v>11.189252978865797</v>
      </c>
      <c r="O91" s="186">
        <f t="shared" si="18"/>
        <v>10.158607395175171</v>
      </c>
      <c r="P91" s="186">
        <f t="shared" si="18"/>
        <v>40.708364656946756</v>
      </c>
      <c r="Q91" s="186">
        <f t="shared" si="18"/>
        <v>49.987974010643924</v>
      </c>
      <c r="R91" s="186">
        <f t="shared" si="18"/>
        <v>65.699303160223195</v>
      </c>
      <c r="S91" s="186">
        <f t="shared" si="18"/>
        <v>70.048068092141847</v>
      </c>
      <c r="T91" s="186">
        <f t="shared" si="18"/>
        <v>101.17160620475178</v>
      </c>
      <c r="X91" s="1">
        <v>3</v>
      </c>
      <c r="Y91" s="186">
        <f t="shared" ref="Y91:Y108" si="39">Y90</f>
        <v>0</v>
      </c>
      <c r="Z91" s="186">
        <f t="shared" si="19"/>
        <v>0</v>
      </c>
      <c r="AA91" s="186">
        <f t="shared" si="19"/>
        <v>1.7263373716168249</v>
      </c>
      <c r="AB91" s="186">
        <f t="shared" si="19"/>
        <v>3.4526747432336498</v>
      </c>
      <c r="AC91" s="186">
        <f t="shared" si="19"/>
        <v>16.831789373264044</v>
      </c>
      <c r="AD91" s="186">
        <f t="shared" si="19"/>
        <v>70.579232427122705</v>
      </c>
      <c r="AE91" s="186">
        <f t="shared" si="19"/>
        <v>72.962098359508929</v>
      </c>
      <c r="AF91" s="186">
        <f t="shared" si="19"/>
        <v>92.908214596041148</v>
      </c>
      <c r="AH91" s="1">
        <v>3</v>
      </c>
      <c r="AI91" s="186">
        <f t="shared" ref="AI91:AI108" si="40">AI90</f>
        <v>0</v>
      </c>
      <c r="AJ91" s="186">
        <f t="shared" si="20"/>
        <v>0</v>
      </c>
      <c r="AK91" s="186">
        <f t="shared" si="20"/>
        <v>0.46815928721812206</v>
      </c>
      <c r="AL91" s="186">
        <f t="shared" si="20"/>
        <v>0.93631857443624411</v>
      </c>
      <c r="AM91" s="186">
        <f t="shared" si="20"/>
        <v>4.5645530503766905</v>
      </c>
      <c r="AN91" s="186">
        <f t="shared" si="20"/>
        <v>55.946264894328984</v>
      </c>
      <c r="AO91" s="186">
        <f t="shared" si="20"/>
        <v>50.324877688657729</v>
      </c>
      <c r="AP91" s="186">
        <f t="shared" si="20"/>
        <v>202.60550471029751</v>
      </c>
      <c r="AS91" s="1">
        <v>3</v>
      </c>
      <c r="AT91" s="1">
        <f t="shared" ref="AT91:AT108" si="41">AT90</f>
        <v>16.831789373264044</v>
      </c>
      <c r="AU91" s="1">
        <f t="shared" si="21"/>
        <v>87.411021800386749</v>
      </c>
      <c r="AV91" s="1">
        <f t="shared" si="21"/>
        <v>160.37312015989568</v>
      </c>
      <c r="AW91" s="1">
        <f t="shared" si="21"/>
        <v>253.28133475593683</v>
      </c>
      <c r="AX91" s="1">
        <f t="shared" si="21"/>
        <v>351.2723681936863</v>
      </c>
      <c r="AY91" s="1">
        <f t="shared" si="21"/>
        <v>457.36698173997343</v>
      </c>
      <c r="AZ91" s="1">
        <f t="shared" si="21"/>
        <v>581.0327110309496</v>
      </c>
      <c r="BA91" s="1">
        <f t="shared" si="21"/>
        <v>701.81059763908058</v>
      </c>
      <c r="BC91" s="1">
        <v>3</v>
      </c>
      <c r="BD91" s="1">
        <f t="shared" ref="BD91:BD108" si="42">BD90</f>
        <v>4.5645530503766905</v>
      </c>
      <c r="BE91" s="1">
        <f t="shared" si="22"/>
        <v>60.510817944705671</v>
      </c>
      <c r="BF91" s="1">
        <f t="shared" si="23"/>
        <v>110.8356956333634</v>
      </c>
      <c r="BG91" s="1">
        <f t="shared" si="24"/>
        <v>313.44120034366091</v>
      </c>
      <c r="BH91" s="1">
        <f t="shared" si="25"/>
        <v>558.81651734650382</v>
      </c>
      <c r="BI91" s="1">
        <f t="shared" si="26"/>
        <v>831.36676825329084</v>
      </c>
      <c r="BJ91" s="1">
        <f t="shared" si="27"/>
        <v>1131.2822310253423</v>
      </c>
      <c r="BK91" s="1">
        <f t="shared" si="28"/>
        <v>1434.5347573388037</v>
      </c>
    </row>
    <row r="92" spans="1:63">
      <c r="B92" s="1">
        <f t="shared" si="29"/>
        <v>4</v>
      </c>
      <c r="C92" s="229">
        <f t="shared" si="30"/>
        <v>3.3663578746528087</v>
      </c>
      <c r="D92" s="229">
        <f t="shared" si="31"/>
        <v>14.115846485424541</v>
      </c>
      <c r="E92" s="229">
        <f t="shared" si="32"/>
        <v>14.93768714622515</v>
      </c>
      <c r="F92" s="229">
        <f t="shared" si="33"/>
        <v>19.272177867854957</v>
      </c>
      <c r="G92" s="229">
        <f t="shared" si="34"/>
        <v>22.964564562202707</v>
      </c>
      <c r="H92" s="229">
        <f t="shared" si="35"/>
        <v>35.334769194681968</v>
      </c>
      <c r="I92" s="229">
        <f t="shared" si="36"/>
        <v>39.325565530097023</v>
      </c>
      <c r="J92" s="229">
        <f t="shared" si="37"/>
        <v>42.737220240834425</v>
      </c>
      <c r="L92" s="1">
        <v>4</v>
      </c>
      <c r="M92" s="186">
        <f t="shared" si="38"/>
        <v>0.91291061007533814</v>
      </c>
      <c r="N92" s="186">
        <f t="shared" si="18"/>
        <v>11.189252978865797</v>
      </c>
      <c r="O92" s="186">
        <f t="shared" si="18"/>
        <v>10.158607395175171</v>
      </c>
      <c r="P92" s="186">
        <f t="shared" si="18"/>
        <v>40.708364656946756</v>
      </c>
      <c r="Q92" s="186">
        <f t="shared" si="18"/>
        <v>49.987974010643924</v>
      </c>
      <c r="R92" s="186">
        <f t="shared" si="18"/>
        <v>65.699303160223195</v>
      </c>
      <c r="S92" s="186">
        <f t="shared" si="18"/>
        <v>70.048068092141847</v>
      </c>
      <c r="T92" s="186">
        <f t="shared" si="18"/>
        <v>101.17160620475178</v>
      </c>
      <c r="X92" s="1">
        <v>4</v>
      </c>
      <c r="Y92" s="186">
        <f t="shared" si="39"/>
        <v>0</v>
      </c>
      <c r="Z92" s="186">
        <f t="shared" si="19"/>
        <v>0</v>
      </c>
      <c r="AA92" s="186">
        <f t="shared" si="19"/>
        <v>1.7263373716168249</v>
      </c>
      <c r="AB92" s="186">
        <f t="shared" si="19"/>
        <v>3.4526747432336498</v>
      </c>
      <c r="AC92" s="186">
        <f t="shared" si="19"/>
        <v>16.831789373264044</v>
      </c>
      <c r="AD92" s="186">
        <f t="shared" si="19"/>
        <v>70.579232427122705</v>
      </c>
      <c r="AE92" s="186">
        <f t="shared" si="19"/>
        <v>72.962098359508929</v>
      </c>
      <c r="AF92" s="186">
        <f t="shared" si="19"/>
        <v>92.908214596041148</v>
      </c>
      <c r="AH92" s="1">
        <v>4</v>
      </c>
      <c r="AI92" s="186">
        <f t="shared" si="40"/>
        <v>0</v>
      </c>
      <c r="AJ92" s="186">
        <f t="shared" si="20"/>
        <v>0</v>
      </c>
      <c r="AK92" s="186">
        <f t="shared" si="20"/>
        <v>0.46815928721812206</v>
      </c>
      <c r="AL92" s="186">
        <f t="shared" si="20"/>
        <v>0.93631857443624411</v>
      </c>
      <c r="AM92" s="186">
        <f t="shared" si="20"/>
        <v>4.5645530503766905</v>
      </c>
      <c r="AN92" s="186">
        <f t="shared" si="20"/>
        <v>55.946264894328984</v>
      </c>
      <c r="AO92" s="186">
        <f t="shared" si="20"/>
        <v>50.324877688657729</v>
      </c>
      <c r="AP92" s="186">
        <f t="shared" si="20"/>
        <v>202.60550471029751</v>
      </c>
      <c r="AS92" s="1">
        <v>4</v>
      </c>
      <c r="AT92" s="1">
        <f t="shared" si="41"/>
        <v>16.831789373264044</v>
      </c>
      <c r="AU92" s="1">
        <f t="shared" si="21"/>
        <v>87.411021800386749</v>
      </c>
      <c r="AV92" s="1">
        <f t="shared" si="21"/>
        <v>160.37312015989568</v>
      </c>
      <c r="AW92" s="1">
        <f t="shared" si="21"/>
        <v>253.28133475593683</v>
      </c>
      <c r="AX92" s="1">
        <f t="shared" si="21"/>
        <v>351.2723681936863</v>
      </c>
      <c r="AY92" s="1">
        <f t="shared" si="21"/>
        <v>457.36698173997343</v>
      </c>
      <c r="AZ92" s="1">
        <f t="shared" si="21"/>
        <v>581.0327110309496</v>
      </c>
      <c r="BA92" s="1">
        <f t="shared" si="21"/>
        <v>701.81059763908058</v>
      </c>
      <c r="BC92" s="1">
        <v>4</v>
      </c>
      <c r="BD92" s="1">
        <f t="shared" si="42"/>
        <v>4.5645530503766905</v>
      </c>
      <c r="BE92" s="1">
        <f t="shared" si="22"/>
        <v>60.510817944705671</v>
      </c>
      <c r="BF92" s="1">
        <f t="shared" si="23"/>
        <v>110.8356956333634</v>
      </c>
      <c r="BG92" s="1">
        <f t="shared" si="24"/>
        <v>313.44120034366091</v>
      </c>
      <c r="BH92" s="1">
        <f t="shared" si="25"/>
        <v>558.81651734650382</v>
      </c>
      <c r="BI92" s="1">
        <f t="shared" si="26"/>
        <v>831.36676825329084</v>
      </c>
      <c r="BJ92" s="1">
        <f t="shared" si="27"/>
        <v>1131.2822310253423</v>
      </c>
      <c r="BK92" s="1">
        <f t="shared" si="28"/>
        <v>1434.5347573388037</v>
      </c>
    </row>
    <row r="93" spans="1:63">
      <c r="B93" s="1">
        <f t="shared" si="29"/>
        <v>5</v>
      </c>
      <c r="C93" s="229">
        <f t="shared" si="30"/>
        <v>3.3663578746528087</v>
      </c>
      <c r="D93" s="229">
        <f t="shared" si="31"/>
        <v>14.115846485424541</v>
      </c>
      <c r="E93" s="229">
        <f t="shared" si="32"/>
        <v>14.93768714622515</v>
      </c>
      <c r="F93" s="229">
        <f t="shared" si="33"/>
        <v>19.272177867854957</v>
      </c>
      <c r="G93" s="229">
        <f t="shared" si="34"/>
        <v>22.964564562202707</v>
      </c>
      <c r="H93" s="229">
        <f t="shared" si="35"/>
        <v>35.334769194681968</v>
      </c>
      <c r="I93" s="229">
        <f t="shared" si="36"/>
        <v>39.325565530097023</v>
      </c>
      <c r="J93" s="229">
        <f t="shared" si="37"/>
        <v>42.737220240834425</v>
      </c>
      <c r="L93" s="1">
        <v>5</v>
      </c>
      <c r="M93" s="186">
        <f t="shared" si="38"/>
        <v>0.91291061007533814</v>
      </c>
      <c r="N93" s="186">
        <f t="shared" si="18"/>
        <v>11.189252978865797</v>
      </c>
      <c r="O93" s="186">
        <f t="shared" si="18"/>
        <v>10.158607395175171</v>
      </c>
      <c r="P93" s="186">
        <f t="shared" si="18"/>
        <v>40.708364656946756</v>
      </c>
      <c r="Q93" s="186">
        <f t="shared" si="18"/>
        <v>49.987974010643924</v>
      </c>
      <c r="R93" s="186">
        <f t="shared" si="18"/>
        <v>65.699303160223195</v>
      </c>
      <c r="S93" s="186">
        <f t="shared" si="18"/>
        <v>70.048068092141847</v>
      </c>
      <c r="T93" s="186">
        <f t="shared" si="18"/>
        <v>101.17160620475178</v>
      </c>
      <c r="X93" s="1">
        <v>5</v>
      </c>
      <c r="Y93" s="186">
        <f t="shared" si="39"/>
        <v>0</v>
      </c>
      <c r="Z93" s="186">
        <f t="shared" si="19"/>
        <v>0</v>
      </c>
      <c r="AA93" s="186">
        <f t="shared" si="19"/>
        <v>1.7263373716168249</v>
      </c>
      <c r="AB93" s="186">
        <f t="shared" si="19"/>
        <v>3.4526747432336498</v>
      </c>
      <c r="AC93" s="186">
        <f t="shared" si="19"/>
        <v>16.831789373264044</v>
      </c>
      <c r="AD93" s="186">
        <f t="shared" si="19"/>
        <v>70.579232427122705</v>
      </c>
      <c r="AE93" s="186">
        <f t="shared" si="19"/>
        <v>72.962098359508929</v>
      </c>
      <c r="AF93" s="186">
        <f t="shared" si="19"/>
        <v>92.908214596041148</v>
      </c>
      <c r="AH93" s="1">
        <v>5</v>
      </c>
      <c r="AI93" s="186">
        <f t="shared" si="40"/>
        <v>0</v>
      </c>
      <c r="AJ93" s="186">
        <f t="shared" si="20"/>
        <v>0</v>
      </c>
      <c r="AK93" s="186">
        <f t="shared" si="20"/>
        <v>0.46815928721812206</v>
      </c>
      <c r="AL93" s="186">
        <f t="shared" si="20"/>
        <v>0.93631857443624411</v>
      </c>
      <c r="AM93" s="186">
        <f t="shared" si="20"/>
        <v>4.5645530503766905</v>
      </c>
      <c r="AN93" s="186">
        <f t="shared" si="20"/>
        <v>55.946264894328984</v>
      </c>
      <c r="AO93" s="186">
        <f t="shared" si="20"/>
        <v>50.324877688657729</v>
      </c>
      <c r="AP93" s="186">
        <f t="shared" si="20"/>
        <v>202.60550471029751</v>
      </c>
      <c r="AS93" s="1">
        <v>5</v>
      </c>
      <c r="AT93" s="1">
        <f t="shared" si="41"/>
        <v>16.831789373264044</v>
      </c>
      <c r="AU93" s="1">
        <f t="shared" si="21"/>
        <v>87.411021800386749</v>
      </c>
      <c r="AV93" s="1">
        <f t="shared" si="21"/>
        <v>160.37312015989568</v>
      </c>
      <c r="AW93" s="1">
        <f t="shared" si="21"/>
        <v>253.28133475593683</v>
      </c>
      <c r="AX93" s="1">
        <f t="shared" si="21"/>
        <v>351.2723681936863</v>
      </c>
      <c r="AY93" s="1">
        <f t="shared" si="21"/>
        <v>457.36698173997343</v>
      </c>
      <c r="AZ93" s="1">
        <f t="shared" si="21"/>
        <v>581.0327110309496</v>
      </c>
      <c r="BA93" s="1">
        <f t="shared" si="21"/>
        <v>701.81059763908058</v>
      </c>
      <c r="BC93" s="1">
        <v>5</v>
      </c>
      <c r="BD93" s="1">
        <f t="shared" si="42"/>
        <v>4.5645530503766905</v>
      </c>
      <c r="BE93" s="1">
        <f t="shared" si="22"/>
        <v>60.510817944705671</v>
      </c>
      <c r="BF93" s="1">
        <f t="shared" si="23"/>
        <v>110.8356956333634</v>
      </c>
      <c r="BG93" s="1">
        <f t="shared" si="24"/>
        <v>313.44120034366091</v>
      </c>
      <c r="BH93" s="1">
        <f t="shared" si="25"/>
        <v>558.81651734650382</v>
      </c>
      <c r="BI93" s="1">
        <f t="shared" si="26"/>
        <v>831.36676825329084</v>
      </c>
      <c r="BJ93" s="1">
        <f t="shared" si="27"/>
        <v>1131.2822310253423</v>
      </c>
      <c r="BK93" s="1">
        <f t="shared" si="28"/>
        <v>1434.5347573388037</v>
      </c>
    </row>
    <row r="94" spans="1:63">
      <c r="B94" s="1">
        <f t="shared" si="29"/>
        <v>6</v>
      </c>
      <c r="C94" s="229">
        <f t="shared" si="30"/>
        <v>3.3663578746528087</v>
      </c>
      <c r="D94" s="229">
        <f t="shared" si="31"/>
        <v>14.115846485424541</v>
      </c>
      <c r="E94" s="229">
        <f t="shared" si="32"/>
        <v>14.93768714622515</v>
      </c>
      <c r="F94" s="229">
        <f t="shared" si="33"/>
        <v>19.272177867854957</v>
      </c>
      <c r="G94" s="229">
        <f t="shared" si="34"/>
        <v>22.964564562202707</v>
      </c>
      <c r="H94" s="229">
        <f t="shared" si="35"/>
        <v>35.334769194681968</v>
      </c>
      <c r="I94" s="229">
        <f t="shared" si="36"/>
        <v>39.325565530097023</v>
      </c>
      <c r="J94" s="229">
        <f t="shared" si="37"/>
        <v>42.737220240834425</v>
      </c>
      <c r="L94" s="1">
        <v>6</v>
      </c>
      <c r="M94" s="186">
        <f t="shared" si="38"/>
        <v>0.91291061007533814</v>
      </c>
      <c r="N94" s="186">
        <f t="shared" si="18"/>
        <v>11.189252978865797</v>
      </c>
      <c r="O94" s="186">
        <f t="shared" si="18"/>
        <v>10.158607395175171</v>
      </c>
      <c r="P94" s="186">
        <f t="shared" si="18"/>
        <v>40.708364656946756</v>
      </c>
      <c r="Q94" s="186">
        <f t="shared" si="18"/>
        <v>49.987974010643924</v>
      </c>
      <c r="R94" s="186">
        <f t="shared" si="18"/>
        <v>65.699303160223195</v>
      </c>
      <c r="S94" s="186">
        <f t="shared" si="18"/>
        <v>70.048068092141847</v>
      </c>
      <c r="T94" s="186">
        <f t="shared" si="18"/>
        <v>101.17160620475178</v>
      </c>
      <c r="X94" s="1">
        <v>6</v>
      </c>
      <c r="Y94" s="186">
        <f t="shared" si="39"/>
        <v>0</v>
      </c>
      <c r="Z94" s="186">
        <f t="shared" si="19"/>
        <v>0</v>
      </c>
      <c r="AA94" s="186">
        <f t="shared" si="19"/>
        <v>1.7263373716168249</v>
      </c>
      <c r="AB94" s="186">
        <f t="shared" si="19"/>
        <v>3.4526747432336498</v>
      </c>
      <c r="AC94" s="186">
        <f t="shared" si="19"/>
        <v>16.831789373264044</v>
      </c>
      <c r="AD94" s="186">
        <f t="shared" si="19"/>
        <v>70.579232427122705</v>
      </c>
      <c r="AE94" s="186">
        <f t="shared" si="19"/>
        <v>72.962098359508929</v>
      </c>
      <c r="AF94" s="186">
        <f t="shared" si="19"/>
        <v>92.908214596041148</v>
      </c>
      <c r="AH94" s="1">
        <v>6</v>
      </c>
      <c r="AI94" s="186">
        <f t="shared" si="40"/>
        <v>0</v>
      </c>
      <c r="AJ94" s="186">
        <f t="shared" si="20"/>
        <v>0</v>
      </c>
      <c r="AK94" s="186">
        <f t="shared" si="20"/>
        <v>0.46815928721812206</v>
      </c>
      <c r="AL94" s="186">
        <f t="shared" si="20"/>
        <v>0.93631857443624411</v>
      </c>
      <c r="AM94" s="186">
        <f t="shared" si="20"/>
        <v>4.5645530503766905</v>
      </c>
      <c r="AN94" s="186">
        <f t="shared" si="20"/>
        <v>55.946264894328984</v>
      </c>
      <c r="AO94" s="186">
        <f t="shared" si="20"/>
        <v>50.324877688657729</v>
      </c>
      <c r="AP94" s="186">
        <f t="shared" si="20"/>
        <v>202.60550471029751</v>
      </c>
      <c r="AS94" s="1">
        <v>6</v>
      </c>
      <c r="AT94" s="1">
        <f t="shared" si="41"/>
        <v>16.831789373264044</v>
      </c>
      <c r="AU94" s="1">
        <f t="shared" si="21"/>
        <v>87.411021800386749</v>
      </c>
      <c r="AV94" s="1">
        <f t="shared" si="21"/>
        <v>160.37312015989568</v>
      </c>
      <c r="AW94" s="1">
        <f t="shared" si="21"/>
        <v>253.28133475593683</v>
      </c>
      <c r="AX94" s="1">
        <f t="shared" si="21"/>
        <v>351.2723681936863</v>
      </c>
      <c r="AY94" s="1">
        <f t="shared" si="21"/>
        <v>457.36698173997343</v>
      </c>
      <c r="AZ94" s="1">
        <f t="shared" si="21"/>
        <v>581.0327110309496</v>
      </c>
      <c r="BA94" s="1">
        <f t="shared" si="21"/>
        <v>701.81059763908058</v>
      </c>
      <c r="BC94" s="1">
        <v>6</v>
      </c>
      <c r="BD94" s="1">
        <f t="shared" si="42"/>
        <v>4.5645530503766905</v>
      </c>
      <c r="BE94" s="1">
        <f t="shared" si="22"/>
        <v>60.510817944705671</v>
      </c>
      <c r="BF94" s="1">
        <f t="shared" si="23"/>
        <v>110.8356956333634</v>
      </c>
      <c r="BG94" s="1">
        <f t="shared" si="24"/>
        <v>313.44120034366091</v>
      </c>
      <c r="BH94" s="1">
        <f t="shared" si="25"/>
        <v>558.81651734650382</v>
      </c>
      <c r="BI94" s="1">
        <f t="shared" si="26"/>
        <v>831.36676825329084</v>
      </c>
      <c r="BJ94" s="1">
        <f t="shared" si="27"/>
        <v>1131.2822310253423</v>
      </c>
      <c r="BK94" s="1">
        <f t="shared" si="28"/>
        <v>1434.5347573388037</v>
      </c>
    </row>
    <row r="95" spans="1:63">
      <c r="B95" s="1">
        <f t="shared" si="29"/>
        <v>7</v>
      </c>
      <c r="C95" s="229">
        <f t="shared" si="30"/>
        <v>3.3663578746528087</v>
      </c>
      <c r="D95" s="229">
        <f t="shared" si="31"/>
        <v>14.115846485424541</v>
      </c>
      <c r="E95" s="229">
        <f t="shared" si="32"/>
        <v>14.93768714622515</v>
      </c>
      <c r="F95" s="229">
        <f t="shared" si="33"/>
        <v>19.272177867854957</v>
      </c>
      <c r="G95" s="229">
        <f t="shared" si="34"/>
        <v>22.964564562202707</v>
      </c>
      <c r="H95" s="229">
        <f t="shared" si="35"/>
        <v>35.334769194681968</v>
      </c>
      <c r="I95" s="229">
        <f t="shared" si="36"/>
        <v>39.325565530097023</v>
      </c>
      <c r="J95" s="229">
        <f t="shared" si="37"/>
        <v>42.737220240834425</v>
      </c>
      <c r="L95" s="1">
        <v>7</v>
      </c>
      <c r="M95" s="186">
        <f t="shared" si="38"/>
        <v>0.91291061007533814</v>
      </c>
      <c r="N95" s="186">
        <f t="shared" si="18"/>
        <v>11.189252978865797</v>
      </c>
      <c r="O95" s="186">
        <f t="shared" si="18"/>
        <v>10.158607395175171</v>
      </c>
      <c r="P95" s="186">
        <f t="shared" si="18"/>
        <v>40.708364656946756</v>
      </c>
      <c r="Q95" s="186">
        <f t="shared" si="18"/>
        <v>49.987974010643924</v>
      </c>
      <c r="R95" s="186">
        <f t="shared" si="18"/>
        <v>65.699303160223195</v>
      </c>
      <c r="S95" s="186">
        <f t="shared" si="18"/>
        <v>70.048068092141847</v>
      </c>
      <c r="T95" s="186">
        <f t="shared" si="18"/>
        <v>101.17160620475178</v>
      </c>
      <c r="X95" s="1">
        <v>7</v>
      </c>
      <c r="Y95" s="186">
        <f t="shared" si="39"/>
        <v>0</v>
      </c>
      <c r="Z95" s="186">
        <f t="shared" si="19"/>
        <v>0</v>
      </c>
      <c r="AA95" s="186">
        <f t="shared" si="19"/>
        <v>1.7263373716168249</v>
      </c>
      <c r="AB95" s="186">
        <f t="shared" si="19"/>
        <v>3.4526747432336498</v>
      </c>
      <c r="AC95" s="186">
        <f t="shared" si="19"/>
        <v>16.831789373264044</v>
      </c>
      <c r="AD95" s="186">
        <f t="shared" si="19"/>
        <v>70.579232427122705</v>
      </c>
      <c r="AE95" s="186">
        <f t="shared" si="19"/>
        <v>72.962098359508929</v>
      </c>
      <c r="AF95" s="186">
        <f t="shared" si="19"/>
        <v>92.908214596041148</v>
      </c>
      <c r="AH95" s="1">
        <v>7</v>
      </c>
      <c r="AI95" s="186">
        <f t="shared" si="40"/>
        <v>0</v>
      </c>
      <c r="AJ95" s="186">
        <f t="shared" si="20"/>
        <v>0</v>
      </c>
      <c r="AK95" s="186">
        <f t="shared" si="20"/>
        <v>0.46815928721812206</v>
      </c>
      <c r="AL95" s="186">
        <f t="shared" si="20"/>
        <v>0.93631857443624411</v>
      </c>
      <c r="AM95" s="186">
        <f t="shared" si="20"/>
        <v>4.5645530503766905</v>
      </c>
      <c r="AN95" s="186">
        <f t="shared" si="20"/>
        <v>55.946264894328984</v>
      </c>
      <c r="AO95" s="186">
        <f t="shared" si="20"/>
        <v>50.324877688657729</v>
      </c>
      <c r="AP95" s="186">
        <f t="shared" si="20"/>
        <v>202.60550471029751</v>
      </c>
      <c r="AS95" s="1">
        <v>7</v>
      </c>
      <c r="AT95" s="1">
        <f t="shared" si="41"/>
        <v>16.831789373264044</v>
      </c>
      <c r="AU95" s="1">
        <f t="shared" si="21"/>
        <v>87.411021800386749</v>
      </c>
      <c r="AV95" s="1">
        <f t="shared" si="21"/>
        <v>160.37312015989568</v>
      </c>
      <c r="AW95" s="1">
        <f t="shared" si="21"/>
        <v>253.28133475593683</v>
      </c>
      <c r="AX95" s="1">
        <f t="shared" si="21"/>
        <v>351.2723681936863</v>
      </c>
      <c r="AY95" s="1">
        <f t="shared" si="21"/>
        <v>457.36698173997343</v>
      </c>
      <c r="AZ95" s="1">
        <f t="shared" si="21"/>
        <v>581.0327110309496</v>
      </c>
      <c r="BA95" s="1">
        <f t="shared" si="21"/>
        <v>701.81059763908058</v>
      </c>
      <c r="BC95" s="1">
        <v>7</v>
      </c>
      <c r="BD95" s="1">
        <f t="shared" si="42"/>
        <v>4.5645530503766905</v>
      </c>
      <c r="BE95" s="1">
        <f t="shared" si="22"/>
        <v>60.510817944705671</v>
      </c>
      <c r="BF95" s="1">
        <f t="shared" si="23"/>
        <v>110.8356956333634</v>
      </c>
      <c r="BG95" s="1">
        <f t="shared" si="24"/>
        <v>313.44120034366091</v>
      </c>
      <c r="BH95" s="1">
        <f t="shared" si="25"/>
        <v>558.81651734650382</v>
      </c>
      <c r="BI95" s="1">
        <f t="shared" si="26"/>
        <v>831.36676825329084</v>
      </c>
      <c r="BJ95" s="1">
        <f t="shared" si="27"/>
        <v>1131.2822310253423</v>
      </c>
      <c r="BK95" s="1">
        <f t="shared" si="28"/>
        <v>1434.5347573388037</v>
      </c>
    </row>
    <row r="96" spans="1:63">
      <c r="B96" s="1">
        <f t="shared" si="29"/>
        <v>8</v>
      </c>
      <c r="C96" s="229">
        <f t="shared" si="30"/>
        <v>3.3663578746528087</v>
      </c>
      <c r="D96" s="229">
        <f t="shared" si="31"/>
        <v>14.115846485424541</v>
      </c>
      <c r="E96" s="229">
        <f t="shared" si="32"/>
        <v>14.93768714622515</v>
      </c>
      <c r="F96" s="229">
        <f t="shared" si="33"/>
        <v>19.272177867854957</v>
      </c>
      <c r="G96" s="229">
        <f t="shared" si="34"/>
        <v>22.964564562202707</v>
      </c>
      <c r="H96" s="229">
        <f t="shared" si="35"/>
        <v>35.334769194681968</v>
      </c>
      <c r="I96" s="229">
        <f t="shared" si="36"/>
        <v>39.325565530097023</v>
      </c>
      <c r="J96" s="229">
        <f t="shared" si="37"/>
        <v>42.737220240834425</v>
      </c>
      <c r="L96" s="1">
        <v>8</v>
      </c>
      <c r="M96" s="186">
        <f t="shared" si="38"/>
        <v>0.91291061007533814</v>
      </c>
      <c r="N96" s="186">
        <f t="shared" si="18"/>
        <v>11.189252978865797</v>
      </c>
      <c r="O96" s="186">
        <f t="shared" si="18"/>
        <v>10.158607395175171</v>
      </c>
      <c r="P96" s="186">
        <f t="shared" si="18"/>
        <v>40.708364656946756</v>
      </c>
      <c r="Q96" s="186">
        <f t="shared" si="18"/>
        <v>49.987974010643924</v>
      </c>
      <c r="R96" s="186">
        <f t="shared" si="18"/>
        <v>65.699303160223195</v>
      </c>
      <c r="S96" s="186">
        <f t="shared" si="18"/>
        <v>70.048068092141847</v>
      </c>
      <c r="T96" s="186">
        <f t="shared" si="18"/>
        <v>101.17160620475178</v>
      </c>
      <c r="X96" s="1">
        <v>8</v>
      </c>
      <c r="Y96" s="186">
        <f t="shared" si="39"/>
        <v>0</v>
      </c>
      <c r="Z96" s="186">
        <f t="shared" si="19"/>
        <v>0</v>
      </c>
      <c r="AA96" s="186">
        <f t="shared" si="19"/>
        <v>1.7263373716168249</v>
      </c>
      <c r="AB96" s="186">
        <f t="shared" si="19"/>
        <v>3.4526747432336498</v>
      </c>
      <c r="AC96" s="186">
        <f t="shared" si="19"/>
        <v>16.831789373264044</v>
      </c>
      <c r="AD96" s="186">
        <f t="shared" si="19"/>
        <v>70.579232427122705</v>
      </c>
      <c r="AE96" s="186">
        <f t="shared" si="19"/>
        <v>72.962098359508929</v>
      </c>
      <c r="AF96" s="186">
        <f t="shared" si="19"/>
        <v>92.908214596041148</v>
      </c>
      <c r="AH96" s="1">
        <v>8</v>
      </c>
      <c r="AI96" s="186">
        <f t="shared" si="40"/>
        <v>0</v>
      </c>
      <c r="AJ96" s="186">
        <f t="shared" si="20"/>
        <v>0</v>
      </c>
      <c r="AK96" s="186">
        <f t="shared" si="20"/>
        <v>0.46815928721812206</v>
      </c>
      <c r="AL96" s="186">
        <f t="shared" si="20"/>
        <v>0.93631857443624411</v>
      </c>
      <c r="AM96" s="186">
        <f t="shared" si="20"/>
        <v>4.5645530503766905</v>
      </c>
      <c r="AN96" s="186">
        <f t="shared" si="20"/>
        <v>55.946264894328984</v>
      </c>
      <c r="AO96" s="186">
        <f t="shared" si="20"/>
        <v>50.324877688657729</v>
      </c>
      <c r="AP96" s="186">
        <f t="shared" si="20"/>
        <v>202.60550471029751</v>
      </c>
      <c r="AS96" s="1">
        <v>8</v>
      </c>
      <c r="AT96" s="1">
        <f t="shared" si="41"/>
        <v>16.831789373264044</v>
      </c>
      <c r="AU96" s="1">
        <f t="shared" si="21"/>
        <v>87.411021800386749</v>
      </c>
      <c r="AV96" s="1">
        <f t="shared" si="21"/>
        <v>160.37312015989568</v>
      </c>
      <c r="AW96" s="1">
        <f t="shared" si="21"/>
        <v>253.28133475593683</v>
      </c>
      <c r="AX96" s="1">
        <f t="shared" si="21"/>
        <v>351.2723681936863</v>
      </c>
      <c r="AY96" s="1">
        <f t="shared" si="21"/>
        <v>457.36698173997343</v>
      </c>
      <c r="AZ96" s="1">
        <f t="shared" si="21"/>
        <v>581.0327110309496</v>
      </c>
      <c r="BA96" s="1">
        <f t="shared" si="21"/>
        <v>701.81059763908058</v>
      </c>
      <c r="BC96" s="1">
        <v>8</v>
      </c>
      <c r="BD96" s="1">
        <f t="shared" si="42"/>
        <v>4.5645530503766905</v>
      </c>
      <c r="BE96" s="1">
        <f t="shared" si="22"/>
        <v>60.510817944705671</v>
      </c>
      <c r="BF96" s="1">
        <f t="shared" si="23"/>
        <v>110.8356956333634</v>
      </c>
      <c r="BG96" s="1">
        <f t="shared" si="24"/>
        <v>313.44120034366091</v>
      </c>
      <c r="BH96" s="1">
        <f t="shared" si="25"/>
        <v>558.81651734650382</v>
      </c>
      <c r="BI96" s="1">
        <f t="shared" si="26"/>
        <v>831.36676825329084</v>
      </c>
      <c r="BJ96" s="1">
        <f t="shared" si="27"/>
        <v>1131.2822310253423</v>
      </c>
      <c r="BK96" s="1">
        <f t="shared" si="28"/>
        <v>1434.5347573388037</v>
      </c>
    </row>
    <row r="97" spans="2:63">
      <c r="B97" s="1">
        <f t="shared" si="29"/>
        <v>9</v>
      </c>
      <c r="C97" s="229">
        <f t="shared" si="30"/>
        <v>3.3663578746528087</v>
      </c>
      <c r="D97" s="229">
        <f t="shared" si="31"/>
        <v>14.115846485424541</v>
      </c>
      <c r="E97" s="229">
        <f t="shared" si="32"/>
        <v>14.93768714622515</v>
      </c>
      <c r="F97" s="229">
        <f t="shared" si="33"/>
        <v>19.272177867854957</v>
      </c>
      <c r="G97" s="229">
        <f t="shared" si="34"/>
        <v>22.964564562202707</v>
      </c>
      <c r="H97" s="229">
        <f t="shared" si="35"/>
        <v>35.334769194681968</v>
      </c>
      <c r="I97" s="229">
        <f t="shared" si="36"/>
        <v>39.325565530097023</v>
      </c>
      <c r="J97" s="229">
        <f t="shared" si="37"/>
        <v>42.737220240834425</v>
      </c>
      <c r="L97" s="1">
        <v>9</v>
      </c>
      <c r="M97" s="186">
        <f t="shared" si="38"/>
        <v>0.91291061007533814</v>
      </c>
      <c r="N97" s="186">
        <f t="shared" si="18"/>
        <v>11.189252978865797</v>
      </c>
      <c r="O97" s="186">
        <f t="shared" si="18"/>
        <v>10.158607395175171</v>
      </c>
      <c r="P97" s="186">
        <f t="shared" si="18"/>
        <v>40.708364656946756</v>
      </c>
      <c r="Q97" s="186">
        <f t="shared" si="18"/>
        <v>49.987974010643924</v>
      </c>
      <c r="R97" s="186">
        <f t="shared" si="18"/>
        <v>65.699303160223195</v>
      </c>
      <c r="S97" s="186">
        <f t="shared" si="18"/>
        <v>70.048068092141847</v>
      </c>
      <c r="T97" s="186">
        <f t="shared" si="18"/>
        <v>101.17160620475178</v>
      </c>
      <c r="X97" s="1">
        <v>9</v>
      </c>
      <c r="Y97" s="186">
        <f t="shared" si="39"/>
        <v>0</v>
      </c>
      <c r="Z97" s="186">
        <f t="shared" si="19"/>
        <v>0</v>
      </c>
      <c r="AA97" s="186">
        <f t="shared" si="19"/>
        <v>1.7263373716168249</v>
      </c>
      <c r="AB97" s="186">
        <f t="shared" si="19"/>
        <v>3.4526747432336498</v>
      </c>
      <c r="AC97" s="186">
        <f t="shared" si="19"/>
        <v>16.831789373264044</v>
      </c>
      <c r="AD97" s="186">
        <f t="shared" si="19"/>
        <v>70.579232427122705</v>
      </c>
      <c r="AE97" s="186">
        <f t="shared" si="19"/>
        <v>72.962098359508929</v>
      </c>
      <c r="AF97" s="186">
        <f t="shared" si="19"/>
        <v>92.908214596041148</v>
      </c>
      <c r="AH97" s="1">
        <v>9</v>
      </c>
      <c r="AI97" s="186">
        <f t="shared" si="40"/>
        <v>0</v>
      </c>
      <c r="AJ97" s="186">
        <f t="shared" si="20"/>
        <v>0</v>
      </c>
      <c r="AK97" s="186">
        <f t="shared" si="20"/>
        <v>0.46815928721812206</v>
      </c>
      <c r="AL97" s="186">
        <f t="shared" si="20"/>
        <v>0.93631857443624411</v>
      </c>
      <c r="AM97" s="186">
        <f t="shared" si="20"/>
        <v>4.5645530503766905</v>
      </c>
      <c r="AN97" s="186">
        <f t="shared" si="20"/>
        <v>55.946264894328984</v>
      </c>
      <c r="AO97" s="186">
        <f t="shared" si="20"/>
        <v>50.324877688657729</v>
      </c>
      <c r="AP97" s="186">
        <f t="shared" si="20"/>
        <v>202.60550471029751</v>
      </c>
      <c r="AS97" s="1">
        <v>9</v>
      </c>
      <c r="AT97" s="1">
        <f t="shared" si="41"/>
        <v>16.831789373264044</v>
      </c>
      <c r="AU97" s="1">
        <f t="shared" si="21"/>
        <v>87.411021800386749</v>
      </c>
      <c r="AV97" s="1">
        <f t="shared" si="21"/>
        <v>160.37312015989568</v>
      </c>
      <c r="AW97" s="1">
        <f t="shared" si="21"/>
        <v>253.28133475593683</v>
      </c>
      <c r="AX97" s="1">
        <f t="shared" si="21"/>
        <v>351.2723681936863</v>
      </c>
      <c r="AY97" s="1">
        <f t="shared" si="21"/>
        <v>457.36698173997343</v>
      </c>
      <c r="AZ97" s="1">
        <f t="shared" si="21"/>
        <v>581.0327110309496</v>
      </c>
      <c r="BA97" s="1">
        <f t="shared" si="21"/>
        <v>701.81059763908058</v>
      </c>
      <c r="BC97" s="1">
        <v>9</v>
      </c>
      <c r="BD97" s="1">
        <f t="shared" si="42"/>
        <v>4.5645530503766905</v>
      </c>
      <c r="BE97" s="1">
        <f t="shared" si="22"/>
        <v>60.510817944705671</v>
      </c>
      <c r="BF97" s="1">
        <f t="shared" si="23"/>
        <v>110.8356956333634</v>
      </c>
      <c r="BG97" s="1">
        <f t="shared" si="24"/>
        <v>313.44120034366091</v>
      </c>
      <c r="BH97" s="1">
        <f t="shared" si="25"/>
        <v>558.81651734650382</v>
      </c>
      <c r="BI97" s="1">
        <f t="shared" si="26"/>
        <v>831.36676825329084</v>
      </c>
      <c r="BJ97" s="1">
        <f t="shared" si="27"/>
        <v>1131.2822310253423</v>
      </c>
      <c r="BK97" s="1">
        <f t="shared" si="28"/>
        <v>1434.5347573388037</v>
      </c>
    </row>
    <row r="98" spans="2:63">
      <c r="B98" s="1">
        <f t="shared" si="29"/>
        <v>10</v>
      </c>
      <c r="C98" s="229">
        <f t="shared" si="30"/>
        <v>3.3663578746528087</v>
      </c>
      <c r="D98" s="229">
        <f t="shared" si="31"/>
        <v>14.115846485424541</v>
      </c>
      <c r="E98" s="229">
        <f t="shared" si="32"/>
        <v>14.93768714622515</v>
      </c>
      <c r="F98" s="229">
        <f t="shared" si="33"/>
        <v>19.272177867854957</v>
      </c>
      <c r="G98" s="229">
        <f t="shared" si="34"/>
        <v>22.964564562202707</v>
      </c>
      <c r="H98" s="229">
        <f t="shared" si="35"/>
        <v>35.334769194681968</v>
      </c>
      <c r="I98" s="229">
        <f t="shared" si="36"/>
        <v>39.325565530097023</v>
      </c>
      <c r="J98" s="229">
        <f t="shared" si="37"/>
        <v>42.737220240834425</v>
      </c>
      <c r="L98" s="1">
        <v>10</v>
      </c>
      <c r="M98" s="186">
        <f t="shared" si="38"/>
        <v>0.91291061007533814</v>
      </c>
      <c r="N98" s="186">
        <f t="shared" si="18"/>
        <v>11.189252978865797</v>
      </c>
      <c r="O98" s="186">
        <f t="shared" si="18"/>
        <v>10.158607395175171</v>
      </c>
      <c r="P98" s="186">
        <f t="shared" si="18"/>
        <v>40.708364656946756</v>
      </c>
      <c r="Q98" s="186">
        <f t="shared" si="18"/>
        <v>49.987974010643924</v>
      </c>
      <c r="R98" s="186">
        <f t="shared" si="18"/>
        <v>65.699303160223195</v>
      </c>
      <c r="S98" s="186">
        <f t="shared" si="18"/>
        <v>70.048068092141847</v>
      </c>
      <c r="T98" s="186">
        <f t="shared" si="18"/>
        <v>101.17160620475178</v>
      </c>
      <c r="X98" s="1">
        <v>10</v>
      </c>
      <c r="Y98" s="186">
        <f t="shared" si="39"/>
        <v>0</v>
      </c>
      <c r="Z98" s="186">
        <f t="shared" si="19"/>
        <v>0</v>
      </c>
      <c r="AA98" s="186">
        <f t="shared" si="19"/>
        <v>1.7263373716168249</v>
      </c>
      <c r="AB98" s="186">
        <f t="shared" si="19"/>
        <v>3.4526747432336498</v>
      </c>
      <c r="AC98" s="186">
        <f t="shared" si="19"/>
        <v>16.831789373264044</v>
      </c>
      <c r="AD98" s="186">
        <f t="shared" si="19"/>
        <v>70.579232427122705</v>
      </c>
      <c r="AE98" s="186">
        <f t="shared" si="19"/>
        <v>72.962098359508929</v>
      </c>
      <c r="AF98" s="186">
        <f t="shared" si="19"/>
        <v>92.908214596041148</v>
      </c>
      <c r="AH98" s="1">
        <v>10</v>
      </c>
      <c r="AI98" s="186">
        <f t="shared" si="40"/>
        <v>0</v>
      </c>
      <c r="AJ98" s="186">
        <f t="shared" si="20"/>
        <v>0</v>
      </c>
      <c r="AK98" s="186">
        <f t="shared" si="20"/>
        <v>0.46815928721812206</v>
      </c>
      <c r="AL98" s="186">
        <f t="shared" si="20"/>
        <v>0.93631857443624411</v>
      </c>
      <c r="AM98" s="186">
        <f t="shared" si="20"/>
        <v>4.5645530503766905</v>
      </c>
      <c r="AN98" s="186">
        <f t="shared" si="20"/>
        <v>55.946264894328984</v>
      </c>
      <c r="AO98" s="186">
        <f t="shared" si="20"/>
        <v>50.324877688657729</v>
      </c>
      <c r="AP98" s="186">
        <f t="shared" si="20"/>
        <v>202.60550471029751</v>
      </c>
      <c r="AS98" s="1">
        <v>10</v>
      </c>
      <c r="AT98" s="1">
        <f t="shared" si="41"/>
        <v>16.831789373264044</v>
      </c>
      <c r="AU98" s="1">
        <f t="shared" si="21"/>
        <v>87.411021800386749</v>
      </c>
      <c r="AV98" s="1">
        <f t="shared" si="21"/>
        <v>160.37312015989568</v>
      </c>
      <c r="AW98" s="1">
        <f t="shared" si="21"/>
        <v>253.28133475593683</v>
      </c>
      <c r="AX98" s="1">
        <f t="shared" si="21"/>
        <v>351.2723681936863</v>
      </c>
      <c r="AY98" s="1">
        <f t="shared" si="21"/>
        <v>457.36698173997343</v>
      </c>
      <c r="AZ98" s="1">
        <f t="shared" si="21"/>
        <v>581.0327110309496</v>
      </c>
      <c r="BA98" s="1">
        <f t="shared" si="21"/>
        <v>701.81059763908058</v>
      </c>
      <c r="BC98" s="1">
        <v>10</v>
      </c>
      <c r="BD98" s="1">
        <f t="shared" si="42"/>
        <v>4.5645530503766905</v>
      </c>
      <c r="BE98" s="1">
        <f t="shared" si="22"/>
        <v>60.510817944705671</v>
      </c>
      <c r="BF98" s="1">
        <f t="shared" si="23"/>
        <v>110.8356956333634</v>
      </c>
      <c r="BG98" s="1">
        <f t="shared" si="24"/>
        <v>313.44120034366091</v>
      </c>
      <c r="BH98" s="1">
        <f t="shared" si="25"/>
        <v>558.81651734650382</v>
      </c>
      <c r="BI98" s="1">
        <f t="shared" si="26"/>
        <v>831.36676825329084</v>
      </c>
      <c r="BJ98" s="1">
        <f t="shared" si="27"/>
        <v>1131.2822310253423</v>
      </c>
      <c r="BK98" s="1">
        <f t="shared" si="28"/>
        <v>1434.5347573388037</v>
      </c>
    </row>
    <row r="99" spans="2:63">
      <c r="B99" s="1">
        <f t="shared" si="29"/>
        <v>11</v>
      </c>
      <c r="C99" s="229">
        <f t="shared" si="30"/>
        <v>3.3663578746528087</v>
      </c>
      <c r="D99" s="229">
        <f t="shared" si="31"/>
        <v>14.115846485424541</v>
      </c>
      <c r="E99" s="229">
        <f t="shared" si="32"/>
        <v>14.93768714622515</v>
      </c>
      <c r="F99" s="229">
        <f t="shared" si="33"/>
        <v>19.272177867854957</v>
      </c>
      <c r="G99" s="229">
        <f t="shared" si="34"/>
        <v>22.964564562202707</v>
      </c>
      <c r="H99" s="229">
        <f t="shared" si="35"/>
        <v>35.334769194681968</v>
      </c>
      <c r="I99" s="229">
        <f t="shared" si="36"/>
        <v>39.325565530097023</v>
      </c>
      <c r="J99" s="229">
        <f t="shared" si="37"/>
        <v>42.737220240834425</v>
      </c>
      <c r="L99" s="1">
        <v>11</v>
      </c>
      <c r="M99" s="186">
        <f t="shared" si="38"/>
        <v>0.91291061007533814</v>
      </c>
      <c r="N99" s="186">
        <f t="shared" si="18"/>
        <v>11.189252978865797</v>
      </c>
      <c r="O99" s="186">
        <f t="shared" si="18"/>
        <v>10.158607395175171</v>
      </c>
      <c r="P99" s="186">
        <f t="shared" si="18"/>
        <v>40.708364656946756</v>
      </c>
      <c r="Q99" s="186">
        <f t="shared" si="18"/>
        <v>49.987974010643924</v>
      </c>
      <c r="R99" s="186">
        <f t="shared" si="18"/>
        <v>65.699303160223195</v>
      </c>
      <c r="S99" s="186">
        <f t="shared" si="18"/>
        <v>70.048068092141847</v>
      </c>
      <c r="T99" s="186">
        <f t="shared" si="18"/>
        <v>101.17160620475178</v>
      </c>
      <c r="X99" s="1">
        <v>11</v>
      </c>
      <c r="Y99" s="186">
        <f t="shared" si="39"/>
        <v>0</v>
      </c>
      <c r="Z99" s="186">
        <f t="shared" si="19"/>
        <v>0</v>
      </c>
      <c r="AA99" s="186">
        <f t="shared" si="19"/>
        <v>1.7263373716168249</v>
      </c>
      <c r="AB99" s="186">
        <f t="shared" si="19"/>
        <v>3.4526747432336498</v>
      </c>
      <c r="AC99" s="186">
        <f t="shared" si="19"/>
        <v>16.831789373264044</v>
      </c>
      <c r="AD99" s="186">
        <f t="shared" si="19"/>
        <v>70.579232427122705</v>
      </c>
      <c r="AE99" s="186">
        <f t="shared" si="19"/>
        <v>72.962098359508929</v>
      </c>
      <c r="AF99" s="186">
        <f t="shared" si="19"/>
        <v>92.908214596041148</v>
      </c>
      <c r="AH99" s="1">
        <v>11</v>
      </c>
      <c r="AI99" s="186">
        <f t="shared" si="40"/>
        <v>0</v>
      </c>
      <c r="AJ99" s="186">
        <f t="shared" si="20"/>
        <v>0</v>
      </c>
      <c r="AK99" s="186">
        <f t="shared" si="20"/>
        <v>0.46815928721812206</v>
      </c>
      <c r="AL99" s="186">
        <f t="shared" si="20"/>
        <v>0.93631857443624411</v>
      </c>
      <c r="AM99" s="186">
        <f t="shared" si="20"/>
        <v>4.5645530503766905</v>
      </c>
      <c r="AN99" s="186">
        <f t="shared" si="20"/>
        <v>55.946264894328984</v>
      </c>
      <c r="AO99" s="186">
        <f t="shared" si="20"/>
        <v>50.324877688657729</v>
      </c>
      <c r="AP99" s="186">
        <f t="shared" si="20"/>
        <v>202.60550471029751</v>
      </c>
      <c r="AS99" s="1">
        <v>11</v>
      </c>
      <c r="AT99" s="1">
        <f t="shared" si="41"/>
        <v>16.831789373264044</v>
      </c>
      <c r="AU99" s="1">
        <f t="shared" si="21"/>
        <v>87.411021800386749</v>
      </c>
      <c r="AV99" s="1">
        <f t="shared" si="21"/>
        <v>160.37312015989568</v>
      </c>
      <c r="AW99" s="1">
        <f t="shared" si="21"/>
        <v>253.28133475593683</v>
      </c>
      <c r="AX99" s="1">
        <f t="shared" si="21"/>
        <v>351.2723681936863</v>
      </c>
      <c r="AY99" s="1">
        <f t="shared" si="21"/>
        <v>457.36698173997343</v>
      </c>
      <c r="AZ99" s="1">
        <f t="shared" si="21"/>
        <v>581.0327110309496</v>
      </c>
      <c r="BA99" s="1">
        <f t="shared" si="21"/>
        <v>701.81059763908058</v>
      </c>
      <c r="BC99" s="1">
        <v>11</v>
      </c>
      <c r="BD99" s="1">
        <f t="shared" si="42"/>
        <v>4.5645530503766905</v>
      </c>
      <c r="BE99" s="1">
        <f t="shared" si="22"/>
        <v>60.510817944705671</v>
      </c>
      <c r="BF99" s="1">
        <f t="shared" si="23"/>
        <v>110.8356956333634</v>
      </c>
      <c r="BG99" s="1">
        <f t="shared" si="24"/>
        <v>313.44120034366091</v>
      </c>
      <c r="BH99" s="1">
        <f t="shared" si="25"/>
        <v>558.81651734650382</v>
      </c>
      <c r="BI99" s="1">
        <f t="shared" si="26"/>
        <v>831.36676825329084</v>
      </c>
      <c r="BJ99" s="1">
        <f t="shared" si="27"/>
        <v>1131.2822310253423</v>
      </c>
      <c r="BK99" s="1">
        <f t="shared" si="28"/>
        <v>1434.5347573388037</v>
      </c>
    </row>
    <row r="100" spans="2:63">
      <c r="B100" s="1">
        <f t="shared" si="29"/>
        <v>12</v>
      </c>
      <c r="C100" s="229">
        <f t="shared" si="30"/>
        <v>3.3663578746528087</v>
      </c>
      <c r="D100" s="229">
        <f t="shared" si="31"/>
        <v>14.115846485424541</v>
      </c>
      <c r="E100" s="229">
        <f t="shared" si="32"/>
        <v>14.93768714622515</v>
      </c>
      <c r="F100" s="229">
        <f t="shared" si="33"/>
        <v>19.272177867854957</v>
      </c>
      <c r="G100" s="229">
        <f t="shared" si="34"/>
        <v>22.964564562202707</v>
      </c>
      <c r="H100" s="229">
        <f t="shared" si="35"/>
        <v>35.334769194681968</v>
      </c>
      <c r="I100" s="229">
        <f t="shared" si="36"/>
        <v>39.325565530097023</v>
      </c>
      <c r="J100" s="229">
        <f t="shared" si="37"/>
        <v>42.737220240834425</v>
      </c>
      <c r="L100" s="1">
        <v>12</v>
      </c>
      <c r="M100" s="186">
        <f t="shared" si="38"/>
        <v>0.91291061007533814</v>
      </c>
      <c r="N100" s="186">
        <f t="shared" si="18"/>
        <v>11.189252978865797</v>
      </c>
      <c r="O100" s="186">
        <f t="shared" si="18"/>
        <v>10.158607395175171</v>
      </c>
      <c r="P100" s="186">
        <f t="shared" si="18"/>
        <v>40.708364656946756</v>
      </c>
      <c r="Q100" s="186">
        <f t="shared" si="18"/>
        <v>49.987974010643924</v>
      </c>
      <c r="R100" s="186">
        <f t="shared" si="18"/>
        <v>65.699303160223195</v>
      </c>
      <c r="S100" s="186">
        <f t="shared" si="18"/>
        <v>70.048068092141847</v>
      </c>
      <c r="T100" s="186">
        <f t="shared" si="18"/>
        <v>101.17160620475178</v>
      </c>
      <c r="X100" s="1">
        <v>12</v>
      </c>
      <c r="Y100" s="186">
        <f t="shared" si="39"/>
        <v>0</v>
      </c>
      <c r="Z100" s="186">
        <f t="shared" si="19"/>
        <v>0</v>
      </c>
      <c r="AA100" s="186">
        <f t="shared" si="19"/>
        <v>1.7263373716168249</v>
      </c>
      <c r="AB100" s="186">
        <f t="shared" si="19"/>
        <v>3.4526747432336498</v>
      </c>
      <c r="AC100" s="186">
        <f t="shared" si="19"/>
        <v>16.831789373264044</v>
      </c>
      <c r="AD100" s="186">
        <f t="shared" si="19"/>
        <v>70.579232427122705</v>
      </c>
      <c r="AE100" s="186">
        <f t="shared" si="19"/>
        <v>72.962098359508929</v>
      </c>
      <c r="AF100" s="186">
        <f t="shared" si="19"/>
        <v>92.908214596041148</v>
      </c>
      <c r="AH100" s="1">
        <v>12</v>
      </c>
      <c r="AI100" s="186">
        <f t="shared" si="40"/>
        <v>0</v>
      </c>
      <c r="AJ100" s="186">
        <f t="shared" si="20"/>
        <v>0</v>
      </c>
      <c r="AK100" s="186">
        <f t="shared" si="20"/>
        <v>0.46815928721812206</v>
      </c>
      <c r="AL100" s="186">
        <f t="shared" si="20"/>
        <v>0.93631857443624411</v>
      </c>
      <c r="AM100" s="186">
        <f t="shared" si="20"/>
        <v>4.5645530503766905</v>
      </c>
      <c r="AN100" s="186">
        <f t="shared" si="20"/>
        <v>55.946264894328984</v>
      </c>
      <c r="AO100" s="186">
        <f t="shared" si="20"/>
        <v>50.324877688657729</v>
      </c>
      <c r="AP100" s="186">
        <f t="shared" si="20"/>
        <v>202.60550471029751</v>
      </c>
      <c r="AS100" s="1">
        <v>12</v>
      </c>
      <c r="AT100" s="1">
        <f t="shared" si="41"/>
        <v>16.831789373264044</v>
      </c>
      <c r="AU100" s="1">
        <f t="shared" si="21"/>
        <v>87.411021800386749</v>
      </c>
      <c r="AV100" s="1">
        <f t="shared" si="21"/>
        <v>160.37312015989568</v>
      </c>
      <c r="AW100" s="1">
        <f t="shared" si="21"/>
        <v>253.28133475593683</v>
      </c>
      <c r="AX100" s="1">
        <f t="shared" si="21"/>
        <v>351.2723681936863</v>
      </c>
      <c r="AY100" s="1">
        <f t="shared" si="21"/>
        <v>457.36698173997343</v>
      </c>
      <c r="AZ100" s="1">
        <f t="shared" si="21"/>
        <v>581.0327110309496</v>
      </c>
      <c r="BA100" s="1">
        <f t="shared" si="21"/>
        <v>701.81059763908058</v>
      </c>
      <c r="BC100" s="1">
        <v>12</v>
      </c>
      <c r="BD100" s="1">
        <f t="shared" si="42"/>
        <v>4.5645530503766905</v>
      </c>
      <c r="BE100" s="1">
        <f t="shared" si="22"/>
        <v>60.510817944705671</v>
      </c>
      <c r="BF100" s="1">
        <f t="shared" si="23"/>
        <v>110.8356956333634</v>
      </c>
      <c r="BG100" s="1">
        <f t="shared" si="24"/>
        <v>313.44120034366091</v>
      </c>
      <c r="BH100" s="1">
        <f t="shared" si="25"/>
        <v>558.81651734650382</v>
      </c>
      <c r="BI100" s="1">
        <f t="shared" si="26"/>
        <v>831.36676825329084</v>
      </c>
      <c r="BJ100" s="1">
        <f t="shared" si="27"/>
        <v>1131.2822310253423</v>
      </c>
      <c r="BK100" s="1">
        <f t="shared" si="28"/>
        <v>1434.5347573388037</v>
      </c>
    </row>
    <row r="101" spans="2:63">
      <c r="B101" s="1">
        <f t="shared" si="29"/>
        <v>13</v>
      </c>
      <c r="C101" s="229">
        <f t="shared" si="30"/>
        <v>3.3663578746528087</v>
      </c>
      <c r="D101" s="229">
        <f t="shared" si="31"/>
        <v>14.115846485424541</v>
      </c>
      <c r="E101" s="229">
        <f t="shared" si="32"/>
        <v>14.93768714622515</v>
      </c>
      <c r="F101" s="229">
        <f t="shared" si="33"/>
        <v>19.272177867854957</v>
      </c>
      <c r="G101" s="229">
        <f t="shared" si="34"/>
        <v>22.964564562202707</v>
      </c>
      <c r="H101" s="229">
        <f t="shared" si="35"/>
        <v>35.334769194681968</v>
      </c>
      <c r="I101" s="229">
        <f t="shared" si="36"/>
        <v>39.325565530097023</v>
      </c>
      <c r="J101" s="229">
        <f t="shared" si="37"/>
        <v>42.737220240834425</v>
      </c>
      <c r="L101" s="1">
        <v>13</v>
      </c>
      <c r="M101" s="186">
        <f t="shared" si="38"/>
        <v>0.91291061007533814</v>
      </c>
      <c r="N101" s="186">
        <f t="shared" si="18"/>
        <v>11.189252978865797</v>
      </c>
      <c r="O101" s="186">
        <f t="shared" si="18"/>
        <v>10.158607395175171</v>
      </c>
      <c r="P101" s="186">
        <f t="shared" si="18"/>
        <v>40.708364656946756</v>
      </c>
      <c r="Q101" s="186">
        <f t="shared" si="18"/>
        <v>49.987974010643924</v>
      </c>
      <c r="R101" s="186">
        <f t="shared" si="18"/>
        <v>65.699303160223195</v>
      </c>
      <c r="S101" s="186">
        <f t="shared" si="18"/>
        <v>70.048068092141847</v>
      </c>
      <c r="T101" s="186">
        <f t="shared" si="18"/>
        <v>101.17160620475178</v>
      </c>
      <c r="X101" s="1">
        <v>13</v>
      </c>
      <c r="Y101" s="186">
        <f t="shared" si="39"/>
        <v>0</v>
      </c>
      <c r="Z101" s="186">
        <f t="shared" si="19"/>
        <v>0</v>
      </c>
      <c r="AA101" s="186">
        <f t="shared" si="19"/>
        <v>1.7263373716168249</v>
      </c>
      <c r="AB101" s="186">
        <f t="shared" si="19"/>
        <v>3.4526747432336498</v>
      </c>
      <c r="AC101" s="186">
        <f t="shared" si="19"/>
        <v>16.831789373264044</v>
      </c>
      <c r="AD101" s="186">
        <f t="shared" si="19"/>
        <v>70.579232427122705</v>
      </c>
      <c r="AE101" s="186">
        <f t="shared" si="19"/>
        <v>72.962098359508929</v>
      </c>
      <c r="AF101" s="186">
        <f t="shared" si="19"/>
        <v>92.908214596041148</v>
      </c>
      <c r="AH101" s="1">
        <v>13</v>
      </c>
      <c r="AI101" s="186">
        <f t="shared" si="40"/>
        <v>0</v>
      </c>
      <c r="AJ101" s="186">
        <f t="shared" si="20"/>
        <v>0</v>
      </c>
      <c r="AK101" s="186">
        <f t="shared" si="20"/>
        <v>0.46815928721812206</v>
      </c>
      <c r="AL101" s="186">
        <f t="shared" si="20"/>
        <v>0.93631857443624411</v>
      </c>
      <c r="AM101" s="186">
        <f t="shared" si="20"/>
        <v>4.5645530503766905</v>
      </c>
      <c r="AN101" s="186">
        <f t="shared" si="20"/>
        <v>55.946264894328984</v>
      </c>
      <c r="AO101" s="186">
        <f t="shared" si="20"/>
        <v>50.324877688657729</v>
      </c>
      <c r="AP101" s="186">
        <f t="shared" si="20"/>
        <v>202.60550471029751</v>
      </c>
      <c r="AS101" s="1">
        <v>13</v>
      </c>
      <c r="AT101" s="1">
        <f t="shared" si="41"/>
        <v>16.831789373264044</v>
      </c>
      <c r="AU101" s="1">
        <f t="shared" si="21"/>
        <v>87.411021800386749</v>
      </c>
      <c r="AV101" s="1">
        <f t="shared" si="21"/>
        <v>160.37312015989568</v>
      </c>
      <c r="AW101" s="1">
        <f t="shared" si="21"/>
        <v>253.28133475593683</v>
      </c>
      <c r="AX101" s="1">
        <f t="shared" si="21"/>
        <v>351.2723681936863</v>
      </c>
      <c r="AY101" s="1">
        <f t="shared" si="21"/>
        <v>457.36698173997343</v>
      </c>
      <c r="AZ101" s="1">
        <f t="shared" si="21"/>
        <v>581.0327110309496</v>
      </c>
      <c r="BA101" s="1">
        <f t="shared" si="21"/>
        <v>701.81059763908058</v>
      </c>
      <c r="BC101" s="1">
        <v>13</v>
      </c>
      <c r="BD101" s="1">
        <f t="shared" si="42"/>
        <v>4.5645530503766905</v>
      </c>
      <c r="BE101" s="1">
        <f t="shared" si="22"/>
        <v>60.510817944705671</v>
      </c>
      <c r="BF101" s="1">
        <f t="shared" si="23"/>
        <v>110.8356956333634</v>
      </c>
      <c r="BG101" s="1">
        <f t="shared" si="24"/>
        <v>313.44120034366091</v>
      </c>
      <c r="BH101" s="1">
        <f t="shared" si="25"/>
        <v>558.81651734650382</v>
      </c>
      <c r="BI101" s="1">
        <f t="shared" si="26"/>
        <v>831.36676825329084</v>
      </c>
      <c r="BJ101" s="1">
        <f t="shared" si="27"/>
        <v>1131.2822310253423</v>
      </c>
      <c r="BK101" s="1">
        <f t="shared" si="28"/>
        <v>1434.5347573388037</v>
      </c>
    </row>
    <row r="102" spans="2:63">
      <c r="B102" s="1">
        <f t="shared" si="29"/>
        <v>14</v>
      </c>
      <c r="C102" s="229">
        <f t="shared" si="30"/>
        <v>3.3663578746528087</v>
      </c>
      <c r="D102" s="229">
        <f t="shared" si="31"/>
        <v>14.115846485424541</v>
      </c>
      <c r="E102" s="229">
        <f t="shared" si="32"/>
        <v>14.93768714622515</v>
      </c>
      <c r="F102" s="229">
        <f t="shared" si="33"/>
        <v>19.272177867854957</v>
      </c>
      <c r="G102" s="229">
        <f t="shared" si="34"/>
        <v>22.964564562202707</v>
      </c>
      <c r="H102" s="229">
        <f t="shared" si="35"/>
        <v>35.334769194681968</v>
      </c>
      <c r="I102" s="229">
        <f t="shared" si="36"/>
        <v>39.325565530097023</v>
      </c>
      <c r="J102" s="229">
        <f t="shared" si="37"/>
        <v>42.737220240834425</v>
      </c>
      <c r="L102" s="1">
        <v>14</v>
      </c>
      <c r="M102" s="186">
        <f t="shared" si="38"/>
        <v>0.91291061007533814</v>
      </c>
      <c r="N102" s="186">
        <f t="shared" si="18"/>
        <v>11.189252978865797</v>
      </c>
      <c r="O102" s="186">
        <f t="shared" si="18"/>
        <v>10.158607395175171</v>
      </c>
      <c r="P102" s="186">
        <f t="shared" si="18"/>
        <v>40.708364656946756</v>
      </c>
      <c r="Q102" s="186">
        <f t="shared" si="18"/>
        <v>49.987974010643924</v>
      </c>
      <c r="R102" s="186">
        <f t="shared" si="18"/>
        <v>65.699303160223195</v>
      </c>
      <c r="S102" s="186">
        <f t="shared" si="18"/>
        <v>70.048068092141847</v>
      </c>
      <c r="T102" s="186">
        <f t="shared" si="18"/>
        <v>101.17160620475178</v>
      </c>
      <c r="X102" s="1">
        <v>14</v>
      </c>
      <c r="Y102" s="186">
        <f t="shared" si="39"/>
        <v>0</v>
      </c>
      <c r="Z102" s="186">
        <f t="shared" si="19"/>
        <v>0</v>
      </c>
      <c r="AA102" s="186">
        <f t="shared" si="19"/>
        <v>1.7263373716168249</v>
      </c>
      <c r="AB102" s="186">
        <f t="shared" si="19"/>
        <v>3.4526747432336498</v>
      </c>
      <c r="AC102" s="186">
        <f t="shared" si="19"/>
        <v>16.831789373264044</v>
      </c>
      <c r="AD102" s="186">
        <f t="shared" si="19"/>
        <v>70.579232427122705</v>
      </c>
      <c r="AE102" s="186">
        <f t="shared" si="19"/>
        <v>72.962098359508929</v>
      </c>
      <c r="AF102" s="186">
        <f t="shared" si="19"/>
        <v>92.908214596041148</v>
      </c>
      <c r="AH102" s="1">
        <v>14</v>
      </c>
      <c r="AI102" s="186">
        <f t="shared" si="40"/>
        <v>0</v>
      </c>
      <c r="AJ102" s="186">
        <f t="shared" si="20"/>
        <v>0</v>
      </c>
      <c r="AK102" s="186">
        <f t="shared" si="20"/>
        <v>0.46815928721812206</v>
      </c>
      <c r="AL102" s="186">
        <f t="shared" si="20"/>
        <v>0.93631857443624411</v>
      </c>
      <c r="AM102" s="186">
        <f t="shared" si="20"/>
        <v>4.5645530503766905</v>
      </c>
      <c r="AN102" s="186">
        <f t="shared" si="20"/>
        <v>55.946264894328984</v>
      </c>
      <c r="AO102" s="186">
        <f t="shared" si="20"/>
        <v>50.324877688657729</v>
      </c>
      <c r="AP102" s="186">
        <f t="shared" si="20"/>
        <v>202.60550471029751</v>
      </c>
      <c r="AS102" s="1">
        <v>14</v>
      </c>
      <c r="AT102" s="1">
        <f t="shared" si="41"/>
        <v>16.831789373264044</v>
      </c>
      <c r="AU102" s="1">
        <f t="shared" si="21"/>
        <v>87.411021800386749</v>
      </c>
      <c r="AV102" s="1">
        <f t="shared" si="21"/>
        <v>160.37312015989568</v>
      </c>
      <c r="AW102" s="1">
        <f t="shared" si="21"/>
        <v>253.28133475593683</v>
      </c>
      <c r="AX102" s="1">
        <f t="shared" si="21"/>
        <v>351.2723681936863</v>
      </c>
      <c r="AY102" s="1">
        <f t="shared" si="21"/>
        <v>457.36698173997343</v>
      </c>
      <c r="AZ102" s="1">
        <f t="shared" si="21"/>
        <v>581.0327110309496</v>
      </c>
      <c r="BA102" s="1">
        <f t="shared" si="21"/>
        <v>701.81059763908058</v>
      </c>
      <c r="BC102" s="1">
        <v>14</v>
      </c>
      <c r="BD102" s="1">
        <f t="shared" si="42"/>
        <v>4.5645530503766905</v>
      </c>
      <c r="BE102" s="1">
        <f t="shared" si="22"/>
        <v>60.510817944705671</v>
      </c>
      <c r="BF102" s="1">
        <f t="shared" si="23"/>
        <v>110.8356956333634</v>
      </c>
      <c r="BG102" s="1">
        <f t="shared" si="24"/>
        <v>313.44120034366091</v>
      </c>
      <c r="BH102" s="1">
        <f t="shared" si="25"/>
        <v>558.81651734650382</v>
      </c>
      <c r="BI102" s="1">
        <f t="shared" si="26"/>
        <v>831.36676825329084</v>
      </c>
      <c r="BJ102" s="1">
        <f t="shared" si="27"/>
        <v>1131.2822310253423</v>
      </c>
      <c r="BK102" s="1">
        <f t="shared" si="28"/>
        <v>1434.5347573388037</v>
      </c>
    </row>
    <row r="103" spans="2:63">
      <c r="B103" s="1">
        <f t="shared" si="29"/>
        <v>15</v>
      </c>
      <c r="C103" s="229">
        <f t="shared" si="30"/>
        <v>3.3663578746528087</v>
      </c>
      <c r="D103" s="229">
        <f t="shared" si="31"/>
        <v>14.115846485424541</v>
      </c>
      <c r="E103" s="229">
        <f t="shared" si="32"/>
        <v>14.93768714622515</v>
      </c>
      <c r="F103" s="229">
        <f t="shared" si="33"/>
        <v>19.272177867854957</v>
      </c>
      <c r="G103" s="229">
        <f t="shared" si="34"/>
        <v>22.964564562202707</v>
      </c>
      <c r="H103" s="229">
        <f t="shared" si="35"/>
        <v>35.334769194681968</v>
      </c>
      <c r="I103" s="229">
        <f t="shared" si="36"/>
        <v>39.325565530097023</v>
      </c>
      <c r="J103" s="229">
        <f t="shared" si="37"/>
        <v>42.737220240834425</v>
      </c>
      <c r="L103" s="1">
        <v>15</v>
      </c>
      <c r="M103" s="186">
        <f t="shared" si="38"/>
        <v>0.91291061007533814</v>
      </c>
      <c r="N103" s="186">
        <f t="shared" si="18"/>
        <v>11.189252978865797</v>
      </c>
      <c r="O103" s="186">
        <f t="shared" si="18"/>
        <v>10.158607395175171</v>
      </c>
      <c r="P103" s="186">
        <f t="shared" si="18"/>
        <v>40.708364656946756</v>
      </c>
      <c r="Q103" s="186">
        <f t="shared" si="18"/>
        <v>49.987974010643924</v>
      </c>
      <c r="R103" s="186">
        <f t="shared" si="18"/>
        <v>65.699303160223195</v>
      </c>
      <c r="S103" s="186">
        <f t="shared" si="18"/>
        <v>70.048068092141847</v>
      </c>
      <c r="T103" s="186">
        <f t="shared" si="18"/>
        <v>101.17160620475178</v>
      </c>
      <c r="X103" s="1">
        <v>15</v>
      </c>
      <c r="Y103" s="186">
        <f t="shared" si="39"/>
        <v>0</v>
      </c>
      <c r="Z103" s="186">
        <f t="shared" si="19"/>
        <v>0</v>
      </c>
      <c r="AA103" s="186">
        <f t="shared" si="19"/>
        <v>1.7263373716168249</v>
      </c>
      <c r="AB103" s="186">
        <f t="shared" si="19"/>
        <v>3.4526747432336498</v>
      </c>
      <c r="AC103" s="186">
        <f t="shared" si="19"/>
        <v>16.831789373264044</v>
      </c>
      <c r="AD103" s="186">
        <f t="shared" si="19"/>
        <v>70.579232427122705</v>
      </c>
      <c r="AE103" s="186">
        <f t="shared" si="19"/>
        <v>72.962098359508929</v>
      </c>
      <c r="AF103" s="186">
        <f t="shared" si="19"/>
        <v>92.908214596041148</v>
      </c>
      <c r="AH103" s="1">
        <v>15</v>
      </c>
      <c r="AI103" s="186">
        <f t="shared" si="40"/>
        <v>0</v>
      </c>
      <c r="AJ103" s="186">
        <f t="shared" si="20"/>
        <v>0</v>
      </c>
      <c r="AK103" s="186">
        <f t="shared" si="20"/>
        <v>0.46815928721812206</v>
      </c>
      <c r="AL103" s="186">
        <f t="shared" si="20"/>
        <v>0.93631857443624411</v>
      </c>
      <c r="AM103" s="186">
        <f t="shared" si="20"/>
        <v>4.5645530503766905</v>
      </c>
      <c r="AN103" s="186">
        <f t="shared" si="20"/>
        <v>55.946264894328984</v>
      </c>
      <c r="AO103" s="186">
        <f t="shared" si="20"/>
        <v>50.324877688657729</v>
      </c>
      <c r="AP103" s="186">
        <f t="shared" si="20"/>
        <v>202.60550471029751</v>
      </c>
      <c r="AS103" s="1">
        <v>15</v>
      </c>
      <c r="AT103" s="1">
        <f t="shared" si="41"/>
        <v>16.831789373264044</v>
      </c>
      <c r="AU103" s="1">
        <f t="shared" si="21"/>
        <v>87.411021800386749</v>
      </c>
      <c r="AV103" s="1">
        <f t="shared" si="21"/>
        <v>160.37312015989568</v>
      </c>
      <c r="AW103" s="1">
        <f t="shared" si="21"/>
        <v>253.28133475593683</v>
      </c>
      <c r="AX103" s="1">
        <f t="shared" si="21"/>
        <v>351.2723681936863</v>
      </c>
      <c r="AY103" s="1">
        <f t="shared" si="21"/>
        <v>457.36698173997343</v>
      </c>
      <c r="AZ103" s="1">
        <f t="shared" si="21"/>
        <v>581.0327110309496</v>
      </c>
      <c r="BA103" s="1">
        <f t="shared" si="21"/>
        <v>701.81059763908058</v>
      </c>
      <c r="BC103" s="1">
        <v>15</v>
      </c>
      <c r="BD103" s="1">
        <f t="shared" si="42"/>
        <v>4.5645530503766905</v>
      </c>
      <c r="BE103" s="1">
        <f t="shared" si="22"/>
        <v>60.510817944705671</v>
      </c>
      <c r="BF103" s="1">
        <f t="shared" si="23"/>
        <v>110.8356956333634</v>
      </c>
      <c r="BG103" s="1">
        <f t="shared" si="24"/>
        <v>313.44120034366091</v>
      </c>
      <c r="BH103" s="1">
        <f t="shared" si="25"/>
        <v>558.81651734650382</v>
      </c>
      <c r="BI103" s="1">
        <f t="shared" si="26"/>
        <v>831.36676825329084</v>
      </c>
      <c r="BJ103" s="1">
        <f t="shared" si="27"/>
        <v>1131.2822310253423</v>
      </c>
      <c r="BK103" s="1">
        <f t="shared" si="28"/>
        <v>1434.5347573388037</v>
      </c>
    </row>
    <row r="104" spans="2:63">
      <c r="B104" s="1">
        <f t="shared" si="29"/>
        <v>16</v>
      </c>
      <c r="C104" s="229">
        <f t="shared" si="30"/>
        <v>3.3663578746528087</v>
      </c>
      <c r="D104" s="229">
        <f t="shared" si="31"/>
        <v>14.115846485424541</v>
      </c>
      <c r="E104" s="229">
        <f t="shared" si="32"/>
        <v>14.93768714622515</v>
      </c>
      <c r="F104" s="229">
        <f t="shared" si="33"/>
        <v>19.272177867854957</v>
      </c>
      <c r="G104" s="229">
        <f t="shared" si="34"/>
        <v>22.964564562202707</v>
      </c>
      <c r="H104" s="229">
        <f t="shared" si="35"/>
        <v>35.334769194681968</v>
      </c>
      <c r="I104" s="229">
        <f t="shared" si="36"/>
        <v>39.325565530097023</v>
      </c>
      <c r="J104" s="229">
        <f t="shared" si="37"/>
        <v>42.737220240834425</v>
      </c>
      <c r="L104" s="1">
        <v>16</v>
      </c>
      <c r="M104" s="186">
        <f t="shared" si="38"/>
        <v>0.91291061007533814</v>
      </c>
      <c r="N104" s="186">
        <f t="shared" si="18"/>
        <v>11.189252978865797</v>
      </c>
      <c r="O104" s="186">
        <f t="shared" si="18"/>
        <v>10.158607395175171</v>
      </c>
      <c r="P104" s="186">
        <f t="shared" si="18"/>
        <v>40.708364656946756</v>
      </c>
      <c r="Q104" s="186">
        <f t="shared" si="18"/>
        <v>49.987974010643924</v>
      </c>
      <c r="R104" s="186">
        <f t="shared" si="18"/>
        <v>65.699303160223195</v>
      </c>
      <c r="S104" s="186">
        <f t="shared" si="18"/>
        <v>70.048068092141847</v>
      </c>
      <c r="T104" s="186">
        <f t="shared" si="18"/>
        <v>101.17160620475178</v>
      </c>
      <c r="X104" s="1">
        <v>16</v>
      </c>
      <c r="Y104" s="186">
        <f t="shared" si="39"/>
        <v>0</v>
      </c>
      <c r="Z104" s="186">
        <f t="shared" si="19"/>
        <v>0</v>
      </c>
      <c r="AA104" s="186">
        <f t="shared" si="19"/>
        <v>1.7263373716168249</v>
      </c>
      <c r="AB104" s="186">
        <f t="shared" si="19"/>
        <v>3.4526747432336498</v>
      </c>
      <c r="AC104" s="186">
        <f t="shared" si="19"/>
        <v>16.831789373264044</v>
      </c>
      <c r="AD104" s="186">
        <f t="shared" si="19"/>
        <v>70.579232427122705</v>
      </c>
      <c r="AE104" s="186">
        <f t="shared" si="19"/>
        <v>72.962098359508929</v>
      </c>
      <c r="AF104" s="186">
        <f t="shared" si="19"/>
        <v>92.908214596041148</v>
      </c>
      <c r="AH104" s="1">
        <v>16</v>
      </c>
      <c r="AI104" s="186">
        <f t="shared" si="40"/>
        <v>0</v>
      </c>
      <c r="AJ104" s="186">
        <f t="shared" si="20"/>
        <v>0</v>
      </c>
      <c r="AK104" s="186">
        <f t="shared" si="20"/>
        <v>0.46815928721812206</v>
      </c>
      <c r="AL104" s="186">
        <f t="shared" si="20"/>
        <v>0.93631857443624411</v>
      </c>
      <c r="AM104" s="186">
        <f t="shared" si="20"/>
        <v>4.5645530503766905</v>
      </c>
      <c r="AN104" s="186">
        <f t="shared" si="20"/>
        <v>55.946264894328984</v>
      </c>
      <c r="AO104" s="186">
        <f t="shared" si="20"/>
        <v>50.324877688657729</v>
      </c>
      <c r="AP104" s="186">
        <f t="shared" si="20"/>
        <v>202.60550471029751</v>
      </c>
      <c r="AS104" s="1">
        <v>16</v>
      </c>
      <c r="AT104" s="1">
        <f t="shared" si="41"/>
        <v>16.831789373264044</v>
      </c>
      <c r="AU104" s="1">
        <f t="shared" si="21"/>
        <v>87.411021800386749</v>
      </c>
      <c r="AV104" s="1">
        <f t="shared" si="21"/>
        <v>160.37312015989568</v>
      </c>
      <c r="AW104" s="1">
        <f t="shared" si="21"/>
        <v>253.28133475593683</v>
      </c>
      <c r="AX104" s="1">
        <f t="shared" si="21"/>
        <v>351.2723681936863</v>
      </c>
      <c r="AY104" s="1">
        <f t="shared" si="21"/>
        <v>457.36698173997343</v>
      </c>
      <c r="AZ104" s="1">
        <f t="shared" si="21"/>
        <v>581.0327110309496</v>
      </c>
      <c r="BA104" s="1">
        <f t="shared" si="21"/>
        <v>701.81059763908058</v>
      </c>
      <c r="BC104" s="1">
        <v>16</v>
      </c>
      <c r="BD104" s="1">
        <f t="shared" si="42"/>
        <v>4.5645530503766905</v>
      </c>
      <c r="BE104" s="1">
        <f t="shared" si="22"/>
        <v>60.510817944705671</v>
      </c>
      <c r="BF104" s="1">
        <f t="shared" si="23"/>
        <v>110.8356956333634</v>
      </c>
      <c r="BG104" s="1">
        <f t="shared" si="24"/>
        <v>313.44120034366091</v>
      </c>
      <c r="BH104" s="1">
        <f t="shared" si="25"/>
        <v>558.81651734650382</v>
      </c>
      <c r="BI104" s="1">
        <f t="shared" si="26"/>
        <v>831.36676825329084</v>
      </c>
      <c r="BJ104" s="1">
        <f t="shared" si="27"/>
        <v>1131.2822310253423</v>
      </c>
      <c r="BK104" s="1">
        <f t="shared" si="28"/>
        <v>1434.5347573388037</v>
      </c>
    </row>
    <row r="105" spans="2:63">
      <c r="B105" s="1">
        <f t="shared" si="29"/>
        <v>17</v>
      </c>
      <c r="C105" s="229">
        <f t="shared" si="30"/>
        <v>3.3663578746528087</v>
      </c>
      <c r="D105" s="229">
        <f t="shared" si="31"/>
        <v>14.115846485424541</v>
      </c>
      <c r="E105" s="229">
        <f t="shared" si="32"/>
        <v>14.93768714622515</v>
      </c>
      <c r="F105" s="229">
        <f t="shared" si="33"/>
        <v>19.272177867854957</v>
      </c>
      <c r="G105" s="229">
        <f t="shared" si="34"/>
        <v>22.964564562202707</v>
      </c>
      <c r="H105" s="229">
        <f t="shared" si="35"/>
        <v>35.334769194681968</v>
      </c>
      <c r="I105" s="229">
        <f t="shared" si="36"/>
        <v>39.325565530097023</v>
      </c>
      <c r="J105" s="229">
        <f t="shared" si="37"/>
        <v>42.737220240834425</v>
      </c>
      <c r="L105" s="1">
        <v>17</v>
      </c>
      <c r="M105" s="186">
        <f t="shared" si="38"/>
        <v>0.91291061007533814</v>
      </c>
      <c r="N105" s="186">
        <f t="shared" si="18"/>
        <v>11.189252978865797</v>
      </c>
      <c r="O105" s="186">
        <f t="shared" si="18"/>
        <v>10.158607395175171</v>
      </c>
      <c r="P105" s="186">
        <f t="shared" si="18"/>
        <v>40.708364656946756</v>
      </c>
      <c r="Q105" s="186">
        <f t="shared" si="18"/>
        <v>49.987974010643924</v>
      </c>
      <c r="R105" s="186">
        <f t="shared" si="18"/>
        <v>65.699303160223195</v>
      </c>
      <c r="S105" s="186">
        <f t="shared" si="18"/>
        <v>70.048068092141847</v>
      </c>
      <c r="T105" s="186">
        <f t="shared" si="18"/>
        <v>101.17160620475178</v>
      </c>
      <c r="X105" s="1">
        <v>17</v>
      </c>
      <c r="Y105" s="186">
        <f t="shared" si="39"/>
        <v>0</v>
      </c>
      <c r="Z105" s="186">
        <f t="shared" si="19"/>
        <v>0</v>
      </c>
      <c r="AA105" s="186">
        <f t="shared" si="19"/>
        <v>1.7263373716168249</v>
      </c>
      <c r="AB105" s="186">
        <f t="shared" si="19"/>
        <v>3.4526747432336498</v>
      </c>
      <c r="AC105" s="186">
        <f t="shared" si="19"/>
        <v>16.831789373264044</v>
      </c>
      <c r="AD105" s="186">
        <f t="shared" si="19"/>
        <v>70.579232427122705</v>
      </c>
      <c r="AE105" s="186">
        <f t="shared" si="19"/>
        <v>72.962098359508929</v>
      </c>
      <c r="AF105" s="186">
        <f t="shared" si="19"/>
        <v>92.908214596041148</v>
      </c>
      <c r="AH105" s="1">
        <v>17</v>
      </c>
      <c r="AI105" s="186">
        <f t="shared" si="40"/>
        <v>0</v>
      </c>
      <c r="AJ105" s="186">
        <f t="shared" si="20"/>
        <v>0</v>
      </c>
      <c r="AK105" s="186">
        <f t="shared" si="20"/>
        <v>0.46815928721812206</v>
      </c>
      <c r="AL105" s="186">
        <f t="shared" si="20"/>
        <v>0.93631857443624411</v>
      </c>
      <c r="AM105" s="186">
        <f t="shared" si="20"/>
        <v>4.5645530503766905</v>
      </c>
      <c r="AN105" s="186">
        <f t="shared" si="20"/>
        <v>55.946264894328984</v>
      </c>
      <c r="AO105" s="186">
        <f t="shared" si="20"/>
        <v>50.324877688657729</v>
      </c>
      <c r="AP105" s="186">
        <f t="shared" si="20"/>
        <v>202.60550471029751</v>
      </c>
      <c r="AS105" s="1">
        <v>17</v>
      </c>
      <c r="AT105" s="1">
        <f t="shared" si="41"/>
        <v>16.831789373264044</v>
      </c>
      <c r="AU105" s="1">
        <f t="shared" si="21"/>
        <v>87.411021800386749</v>
      </c>
      <c r="AV105" s="1">
        <f t="shared" si="21"/>
        <v>160.37312015989568</v>
      </c>
      <c r="AW105" s="1">
        <f t="shared" si="21"/>
        <v>253.28133475593683</v>
      </c>
      <c r="AX105" s="1">
        <f t="shared" si="21"/>
        <v>351.2723681936863</v>
      </c>
      <c r="AY105" s="1">
        <f t="shared" si="21"/>
        <v>457.36698173997343</v>
      </c>
      <c r="AZ105" s="1">
        <f t="shared" si="21"/>
        <v>581.0327110309496</v>
      </c>
      <c r="BA105" s="1">
        <f t="shared" si="21"/>
        <v>701.81059763908058</v>
      </c>
      <c r="BC105" s="1">
        <v>17</v>
      </c>
      <c r="BD105" s="1">
        <f t="shared" si="42"/>
        <v>4.5645530503766905</v>
      </c>
      <c r="BE105" s="1">
        <f t="shared" si="22"/>
        <v>60.510817944705671</v>
      </c>
      <c r="BF105" s="1">
        <f t="shared" si="23"/>
        <v>110.8356956333634</v>
      </c>
      <c r="BG105" s="1">
        <f t="shared" si="24"/>
        <v>313.44120034366091</v>
      </c>
      <c r="BH105" s="1">
        <f t="shared" si="25"/>
        <v>558.81651734650382</v>
      </c>
      <c r="BI105" s="1">
        <f t="shared" si="26"/>
        <v>831.36676825329084</v>
      </c>
      <c r="BJ105" s="1">
        <f t="shared" si="27"/>
        <v>1131.2822310253423</v>
      </c>
      <c r="BK105" s="1">
        <f t="shared" si="28"/>
        <v>1434.5347573388037</v>
      </c>
    </row>
    <row r="106" spans="2:63">
      <c r="B106" s="1">
        <f t="shared" si="29"/>
        <v>18</v>
      </c>
      <c r="C106" s="229">
        <f t="shared" si="30"/>
        <v>3.3663578746528087</v>
      </c>
      <c r="D106" s="229">
        <f t="shared" si="31"/>
        <v>14.115846485424541</v>
      </c>
      <c r="E106" s="229">
        <f t="shared" si="32"/>
        <v>14.93768714622515</v>
      </c>
      <c r="F106" s="229">
        <f t="shared" si="33"/>
        <v>19.272177867854957</v>
      </c>
      <c r="G106" s="229">
        <f t="shared" si="34"/>
        <v>22.964564562202707</v>
      </c>
      <c r="H106" s="229">
        <f t="shared" si="35"/>
        <v>35.334769194681968</v>
      </c>
      <c r="I106" s="229">
        <f t="shared" si="36"/>
        <v>39.325565530097023</v>
      </c>
      <c r="J106" s="229">
        <f t="shared" si="37"/>
        <v>42.737220240834425</v>
      </c>
      <c r="L106" s="1">
        <v>18</v>
      </c>
      <c r="M106" s="186">
        <f t="shared" si="38"/>
        <v>0.91291061007533814</v>
      </c>
      <c r="N106" s="186">
        <f t="shared" ref="N106:N108" si="43">N105</f>
        <v>11.189252978865797</v>
      </c>
      <c r="O106" s="186">
        <f t="shared" ref="O106:O108" si="44">O105</f>
        <v>10.158607395175171</v>
      </c>
      <c r="P106" s="186">
        <f t="shared" ref="P106:P108" si="45">P105</f>
        <v>40.708364656946756</v>
      </c>
      <c r="Q106" s="186">
        <f t="shared" ref="Q106:Q108" si="46">Q105</f>
        <v>49.987974010643924</v>
      </c>
      <c r="R106" s="186">
        <f t="shared" ref="R106:R108" si="47">R105</f>
        <v>65.699303160223195</v>
      </c>
      <c r="S106" s="186">
        <f t="shared" ref="S106:S108" si="48">S105</f>
        <v>70.048068092141847</v>
      </c>
      <c r="T106" s="186">
        <f t="shared" ref="T106:T108" si="49">T105</f>
        <v>101.17160620475178</v>
      </c>
      <c r="X106" s="1">
        <v>18</v>
      </c>
      <c r="Y106" s="186">
        <f t="shared" si="39"/>
        <v>0</v>
      </c>
      <c r="Z106" s="186">
        <f t="shared" ref="Z106:Z108" si="50">Z105</f>
        <v>0</v>
      </c>
      <c r="AA106" s="186">
        <f t="shared" ref="AA106:AA108" si="51">AA105</f>
        <v>1.7263373716168249</v>
      </c>
      <c r="AB106" s="186">
        <f t="shared" ref="AB106:AB108" si="52">AB105</f>
        <v>3.4526747432336498</v>
      </c>
      <c r="AC106" s="186">
        <f t="shared" ref="AC106:AC108" si="53">AC105</f>
        <v>16.831789373264044</v>
      </c>
      <c r="AD106" s="186">
        <f t="shared" ref="AD106:AD108" si="54">AD105</f>
        <v>70.579232427122705</v>
      </c>
      <c r="AE106" s="186">
        <f t="shared" ref="AE106:AE108" si="55">AE105</f>
        <v>72.962098359508929</v>
      </c>
      <c r="AF106" s="186">
        <f t="shared" ref="AF106:AF108" si="56">AF105</f>
        <v>92.908214596041148</v>
      </c>
      <c r="AH106" s="1">
        <v>18</v>
      </c>
      <c r="AI106" s="186">
        <f t="shared" si="40"/>
        <v>0</v>
      </c>
      <c r="AJ106" s="186">
        <f t="shared" ref="AJ106:AJ108" si="57">AJ105</f>
        <v>0</v>
      </c>
      <c r="AK106" s="186">
        <f t="shared" ref="AK106:AK108" si="58">AK105</f>
        <v>0.46815928721812206</v>
      </c>
      <c r="AL106" s="186">
        <f t="shared" ref="AL106:AL108" si="59">AL105</f>
        <v>0.93631857443624411</v>
      </c>
      <c r="AM106" s="186">
        <f t="shared" ref="AM106:AM108" si="60">AM105</f>
        <v>4.5645530503766905</v>
      </c>
      <c r="AN106" s="186">
        <f t="shared" ref="AN106:AN108" si="61">AN105</f>
        <v>55.946264894328984</v>
      </c>
      <c r="AO106" s="186">
        <f t="shared" ref="AO106:AO108" si="62">AO105</f>
        <v>50.324877688657729</v>
      </c>
      <c r="AP106" s="186">
        <f t="shared" ref="AP106:AP108" si="63">AP105</f>
        <v>202.60550471029751</v>
      </c>
      <c r="AS106" s="1">
        <v>18</v>
      </c>
      <c r="AT106" s="1">
        <f t="shared" si="41"/>
        <v>16.831789373264044</v>
      </c>
      <c r="AU106" s="1">
        <f t="shared" ref="AU106:AU108" si="64">AU105</f>
        <v>87.411021800386749</v>
      </c>
      <c r="AV106" s="1">
        <f t="shared" ref="AV106:AV108" si="65">AV105</f>
        <v>160.37312015989568</v>
      </c>
      <c r="AW106" s="1">
        <f t="shared" ref="AW106:AW108" si="66">AW105</f>
        <v>253.28133475593683</v>
      </c>
      <c r="AX106" s="1">
        <f t="shared" ref="AX106:AX108" si="67">AX105</f>
        <v>351.2723681936863</v>
      </c>
      <c r="AY106" s="1">
        <f t="shared" ref="AY106:AY108" si="68">AY105</f>
        <v>457.36698173997343</v>
      </c>
      <c r="AZ106" s="1">
        <f t="shared" ref="AZ106:AZ108" si="69">AZ105</f>
        <v>581.0327110309496</v>
      </c>
      <c r="BA106" s="1">
        <f t="shared" ref="BA106:BA108" si="70">BA105</f>
        <v>701.81059763908058</v>
      </c>
      <c r="BC106" s="1">
        <v>18</v>
      </c>
      <c r="BD106" s="1">
        <f t="shared" si="42"/>
        <v>4.5645530503766905</v>
      </c>
      <c r="BE106" s="1">
        <f t="shared" si="22"/>
        <v>60.510817944705671</v>
      </c>
      <c r="BF106" s="1">
        <f t="shared" si="23"/>
        <v>110.8356956333634</v>
      </c>
      <c r="BG106" s="1">
        <f t="shared" si="24"/>
        <v>313.44120034366091</v>
      </c>
      <c r="BH106" s="1">
        <f t="shared" si="25"/>
        <v>558.81651734650382</v>
      </c>
      <c r="BI106" s="1">
        <f t="shared" si="26"/>
        <v>831.36676825329084</v>
      </c>
      <c r="BJ106" s="1">
        <f t="shared" si="27"/>
        <v>1131.2822310253423</v>
      </c>
      <c r="BK106" s="1">
        <f t="shared" si="28"/>
        <v>1434.5347573388037</v>
      </c>
    </row>
    <row r="107" spans="2:63">
      <c r="B107" s="1">
        <f t="shared" si="29"/>
        <v>19</v>
      </c>
      <c r="C107" s="229">
        <f t="shared" si="30"/>
        <v>3.3663578746528087</v>
      </c>
      <c r="D107" s="229">
        <f t="shared" si="31"/>
        <v>14.115846485424541</v>
      </c>
      <c r="E107" s="229">
        <f t="shared" si="32"/>
        <v>14.93768714622515</v>
      </c>
      <c r="F107" s="229">
        <f t="shared" si="33"/>
        <v>19.272177867854957</v>
      </c>
      <c r="G107" s="229">
        <f t="shared" si="34"/>
        <v>22.964564562202707</v>
      </c>
      <c r="H107" s="229">
        <f t="shared" si="35"/>
        <v>35.334769194681968</v>
      </c>
      <c r="I107" s="229">
        <f t="shared" si="36"/>
        <v>39.325565530097023</v>
      </c>
      <c r="J107" s="229">
        <f t="shared" si="37"/>
        <v>42.737220240834425</v>
      </c>
      <c r="L107" s="1">
        <v>19</v>
      </c>
      <c r="M107" s="186">
        <f t="shared" si="38"/>
        <v>0.91291061007533814</v>
      </c>
      <c r="N107" s="186">
        <f t="shared" si="43"/>
        <v>11.189252978865797</v>
      </c>
      <c r="O107" s="186">
        <f t="shared" si="44"/>
        <v>10.158607395175171</v>
      </c>
      <c r="P107" s="186">
        <f t="shared" si="45"/>
        <v>40.708364656946756</v>
      </c>
      <c r="Q107" s="186">
        <f t="shared" si="46"/>
        <v>49.987974010643924</v>
      </c>
      <c r="R107" s="186">
        <f t="shared" si="47"/>
        <v>65.699303160223195</v>
      </c>
      <c r="S107" s="186">
        <f t="shared" si="48"/>
        <v>70.048068092141847</v>
      </c>
      <c r="T107" s="186">
        <f t="shared" si="49"/>
        <v>101.17160620475178</v>
      </c>
      <c r="X107" s="1">
        <v>19</v>
      </c>
      <c r="Y107" s="186">
        <f t="shared" si="39"/>
        <v>0</v>
      </c>
      <c r="Z107" s="186">
        <f t="shared" si="50"/>
        <v>0</v>
      </c>
      <c r="AA107" s="186">
        <f t="shared" si="51"/>
        <v>1.7263373716168249</v>
      </c>
      <c r="AB107" s="186">
        <f t="shared" si="52"/>
        <v>3.4526747432336498</v>
      </c>
      <c r="AC107" s="186">
        <f t="shared" si="53"/>
        <v>16.831789373264044</v>
      </c>
      <c r="AD107" s="186">
        <f t="shared" si="54"/>
        <v>70.579232427122705</v>
      </c>
      <c r="AE107" s="186">
        <f t="shared" si="55"/>
        <v>72.962098359508929</v>
      </c>
      <c r="AF107" s="186">
        <f t="shared" si="56"/>
        <v>92.908214596041148</v>
      </c>
      <c r="AH107" s="1">
        <v>19</v>
      </c>
      <c r="AI107" s="186">
        <f t="shared" si="40"/>
        <v>0</v>
      </c>
      <c r="AJ107" s="186">
        <f t="shared" si="57"/>
        <v>0</v>
      </c>
      <c r="AK107" s="186">
        <f t="shared" si="58"/>
        <v>0.46815928721812206</v>
      </c>
      <c r="AL107" s="186">
        <f t="shared" si="59"/>
        <v>0.93631857443624411</v>
      </c>
      <c r="AM107" s="186">
        <f t="shared" si="60"/>
        <v>4.5645530503766905</v>
      </c>
      <c r="AN107" s="186">
        <f t="shared" si="61"/>
        <v>55.946264894328984</v>
      </c>
      <c r="AO107" s="186">
        <f t="shared" si="62"/>
        <v>50.324877688657729</v>
      </c>
      <c r="AP107" s="186">
        <f t="shared" si="63"/>
        <v>202.60550471029751</v>
      </c>
      <c r="AS107" s="1">
        <v>19</v>
      </c>
      <c r="AT107" s="1">
        <f t="shared" si="41"/>
        <v>16.831789373264044</v>
      </c>
      <c r="AU107" s="1">
        <f t="shared" si="64"/>
        <v>87.411021800386749</v>
      </c>
      <c r="AV107" s="1">
        <f t="shared" si="65"/>
        <v>160.37312015989568</v>
      </c>
      <c r="AW107" s="1">
        <f t="shared" si="66"/>
        <v>253.28133475593683</v>
      </c>
      <c r="AX107" s="1">
        <f t="shared" si="67"/>
        <v>351.2723681936863</v>
      </c>
      <c r="AY107" s="1">
        <f t="shared" si="68"/>
        <v>457.36698173997343</v>
      </c>
      <c r="AZ107" s="1">
        <f t="shared" si="69"/>
        <v>581.0327110309496</v>
      </c>
      <c r="BA107" s="1">
        <f t="shared" si="70"/>
        <v>701.81059763908058</v>
      </c>
      <c r="BC107" s="1">
        <v>19</v>
      </c>
      <c r="BD107" s="1">
        <f t="shared" si="42"/>
        <v>4.5645530503766905</v>
      </c>
      <c r="BE107" s="1">
        <f t="shared" si="22"/>
        <v>60.510817944705671</v>
      </c>
      <c r="BF107" s="1">
        <f t="shared" si="23"/>
        <v>110.8356956333634</v>
      </c>
      <c r="BG107" s="1">
        <f t="shared" si="24"/>
        <v>313.44120034366091</v>
      </c>
      <c r="BH107" s="1">
        <f t="shared" si="25"/>
        <v>558.81651734650382</v>
      </c>
      <c r="BI107" s="1">
        <f t="shared" si="26"/>
        <v>831.36676825329084</v>
      </c>
      <c r="BJ107" s="1">
        <f t="shared" si="27"/>
        <v>1131.2822310253423</v>
      </c>
      <c r="BK107" s="1">
        <f t="shared" si="28"/>
        <v>1434.5347573388037</v>
      </c>
    </row>
    <row r="108" spans="2:63">
      <c r="B108" s="1">
        <f t="shared" si="29"/>
        <v>20</v>
      </c>
      <c r="C108" s="229">
        <f t="shared" si="30"/>
        <v>3.3663578746528087</v>
      </c>
      <c r="D108" s="229">
        <f t="shared" si="31"/>
        <v>14.115846485424541</v>
      </c>
      <c r="E108" s="229">
        <f t="shared" si="32"/>
        <v>14.93768714622515</v>
      </c>
      <c r="F108" s="229">
        <f t="shared" si="33"/>
        <v>19.272177867854957</v>
      </c>
      <c r="G108" s="229">
        <f t="shared" si="34"/>
        <v>22.964564562202707</v>
      </c>
      <c r="H108" s="229">
        <f t="shared" si="35"/>
        <v>35.334769194681968</v>
      </c>
      <c r="I108" s="229">
        <f t="shared" si="36"/>
        <v>39.325565530097023</v>
      </c>
      <c r="J108" s="229">
        <f t="shared" si="37"/>
        <v>42.737220240834425</v>
      </c>
      <c r="L108" s="1">
        <v>20</v>
      </c>
      <c r="M108" s="186">
        <f t="shared" si="38"/>
        <v>0.91291061007533814</v>
      </c>
      <c r="N108" s="186">
        <f t="shared" si="43"/>
        <v>11.189252978865797</v>
      </c>
      <c r="O108" s="186">
        <f t="shared" si="44"/>
        <v>10.158607395175171</v>
      </c>
      <c r="P108" s="186">
        <f t="shared" si="45"/>
        <v>40.708364656946756</v>
      </c>
      <c r="Q108" s="186">
        <f t="shared" si="46"/>
        <v>49.987974010643924</v>
      </c>
      <c r="R108" s="186">
        <f t="shared" si="47"/>
        <v>65.699303160223195</v>
      </c>
      <c r="S108" s="186">
        <f t="shared" si="48"/>
        <v>70.048068092141847</v>
      </c>
      <c r="T108" s="186">
        <f t="shared" si="49"/>
        <v>101.17160620475178</v>
      </c>
      <c r="X108" s="1">
        <v>20</v>
      </c>
      <c r="Y108" s="186">
        <f t="shared" si="39"/>
        <v>0</v>
      </c>
      <c r="Z108" s="186">
        <f t="shared" si="50"/>
        <v>0</v>
      </c>
      <c r="AA108" s="186">
        <f t="shared" si="51"/>
        <v>1.7263373716168249</v>
      </c>
      <c r="AB108" s="186">
        <f t="shared" si="52"/>
        <v>3.4526747432336498</v>
      </c>
      <c r="AC108" s="186">
        <f t="shared" si="53"/>
        <v>16.831789373264044</v>
      </c>
      <c r="AD108" s="186">
        <f t="shared" si="54"/>
        <v>70.579232427122705</v>
      </c>
      <c r="AE108" s="186">
        <f t="shared" si="55"/>
        <v>72.962098359508929</v>
      </c>
      <c r="AF108" s="186">
        <f t="shared" si="56"/>
        <v>92.908214596041148</v>
      </c>
      <c r="AH108" s="1">
        <v>20</v>
      </c>
      <c r="AI108" s="186">
        <f t="shared" si="40"/>
        <v>0</v>
      </c>
      <c r="AJ108" s="186">
        <f t="shared" si="57"/>
        <v>0</v>
      </c>
      <c r="AK108" s="186">
        <f t="shared" si="58"/>
        <v>0.46815928721812206</v>
      </c>
      <c r="AL108" s="186">
        <f t="shared" si="59"/>
        <v>0.93631857443624411</v>
      </c>
      <c r="AM108" s="186">
        <f t="shared" si="60"/>
        <v>4.5645530503766905</v>
      </c>
      <c r="AN108" s="186">
        <f t="shared" si="61"/>
        <v>55.946264894328984</v>
      </c>
      <c r="AO108" s="186">
        <f t="shared" si="62"/>
        <v>50.324877688657729</v>
      </c>
      <c r="AP108" s="186">
        <f t="shared" si="63"/>
        <v>202.60550471029751</v>
      </c>
      <c r="AS108" s="1">
        <v>20</v>
      </c>
      <c r="AT108" s="1">
        <f t="shared" si="41"/>
        <v>16.831789373264044</v>
      </c>
      <c r="AU108" s="1">
        <f t="shared" si="64"/>
        <v>87.411021800386749</v>
      </c>
      <c r="AV108" s="1">
        <f t="shared" si="65"/>
        <v>160.37312015989568</v>
      </c>
      <c r="AW108" s="1">
        <f t="shared" si="66"/>
        <v>253.28133475593683</v>
      </c>
      <c r="AX108" s="1">
        <f t="shared" si="67"/>
        <v>351.2723681936863</v>
      </c>
      <c r="AY108" s="1">
        <f t="shared" si="68"/>
        <v>457.36698173997343</v>
      </c>
      <c r="AZ108" s="1">
        <f t="shared" si="69"/>
        <v>581.0327110309496</v>
      </c>
      <c r="BA108" s="1">
        <f t="shared" si="70"/>
        <v>701.81059763908058</v>
      </c>
      <c r="BC108" s="1">
        <v>20</v>
      </c>
      <c r="BD108" s="1">
        <f t="shared" si="42"/>
        <v>4.5645530503766905</v>
      </c>
      <c r="BE108" s="1">
        <f t="shared" si="22"/>
        <v>60.510817944705671</v>
      </c>
      <c r="BF108" s="1">
        <f t="shared" si="23"/>
        <v>110.8356956333634</v>
      </c>
      <c r="BG108" s="1">
        <f t="shared" si="24"/>
        <v>313.44120034366091</v>
      </c>
      <c r="BH108" s="1">
        <f t="shared" si="25"/>
        <v>558.81651734650382</v>
      </c>
      <c r="BI108" s="1">
        <f t="shared" si="26"/>
        <v>831.36676825329084</v>
      </c>
      <c r="BJ108" s="1">
        <f t="shared" si="27"/>
        <v>1131.2822310253423</v>
      </c>
      <c r="BK108" s="1">
        <f t="shared" si="28"/>
        <v>1434.5347573388037</v>
      </c>
    </row>
    <row r="109" spans="2:63">
      <c r="C109" s="229"/>
      <c r="D109" s="229"/>
      <c r="E109" s="229"/>
      <c r="F109" s="229"/>
      <c r="G109" s="229"/>
      <c r="H109" s="229"/>
      <c r="I109" s="229"/>
      <c r="J109" s="229"/>
      <c r="M109" s="186"/>
      <c r="N109" s="186"/>
      <c r="O109" s="186"/>
      <c r="P109" s="186"/>
      <c r="Q109" s="186"/>
      <c r="R109" s="186"/>
      <c r="S109" s="186"/>
      <c r="T109" s="186"/>
      <c r="Y109" s="186"/>
      <c r="Z109" s="186"/>
      <c r="AA109" s="186"/>
      <c r="AB109" s="186"/>
      <c r="AC109" s="186"/>
      <c r="AD109" s="186"/>
      <c r="AE109" s="186"/>
      <c r="AF109" s="186"/>
      <c r="AI109" s="186"/>
      <c r="AJ109" s="186"/>
      <c r="AK109" s="186"/>
      <c r="AL109" s="186"/>
      <c r="AM109" s="186"/>
      <c r="AN109" s="186"/>
      <c r="AO109" s="186"/>
      <c r="AP109" s="186"/>
    </row>
    <row r="110" spans="2:63">
      <c r="C110" s="229"/>
      <c r="D110" s="229"/>
      <c r="E110" s="229"/>
      <c r="F110" s="229"/>
      <c r="G110" s="229"/>
      <c r="H110" s="229"/>
      <c r="I110" s="229"/>
      <c r="J110" s="229"/>
      <c r="M110" s="186"/>
      <c r="N110" s="186"/>
      <c r="O110" s="186"/>
      <c r="P110" s="186"/>
      <c r="Q110" s="186"/>
      <c r="R110" s="186"/>
      <c r="S110" s="186"/>
      <c r="T110" s="186"/>
      <c r="Y110" s="186"/>
      <c r="Z110" s="186"/>
      <c r="AA110" s="186"/>
      <c r="AB110" s="186"/>
      <c r="AC110" s="186"/>
      <c r="AD110" s="186"/>
      <c r="AE110" s="186"/>
      <c r="AF110" s="186"/>
      <c r="AI110" s="186"/>
      <c r="AJ110" s="186"/>
      <c r="AK110" s="186"/>
      <c r="AL110" s="186"/>
      <c r="AM110" s="186"/>
      <c r="AN110" s="186"/>
      <c r="AO110" s="186"/>
      <c r="AP110" s="186"/>
    </row>
    <row r="111" spans="2:63">
      <c r="C111" s="229"/>
      <c r="D111" s="229"/>
      <c r="E111" s="229"/>
      <c r="F111" s="229"/>
      <c r="G111" s="229"/>
      <c r="H111" s="229"/>
      <c r="I111" s="229"/>
      <c r="J111" s="229"/>
      <c r="M111" s="186"/>
      <c r="N111" s="186"/>
      <c r="O111" s="186"/>
      <c r="P111" s="186"/>
      <c r="Q111" s="186"/>
      <c r="R111" s="186"/>
      <c r="S111" s="186"/>
      <c r="T111" s="186"/>
      <c r="Y111" s="186"/>
      <c r="Z111" s="186"/>
      <c r="AA111" s="186"/>
      <c r="AB111" s="186"/>
      <c r="AC111" s="186"/>
      <c r="AD111" s="186"/>
      <c r="AE111" s="186"/>
      <c r="AF111" s="186"/>
      <c r="AI111" s="186"/>
      <c r="AJ111" s="186"/>
      <c r="AK111" s="186"/>
      <c r="AL111" s="186"/>
      <c r="AM111" s="186"/>
      <c r="AN111" s="186"/>
      <c r="AO111" s="186"/>
      <c r="AP111" s="186"/>
    </row>
    <row r="112" spans="2:63">
      <c r="C112" s="229"/>
      <c r="D112" s="229"/>
      <c r="E112" s="229"/>
      <c r="F112" s="229"/>
      <c r="G112" s="229"/>
      <c r="H112" s="229"/>
      <c r="I112" s="229"/>
      <c r="J112" s="229"/>
      <c r="M112" s="186"/>
      <c r="N112" s="186"/>
      <c r="O112" s="186"/>
      <c r="P112" s="186"/>
      <c r="Q112" s="186"/>
      <c r="R112" s="186"/>
      <c r="S112" s="186"/>
      <c r="T112" s="186"/>
      <c r="Y112" s="186"/>
      <c r="Z112" s="186"/>
      <c r="AA112" s="186"/>
      <c r="AB112" s="186"/>
      <c r="AC112" s="186"/>
      <c r="AD112" s="186"/>
      <c r="AE112" s="186"/>
      <c r="AF112" s="186"/>
      <c r="AI112" s="186"/>
      <c r="AJ112" s="186"/>
      <c r="AK112" s="186"/>
      <c r="AL112" s="186"/>
      <c r="AM112" s="186"/>
      <c r="AN112" s="186"/>
      <c r="AO112" s="186"/>
      <c r="AP112" s="186"/>
    </row>
    <row r="113" spans="2:63">
      <c r="C113" s="229"/>
      <c r="D113" s="229"/>
      <c r="E113" s="229"/>
      <c r="F113" s="229"/>
      <c r="G113" s="229"/>
      <c r="H113" s="229"/>
      <c r="I113" s="229"/>
      <c r="J113" s="229"/>
      <c r="M113" s="186"/>
      <c r="N113" s="186"/>
      <c r="O113" s="186"/>
      <c r="P113" s="186"/>
      <c r="Q113" s="186"/>
      <c r="R113" s="186"/>
      <c r="S113" s="186"/>
      <c r="T113" s="186"/>
      <c r="Y113" s="186"/>
      <c r="Z113" s="186"/>
      <c r="AA113" s="186"/>
      <c r="AB113" s="186"/>
      <c r="AC113" s="186"/>
      <c r="AD113" s="186"/>
      <c r="AE113" s="186"/>
      <c r="AF113" s="186"/>
      <c r="AI113" s="186"/>
      <c r="AJ113" s="186"/>
      <c r="AK113" s="186"/>
      <c r="AL113" s="186"/>
      <c r="AM113" s="186"/>
      <c r="AN113" s="186"/>
      <c r="AO113" s="186"/>
      <c r="AP113" s="186"/>
    </row>
    <row r="114" spans="2:63">
      <c r="C114" s="229"/>
      <c r="D114" s="229"/>
      <c r="E114" s="229"/>
      <c r="F114" s="229"/>
      <c r="G114" s="229"/>
      <c r="H114" s="229"/>
      <c r="I114" s="229"/>
      <c r="J114" s="229"/>
      <c r="M114" s="186"/>
      <c r="N114" s="186"/>
      <c r="O114" s="186"/>
      <c r="P114" s="186"/>
      <c r="Q114" s="186"/>
      <c r="R114" s="186"/>
      <c r="S114" s="186"/>
      <c r="T114" s="186"/>
    </row>
    <row r="116" spans="2:63">
      <c r="B116" s="243" t="s">
        <v>354</v>
      </c>
      <c r="C116" s="229">
        <f>NPV(0.1,C89:C113)</f>
        <v>28.659702269367681</v>
      </c>
      <c r="D116" s="229">
        <f t="shared" ref="D116:J116" si="71">NPV(0.1,D89:D114)</f>
        <v>120.17615851199169</v>
      </c>
      <c r="E116" s="229">
        <f t="shared" si="71"/>
        <v>127.17295134520619</v>
      </c>
      <c r="F116" s="229">
        <f t="shared" si="71"/>
        <v>164.07491429650381</v>
      </c>
      <c r="G116" s="229">
        <f t="shared" si="71"/>
        <v>195.51028369682197</v>
      </c>
      <c r="H116" s="229">
        <f t="shared" si="71"/>
        <v>300.82480906188664</v>
      </c>
      <c r="I116" s="229">
        <f t="shared" si="71"/>
        <v>334.80070795602177</v>
      </c>
      <c r="J116" s="229">
        <f t="shared" si="71"/>
        <v>363.84604772569901</v>
      </c>
      <c r="M116" s="229">
        <f t="shared" ref="M116:T116" si="72">NPV(0.1,M89:M114)</f>
        <v>7.7721226493200497</v>
      </c>
      <c r="N116" s="229">
        <f t="shared" si="72"/>
        <v>95.26041821207221</v>
      </c>
      <c r="O116" s="229">
        <f t="shared" si="72"/>
        <v>86.485951362834314</v>
      </c>
      <c r="P116" s="229">
        <f t="shared" si="72"/>
        <v>346.57325643408342</v>
      </c>
      <c r="Q116" s="229">
        <f t="shared" si="72"/>
        <v>425.57580196125173</v>
      </c>
      <c r="R116" s="229">
        <f t="shared" si="72"/>
        <v>559.33520379829486</v>
      </c>
      <c r="S116" s="229">
        <f t="shared" si="72"/>
        <v>596.35869114843581</v>
      </c>
      <c r="T116" s="229">
        <f t="shared" si="72"/>
        <v>861.33091605447464</v>
      </c>
      <c r="Y116" s="229">
        <f t="shared" ref="Y116:AF116" si="73">NPV(0.1,Y89:Y113)</f>
        <v>0</v>
      </c>
      <c r="Z116" s="229">
        <f t="shared" si="73"/>
        <v>0</v>
      </c>
      <c r="AA116" s="229">
        <f t="shared" si="73"/>
        <v>14.697283215060345</v>
      </c>
      <c r="AB116" s="229">
        <f t="shared" si="73"/>
        <v>29.39456643012069</v>
      </c>
      <c r="AC116" s="229">
        <f t="shared" si="73"/>
        <v>143.29851134683844</v>
      </c>
      <c r="AD116" s="229">
        <f t="shared" si="73"/>
        <v>600.88079255995842</v>
      </c>
      <c r="AE116" s="229">
        <f t="shared" si="73"/>
        <v>621.16747351097058</v>
      </c>
      <c r="AF116" s="229">
        <f t="shared" si="73"/>
        <v>790.98000505239827</v>
      </c>
      <c r="AI116" s="229">
        <f t="shared" ref="AI116:AP116" si="74">NPV(0.1,AI89:AI113)</f>
        <v>0</v>
      </c>
      <c r="AJ116" s="229">
        <f t="shared" si="74"/>
        <v>0</v>
      </c>
      <c r="AK116" s="229">
        <f t="shared" si="74"/>
        <v>3.9857039227282307</v>
      </c>
      <c r="AL116" s="229">
        <f t="shared" si="74"/>
        <v>7.9714078454564614</v>
      </c>
      <c r="AM116" s="229">
        <f t="shared" si="74"/>
        <v>38.860613246600245</v>
      </c>
      <c r="AN116" s="229">
        <f t="shared" si="74"/>
        <v>476.30209106036119</v>
      </c>
      <c r="AO116" s="229">
        <f t="shared" si="74"/>
        <v>428.44405289144333</v>
      </c>
      <c r="AP116" s="229">
        <f t="shared" si="74"/>
        <v>1724.8948743249603</v>
      </c>
      <c r="AT116" s="229">
        <f t="shared" ref="AT116:BA116" si="75">NPV(0.1,AT89:AT113)</f>
        <v>143.29851134683844</v>
      </c>
      <c r="AU116" s="229">
        <f t="shared" si="75"/>
        <v>744.17930390679692</v>
      </c>
      <c r="AV116" s="229">
        <f t="shared" si="75"/>
        <v>1365.3467774177677</v>
      </c>
      <c r="AW116" s="229">
        <f t="shared" si="75"/>
        <v>2156.3267824701657</v>
      </c>
      <c r="AX116" s="229">
        <f t="shared" si="75"/>
        <v>2990.579689607438</v>
      </c>
      <c r="AY116" s="229">
        <f t="shared" si="75"/>
        <v>3893.8229423569123</v>
      </c>
      <c r="AZ116" s="229">
        <f t="shared" si="75"/>
        <v>4946.6590086260494</v>
      </c>
      <c r="BA116" s="229">
        <f t="shared" si="75"/>
        <v>5974.9092422021477</v>
      </c>
      <c r="BD116" s="229">
        <f t="shared" ref="BD116:BK116" si="76">NPV(0.1,BD89:BD113)</f>
        <v>38.860613246600245</v>
      </c>
      <c r="BE116" s="229">
        <f t="shared" si="76"/>
        <v>515.16270430696125</v>
      </c>
      <c r="BF116" s="229">
        <f t="shared" si="76"/>
        <v>943.60675719840481</v>
      </c>
      <c r="BG116" s="229">
        <f t="shared" si="76"/>
        <v>2668.5016315233656</v>
      </c>
      <c r="BH116" s="229">
        <f t="shared" si="76"/>
        <v>4757.5200280830231</v>
      </c>
      <c r="BI116" s="229">
        <f t="shared" si="76"/>
        <v>7077.8939560141371</v>
      </c>
      <c r="BJ116" s="229">
        <f t="shared" si="76"/>
        <v>9631.2433588648728</v>
      </c>
      <c r="BK116" s="229">
        <f t="shared" si="76"/>
        <v>12213.00306481229</v>
      </c>
    </row>
  </sheetData>
  <conditionalFormatting sqref="M34:XFD34 A62:XFD68 A35:C37 A51:C52 A32:B34 A47:B50 D59:XFD61 A14:C15 A25:C26 M14:XFD15 A38:B44 C38:C42 A53:B61 C53:C57 M48:XFD50 A115:J1048576 L115:T1048576 K134:K1048576 U134:W1048576 X114:AF1048576 AG134:AG1048576 AH114:AP1048576 AQ134:AR1048576 A19:B24 C81:BK85 AS114:XFD1048576 N72:BK80 C72:K78 A69:B114 BL69:XFD113 D32:D42 E32:XFD33 D47:D57 E35:XFD47 A1:XFD13 A45:D46 A16:XFD18 A27:XFD31 E48:L48 D44 C43:D43 C58:D58 E51:XFD58 D19:XFD26">
    <cfRule type="expression" dxfId="228" priority="27">
      <formula>_xlfn.ISFORMULA(A1)</formula>
    </cfRule>
  </conditionalFormatting>
  <conditionalFormatting sqref="C32:C33">
    <cfRule type="expression" dxfId="227" priority="26">
      <formula>_xlfn.ISFORMULA(C32)</formula>
    </cfRule>
  </conditionalFormatting>
  <conditionalFormatting sqref="C34">
    <cfRule type="expression" dxfId="226" priority="25">
      <formula>_xlfn.ISFORMULA(C34)</formula>
    </cfRule>
  </conditionalFormatting>
  <conditionalFormatting sqref="C47:C48">
    <cfRule type="expression" dxfId="225" priority="24">
      <formula>_xlfn.ISFORMULA(C47)</formula>
    </cfRule>
  </conditionalFormatting>
  <conditionalFormatting sqref="C49:C50">
    <cfRule type="expression" dxfId="224" priority="23">
      <formula>_xlfn.ISFORMULA(C49)</formula>
    </cfRule>
  </conditionalFormatting>
  <conditionalFormatting sqref="C44">
    <cfRule type="expression" dxfId="223" priority="18">
      <formula>_xlfn.ISFORMULA(C44)</formula>
    </cfRule>
  </conditionalFormatting>
  <conditionalFormatting sqref="C59:C61">
    <cfRule type="expression" dxfId="222" priority="17">
      <formula>_xlfn.ISFORMULA(C59)</formula>
    </cfRule>
  </conditionalFormatting>
  <conditionalFormatting sqref="D14">
    <cfRule type="expression" dxfId="221" priority="15">
      <formula>_xlfn.ISFORMULA(D14)</formula>
    </cfRule>
  </conditionalFormatting>
  <conditionalFormatting sqref="D15">
    <cfRule type="expression" dxfId="220" priority="14">
      <formula>_xlfn.ISFORMULA(D15)</formula>
    </cfRule>
  </conditionalFormatting>
  <conditionalFormatting sqref="E34:L34">
    <cfRule type="expression" dxfId="219" priority="12">
      <formula>_xlfn.ISFORMULA(E34)</formula>
    </cfRule>
  </conditionalFormatting>
  <conditionalFormatting sqref="E14:L14">
    <cfRule type="expression" dxfId="218" priority="11">
      <formula>_xlfn.ISFORMULA(E14)</formula>
    </cfRule>
  </conditionalFormatting>
  <conditionalFormatting sqref="E15:L15">
    <cfRule type="expression" dxfId="217" priority="10">
      <formula>_xlfn.ISFORMULA(E15)</formula>
    </cfRule>
  </conditionalFormatting>
  <conditionalFormatting sqref="U86:W88 C69:BK71 BB86:BK89 C80:K80 E79:K79 AG86:AG133 AQ86:AR133 U90:W133 BB90:BC113 C86:K133">
    <cfRule type="expression" dxfId="216" priority="8">
      <formula>_xlfn.ISFORMULA(C69)</formula>
    </cfRule>
  </conditionalFormatting>
  <conditionalFormatting sqref="L86:T88 L89:AF89 L90:T114 Y90:AF113">
    <cfRule type="expression" dxfId="215" priority="7">
      <formula>_xlfn.ISFORMULA(L86)</formula>
    </cfRule>
  </conditionalFormatting>
  <conditionalFormatting sqref="X86:AF88 X90:X113">
    <cfRule type="expression" dxfId="214" priority="6">
      <formula>_xlfn.ISFORMULA(X86)</formula>
    </cfRule>
  </conditionalFormatting>
  <conditionalFormatting sqref="AH86:AP113">
    <cfRule type="expression" dxfId="213" priority="5">
      <formula>_xlfn.ISFORMULA(AH86)</formula>
    </cfRule>
  </conditionalFormatting>
  <conditionalFormatting sqref="AS86:BA113">
    <cfRule type="expression" dxfId="212" priority="4">
      <formula>_xlfn.ISFORMULA(AS86)</formula>
    </cfRule>
  </conditionalFormatting>
  <conditionalFormatting sqref="BD90:BK113">
    <cfRule type="expression" dxfId="211" priority="3">
      <formula>_xlfn.ISFORMULA(BD90)</formula>
    </cfRule>
  </conditionalFormatting>
  <conditionalFormatting sqref="C79:D79">
    <cfRule type="expression" dxfId="210" priority="2">
      <formula>_xlfn.ISFORMULA(C79)</formula>
    </cfRule>
  </conditionalFormatting>
  <conditionalFormatting sqref="E49:L49">
    <cfRule type="expression" dxfId="209" priority="1">
      <formula>_xlfn.ISFORMULA(E49)</formula>
    </cfRule>
  </conditionalFormatting>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tint="0.39997558519241921"/>
  </sheetPr>
  <dimension ref="A1:O38"/>
  <sheetViews>
    <sheetView workbookViewId="0">
      <selection activeCell="G14" sqref="G14"/>
    </sheetView>
  </sheetViews>
  <sheetFormatPr defaultColWidth="8.81640625" defaultRowHeight="14"/>
  <cols>
    <col min="1" max="1" width="11.81640625" style="1" customWidth="1"/>
    <col min="2" max="2" width="21.26953125" style="1" customWidth="1"/>
    <col min="3" max="3" width="19.81640625" style="1" customWidth="1"/>
    <col min="4" max="4" width="8.81640625" style="1"/>
    <col min="5" max="5" width="26.453125" style="1" customWidth="1"/>
    <col min="6" max="6" width="21.81640625" style="1" customWidth="1"/>
    <col min="7" max="7" width="15.453125" style="1" customWidth="1"/>
    <col min="8" max="8" width="12.453125" style="1" bestFit="1" customWidth="1"/>
    <col min="9" max="15" width="8.81640625" style="1"/>
    <col min="16" max="16" width="8.81640625" style="1" customWidth="1"/>
    <col min="17" max="16384" width="8.81640625" style="1"/>
  </cols>
  <sheetData>
    <row r="1" spans="1:15" s="3" customFormat="1" ht="49.5" customHeight="1">
      <c r="A1" s="304"/>
      <c r="B1" s="304" t="s">
        <v>355</v>
      </c>
      <c r="C1" s="304"/>
      <c r="D1" s="304"/>
      <c r="E1" s="304"/>
      <c r="F1" s="304"/>
      <c r="G1" s="304"/>
      <c r="H1" s="304"/>
      <c r="I1" s="304"/>
      <c r="J1" s="304"/>
      <c r="K1" s="304"/>
      <c r="L1" s="304"/>
      <c r="M1" s="304"/>
      <c r="N1" s="304"/>
      <c r="O1" s="304"/>
    </row>
    <row r="4" spans="1:15">
      <c r="N4" s="7"/>
      <c r="O4" s="2"/>
    </row>
    <row r="5" spans="1:15">
      <c r="O5" s="2"/>
    </row>
    <row r="11" spans="1:15">
      <c r="C11" s="2" t="s">
        <v>356</v>
      </c>
      <c r="D11" s="2"/>
      <c r="E11" s="2"/>
      <c r="F11" s="2"/>
    </row>
    <row r="12" spans="1:15" ht="14.5">
      <c r="A12" s="2"/>
      <c r="C12" s="45" t="s">
        <v>243</v>
      </c>
    </row>
    <row r="13" spans="1:15">
      <c r="B13" s="50" t="s">
        <v>137</v>
      </c>
      <c r="C13" s="47" t="s">
        <v>338</v>
      </c>
      <c r="D13" s="50" t="s">
        <v>24</v>
      </c>
      <c r="E13" s="50" t="s">
        <v>234</v>
      </c>
      <c r="F13" s="50" t="s">
        <v>235</v>
      </c>
      <c r="G13" s="50">
        <v>2015</v>
      </c>
      <c r="H13" s="50">
        <v>2020</v>
      </c>
      <c r="I13" s="50">
        <v>2025</v>
      </c>
      <c r="J13" s="50">
        <v>2030</v>
      </c>
      <c r="K13" s="50">
        <v>2035</v>
      </c>
      <c r="L13" s="50">
        <v>2040</v>
      </c>
      <c r="M13" s="50">
        <v>2045</v>
      </c>
      <c r="N13" s="50">
        <v>2050</v>
      </c>
    </row>
    <row r="14" spans="1:15">
      <c r="B14" s="48" t="s">
        <v>148</v>
      </c>
      <c r="C14" s="48" t="s">
        <v>339</v>
      </c>
      <c r="D14" s="48" t="s">
        <v>299</v>
      </c>
      <c r="E14" s="48" t="s">
        <v>357</v>
      </c>
      <c r="F14" s="48" t="s">
        <v>357</v>
      </c>
      <c r="G14" s="53">
        <f>SUMPRODUCT(G19:G22,'Tech costs'!$F$19:$F$22)/SUM('Tech costs'!$F$19:$F$22)</f>
        <v>0.96062176165803115</v>
      </c>
      <c r="H14" s="53">
        <f>SUMPRODUCT(H19:H22,'Tech costs'!$F$19:$F$22)/SUM('Tech costs'!$F$19:$F$22)</f>
        <v>0.96062176165803115</v>
      </c>
      <c r="I14" s="53">
        <f>SUMPRODUCT(I19:I22,'Tech costs'!$F$19:$F$22)/SUM('Tech costs'!$F$19:$F$22)</f>
        <v>0.96062176165803115</v>
      </c>
      <c r="J14" s="53">
        <f>SUMPRODUCT(J19:J22,'Tech costs'!$F$19:$F$22)/SUM('Tech costs'!$F$19:$F$22)</f>
        <v>0.96062176165803115</v>
      </c>
      <c r="K14" s="53">
        <f>SUMPRODUCT(K19:K22,'Tech costs'!$F$19:$F$22)/SUM('Tech costs'!$F$19:$F$22)</f>
        <v>0.96062176165803115</v>
      </c>
      <c r="L14" s="53">
        <f>SUMPRODUCT(L19:L22,'Tech costs'!$F$19:$F$22)/SUM('Tech costs'!$F$19:$F$22)</f>
        <v>0.96062176165803115</v>
      </c>
      <c r="M14" s="53">
        <f>SUMPRODUCT(M19:M22,'Tech costs'!$F$19:$F$22)/SUM('Tech costs'!$F$19:$F$22)</f>
        <v>0.96062176165803115</v>
      </c>
      <c r="N14" s="53">
        <f>SUMPRODUCT(N19:N22,'Tech costs'!$F$19:$F$22)/SUM('Tech costs'!$F$19:$F$22)</f>
        <v>0.96062176165803115</v>
      </c>
    </row>
    <row r="15" spans="1:15">
      <c r="C15" s="48" t="s">
        <v>307</v>
      </c>
      <c r="D15" s="48" t="s">
        <v>299</v>
      </c>
      <c r="E15" s="48" t="s">
        <v>357</v>
      </c>
      <c r="F15" s="48" t="s">
        <v>357</v>
      </c>
      <c r="G15" s="53">
        <f>G23</f>
        <v>0.8</v>
      </c>
      <c r="H15" s="53">
        <f t="shared" ref="H15:N15" si="0">H23</f>
        <v>0.8</v>
      </c>
      <c r="I15" s="53">
        <f t="shared" si="0"/>
        <v>0.8</v>
      </c>
      <c r="J15" s="53">
        <f t="shared" si="0"/>
        <v>0.8</v>
      </c>
      <c r="K15" s="53">
        <f t="shared" si="0"/>
        <v>0.8</v>
      </c>
      <c r="L15" s="53">
        <f t="shared" si="0"/>
        <v>0.8</v>
      </c>
      <c r="M15" s="53">
        <f t="shared" si="0"/>
        <v>0.8</v>
      </c>
      <c r="N15" s="53">
        <f t="shared" si="0"/>
        <v>0.8</v>
      </c>
    </row>
    <row r="16" spans="1:15">
      <c r="C16" s="52"/>
      <c r="D16" s="52"/>
      <c r="E16" s="52"/>
      <c r="F16" s="52"/>
      <c r="G16" s="52"/>
      <c r="H16" s="52"/>
      <c r="I16" s="52"/>
      <c r="J16" s="52"/>
      <c r="K16" s="52"/>
      <c r="L16" s="52"/>
      <c r="M16" s="52"/>
      <c r="N16" s="52"/>
    </row>
    <row r="17" spans="2:14" ht="14.5">
      <c r="C17" s="51" t="s">
        <v>341</v>
      </c>
      <c r="D17" s="52"/>
      <c r="E17" s="52"/>
      <c r="F17" s="52"/>
      <c r="G17" s="52"/>
      <c r="H17" s="52"/>
      <c r="I17" s="52"/>
      <c r="J17" s="52"/>
      <c r="K17" s="52"/>
      <c r="L17" s="52"/>
      <c r="M17" s="52"/>
      <c r="N17" s="52"/>
    </row>
    <row r="18" spans="2:14">
      <c r="C18" s="50" t="s">
        <v>283</v>
      </c>
      <c r="D18" s="50" t="s">
        <v>24</v>
      </c>
      <c r="E18" s="50" t="s">
        <v>234</v>
      </c>
      <c r="F18" s="50" t="s">
        <v>235</v>
      </c>
      <c r="G18" s="50">
        <v>2015</v>
      </c>
      <c r="H18" s="50">
        <v>2020</v>
      </c>
      <c r="I18" s="50">
        <v>2025</v>
      </c>
      <c r="J18" s="50">
        <v>2030</v>
      </c>
      <c r="K18" s="50">
        <v>2035</v>
      </c>
      <c r="L18" s="50">
        <v>2040</v>
      </c>
      <c r="M18" s="50">
        <v>2045</v>
      </c>
      <c r="N18" s="50">
        <v>2050</v>
      </c>
    </row>
    <row r="19" spans="2:14">
      <c r="C19" s="48" t="s">
        <v>285</v>
      </c>
      <c r="D19" s="48" t="s">
        <v>299</v>
      </c>
      <c r="E19" s="48" t="s">
        <v>358</v>
      </c>
      <c r="F19" s="48" t="s">
        <v>359</v>
      </c>
      <c r="G19" s="53">
        <v>1</v>
      </c>
      <c r="H19" s="53">
        <v>1</v>
      </c>
      <c r="I19" s="53">
        <v>1</v>
      </c>
      <c r="J19" s="53">
        <v>1</v>
      </c>
      <c r="K19" s="53">
        <v>1</v>
      </c>
      <c r="L19" s="53">
        <v>1</v>
      </c>
      <c r="M19" s="53">
        <v>1</v>
      </c>
      <c r="N19" s="53">
        <v>1</v>
      </c>
    </row>
    <row r="20" spans="2:14">
      <c r="C20" s="41" t="s">
        <v>327</v>
      </c>
      <c r="D20" s="48" t="s">
        <v>299</v>
      </c>
      <c r="E20" s="48" t="s">
        <v>358</v>
      </c>
      <c r="F20" s="48" t="s">
        <v>359</v>
      </c>
      <c r="G20" s="53">
        <v>1</v>
      </c>
      <c r="H20" s="53">
        <v>1</v>
      </c>
      <c r="I20" s="53">
        <v>1</v>
      </c>
      <c r="J20" s="53">
        <v>1</v>
      </c>
      <c r="K20" s="53">
        <v>1</v>
      </c>
      <c r="L20" s="53">
        <v>1</v>
      </c>
      <c r="M20" s="53">
        <v>1</v>
      </c>
      <c r="N20" s="53">
        <v>1</v>
      </c>
    </row>
    <row r="21" spans="2:14">
      <c r="C21" s="41" t="s">
        <v>320</v>
      </c>
      <c r="D21" s="48" t="s">
        <v>299</v>
      </c>
      <c r="E21" s="48" t="s">
        <v>358</v>
      </c>
      <c r="F21" s="48" t="s">
        <v>359</v>
      </c>
      <c r="G21" s="53">
        <v>1</v>
      </c>
      <c r="H21" s="53">
        <v>1</v>
      </c>
      <c r="I21" s="53">
        <v>1</v>
      </c>
      <c r="J21" s="53">
        <v>1</v>
      </c>
      <c r="K21" s="53">
        <v>1</v>
      </c>
      <c r="L21" s="53">
        <v>1</v>
      </c>
      <c r="M21" s="53">
        <v>1</v>
      </c>
      <c r="N21" s="53">
        <v>1</v>
      </c>
    </row>
    <row r="22" spans="2:14">
      <c r="C22" s="41" t="s">
        <v>317</v>
      </c>
      <c r="D22" s="48" t="s">
        <v>299</v>
      </c>
      <c r="E22" s="48" t="s">
        <v>360</v>
      </c>
      <c r="F22" s="48" t="s">
        <v>359</v>
      </c>
      <c r="G22" s="78">
        <v>0.8</v>
      </c>
      <c r="H22" s="78">
        <v>0.8</v>
      </c>
      <c r="I22" s="78">
        <v>0.8</v>
      </c>
      <c r="J22" s="78">
        <v>0.8</v>
      </c>
      <c r="K22" s="78">
        <v>0.8</v>
      </c>
      <c r="L22" s="78">
        <v>0.8</v>
      </c>
      <c r="M22" s="78">
        <v>0.8</v>
      </c>
      <c r="N22" s="78">
        <v>0.8</v>
      </c>
    </row>
    <row r="23" spans="2:14">
      <c r="C23" s="105" t="s">
        <v>280</v>
      </c>
      <c r="D23" s="48" t="s">
        <v>299</v>
      </c>
      <c r="E23" s="48" t="s">
        <v>360</v>
      </c>
      <c r="F23" s="41" t="s">
        <v>359</v>
      </c>
      <c r="G23" s="78">
        <v>0.8</v>
      </c>
      <c r="H23" s="78">
        <v>0.8</v>
      </c>
      <c r="I23" s="78">
        <v>0.8</v>
      </c>
      <c r="J23" s="78">
        <v>0.8</v>
      </c>
      <c r="K23" s="78">
        <v>0.8</v>
      </c>
      <c r="L23" s="78">
        <v>0.8</v>
      </c>
      <c r="M23" s="78">
        <v>0.8</v>
      </c>
      <c r="N23" s="78">
        <v>0.8</v>
      </c>
    </row>
    <row r="26" spans="2:14">
      <c r="C26" s="2" t="s">
        <v>361</v>
      </c>
      <c r="D26" s="2"/>
      <c r="E26" s="2"/>
      <c r="F26" s="2"/>
    </row>
    <row r="27" spans="2:14" ht="14.5">
      <c r="C27" s="45" t="s">
        <v>243</v>
      </c>
    </row>
    <row r="28" spans="2:14">
      <c r="B28" s="50" t="s">
        <v>137</v>
      </c>
      <c r="C28" s="47" t="s">
        <v>338</v>
      </c>
      <c r="D28" s="50" t="s">
        <v>24</v>
      </c>
      <c r="E28" s="50" t="s">
        <v>234</v>
      </c>
      <c r="F28" s="50" t="s">
        <v>235</v>
      </c>
      <c r="G28" s="50">
        <v>2015</v>
      </c>
      <c r="H28" s="50">
        <v>2020</v>
      </c>
      <c r="I28" s="50">
        <v>2025</v>
      </c>
      <c r="J28" s="50">
        <v>2030</v>
      </c>
      <c r="K28" s="50">
        <v>2035</v>
      </c>
      <c r="L28" s="50">
        <v>2040</v>
      </c>
      <c r="M28" s="50">
        <v>2045</v>
      </c>
      <c r="N28" s="50">
        <v>2050</v>
      </c>
    </row>
    <row r="29" spans="2:14">
      <c r="B29" s="48" t="s">
        <v>148</v>
      </c>
      <c r="C29" s="48" t="s">
        <v>339</v>
      </c>
      <c r="D29" s="48" t="s">
        <v>299</v>
      </c>
      <c r="E29" s="48" t="s">
        <v>357</v>
      </c>
      <c r="F29" s="48" t="s">
        <v>357</v>
      </c>
      <c r="G29" s="53">
        <f>SUMPRODUCT(G34:G37,'Tech costs'!$F$19:$F$22)/SUM('Tech costs'!$F$19:$F$22)</f>
        <v>0.48497409326424878</v>
      </c>
      <c r="H29" s="53">
        <f>SUMPRODUCT(H34:H37,'Tech costs'!$F$19:$F$22)/SUM('Tech costs'!$F$19:$F$22)</f>
        <v>0.48497409326424878</v>
      </c>
      <c r="I29" s="53">
        <f>SUMPRODUCT(I34:I37,'Tech costs'!$F$19:$F$22)/SUM('Tech costs'!$F$19:$F$22)</f>
        <v>0.48497409326424878</v>
      </c>
      <c r="J29" s="53">
        <f>SUMPRODUCT(J34:J37,'Tech costs'!$F$19:$F$22)/SUM('Tech costs'!$F$19:$F$22)</f>
        <v>0.48497409326424878</v>
      </c>
      <c r="K29" s="53">
        <f>SUMPRODUCT(K34:K37,'Tech costs'!$F$19:$F$22)/SUM('Tech costs'!$F$19:$F$22)</f>
        <v>0.48497409326424878</v>
      </c>
      <c r="L29" s="53">
        <f>SUMPRODUCT(L34:L37,'Tech costs'!$F$19:$F$22)/SUM('Tech costs'!$F$19:$F$22)</f>
        <v>0.48497409326424878</v>
      </c>
      <c r="M29" s="53">
        <f>SUMPRODUCT(M34:M37,'Tech costs'!$F$19:$F$22)/SUM('Tech costs'!$F$19:$F$22)</f>
        <v>0.48497409326424878</v>
      </c>
      <c r="N29" s="53">
        <f>SUMPRODUCT(N34:N37,'Tech costs'!$F$19:$F$22)/SUM('Tech costs'!$F$19:$F$22)</f>
        <v>0.48497409326424878</v>
      </c>
    </row>
    <row r="30" spans="2:14">
      <c r="C30" s="48" t="s">
        <v>307</v>
      </c>
      <c r="D30" s="48"/>
      <c r="E30" s="48" t="s">
        <v>357</v>
      </c>
      <c r="F30" s="48" t="s">
        <v>357</v>
      </c>
      <c r="G30" s="53">
        <f>G38</f>
        <v>0</v>
      </c>
      <c r="H30" s="53">
        <f t="shared" ref="H30:N30" si="1">H38</f>
        <v>0</v>
      </c>
      <c r="I30" s="53">
        <f t="shared" si="1"/>
        <v>0</v>
      </c>
      <c r="J30" s="53">
        <f t="shared" si="1"/>
        <v>0</v>
      </c>
      <c r="K30" s="53">
        <f t="shared" si="1"/>
        <v>0</v>
      </c>
      <c r="L30" s="53">
        <f t="shared" si="1"/>
        <v>0</v>
      </c>
      <c r="M30" s="53">
        <f t="shared" si="1"/>
        <v>0</v>
      </c>
      <c r="N30" s="53">
        <f t="shared" si="1"/>
        <v>0</v>
      </c>
    </row>
    <row r="31" spans="2:14">
      <c r="C31" s="52"/>
      <c r="D31" s="52"/>
      <c r="E31" s="52"/>
      <c r="F31" s="52"/>
      <c r="G31" s="52"/>
      <c r="H31" s="52"/>
      <c r="I31" s="52"/>
      <c r="J31" s="52"/>
      <c r="K31" s="52"/>
      <c r="L31" s="52"/>
      <c r="M31" s="52"/>
      <c r="N31" s="52"/>
    </row>
    <row r="32" spans="2:14" ht="14.5">
      <c r="C32" s="51" t="s">
        <v>341</v>
      </c>
      <c r="D32" s="52"/>
      <c r="E32" s="52"/>
      <c r="F32" s="52"/>
      <c r="G32" s="52"/>
      <c r="H32" s="52"/>
      <c r="I32" s="52"/>
      <c r="J32" s="52"/>
      <c r="K32" s="52"/>
      <c r="L32" s="52"/>
      <c r="M32" s="52"/>
      <c r="N32" s="52"/>
    </row>
    <row r="33" spans="3:14">
      <c r="C33" s="50" t="s">
        <v>283</v>
      </c>
      <c r="D33" s="50" t="s">
        <v>24</v>
      </c>
      <c r="E33" s="50" t="s">
        <v>234</v>
      </c>
      <c r="F33" s="50" t="s">
        <v>235</v>
      </c>
      <c r="G33" s="50">
        <v>2015</v>
      </c>
      <c r="H33" s="50">
        <v>2020</v>
      </c>
      <c r="I33" s="50">
        <v>2025</v>
      </c>
      <c r="J33" s="50">
        <v>2030</v>
      </c>
      <c r="K33" s="50">
        <v>2035</v>
      </c>
      <c r="L33" s="50">
        <v>2040</v>
      </c>
      <c r="M33" s="50">
        <v>2045</v>
      </c>
      <c r="N33" s="50">
        <v>2050</v>
      </c>
    </row>
    <row r="34" spans="3:14">
      <c r="C34" s="48" t="str">
        <f>C19</f>
        <v>Turbine</v>
      </c>
      <c r="D34" s="48" t="s">
        <v>299</v>
      </c>
      <c r="E34" s="48" t="s">
        <v>362</v>
      </c>
      <c r="F34" s="48" t="s">
        <v>359</v>
      </c>
      <c r="G34" s="53">
        <v>1</v>
      </c>
      <c r="H34" s="53">
        <v>1</v>
      </c>
      <c r="I34" s="53">
        <v>1</v>
      </c>
      <c r="J34" s="53">
        <v>1</v>
      </c>
      <c r="K34" s="53">
        <v>1</v>
      </c>
      <c r="L34" s="53">
        <v>1</v>
      </c>
      <c r="M34" s="53">
        <v>1</v>
      </c>
      <c r="N34" s="53">
        <v>1</v>
      </c>
    </row>
    <row r="35" spans="3:14">
      <c r="C35" s="48" t="str">
        <f>C20</f>
        <v>foundations</v>
      </c>
      <c r="D35" s="48" t="s">
        <v>299</v>
      </c>
      <c r="E35" s="48" t="s">
        <v>363</v>
      </c>
      <c r="F35" s="48" t="s">
        <v>359</v>
      </c>
      <c r="G35" s="53">
        <v>0</v>
      </c>
      <c r="H35" s="53">
        <v>0</v>
      </c>
      <c r="I35" s="53">
        <v>0</v>
      </c>
      <c r="J35" s="53">
        <v>0</v>
      </c>
      <c r="K35" s="53">
        <v>0</v>
      </c>
      <c r="L35" s="53">
        <v>0</v>
      </c>
      <c r="M35" s="53">
        <v>0</v>
      </c>
      <c r="N35" s="53">
        <v>0</v>
      </c>
    </row>
    <row r="36" spans="3:14">
      <c r="C36" s="48" t="str">
        <f>C21</f>
        <v>Balance of system</v>
      </c>
      <c r="D36" s="48" t="s">
        <v>299</v>
      </c>
      <c r="E36" s="48" t="s">
        <v>364</v>
      </c>
      <c r="F36" s="48" t="s">
        <v>359</v>
      </c>
      <c r="G36" s="53">
        <v>0.8</v>
      </c>
      <c r="H36" s="53">
        <v>0.8</v>
      </c>
      <c r="I36" s="53">
        <v>0.8</v>
      </c>
      <c r="J36" s="53">
        <v>0.8</v>
      </c>
      <c r="K36" s="53">
        <v>0.8</v>
      </c>
      <c r="L36" s="53">
        <v>0.8</v>
      </c>
      <c r="M36" s="53">
        <v>0.8</v>
      </c>
      <c r="N36" s="53">
        <v>0.8</v>
      </c>
    </row>
    <row r="37" spans="3:14">
      <c r="C37" s="48" t="str">
        <f>C22</f>
        <v>Installation</v>
      </c>
      <c r="D37" s="48" t="s">
        <v>299</v>
      </c>
      <c r="E37" s="48" t="s">
        <v>365</v>
      </c>
      <c r="F37" s="48" t="s">
        <v>359</v>
      </c>
      <c r="G37" s="53">
        <v>0</v>
      </c>
      <c r="H37" s="53">
        <v>0</v>
      </c>
      <c r="I37" s="53">
        <v>0</v>
      </c>
      <c r="J37" s="53">
        <v>0</v>
      </c>
      <c r="K37" s="53">
        <v>0</v>
      </c>
      <c r="L37" s="53">
        <v>0</v>
      </c>
      <c r="M37" s="53">
        <v>0</v>
      </c>
      <c r="N37" s="53">
        <v>0</v>
      </c>
    </row>
    <row r="38" spans="3:14">
      <c r="C38" s="48" t="str">
        <f>C23</f>
        <v xml:space="preserve">O&amp;M </v>
      </c>
      <c r="D38" s="48" t="s">
        <v>299</v>
      </c>
      <c r="E38" s="48" t="s">
        <v>365</v>
      </c>
      <c r="F38" s="41" t="s">
        <v>359</v>
      </c>
      <c r="G38" s="53">
        <v>0</v>
      </c>
      <c r="H38" s="53">
        <v>0</v>
      </c>
      <c r="I38" s="53">
        <v>0</v>
      </c>
      <c r="J38" s="53">
        <v>0</v>
      </c>
      <c r="K38" s="53">
        <v>0</v>
      </c>
      <c r="L38" s="53">
        <v>0</v>
      </c>
      <c r="M38" s="53">
        <v>0</v>
      </c>
      <c r="N38" s="53">
        <v>0</v>
      </c>
    </row>
  </sheetData>
  <conditionalFormatting sqref="A11:B23 O11:XFD23 A26:B38 O26:XFD38 G34:N38 D19:N23 D35:F38 A1:XFD10 A24:XFD25 C11:N12 C16:N18 A39:XFD1048576 C26:N27 C31:N33 D28:N28 D13:N15 D29:F30">
    <cfRule type="expression" dxfId="208" priority="21">
      <formula>_xlfn.ISFORMULA(A1)</formula>
    </cfRule>
  </conditionalFormatting>
  <conditionalFormatting sqref="C13:C15">
    <cfRule type="expression" dxfId="207" priority="19">
      <formula>_xlfn.ISFORMULA(C13)</formula>
    </cfRule>
  </conditionalFormatting>
  <conditionalFormatting sqref="D34:F34">
    <cfRule type="expression" dxfId="206" priority="14">
      <formula>_xlfn.ISFORMULA(D34)</formula>
    </cfRule>
  </conditionalFormatting>
  <conditionalFormatting sqref="C28:C30">
    <cfRule type="expression" dxfId="205" priority="13">
      <formula>_xlfn.ISFORMULA(C28)</formula>
    </cfRule>
  </conditionalFormatting>
  <conditionalFormatting sqref="G29:N30">
    <cfRule type="expression" dxfId="204" priority="9">
      <formula>_xlfn.ISFORMULA(G29)</formula>
    </cfRule>
  </conditionalFormatting>
  <conditionalFormatting sqref="E34">
    <cfRule type="expression" dxfId="203" priority="1">
      <formula>_xlfn.ISFORMULA(E34)</formula>
    </cfRule>
  </conditionalFormatting>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39997558519241921"/>
  </sheetPr>
  <dimension ref="B1:L52"/>
  <sheetViews>
    <sheetView workbookViewId="0"/>
  </sheetViews>
  <sheetFormatPr defaultColWidth="8.81640625" defaultRowHeight="14"/>
  <cols>
    <col min="1" max="1" width="14.26953125" style="1" customWidth="1"/>
    <col min="2" max="2" width="20.1796875" style="1" customWidth="1"/>
    <col min="3" max="3" width="19.81640625" style="1" customWidth="1"/>
    <col min="4" max="4" width="8.81640625" style="1"/>
    <col min="5" max="5" width="12.81640625" style="1" bestFit="1" customWidth="1"/>
    <col min="6" max="6" width="21.81640625" style="1" customWidth="1"/>
    <col min="7" max="7" width="23.7265625" style="1" customWidth="1"/>
    <col min="8" max="8" width="19.1796875" style="1" customWidth="1"/>
    <col min="9" max="9" width="20.453125" style="1" customWidth="1"/>
    <col min="10" max="10" width="17.26953125" style="1" customWidth="1"/>
    <col min="11" max="11" width="18.81640625" style="1" customWidth="1"/>
    <col min="12" max="12" width="19.81640625" style="1" customWidth="1"/>
    <col min="13" max="16384" width="8.81640625" style="1"/>
  </cols>
  <sheetData>
    <row r="1" spans="2:12" s="3" customFormat="1" ht="49.5" customHeight="1">
      <c r="B1" s="304" t="s">
        <v>60</v>
      </c>
      <c r="C1" s="304"/>
      <c r="D1" s="304"/>
      <c r="E1" s="304"/>
      <c r="F1" s="304"/>
      <c r="G1" s="304"/>
      <c r="H1" s="304"/>
      <c r="I1" s="304"/>
      <c r="J1" s="304"/>
      <c r="K1" s="304"/>
      <c r="L1" s="304"/>
    </row>
    <row r="4" spans="2:12">
      <c r="K4" s="7"/>
      <c r="L4" s="2"/>
    </row>
    <row r="5" spans="2:12">
      <c r="L5" s="2"/>
    </row>
    <row r="11" spans="2:12">
      <c r="C11" s="2" t="s">
        <v>366</v>
      </c>
      <c r="D11" s="2"/>
    </row>
    <row r="12" spans="2:12" ht="14.5">
      <c r="C12" s="45" t="s">
        <v>243</v>
      </c>
      <c r="F12" s="67"/>
      <c r="G12" s="157"/>
      <c r="I12" s="75"/>
    </row>
    <row r="13" spans="2:12">
      <c r="B13" s="47" t="s">
        <v>137</v>
      </c>
      <c r="C13" s="47" t="s">
        <v>338</v>
      </c>
      <c r="D13" s="47" t="s">
        <v>24</v>
      </c>
      <c r="E13" s="47">
        <v>2015</v>
      </c>
      <c r="F13" s="47">
        <v>2020</v>
      </c>
      <c r="G13" s="47">
        <v>2025</v>
      </c>
      <c r="H13" s="47">
        <v>2030</v>
      </c>
      <c r="I13" s="47">
        <v>2035</v>
      </c>
      <c r="J13" s="47">
        <v>2040</v>
      </c>
      <c r="K13" s="47">
        <v>2045</v>
      </c>
      <c r="L13" s="47">
        <v>2050</v>
      </c>
    </row>
    <row r="14" spans="2:12">
      <c r="B14" s="58" t="s">
        <v>148</v>
      </c>
      <c r="C14" s="41" t="s">
        <v>339</v>
      </c>
      <c r="D14" s="41" t="s">
        <v>340</v>
      </c>
      <c r="E14" s="111">
        <f t="shared" ref="E14:L15" si="0">E28+E43</f>
        <v>1349.0402140364408</v>
      </c>
      <c r="F14" s="111">
        <f t="shared" si="0"/>
        <v>6769.7565804117894</v>
      </c>
      <c r="G14" s="111">
        <f t="shared" si="0"/>
        <v>6673.0213839287517</v>
      </c>
      <c r="H14" s="111">
        <f t="shared" si="0"/>
        <v>12846.465183216354</v>
      </c>
      <c r="I14" s="111">
        <f t="shared" si="0"/>
        <v>15024.687661342956</v>
      </c>
      <c r="J14" s="111">
        <f t="shared" si="0"/>
        <v>20608.147066689176</v>
      </c>
      <c r="K14" s="111">
        <f t="shared" si="0"/>
        <v>21657.054620105133</v>
      </c>
      <c r="L14" s="111">
        <f t="shared" si="0"/>
        <v>26182.318901897823</v>
      </c>
    </row>
    <row r="15" spans="2:12">
      <c r="C15" s="41" t="s">
        <v>307</v>
      </c>
      <c r="D15" s="41" t="s">
        <v>340</v>
      </c>
      <c r="E15" s="111">
        <f t="shared" si="0"/>
        <v>257.74545784405217</v>
      </c>
      <c r="F15" s="111">
        <f t="shared" si="0"/>
        <v>1300.6760043897548</v>
      </c>
      <c r="G15" s="111">
        <f t="shared" si="0"/>
        <v>2433.5654552833143</v>
      </c>
      <c r="H15" s="111">
        <f t="shared" si="0"/>
        <v>3775.7985577916661</v>
      </c>
      <c r="I15" s="111">
        <f t="shared" si="0"/>
        <v>5822.9145109097899</v>
      </c>
      <c r="J15" s="111">
        <f t="shared" si="0"/>
        <v>10291.979059153571</v>
      </c>
      <c r="K15" s="111">
        <f t="shared" si="0"/>
        <v>11618.176557925659</v>
      </c>
      <c r="L15" s="111">
        <f t="shared" si="0"/>
        <v>13778.035543804895</v>
      </c>
    </row>
    <row r="17" spans="2:12" ht="14.5">
      <c r="C17" s="45" t="s">
        <v>341</v>
      </c>
    </row>
    <row r="18" spans="2:12">
      <c r="C18" s="47" t="s">
        <v>283</v>
      </c>
      <c r="D18" s="47" t="s">
        <v>24</v>
      </c>
      <c r="E18" s="47">
        <v>2015</v>
      </c>
      <c r="F18" s="47">
        <v>2020</v>
      </c>
      <c r="G18" s="47">
        <v>2025</v>
      </c>
      <c r="H18" s="47">
        <v>2030</v>
      </c>
      <c r="I18" s="47">
        <v>2035</v>
      </c>
      <c r="J18" s="47">
        <v>2040</v>
      </c>
      <c r="K18" s="47">
        <v>2045</v>
      </c>
      <c r="L18" s="47">
        <v>2050</v>
      </c>
    </row>
    <row r="19" spans="2:12">
      <c r="C19" s="48" t="s">
        <v>285</v>
      </c>
      <c r="D19" s="41" t="s">
        <v>340</v>
      </c>
      <c r="E19" s="111">
        <f t="shared" ref="E19:L23" si="1">E33+E48</f>
        <v>650.86129880660053</v>
      </c>
      <c r="F19" s="111">
        <f t="shared" si="1"/>
        <v>3739.9789719297501</v>
      </c>
      <c r="G19" s="111">
        <f t="shared" si="1"/>
        <v>3601.1812386805586</v>
      </c>
      <c r="H19" s="111">
        <f t="shared" si="1"/>
        <v>8348.9084624929783</v>
      </c>
      <c r="I19" s="111">
        <f t="shared" si="1"/>
        <v>9812.240025863257</v>
      </c>
      <c r="J19" s="111">
        <f t="shared" si="1"/>
        <v>13115.210151639983</v>
      </c>
      <c r="K19" s="111">
        <f t="shared" si="1"/>
        <v>13684.594428320324</v>
      </c>
      <c r="L19" s="111">
        <f t="shared" si="1"/>
        <v>17330.355037293477</v>
      </c>
    </row>
    <row r="20" spans="2:12">
      <c r="C20" s="41" t="s">
        <v>327</v>
      </c>
      <c r="D20" s="41" t="s">
        <v>340</v>
      </c>
      <c r="E20" s="111">
        <f t="shared" si="1"/>
        <v>371.20789408603116</v>
      </c>
      <c r="F20" s="111">
        <f t="shared" si="1"/>
        <v>1512.5371310319274</v>
      </c>
      <c r="G20" s="111">
        <f t="shared" si="1"/>
        <v>1554.0204946732561</v>
      </c>
      <c r="H20" s="111">
        <f t="shared" si="1"/>
        <v>1944.8589581892688</v>
      </c>
      <c r="I20" s="111">
        <f t="shared" si="1"/>
        <v>2239.3603072201618</v>
      </c>
      <c r="J20" s="111">
        <f t="shared" si="1"/>
        <v>3325.4288559660436</v>
      </c>
      <c r="K20" s="111">
        <f t="shared" si="1"/>
        <v>3567.2395431403088</v>
      </c>
      <c r="L20" s="111">
        <f t="shared" si="1"/>
        <v>3731.3355498838605</v>
      </c>
    </row>
    <row r="21" spans="2:12">
      <c r="C21" s="41" t="s">
        <v>320</v>
      </c>
      <c r="D21" s="41" t="s">
        <v>340</v>
      </c>
      <c r="E21" s="111">
        <f t="shared" si="1"/>
        <v>132.40688355388943</v>
      </c>
      <c r="F21" s="111">
        <f t="shared" si="1"/>
        <v>724.46239497820488</v>
      </c>
      <c r="G21" s="111">
        <f t="shared" si="1"/>
        <v>703.29856371171331</v>
      </c>
      <c r="H21" s="111">
        <f t="shared" si="1"/>
        <v>1533.3234120349014</v>
      </c>
      <c r="I21" s="111">
        <f t="shared" si="1"/>
        <v>1799.353649992418</v>
      </c>
      <c r="J21" s="111">
        <f t="shared" si="1"/>
        <v>2424.5246587147376</v>
      </c>
      <c r="K21" s="111">
        <f t="shared" si="1"/>
        <v>2535.4950949985423</v>
      </c>
      <c r="L21" s="111">
        <f t="shared" si="1"/>
        <v>3164.8938196089448</v>
      </c>
    </row>
    <row r="22" spans="2:12">
      <c r="C22" s="41" t="s">
        <v>317</v>
      </c>
      <c r="D22" s="41" t="s">
        <v>340</v>
      </c>
      <c r="E22" s="111">
        <f t="shared" si="1"/>
        <v>194.56413758991977</v>
      </c>
      <c r="F22" s="111">
        <f t="shared" si="1"/>
        <v>792.77808247190683</v>
      </c>
      <c r="G22" s="111">
        <f t="shared" si="1"/>
        <v>814.52108686322379</v>
      </c>
      <c r="H22" s="111">
        <f t="shared" si="1"/>
        <v>1019.374350499203</v>
      </c>
      <c r="I22" s="111">
        <f t="shared" si="1"/>
        <v>1173.7336782671193</v>
      </c>
      <c r="J22" s="111">
        <f t="shared" si="1"/>
        <v>1742.9834003684093</v>
      </c>
      <c r="K22" s="111">
        <f t="shared" si="1"/>
        <v>1869.7255536459547</v>
      </c>
      <c r="L22" s="111">
        <f t="shared" si="1"/>
        <v>1955.7344951115408</v>
      </c>
    </row>
    <row r="23" spans="2:12">
      <c r="C23" s="105" t="s">
        <v>280</v>
      </c>
      <c r="D23" s="41" t="s">
        <v>340</v>
      </c>
      <c r="E23" s="111">
        <f t="shared" si="1"/>
        <v>257.74545784405217</v>
      </c>
      <c r="F23" s="111">
        <f t="shared" si="1"/>
        <v>1300.6760043897548</v>
      </c>
      <c r="G23" s="111">
        <f t="shared" si="1"/>
        <v>2433.5654552833143</v>
      </c>
      <c r="H23" s="111">
        <f t="shared" si="1"/>
        <v>3775.7985577916661</v>
      </c>
      <c r="I23" s="111">
        <f t="shared" si="1"/>
        <v>5822.9145109097899</v>
      </c>
      <c r="J23" s="111">
        <f t="shared" si="1"/>
        <v>10291.979059153571</v>
      </c>
      <c r="K23" s="111">
        <f t="shared" si="1"/>
        <v>11618.176557925659</v>
      </c>
      <c r="L23" s="111">
        <f t="shared" si="1"/>
        <v>13778.035543804895</v>
      </c>
    </row>
    <row r="25" spans="2:12">
      <c r="C25" s="2" t="s">
        <v>367</v>
      </c>
    </row>
    <row r="26" spans="2:12" ht="14.5">
      <c r="C26" s="45" t="s">
        <v>243</v>
      </c>
    </row>
    <row r="27" spans="2:12">
      <c r="B27" s="47" t="s">
        <v>137</v>
      </c>
      <c r="C27" s="47" t="s">
        <v>338</v>
      </c>
      <c r="D27" s="47" t="s">
        <v>24</v>
      </c>
      <c r="E27" s="47">
        <v>2015</v>
      </c>
      <c r="F27" s="47">
        <v>2020</v>
      </c>
      <c r="G27" s="47">
        <v>2025</v>
      </c>
      <c r="H27" s="47">
        <v>2030</v>
      </c>
      <c r="I27" s="47">
        <v>2035</v>
      </c>
      <c r="J27" s="47">
        <v>2040</v>
      </c>
      <c r="K27" s="47">
        <v>2045</v>
      </c>
      <c r="L27" s="47">
        <v>2050</v>
      </c>
    </row>
    <row r="28" spans="2:12">
      <c r="B28" s="58" t="s">
        <v>148</v>
      </c>
      <c r="C28" s="41" t="s">
        <v>339</v>
      </c>
      <c r="D28" s="41" t="s">
        <v>340</v>
      </c>
      <c r="E28" s="110">
        <f>'Tradeable %'!G14*'Market turnover'!E33</f>
        <v>1186.5852338543134</v>
      </c>
      <c r="F28" s="110">
        <f>'Tradeable %'!H14*'Market turnover'!F33</f>
        <v>4834.9031740227483</v>
      </c>
      <c r="G28" s="110">
        <f>'Tradeable %'!I14*'Market turnover'!G33</f>
        <v>4967.5068915934771</v>
      </c>
      <c r="H28" s="110">
        <f>'Tradeable %'!J14*'Market turnover'!H33</f>
        <v>6216.8422560050085</v>
      </c>
      <c r="I28" s="110">
        <f>'Tradeable %'!K14*'Market turnover'!I33</f>
        <v>7158.2310510106554</v>
      </c>
      <c r="J28" s="110">
        <f>'Tradeable %'!L14*'Market turnover'!J33</f>
        <v>10629.905343036286</v>
      </c>
      <c r="K28" s="110">
        <f>'Tradeable %'!M14*'Market turnover'!K33</f>
        <v>11402.865712038161</v>
      </c>
      <c r="L28" s="110">
        <f>'Tradeable %'!N14*'Market turnover'!L33</f>
        <v>11927.407085318409</v>
      </c>
    </row>
    <row r="29" spans="2:12">
      <c r="C29" s="41" t="s">
        <v>307</v>
      </c>
      <c r="D29" s="41" t="s">
        <v>340</v>
      </c>
      <c r="E29" s="110">
        <f>'Tradeable %'!G15*'Market turnover'!E34</f>
        <v>257.74545784405217</v>
      </c>
      <c r="F29" s="110">
        <f>'Tradeable %'!H15*'Market turnover'!F34</f>
        <v>1300.6760043897548</v>
      </c>
      <c r="G29" s="110">
        <f>'Tradeable %'!I15*'Market turnover'!G34</f>
        <v>2433.5654552833143</v>
      </c>
      <c r="H29" s="110">
        <f>'Tradeable %'!J15*'Market turnover'!H34</f>
        <v>3775.7985577916661</v>
      </c>
      <c r="I29" s="110">
        <f>'Tradeable %'!K15*'Market turnover'!I34</f>
        <v>5822.9145109097899</v>
      </c>
      <c r="J29" s="110">
        <f>'Tradeable %'!L15*'Market turnover'!J34</f>
        <v>10291.979059153571</v>
      </c>
      <c r="K29" s="110">
        <f>'Tradeable %'!M15*'Market turnover'!K34</f>
        <v>11618.176557925659</v>
      </c>
      <c r="L29" s="110">
        <f>'Tradeable %'!N15*'Market turnover'!L34</f>
        <v>13778.035543804895</v>
      </c>
    </row>
    <row r="31" spans="2:12" ht="14.5">
      <c r="C31" s="45" t="s">
        <v>341</v>
      </c>
    </row>
    <row r="32" spans="2:12">
      <c r="C32" s="47" t="s">
        <v>283</v>
      </c>
      <c r="D32" s="47" t="s">
        <v>24</v>
      </c>
      <c r="E32" s="47">
        <v>2015</v>
      </c>
      <c r="F32" s="47">
        <v>2020</v>
      </c>
      <c r="G32" s="47">
        <v>2025</v>
      </c>
      <c r="H32" s="47">
        <v>2030</v>
      </c>
      <c r="I32" s="47">
        <v>2035</v>
      </c>
      <c r="J32" s="47">
        <v>2040</v>
      </c>
      <c r="K32" s="47">
        <v>2045</v>
      </c>
      <c r="L32" s="47">
        <v>2050</v>
      </c>
    </row>
    <row r="33" spans="2:12">
      <c r="C33" s="41" t="str">
        <f>C19</f>
        <v>Turbine</v>
      </c>
      <c r="D33" s="41" t="s">
        <v>340</v>
      </c>
      <c r="E33" s="110">
        <f>'Tradeable %'!G19*'Market turnover'!E38</f>
        <v>512.01088839452575</v>
      </c>
      <c r="F33" s="110">
        <f>'Tradeable %'!H19*'Market turnover'!F38</f>
        <v>2086.2581117681761</v>
      </c>
      <c r="G33" s="110">
        <f>'Tradeable %'!I19*'Market turnover'!G38</f>
        <v>2143.4765443769052</v>
      </c>
      <c r="H33" s="110">
        <f>'Tradeable %'!J19*'Market turnover'!H38</f>
        <v>2682.5640802610606</v>
      </c>
      <c r="I33" s="110">
        <f>'Tradeable %'!K19*'Market turnover'!I38</f>
        <v>3088.7728375450511</v>
      </c>
      <c r="J33" s="110">
        <f>'Tradeable %'!L19*'Market turnover'!J38</f>
        <v>4586.7984220221297</v>
      </c>
      <c r="K33" s="110">
        <f>'Tradeable %'!M19*'Market turnover'!K38</f>
        <v>4920.3304043314602</v>
      </c>
      <c r="L33" s="110">
        <f>'Tradeable %'!N19*'Market turnover'!L38</f>
        <v>5146.6697239777395</v>
      </c>
    </row>
    <row r="34" spans="2:12">
      <c r="C34" s="41" t="str">
        <f>C20</f>
        <v>foundations</v>
      </c>
      <c r="D34" s="41" t="s">
        <v>340</v>
      </c>
      <c r="E34" s="110">
        <f>'Tradeable %'!G20*'Market turnover'!E39</f>
        <v>371.20789408603116</v>
      </c>
      <c r="F34" s="110">
        <f>'Tradeable %'!H20*'Market turnover'!F39</f>
        <v>1512.5371310319274</v>
      </c>
      <c r="G34" s="110">
        <f>'Tradeable %'!I20*'Market turnover'!G39</f>
        <v>1554.0204946732561</v>
      </c>
      <c r="H34" s="110">
        <f>'Tradeable %'!J20*'Market turnover'!H39</f>
        <v>1944.8589581892688</v>
      </c>
      <c r="I34" s="110">
        <f>'Tradeable %'!K20*'Market turnover'!I39</f>
        <v>2239.3603072201618</v>
      </c>
      <c r="J34" s="110">
        <f>'Tradeable %'!L20*'Market turnover'!J39</f>
        <v>3325.4288559660436</v>
      </c>
      <c r="K34" s="110">
        <f>'Tradeable %'!M20*'Market turnover'!K39</f>
        <v>3567.2395431403088</v>
      </c>
      <c r="L34" s="110">
        <f>'Tradeable %'!N20*'Market turnover'!L39</f>
        <v>3731.3355498838605</v>
      </c>
    </row>
    <row r="35" spans="2:12">
      <c r="C35" s="41" t="str">
        <f>C21</f>
        <v>Balance of system</v>
      </c>
      <c r="D35" s="41" t="s">
        <v>340</v>
      </c>
      <c r="E35" s="110">
        <f>'Tradeable %'!G21*'Market turnover'!E40</f>
        <v>108.80231378383671</v>
      </c>
      <c r="F35" s="110">
        <f>'Tradeable %'!H21*'Market turnover'!F40</f>
        <v>443.32984875073737</v>
      </c>
      <c r="G35" s="110">
        <f>'Tradeable %'!I21*'Market turnover'!G40</f>
        <v>455.48876568009223</v>
      </c>
      <c r="H35" s="110">
        <f>'Tradeable %'!J21*'Market turnover'!H40</f>
        <v>570.04486705547538</v>
      </c>
      <c r="I35" s="110">
        <f>'Tradeable %'!K21*'Market turnover'!I40</f>
        <v>656.36422797832324</v>
      </c>
      <c r="J35" s="110">
        <f>'Tradeable %'!L21*'Market turnover'!J40</f>
        <v>974.69466467970244</v>
      </c>
      <c r="K35" s="110">
        <f>'Tradeable %'!M21*'Market turnover'!K40</f>
        <v>1045.5702109204353</v>
      </c>
      <c r="L35" s="110">
        <f>'Tradeable %'!N21*'Market turnover'!L40</f>
        <v>1093.6673163452695</v>
      </c>
    </row>
    <row r="36" spans="2:12">
      <c r="C36" s="41" t="str">
        <f>C22</f>
        <v>Installation</v>
      </c>
      <c r="D36" s="41" t="s">
        <v>340</v>
      </c>
      <c r="E36" s="110">
        <f>'Tradeable %'!G22*'Market turnover'!E41</f>
        <v>194.56413758991977</v>
      </c>
      <c r="F36" s="110">
        <f>'Tradeable %'!H22*'Market turnover'!F41</f>
        <v>792.77808247190683</v>
      </c>
      <c r="G36" s="110">
        <f>'Tradeable %'!I22*'Market turnover'!G41</f>
        <v>814.52108686322379</v>
      </c>
      <c r="H36" s="110">
        <f>'Tradeable %'!J22*'Market turnover'!H41</f>
        <v>1019.374350499203</v>
      </c>
      <c r="I36" s="110">
        <f>'Tradeable %'!K22*'Market turnover'!I41</f>
        <v>1173.7336782671193</v>
      </c>
      <c r="J36" s="110">
        <f>'Tradeable %'!L22*'Market turnover'!J41</f>
        <v>1742.9834003684093</v>
      </c>
      <c r="K36" s="110">
        <f>'Tradeable %'!M22*'Market turnover'!K41</f>
        <v>1869.7255536459547</v>
      </c>
      <c r="L36" s="110">
        <f>'Tradeable %'!N22*'Market turnover'!L41</f>
        <v>1955.7344951115408</v>
      </c>
    </row>
    <row r="37" spans="2:12">
      <c r="C37" s="41" t="str">
        <f t="shared" ref="C37" si="2">C23</f>
        <v xml:space="preserve">O&amp;M </v>
      </c>
      <c r="D37" s="41" t="s">
        <v>340</v>
      </c>
      <c r="E37" s="110">
        <f>'Tradeable %'!G23*'Market turnover'!E34</f>
        <v>257.74545784405217</v>
      </c>
      <c r="F37" s="110">
        <f>'Tradeable %'!H23*'Market turnover'!F34</f>
        <v>1300.6760043897548</v>
      </c>
      <c r="G37" s="110">
        <f>'Tradeable %'!I23*'Market turnover'!G34</f>
        <v>2433.5654552833143</v>
      </c>
      <c r="H37" s="110">
        <f>'Tradeable %'!J23*'Market turnover'!H34</f>
        <v>3775.7985577916661</v>
      </c>
      <c r="I37" s="110">
        <f>'Tradeable %'!K23*'Market turnover'!I34</f>
        <v>5822.9145109097899</v>
      </c>
      <c r="J37" s="110">
        <f>'Tradeable %'!L23*'Market turnover'!J34</f>
        <v>10291.979059153571</v>
      </c>
      <c r="K37" s="110">
        <f>'Tradeable %'!M23*'Market turnover'!K34</f>
        <v>11618.176557925659</v>
      </c>
      <c r="L37" s="110">
        <f>'Tradeable %'!N23*'Market turnover'!L34</f>
        <v>13778.035543804895</v>
      </c>
    </row>
    <row r="40" spans="2:12">
      <c r="C40" s="2" t="s">
        <v>368</v>
      </c>
    </row>
    <row r="41" spans="2:12" ht="14.5">
      <c r="C41" s="45" t="s">
        <v>243</v>
      </c>
    </row>
    <row r="42" spans="2:12">
      <c r="B42" s="47" t="s">
        <v>137</v>
      </c>
      <c r="C42" s="47" t="s">
        <v>338</v>
      </c>
      <c r="D42" s="47" t="s">
        <v>24</v>
      </c>
      <c r="E42" s="47">
        <v>2015</v>
      </c>
      <c r="F42" s="47">
        <v>2020</v>
      </c>
      <c r="G42" s="47">
        <v>2025</v>
      </c>
      <c r="H42" s="47">
        <v>2030</v>
      </c>
      <c r="I42" s="47">
        <v>2035</v>
      </c>
      <c r="J42" s="47">
        <v>2040</v>
      </c>
      <c r="K42" s="47">
        <v>2045</v>
      </c>
      <c r="L42" s="47">
        <v>2050</v>
      </c>
    </row>
    <row r="43" spans="2:12">
      <c r="B43" s="58" t="s">
        <v>148</v>
      </c>
      <c r="C43" s="41" t="s">
        <v>339</v>
      </c>
      <c r="D43" s="41" t="s">
        <v>340</v>
      </c>
      <c r="E43" s="110">
        <f>'Tradeable %'!G29*'Market turnover'!E48</f>
        <v>162.45498018212754</v>
      </c>
      <c r="F43" s="110">
        <f>'Tradeable %'!H29*'Market turnover'!F48</f>
        <v>1934.8534063890415</v>
      </c>
      <c r="G43" s="110">
        <f>'Tradeable %'!I29*'Market turnover'!G48</f>
        <v>1705.5144923352748</v>
      </c>
      <c r="H43" s="110">
        <f>'Tradeable %'!J29*'Market turnover'!H48</f>
        <v>6629.6229272113451</v>
      </c>
      <c r="I43" s="110">
        <f>'Tradeable %'!K29*'Market turnover'!I48</f>
        <v>7866.4566103323004</v>
      </c>
      <c r="J43" s="110">
        <f>'Tradeable %'!L29*'Market turnover'!J48</f>
        <v>9978.2417236528909</v>
      </c>
      <c r="K43" s="110">
        <f>'Tradeable %'!M29*'Market turnover'!K48</f>
        <v>10254.188908066972</v>
      </c>
      <c r="L43" s="110">
        <f>'Tradeable %'!N29*'Market turnover'!L48</f>
        <v>14254.911816579415</v>
      </c>
    </row>
    <row r="44" spans="2:12">
      <c r="C44" s="41" t="s">
        <v>307</v>
      </c>
      <c r="D44" s="41" t="s">
        <v>340</v>
      </c>
      <c r="E44" s="110">
        <f>'Tradeable %'!G30*'Market turnover'!E49</f>
        <v>0</v>
      </c>
      <c r="F44" s="110">
        <f>'Tradeable %'!H30*'Market turnover'!F49</f>
        <v>0</v>
      </c>
      <c r="G44" s="110">
        <f>'Tradeable %'!I30*'Market turnover'!G49</f>
        <v>0</v>
      </c>
      <c r="H44" s="110">
        <f>'Tradeable %'!J30*'Market turnover'!H49</f>
        <v>0</v>
      </c>
      <c r="I44" s="110">
        <f>'Tradeable %'!K30*'Market turnover'!I49</f>
        <v>0</v>
      </c>
      <c r="J44" s="110">
        <f>'Tradeable %'!L30*'Market turnover'!J49</f>
        <v>0</v>
      </c>
      <c r="K44" s="110">
        <f>'Tradeable %'!M30*'Market turnover'!K49</f>
        <v>0</v>
      </c>
      <c r="L44" s="110">
        <f>'Tradeable %'!N30*'Market turnover'!L49</f>
        <v>0</v>
      </c>
    </row>
    <row r="46" spans="2:12" ht="14.5">
      <c r="C46" s="45" t="s">
        <v>341</v>
      </c>
    </row>
    <row r="47" spans="2:12">
      <c r="C47" s="47" t="s">
        <v>283</v>
      </c>
      <c r="D47" s="47" t="s">
        <v>24</v>
      </c>
      <c r="E47" s="47">
        <v>2015</v>
      </c>
      <c r="F47" s="47">
        <v>2020</v>
      </c>
      <c r="G47" s="47">
        <v>2025</v>
      </c>
      <c r="H47" s="47">
        <v>2030</v>
      </c>
      <c r="I47" s="47">
        <v>2035</v>
      </c>
      <c r="J47" s="47">
        <v>2040</v>
      </c>
      <c r="K47" s="47">
        <v>2045</v>
      </c>
      <c r="L47" s="47">
        <v>2050</v>
      </c>
    </row>
    <row r="48" spans="2:12">
      <c r="C48" s="41" t="str">
        <f>C19</f>
        <v>Turbine</v>
      </c>
      <c r="D48" s="41" t="s">
        <v>340</v>
      </c>
      <c r="E48" s="110">
        <f>'Tradeable %'!G34*'Market turnover'!E53</f>
        <v>138.85041041207481</v>
      </c>
      <c r="F48" s="110">
        <f>'Tradeable %'!H34*'Market turnover'!F53</f>
        <v>1653.7208601615739</v>
      </c>
      <c r="G48" s="110">
        <f>'Tradeable %'!I34*'Market turnover'!G53</f>
        <v>1457.7046943036535</v>
      </c>
      <c r="H48" s="110">
        <f>'Tradeable %'!J34*'Market turnover'!H53</f>
        <v>5666.3443822319177</v>
      </c>
      <c r="I48" s="110">
        <f>'Tradeable %'!K34*'Market turnover'!I53</f>
        <v>6723.4671883182054</v>
      </c>
      <c r="J48" s="110">
        <f>'Tradeable %'!L34*'Market turnover'!J53</f>
        <v>8528.4117296178538</v>
      </c>
      <c r="K48" s="110">
        <f>'Tradeable %'!M34*'Market turnover'!K53</f>
        <v>8764.2640239888642</v>
      </c>
      <c r="L48" s="110">
        <f>'Tradeable %'!N34*'Market turnover'!L53</f>
        <v>12183.685313315738</v>
      </c>
    </row>
    <row r="49" spans="3:12">
      <c r="C49" s="41" t="str">
        <f>C20</f>
        <v>foundations</v>
      </c>
      <c r="D49" s="41" t="s">
        <v>340</v>
      </c>
      <c r="E49" s="110">
        <f>'Tradeable %'!G35*'Market turnover'!E54</f>
        <v>0</v>
      </c>
      <c r="F49" s="110">
        <f>'Tradeable %'!H35*'Market turnover'!F54</f>
        <v>0</v>
      </c>
      <c r="G49" s="110">
        <f>'Tradeable %'!I35*'Market turnover'!G54</f>
        <v>0</v>
      </c>
      <c r="H49" s="110">
        <f>'Tradeable %'!J35*'Market turnover'!H54</f>
        <v>0</v>
      </c>
      <c r="I49" s="110">
        <f>'Tradeable %'!K35*'Market turnover'!I54</f>
        <v>0</v>
      </c>
      <c r="J49" s="110">
        <f>'Tradeable %'!L35*'Market turnover'!J54</f>
        <v>0</v>
      </c>
      <c r="K49" s="110">
        <f>'Tradeable %'!M35*'Market turnover'!K54</f>
        <v>0</v>
      </c>
      <c r="L49" s="110">
        <f>'Tradeable %'!N35*'Market turnover'!L54</f>
        <v>0</v>
      </c>
    </row>
    <row r="50" spans="3:12">
      <c r="C50" s="41" t="str">
        <f>C21</f>
        <v>Balance of system</v>
      </c>
      <c r="D50" s="41" t="s">
        <v>340</v>
      </c>
      <c r="E50" s="110">
        <f>'Tradeable %'!G36*'Market turnover'!E55</f>
        <v>23.604569770052713</v>
      </c>
      <c r="F50" s="110">
        <f>'Tradeable %'!H36*'Market turnover'!F55</f>
        <v>281.13254622746751</v>
      </c>
      <c r="G50" s="110">
        <f>'Tradeable %'!I36*'Market turnover'!G55</f>
        <v>247.80979803162106</v>
      </c>
      <c r="H50" s="110">
        <f>'Tradeable %'!J36*'Market turnover'!H55</f>
        <v>963.27854497942599</v>
      </c>
      <c r="I50" s="110">
        <f>'Tradeable %'!K36*'Market turnover'!I55</f>
        <v>1142.9894220140948</v>
      </c>
      <c r="J50" s="110">
        <f>'Tradeable %'!L36*'Market turnover'!J55</f>
        <v>1449.829994035035</v>
      </c>
      <c r="K50" s="110">
        <f>'Tradeable %'!M36*'Market turnover'!K55</f>
        <v>1489.9248840781067</v>
      </c>
      <c r="L50" s="110">
        <f>'Tradeable %'!N36*'Market turnover'!L55</f>
        <v>2071.2265032636756</v>
      </c>
    </row>
    <row r="51" spans="3:12">
      <c r="C51" s="41" t="str">
        <f>C22</f>
        <v>Installation</v>
      </c>
      <c r="D51" s="41" t="s">
        <v>340</v>
      </c>
      <c r="E51" s="110">
        <f>'Tradeable %'!G37*'Market turnover'!E56</f>
        <v>0</v>
      </c>
      <c r="F51" s="110">
        <f>'Tradeable %'!H37*'Market turnover'!F56</f>
        <v>0</v>
      </c>
      <c r="G51" s="110">
        <f>'Tradeable %'!I37*'Market turnover'!G56</f>
        <v>0</v>
      </c>
      <c r="H51" s="110">
        <f>'Tradeable %'!J37*'Market turnover'!H56</f>
        <v>0</v>
      </c>
      <c r="I51" s="110">
        <f>'Tradeable %'!K37*'Market turnover'!I56</f>
        <v>0</v>
      </c>
      <c r="J51" s="110">
        <f>'Tradeable %'!L37*'Market turnover'!J56</f>
        <v>0</v>
      </c>
      <c r="K51" s="110">
        <f>'Tradeable %'!M37*'Market turnover'!K56</f>
        <v>0</v>
      </c>
      <c r="L51" s="110">
        <f>'Tradeable %'!N37*'Market turnover'!L56</f>
        <v>0</v>
      </c>
    </row>
    <row r="52" spans="3:12">
      <c r="C52" s="41" t="str">
        <f t="shared" ref="C52" si="3">C23</f>
        <v xml:space="preserve">O&amp;M </v>
      </c>
      <c r="D52" s="41" t="s">
        <v>340</v>
      </c>
      <c r="E52" s="110">
        <f>'Tradeable %'!G38*'Market turnover'!E57</f>
        <v>0</v>
      </c>
      <c r="F52" s="110">
        <f>'Tradeable %'!H38*'Market turnover'!F57</f>
        <v>0</v>
      </c>
      <c r="G52" s="110">
        <f>'Tradeable %'!I38*'Market turnover'!G57</f>
        <v>0</v>
      </c>
      <c r="H52" s="110">
        <f>'Tradeable %'!J38*'Market turnover'!H57</f>
        <v>0</v>
      </c>
      <c r="I52" s="110">
        <f>'Tradeable %'!K38*'Market turnover'!I57</f>
        <v>0</v>
      </c>
      <c r="J52" s="110">
        <f>'Tradeable %'!L38*'Market turnover'!J57</f>
        <v>0</v>
      </c>
      <c r="K52" s="110">
        <f>'Tradeable %'!M38*'Market turnover'!K57</f>
        <v>0</v>
      </c>
      <c r="L52" s="110">
        <f>'Tradeable %'!N38*'Market turnover'!L57</f>
        <v>0</v>
      </c>
    </row>
  </sheetData>
  <conditionalFormatting sqref="B19:B23 A40:A52 M40:XFD52 B46:C52 B31:C37 A11:A37 M11:XFD37 A1:XFD10 A38:XFD39 B24:D26 A53:XFD1048576 D19:D23 E45:L52 E30:L37 D27:D37 E19:L28 B11:L11 B13:L18 B40:D41 D42:D52 E40:L43">
    <cfRule type="expression" dxfId="202" priority="18">
      <formula>_xlfn.ISFORMULA(A1)</formula>
    </cfRule>
  </conditionalFormatting>
  <conditionalFormatting sqref="B27:B30 E29:L29 B12:D12 J12:L12">
    <cfRule type="expression" dxfId="201" priority="17">
      <formula>_xlfn.ISFORMULA(B12)</formula>
    </cfRule>
  </conditionalFormatting>
  <conditionalFormatting sqref="C27:C28">
    <cfRule type="expression" dxfId="200" priority="14">
      <formula>_xlfn.ISFORMULA(C27)</formula>
    </cfRule>
  </conditionalFormatting>
  <conditionalFormatting sqref="C29:C30">
    <cfRule type="expression" dxfId="199" priority="13">
      <formula>_xlfn.ISFORMULA(C29)</formula>
    </cfRule>
  </conditionalFormatting>
  <conditionalFormatting sqref="B42:B45 E44:L44">
    <cfRule type="expression" dxfId="198" priority="7">
      <formula>_xlfn.ISFORMULA(B42)</formula>
    </cfRule>
  </conditionalFormatting>
  <conditionalFormatting sqref="C42:C43">
    <cfRule type="expression" dxfId="197" priority="6">
      <formula>_xlfn.ISFORMULA(C42)</formula>
    </cfRule>
  </conditionalFormatting>
  <conditionalFormatting sqref="C44:C45">
    <cfRule type="expression" dxfId="196" priority="5">
      <formula>_xlfn.ISFORMULA(C44)</formula>
    </cfRule>
  </conditionalFormatting>
  <conditionalFormatting sqref="E12:I12">
    <cfRule type="expression" dxfId="195" priority="1">
      <formula>_xlfn.ISFORMULA(E12)</formula>
    </cfRule>
  </conditionalFormatting>
  <pageMargins left="0.7" right="0.7" top="0.75" bottom="0.75" header="0.3" footer="0.3"/>
  <pageSetup paperSize="9" orientation="portrait" horizontalDpi="4294967294" verticalDpi="4294967294"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sheetPr>
  <dimension ref="B1:Q56"/>
  <sheetViews>
    <sheetView zoomScale="74" workbookViewId="0">
      <selection activeCell="U26" sqref="U25:U26"/>
    </sheetView>
  </sheetViews>
  <sheetFormatPr defaultColWidth="8.81640625" defaultRowHeight="14"/>
  <cols>
    <col min="1" max="1" width="11.81640625" style="1" customWidth="1"/>
    <col min="2" max="2" width="26.453125" style="1" customWidth="1"/>
    <col min="3" max="3" width="25.7265625" style="1" customWidth="1"/>
    <col min="4" max="4" width="12" style="1" customWidth="1"/>
    <col min="5" max="5" width="14.453125" style="1" customWidth="1"/>
    <col min="6" max="6" width="40.26953125" style="1" customWidth="1"/>
    <col min="7" max="7" width="21.81640625" style="1" customWidth="1"/>
    <col min="8" max="8" width="22" style="1" customWidth="1"/>
    <col min="9" max="9" width="8.81640625" style="1"/>
    <col min="10" max="10" width="11.453125" style="1" customWidth="1"/>
    <col min="11" max="13" width="8.81640625" style="1"/>
    <col min="14" max="14" width="10.453125" style="1" customWidth="1"/>
    <col min="15" max="15" width="9.81640625" style="1" customWidth="1"/>
    <col min="16" max="16" width="10.1796875" style="1" customWidth="1"/>
    <col min="17" max="17" width="13.1796875" style="1" customWidth="1"/>
    <col min="18" max="16384" width="8.81640625" style="1"/>
  </cols>
  <sheetData>
    <row r="1" spans="2:16" s="3" customFormat="1" ht="49.5" customHeight="1">
      <c r="B1" s="304" t="s">
        <v>369</v>
      </c>
      <c r="C1" s="304"/>
      <c r="D1" s="304"/>
      <c r="E1" s="304"/>
      <c r="F1" s="304"/>
      <c r="G1" s="304"/>
      <c r="H1" s="304"/>
      <c r="I1" s="304"/>
      <c r="J1" s="304"/>
      <c r="K1" s="304"/>
      <c r="L1" s="304"/>
      <c r="M1" s="304"/>
      <c r="N1" s="304"/>
      <c r="O1" s="304"/>
      <c r="P1" s="304"/>
    </row>
    <row r="4" spans="2:16">
      <c r="O4" s="7"/>
      <c r="P4" s="2"/>
    </row>
    <row r="5" spans="2:16">
      <c r="P5" s="2"/>
    </row>
    <row r="11" spans="2:16">
      <c r="C11" s="2" t="s">
        <v>370</v>
      </c>
      <c r="D11" s="2"/>
      <c r="E11" s="2"/>
      <c r="F11" s="2"/>
      <c r="G11" s="2"/>
      <c r="H11" s="2"/>
    </row>
    <row r="12" spans="2:16" ht="14.5">
      <c r="C12" s="45" t="s">
        <v>243</v>
      </c>
    </row>
    <row r="13" spans="2:16">
      <c r="B13" s="47" t="s">
        <v>137</v>
      </c>
      <c r="C13" s="47" t="s">
        <v>338</v>
      </c>
      <c r="D13" s="47" t="s">
        <v>24</v>
      </c>
      <c r="E13" s="47" t="s">
        <v>371</v>
      </c>
      <c r="F13" s="47" t="s">
        <v>8</v>
      </c>
      <c r="G13" s="47" t="s">
        <v>234</v>
      </c>
      <c r="H13" s="47" t="s">
        <v>235</v>
      </c>
      <c r="I13" s="47">
        <v>2015</v>
      </c>
      <c r="J13" s="47">
        <v>2020</v>
      </c>
      <c r="K13" s="47">
        <v>2025</v>
      </c>
      <c r="L13" s="47">
        <v>2030</v>
      </c>
      <c r="M13" s="47">
        <v>2035</v>
      </c>
      <c r="N13" s="47">
        <v>2040</v>
      </c>
      <c r="O13" s="47">
        <v>2045</v>
      </c>
      <c r="P13" s="47">
        <v>2050</v>
      </c>
    </row>
    <row r="14" spans="2:16">
      <c r="B14" s="58" t="s">
        <v>148</v>
      </c>
      <c r="C14" s="41" t="s">
        <v>339</v>
      </c>
      <c r="D14" s="41" t="s">
        <v>299</v>
      </c>
      <c r="E14" s="78">
        <f>SUM(E19:E22)</f>
        <v>0.67549999999999999</v>
      </c>
      <c r="F14" s="41" t="s">
        <v>372</v>
      </c>
      <c r="G14" s="49" t="s">
        <v>357</v>
      </c>
      <c r="H14" s="49" t="s">
        <v>357</v>
      </c>
      <c r="I14" s="137">
        <f>'Background Step 4.1.3'!J32</f>
        <v>0</v>
      </c>
      <c r="J14" s="59">
        <f>SUMPRODUCT(J19:J23,$E$19:$E$23)</f>
        <v>8.0129562859738712E-2</v>
      </c>
      <c r="K14" s="59">
        <f t="shared" ref="K14:P14" si="0">SUMPRODUCT(K19:K23,$E$19:$E$23)</f>
        <v>0.15025912571947744</v>
      </c>
      <c r="L14" s="59">
        <f t="shared" si="0"/>
        <v>0.20021990635377301</v>
      </c>
      <c r="M14" s="59">
        <f t="shared" si="0"/>
        <v>0.20021990635377301</v>
      </c>
      <c r="N14" s="59">
        <f t="shared" si="0"/>
        <v>0.20021990635377301</v>
      </c>
      <c r="O14" s="59">
        <f t="shared" si="0"/>
        <v>0.20021990635377301</v>
      </c>
      <c r="P14" s="59">
        <f t="shared" si="0"/>
        <v>0.20021990635377301</v>
      </c>
    </row>
    <row r="15" spans="2:16">
      <c r="C15" s="41" t="s">
        <v>307</v>
      </c>
      <c r="D15" s="41" t="s">
        <v>299</v>
      </c>
      <c r="E15" s="78">
        <f>E23</f>
        <v>0.32450000000000001</v>
      </c>
      <c r="F15" s="41" t="s">
        <v>372</v>
      </c>
      <c r="G15" s="49" t="s">
        <v>357</v>
      </c>
      <c r="H15" s="49" t="s">
        <v>357</v>
      </c>
      <c r="I15" s="138">
        <f>I23</f>
        <v>1.9190988836292704E-2</v>
      </c>
      <c r="J15" s="78">
        <f t="shared" ref="J15:P15" si="1">J23</f>
        <v>7.2485196978407052E-2</v>
      </c>
      <c r="K15" s="78">
        <f t="shared" si="1"/>
        <v>0.13497039395681412</v>
      </c>
      <c r="L15" s="78">
        <f t="shared" si="1"/>
        <v>0.18373170586151252</v>
      </c>
      <c r="M15" s="78">
        <f t="shared" si="1"/>
        <v>0.18373170586151252</v>
      </c>
      <c r="N15" s="78">
        <f t="shared" si="1"/>
        <v>0.18373170586151252</v>
      </c>
      <c r="O15" s="78">
        <f t="shared" si="1"/>
        <v>0.18373170586151252</v>
      </c>
      <c r="P15" s="78">
        <f t="shared" si="1"/>
        <v>0.18373170586151252</v>
      </c>
    </row>
    <row r="17" spans="2:17" ht="14.5">
      <c r="C17" s="45" t="s">
        <v>341</v>
      </c>
    </row>
    <row r="18" spans="2:17">
      <c r="C18" s="47" t="s">
        <v>283</v>
      </c>
      <c r="D18" s="47" t="s">
        <v>24</v>
      </c>
      <c r="E18" s="47" t="s">
        <v>371</v>
      </c>
      <c r="F18" s="47" t="s">
        <v>8</v>
      </c>
      <c r="G18" s="47" t="s">
        <v>234</v>
      </c>
      <c r="H18" s="47" t="s">
        <v>235</v>
      </c>
      <c r="I18" s="47">
        <v>2015</v>
      </c>
      <c r="J18" s="47">
        <v>2020</v>
      </c>
      <c r="K18" s="47">
        <v>2025</v>
      </c>
      <c r="L18" s="47">
        <v>2030</v>
      </c>
      <c r="M18" s="47">
        <v>2035</v>
      </c>
      <c r="N18" s="47">
        <v>2040</v>
      </c>
      <c r="O18" s="47">
        <v>2045</v>
      </c>
      <c r="P18" s="47">
        <v>2050</v>
      </c>
    </row>
    <row r="19" spans="2:17">
      <c r="C19" s="48" t="s">
        <v>285</v>
      </c>
      <c r="D19" s="41" t="s">
        <v>299</v>
      </c>
      <c r="E19" s="78">
        <f>E37</f>
        <v>0.28000000000000003</v>
      </c>
      <c r="F19" s="41" t="s">
        <v>372</v>
      </c>
      <c r="G19" s="41" t="s">
        <v>373</v>
      </c>
      <c r="H19" s="41" t="s">
        <v>374</v>
      </c>
      <c r="I19" s="137">
        <f>'Background Step 4.1.3'!R32</f>
        <v>1.9190988836292704E-2</v>
      </c>
      <c r="J19" s="59">
        <f>$I19/$I$20*J$50+J$26</f>
        <v>7.2485196978407052E-2</v>
      </c>
      <c r="K19" s="59">
        <f>$I19/$I$20*K$50+K$26</f>
        <v>0.13497039395681412</v>
      </c>
      <c r="L19" s="59">
        <f>$I19/$I$20*L$50+L$26</f>
        <v>0.18373170586151252</v>
      </c>
      <c r="M19" s="59">
        <f>L19</f>
        <v>0.18373170586151252</v>
      </c>
      <c r="N19" s="59">
        <f t="shared" ref="N19:P19" si="2">M19</f>
        <v>0.18373170586151252</v>
      </c>
      <c r="O19" s="59">
        <f t="shared" si="2"/>
        <v>0.18373170586151252</v>
      </c>
      <c r="P19" s="59">
        <f t="shared" si="2"/>
        <v>0.18373170586151252</v>
      </c>
      <c r="Q19" s="247"/>
    </row>
    <row r="20" spans="2:17">
      <c r="C20" s="41" t="s">
        <v>327</v>
      </c>
      <c r="D20" s="41" t="s">
        <v>299</v>
      </c>
      <c r="E20" s="78">
        <f>E38</f>
        <v>0.20300000000000001</v>
      </c>
      <c r="F20" s="41" t="s">
        <v>372</v>
      </c>
      <c r="G20" s="41" t="s">
        <v>373</v>
      </c>
      <c r="H20" s="41" t="s">
        <v>374</v>
      </c>
      <c r="I20" s="137">
        <f>'Background Step 4.1.3'!R33</f>
        <v>2.4966858630425519E-2</v>
      </c>
      <c r="J20" s="59">
        <f t="shared" ref="J20:J23" si="3">$I20/$I$20*J$50+J$26</f>
        <v>8.9786390557835813E-2</v>
      </c>
      <c r="K20" s="59">
        <f>K50+K$27</f>
        <v>0.16957278111567162</v>
      </c>
      <c r="L20" s="59">
        <f>L50+L$27</f>
        <v>0.22</v>
      </c>
      <c r="M20" s="59">
        <f t="shared" ref="M20:P20" si="4">L20</f>
        <v>0.22</v>
      </c>
      <c r="N20" s="59">
        <f t="shared" si="4"/>
        <v>0.22</v>
      </c>
      <c r="O20" s="59">
        <f t="shared" si="4"/>
        <v>0.22</v>
      </c>
      <c r="P20" s="59">
        <f t="shared" si="4"/>
        <v>0.22</v>
      </c>
      <c r="Q20" s="247"/>
    </row>
    <row r="21" spans="2:17">
      <c r="C21" s="41" t="s">
        <v>320</v>
      </c>
      <c r="D21" s="41" t="s">
        <v>299</v>
      </c>
      <c r="E21" s="78">
        <f>E39</f>
        <v>5.9499999999999997E-2</v>
      </c>
      <c r="F21" s="41" t="s">
        <v>372</v>
      </c>
      <c r="G21" s="41" t="s">
        <v>373</v>
      </c>
      <c r="H21" s="41" t="s">
        <v>374</v>
      </c>
      <c r="I21" s="137">
        <f>'Background Step 4.1.3'!R34</f>
        <v>2.9465278456291644E-2</v>
      </c>
      <c r="J21" s="59">
        <f t="shared" si="3"/>
        <v>0.10326107661947601</v>
      </c>
      <c r="K21" s="59">
        <f>$I21/$I$20*K$50+K$27</f>
        <v>0.196522153238952</v>
      </c>
      <c r="L21" s="59">
        <f>$I21/$I$20*L$50+L$27</f>
        <v>0.25603512874770867</v>
      </c>
      <c r="M21" s="59">
        <f t="shared" ref="M21:P21" si="5">L21</f>
        <v>0.25603512874770867</v>
      </c>
      <c r="N21" s="59">
        <f t="shared" si="5"/>
        <v>0.25603512874770867</v>
      </c>
      <c r="O21" s="59">
        <f t="shared" si="5"/>
        <v>0.25603512874770867</v>
      </c>
      <c r="P21" s="59">
        <f t="shared" si="5"/>
        <v>0.25603512874770867</v>
      </c>
      <c r="Q21" s="247"/>
    </row>
    <row r="22" spans="2:17">
      <c r="C22" s="41" t="s">
        <v>317</v>
      </c>
      <c r="D22" s="41" t="s">
        <v>299</v>
      </c>
      <c r="E22" s="78">
        <f>E40</f>
        <v>0.13300000000000001</v>
      </c>
      <c r="F22" s="41" t="s">
        <v>372</v>
      </c>
      <c r="G22" s="41" t="s">
        <v>373</v>
      </c>
      <c r="H22" s="41" t="s">
        <v>374</v>
      </c>
      <c r="I22" s="137">
        <f>I20</f>
        <v>2.4966858630425519E-2</v>
      </c>
      <c r="J22" s="59">
        <f t="shared" si="3"/>
        <v>8.9786390557835813E-2</v>
      </c>
      <c r="K22" s="59">
        <f>K50+K$27</f>
        <v>0.16957278111567162</v>
      </c>
      <c r="L22" s="59">
        <f>L50+L$27</f>
        <v>0.22</v>
      </c>
      <c r="M22" s="59">
        <f t="shared" ref="M22:P22" si="6">L22</f>
        <v>0.22</v>
      </c>
      <c r="N22" s="59">
        <f t="shared" si="6"/>
        <v>0.22</v>
      </c>
      <c r="O22" s="59">
        <f t="shared" si="6"/>
        <v>0.22</v>
      </c>
      <c r="P22" s="59">
        <f t="shared" si="6"/>
        <v>0.22</v>
      </c>
      <c r="Q22" s="247"/>
    </row>
    <row r="23" spans="2:17">
      <c r="C23" s="105" t="s">
        <v>280</v>
      </c>
      <c r="D23" s="41" t="s">
        <v>299</v>
      </c>
      <c r="E23" s="78">
        <f>E41</f>
        <v>0.32450000000000001</v>
      </c>
      <c r="F23" s="41" t="s">
        <v>372</v>
      </c>
      <c r="G23" s="41" t="s">
        <v>373</v>
      </c>
      <c r="H23" s="41" t="s">
        <v>374</v>
      </c>
      <c r="I23" s="137">
        <f>I19</f>
        <v>1.9190988836292704E-2</v>
      </c>
      <c r="J23" s="59">
        <f t="shared" si="3"/>
        <v>7.2485196978407052E-2</v>
      </c>
      <c r="K23" s="59">
        <f>$I23/$I$20*K$50+K$26</f>
        <v>0.13497039395681412</v>
      </c>
      <c r="L23" s="59">
        <f>$I23/$I$20*L$50+L$26</f>
        <v>0.18373170586151252</v>
      </c>
      <c r="M23" s="59">
        <f t="shared" ref="M23:P23" si="7">L23</f>
        <v>0.18373170586151252</v>
      </c>
      <c r="N23" s="59">
        <f t="shared" si="7"/>
        <v>0.18373170586151252</v>
      </c>
      <c r="O23" s="59">
        <f t="shared" si="7"/>
        <v>0.18373170586151252</v>
      </c>
      <c r="P23" s="59">
        <f t="shared" si="7"/>
        <v>0.18373170586151252</v>
      </c>
      <c r="Q23" s="247"/>
    </row>
    <row r="24" spans="2:17">
      <c r="J24" s="75"/>
      <c r="K24" s="75"/>
      <c r="L24" s="75"/>
      <c r="M24" s="75"/>
      <c r="N24" s="75"/>
      <c r="O24" s="75"/>
      <c r="P24" s="75"/>
    </row>
    <row r="25" spans="2:17">
      <c r="C25" s="47" t="s">
        <v>375</v>
      </c>
      <c r="D25" s="47" t="s">
        <v>24</v>
      </c>
      <c r="E25" s="47" t="s">
        <v>18</v>
      </c>
      <c r="F25" s="47" t="s">
        <v>8</v>
      </c>
      <c r="G25" s="47" t="s">
        <v>234</v>
      </c>
      <c r="H25" s="47" t="s">
        <v>235</v>
      </c>
      <c r="I25" s="47">
        <v>2015</v>
      </c>
      <c r="J25" s="47">
        <v>2020</v>
      </c>
      <c r="K25" s="47">
        <v>2025</v>
      </c>
      <c r="L25" s="47">
        <v>2030</v>
      </c>
      <c r="M25" s="47">
        <v>2035</v>
      </c>
      <c r="N25" s="47">
        <v>2040</v>
      </c>
      <c r="O25" s="47">
        <v>2045</v>
      </c>
      <c r="P25" s="47">
        <v>2050</v>
      </c>
    </row>
    <row r="26" spans="2:17">
      <c r="C26" s="48" t="s">
        <v>376</v>
      </c>
      <c r="D26" s="48" t="s">
        <v>299</v>
      </c>
      <c r="E26" s="48" t="s">
        <v>377</v>
      </c>
      <c r="F26" s="48" t="s">
        <v>378</v>
      </c>
      <c r="G26" s="48"/>
      <c r="H26" s="41" t="s">
        <v>374</v>
      </c>
      <c r="I26" s="48"/>
      <c r="J26" s="59">
        <v>1.4999999999999999E-2</v>
      </c>
      <c r="K26" s="59">
        <v>0.02</v>
      </c>
      <c r="L26" s="59">
        <v>0.03</v>
      </c>
      <c r="M26" s="59">
        <v>0.03</v>
      </c>
      <c r="N26" s="59">
        <v>0.03</v>
      </c>
      <c r="O26" s="59">
        <v>0.03</v>
      </c>
      <c r="P26" s="59">
        <v>0.03</v>
      </c>
    </row>
    <row r="27" spans="2:17">
      <c r="C27" s="41" t="s">
        <v>379</v>
      </c>
      <c r="D27" s="41" t="s">
        <v>299</v>
      </c>
      <c r="E27" s="48" t="s">
        <v>377</v>
      </c>
      <c r="F27" s="41" t="s">
        <v>378</v>
      </c>
      <c r="G27" s="41"/>
      <c r="H27" s="41" t="s">
        <v>374</v>
      </c>
      <c r="I27" s="41"/>
      <c r="J27" s="59">
        <v>1.4999999999999999E-2</v>
      </c>
      <c r="K27" s="59">
        <v>0.02</v>
      </c>
      <c r="L27" s="59">
        <v>0.02</v>
      </c>
      <c r="M27" s="59">
        <v>0.02</v>
      </c>
      <c r="N27" s="59">
        <v>0.02</v>
      </c>
      <c r="O27" s="59">
        <v>0.02</v>
      </c>
      <c r="P27" s="59">
        <v>0.02</v>
      </c>
    </row>
    <row r="29" spans="2:17">
      <c r="C29" s="2" t="s">
        <v>380</v>
      </c>
    </row>
    <row r="30" spans="2:17" ht="14.5">
      <c r="C30" s="45" t="s">
        <v>243</v>
      </c>
    </row>
    <row r="31" spans="2:17">
      <c r="B31" s="47" t="s">
        <v>137</v>
      </c>
      <c r="C31" s="47" t="s">
        <v>338</v>
      </c>
      <c r="D31" s="47" t="s">
        <v>24</v>
      </c>
      <c r="E31" s="47" t="s">
        <v>371</v>
      </c>
      <c r="F31" s="47" t="s">
        <v>8</v>
      </c>
      <c r="G31" s="47" t="s">
        <v>234</v>
      </c>
      <c r="H31" s="47" t="s">
        <v>235</v>
      </c>
      <c r="I31" s="47">
        <v>2015</v>
      </c>
      <c r="J31" s="47">
        <v>2020</v>
      </c>
      <c r="K31" s="47">
        <v>2025</v>
      </c>
      <c r="L31" s="47">
        <v>2030</v>
      </c>
      <c r="M31" s="47">
        <v>2035</v>
      </c>
      <c r="N31" s="47">
        <v>2040</v>
      </c>
      <c r="O31" s="47">
        <v>2045</v>
      </c>
      <c r="P31" s="47">
        <v>2050</v>
      </c>
    </row>
    <row r="32" spans="2:17">
      <c r="B32" s="41" t="s">
        <v>257</v>
      </c>
      <c r="C32" s="41" t="s">
        <v>339</v>
      </c>
      <c r="D32" s="41" t="s">
        <v>299</v>
      </c>
      <c r="E32" s="78">
        <f>SUM(E37:E40)</f>
        <v>0.67549999999999999</v>
      </c>
      <c r="F32" s="41" t="s">
        <v>372</v>
      </c>
      <c r="G32" s="49" t="s">
        <v>357</v>
      </c>
      <c r="H32" s="49" t="s">
        <v>357</v>
      </c>
      <c r="I32" s="137">
        <f>'Background Step 4.1.3'!J48</f>
        <v>1.0269188796831686E-2</v>
      </c>
      <c r="J32" s="59">
        <f>SUMPRODUCT(J37:J41,$E$37:$E$41)</f>
        <v>1.3212635231657327E-2</v>
      </c>
      <c r="K32" s="59">
        <f t="shared" ref="K32:P32" si="8">SUMPRODUCT(K37:K41,$E$37:$E$41)</f>
        <v>3.6425270463314653E-2</v>
      </c>
      <c r="L32" s="59">
        <f t="shared" si="8"/>
        <v>4.7772393394676649E-2</v>
      </c>
      <c r="M32" s="59">
        <f t="shared" si="8"/>
        <v>4.7772393394676649E-2</v>
      </c>
      <c r="N32" s="59">
        <f t="shared" si="8"/>
        <v>4.7772393394676649E-2</v>
      </c>
      <c r="O32" s="59">
        <f t="shared" si="8"/>
        <v>4.7772393394676649E-2</v>
      </c>
      <c r="P32" s="59">
        <f t="shared" si="8"/>
        <v>4.7772393394676649E-2</v>
      </c>
    </row>
    <row r="33" spans="3:17">
      <c r="C33" s="41" t="s">
        <v>307</v>
      </c>
      <c r="D33" s="41" t="s">
        <v>299</v>
      </c>
      <c r="E33" s="78">
        <f>E41</f>
        <v>0.32450000000000001</v>
      </c>
      <c r="F33" s="41" t="s">
        <v>372</v>
      </c>
      <c r="G33" s="49" t="s">
        <v>357</v>
      </c>
      <c r="H33" s="49" t="s">
        <v>357</v>
      </c>
      <c r="I33" s="138">
        <f>I41</f>
        <v>1.2461729357129921E-2</v>
      </c>
      <c r="J33" s="138">
        <f t="shared" ref="J33:P33" si="9">J41</f>
        <v>1.6123771480159928E-2</v>
      </c>
      <c r="K33" s="138">
        <f t="shared" si="9"/>
        <v>4.224754296031985E-2</v>
      </c>
      <c r="L33" s="138">
        <f t="shared" si="9"/>
        <v>5.5017727967660739E-2</v>
      </c>
      <c r="M33" s="138">
        <f t="shared" si="9"/>
        <v>5.5017727967660739E-2</v>
      </c>
      <c r="N33" s="138">
        <f t="shared" si="9"/>
        <v>5.5017727967660739E-2</v>
      </c>
      <c r="O33" s="138">
        <f t="shared" si="9"/>
        <v>5.5017727967660739E-2</v>
      </c>
      <c r="P33" s="138">
        <f t="shared" si="9"/>
        <v>5.5017727967660739E-2</v>
      </c>
    </row>
    <row r="35" spans="3:17" ht="14.5">
      <c r="C35" s="45" t="s">
        <v>341</v>
      </c>
    </row>
    <row r="36" spans="3:17">
      <c r="C36" s="47" t="s">
        <v>283</v>
      </c>
      <c r="D36" s="47" t="s">
        <v>24</v>
      </c>
      <c r="E36" s="47" t="s">
        <v>371</v>
      </c>
      <c r="F36" s="47" t="s">
        <v>8</v>
      </c>
      <c r="G36" s="47" t="s">
        <v>234</v>
      </c>
      <c r="H36" s="47" t="s">
        <v>235</v>
      </c>
      <c r="I36" s="47">
        <v>2015</v>
      </c>
      <c r="J36" s="47">
        <v>2020</v>
      </c>
      <c r="K36" s="47">
        <v>2025</v>
      </c>
      <c r="L36" s="47">
        <v>2030</v>
      </c>
      <c r="M36" s="47">
        <v>2035</v>
      </c>
      <c r="N36" s="47">
        <v>2040</v>
      </c>
      <c r="O36" s="47">
        <v>2045</v>
      </c>
      <c r="P36" s="47">
        <v>2050</v>
      </c>
    </row>
    <row r="37" spans="3:17">
      <c r="C37" s="114" t="str">
        <f>C19</f>
        <v>Turbine</v>
      </c>
      <c r="D37" s="41" t="s">
        <v>299</v>
      </c>
      <c r="E37" s="78">
        <f>'Tech costs'!D36</f>
        <v>0.28000000000000003</v>
      </c>
      <c r="F37" s="41" t="s">
        <v>372</v>
      </c>
      <c r="G37" s="41" t="s">
        <v>373</v>
      </c>
      <c r="H37" s="41" t="s">
        <v>374</v>
      </c>
      <c r="I37" s="137">
        <f>'Background Step 4.1.3'!S32</f>
        <v>1.2461729357129921E-2</v>
      </c>
      <c r="J37" s="137">
        <f>$I37/$I$39*J$55+J$44</f>
        <v>1.6123771480159928E-2</v>
      </c>
      <c r="K37" s="137">
        <f t="shared" ref="K37:L38" si="10">$I37/$I$39*K$55+K$44</f>
        <v>4.224754296031985E-2</v>
      </c>
      <c r="L37" s="137">
        <f t="shared" si="10"/>
        <v>5.5017727967660739E-2</v>
      </c>
      <c r="M37" s="59">
        <f>L37</f>
        <v>5.5017727967660739E-2</v>
      </c>
      <c r="N37" s="59">
        <f t="shared" ref="N37:P37" si="11">M37</f>
        <v>5.5017727967660739E-2</v>
      </c>
      <c r="O37" s="59">
        <f t="shared" si="11"/>
        <v>5.5017727967660739E-2</v>
      </c>
      <c r="P37" s="59">
        <f t="shared" si="11"/>
        <v>5.5017727967660739E-2</v>
      </c>
      <c r="Q37" s="248"/>
    </row>
    <row r="38" spans="3:17">
      <c r="C38" s="114" t="str">
        <f>C20</f>
        <v>foundations</v>
      </c>
      <c r="D38" s="41" t="s">
        <v>299</v>
      </c>
      <c r="E38" s="78">
        <f>'Tech costs'!D37</f>
        <v>0.20300000000000001</v>
      </c>
      <c r="F38" s="41" t="s">
        <v>372</v>
      </c>
      <c r="G38" s="41" t="s">
        <v>373</v>
      </c>
      <c r="H38" s="41" t="s">
        <v>374</v>
      </c>
      <c r="I38" s="137">
        <f>'Background Step 4.1.3'!S33</f>
        <v>8.8384428262945E-3</v>
      </c>
      <c r="J38" s="137">
        <f>$I38/$I$39*J$55+J$44</f>
        <v>8.5282037522722894E-3</v>
      </c>
      <c r="K38" s="137">
        <f t="shared" si="10"/>
        <v>2.7056407504544577E-2</v>
      </c>
      <c r="L38" s="137">
        <f t="shared" si="10"/>
        <v>3.6113621542338499E-2</v>
      </c>
      <c r="M38" s="59">
        <f t="shared" ref="M38:P38" si="12">L38</f>
        <v>3.6113621542338499E-2</v>
      </c>
      <c r="N38" s="59">
        <f t="shared" si="12"/>
        <v>3.6113621542338499E-2</v>
      </c>
      <c r="O38" s="59">
        <f t="shared" si="12"/>
        <v>3.6113621542338499E-2</v>
      </c>
      <c r="P38" s="59">
        <f t="shared" si="12"/>
        <v>3.6113621542338499E-2</v>
      </c>
      <c r="Q38" s="248"/>
    </row>
    <row r="39" spans="3:17">
      <c r="C39" s="114" t="str">
        <f>C21</f>
        <v>Balance of system</v>
      </c>
      <c r="D39" s="41" t="s">
        <v>299</v>
      </c>
      <c r="E39" s="78">
        <f>'Tech costs'!D39</f>
        <v>5.9499999999999997E-2</v>
      </c>
      <c r="F39" s="41" t="s">
        <v>372</v>
      </c>
      <c r="G39" s="41" t="s">
        <v>373</v>
      </c>
      <c r="H39" s="41" t="s">
        <v>374</v>
      </c>
      <c r="I39" s="137">
        <f>'Background Step 4.1.3'!S34</f>
        <v>9.5833319208941583E-3</v>
      </c>
      <c r="J39" s="137">
        <f>J55+J$44</f>
        <v>1.0089729598943895E-2</v>
      </c>
      <c r="K39" s="137">
        <f t="shared" ref="K39:L39" si="13">K55+K$44</f>
        <v>3.0179459197887788E-2</v>
      </c>
      <c r="L39" s="137">
        <f t="shared" si="13"/>
        <v>0.04</v>
      </c>
      <c r="M39" s="59">
        <f t="shared" ref="M39:P39" si="14">L39</f>
        <v>0.04</v>
      </c>
      <c r="N39" s="59">
        <f t="shared" si="14"/>
        <v>0.04</v>
      </c>
      <c r="O39" s="59">
        <f t="shared" si="14"/>
        <v>0.04</v>
      </c>
      <c r="P39" s="59">
        <f t="shared" si="14"/>
        <v>0.04</v>
      </c>
      <c r="Q39" s="248"/>
    </row>
    <row r="40" spans="3:17">
      <c r="C40" s="114" t="str">
        <f>C22</f>
        <v>Installation</v>
      </c>
      <c r="D40" s="41" t="s">
        <v>299</v>
      </c>
      <c r="E40" s="78">
        <f>'Tech costs'!D38</f>
        <v>0.13300000000000001</v>
      </c>
      <c r="F40" s="41" t="s">
        <v>372</v>
      </c>
      <c r="G40" s="41" t="s">
        <v>373</v>
      </c>
      <c r="H40" s="41" t="s">
        <v>374</v>
      </c>
      <c r="I40" s="137">
        <f>I38</f>
        <v>8.8384428262945E-3</v>
      </c>
      <c r="J40" s="137">
        <f>$I40/$I$39*J$55+J$44</f>
        <v>8.5282037522722894E-3</v>
      </c>
      <c r="K40" s="137">
        <f t="shared" ref="K40:L41" si="15">$I40/$I$39*K$55+K$44</f>
        <v>2.7056407504544577E-2</v>
      </c>
      <c r="L40" s="137">
        <f t="shared" si="15"/>
        <v>3.6113621542338499E-2</v>
      </c>
      <c r="M40" s="59">
        <f t="shared" ref="M40:P40" si="16">L40</f>
        <v>3.6113621542338499E-2</v>
      </c>
      <c r="N40" s="59">
        <f t="shared" si="16"/>
        <v>3.6113621542338499E-2</v>
      </c>
      <c r="O40" s="59">
        <f t="shared" si="16"/>
        <v>3.6113621542338499E-2</v>
      </c>
      <c r="P40" s="59">
        <f t="shared" si="16"/>
        <v>3.6113621542338499E-2</v>
      </c>
      <c r="Q40" s="248"/>
    </row>
    <row r="41" spans="3:17">
      <c r="C41" s="114" t="str">
        <f>C23</f>
        <v xml:space="preserve">O&amp;M </v>
      </c>
      <c r="D41" s="41" t="s">
        <v>299</v>
      </c>
      <c r="E41" s="78">
        <f>'Tech costs'!D41+'Tech costs'!D40</f>
        <v>0.32450000000000001</v>
      </c>
      <c r="F41" s="41" t="s">
        <v>372</v>
      </c>
      <c r="G41" s="41" t="s">
        <v>373</v>
      </c>
      <c r="H41" s="41" t="s">
        <v>374</v>
      </c>
      <c r="I41" s="137">
        <f>I37</f>
        <v>1.2461729357129921E-2</v>
      </c>
      <c r="J41" s="137">
        <f>$I41/$I$39*J$55+J$44</f>
        <v>1.6123771480159928E-2</v>
      </c>
      <c r="K41" s="137">
        <f t="shared" si="15"/>
        <v>4.224754296031985E-2</v>
      </c>
      <c r="L41" s="137">
        <f t="shared" si="15"/>
        <v>5.5017727967660739E-2</v>
      </c>
      <c r="M41" s="59">
        <f t="shared" ref="M41:P41" si="17">L41</f>
        <v>5.5017727967660739E-2</v>
      </c>
      <c r="N41" s="59">
        <f t="shared" si="17"/>
        <v>5.5017727967660739E-2</v>
      </c>
      <c r="O41" s="59">
        <f t="shared" si="17"/>
        <v>5.5017727967660739E-2</v>
      </c>
      <c r="P41" s="59">
        <f t="shared" si="17"/>
        <v>5.5017727967660739E-2</v>
      </c>
      <c r="Q41" s="248"/>
    </row>
    <row r="43" spans="3:17">
      <c r="C43" s="47" t="s">
        <v>375</v>
      </c>
      <c r="D43" s="47" t="s">
        <v>24</v>
      </c>
      <c r="E43" s="47" t="s">
        <v>18</v>
      </c>
      <c r="F43" s="47" t="s">
        <v>8</v>
      </c>
      <c r="G43" s="47" t="s">
        <v>234</v>
      </c>
      <c r="H43" s="47" t="s">
        <v>235</v>
      </c>
      <c r="I43" s="47">
        <v>2015</v>
      </c>
      <c r="J43" s="47">
        <v>2020</v>
      </c>
      <c r="K43" s="47">
        <v>2025</v>
      </c>
      <c r="L43" s="47">
        <v>2030</v>
      </c>
      <c r="M43" s="47">
        <v>2035</v>
      </c>
      <c r="N43" s="47">
        <v>2040</v>
      </c>
      <c r="O43" s="47">
        <v>2045</v>
      </c>
      <c r="P43" s="47">
        <v>2050</v>
      </c>
    </row>
    <row r="44" spans="3:17">
      <c r="C44" s="48" t="s">
        <v>381</v>
      </c>
      <c r="D44" s="48" t="s">
        <v>299</v>
      </c>
      <c r="E44" s="48" t="s">
        <v>377</v>
      </c>
      <c r="F44" s="48" t="s">
        <v>378</v>
      </c>
      <c r="G44" s="48"/>
      <c r="H44" s="41" t="s">
        <v>374</v>
      </c>
      <c r="I44" s="48"/>
      <c r="J44" s="59">
        <v>-0.01</v>
      </c>
      <c r="K44" s="59">
        <v>-0.01</v>
      </c>
      <c r="L44" s="59">
        <v>-0.01</v>
      </c>
      <c r="M44" s="59">
        <v>-0.01</v>
      </c>
      <c r="N44" s="59">
        <v>-0.01</v>
      </c>
      <c r="O44" s="59">
        <v>-0.01</v>
      </c>
      <c r="P44" s="59">
        <v>-0.01</v>
      </c>
    </row>
    <row r="48" spans="3:17">
      <c r="C48" s="1" t="s">
        <v>382</v>
      </c>
    </row>
    <row r="49" spans="3:17">
      <c r="C49" s="47" t="s">
        <v>137</v>
      </c>
      <c r="D49" s="47" t="s">
        <v>24</v>
      </c>
      <c r="E49" s="47" t="s">
        <v>18</v>
      </c>
      <c r="F49" s="47" t="s">
        <v>8</v>
      </c>
      <c r="G49" s="47" t="s">
        <v>234</v>
      </c>
      <c r="H49" s="47" t="s">
        <v>235</v>
      </c>
      <c r="I49" s="47">
        <v>2015</v>
      </c>
      <c r="J49" s="47">
        <v>2020</v>
      </c>
      <c r="K49" s="47">
        <v>2025</v>
      </c>
      <c r="L49" s="47">
        <v>2030</v>
      </c>
      <c r="M49" s="47">
        <v>2035</v>
      </c>
      <c r="N49" s="47">
        <v>2040</v>
      </c>
      <c r="O49" s="47">
        <v>2045</v>
      </c>
      <c r="P49" s="47">
        <v>2050</v>
      </c>
    </row>
    <row r="50" spans="3:17">
      <c r="C50" s="48" t="s">
        <v>148</v>
      </c>
      <c r="D50" s="41" t="s">
        <v>299</v>
      </c>
      <c r="E50" s="48" t="s">
        <v>377</v>
      </c>
      <c r="F50" s="49"/>
      <c r="G50" s="49" t="s">
        <v>357</v>
      </c>
      <c r="H50" s="49" t="s">
        <v>357</v>
      </c>
      <c r="I50" s="246">
        <f>'Background Step 4.1.3'!J43</f>
        <v>2.435917167350744E-2</v>
      </c>
      <c r="J50" s="245">
        <f>(I50+L50)/3</f>
        <v>7.4786390557835813E-2</v>
      </c>
      <c r="K50" s="245">
        <f>2*(I50+L50)/3</f>
        <v>0.14957278111567163</v>
      </c>
      <c r="L50" s="245">
        <v>0.2</v>
      </c>
      <c r="M50" s="245">
        <f>L50</f>
        <v>0.2</v>
      </c>
      <c r="N50" s="245">
        <f t="shared" ref="N50:P50" si="18">M50</f>
        <v>0.2</v>
      </c>
      <c r="O50" s="245">
        <f t="shared" si="18"/>
        <v>0.2</v>
      </c>
      <c r="P50" s="245">
        <f t="shared" si="18"/>
        <v>0.2</v>
      </c>
    </row>
    <row r="51" spans="3:17">
      <c r="C51" s="52"/>
      <c r="E51" s="52"/>
      <c r="F51" s="214"/>
      <c r="G51" s="214"/>
      <c r="H51" s="215"/>
      <c r="I51" s="217"/>
      <c r="J51" s="217"/>
      <c r="K51" s="217"/>
      <c r="L51" s="217"/>
      <c r="M51" s="217"/>
      <c r="N51" s="217"/>
      <c r="O51" s="217"/>
      <c r="P51" s="217"/>
    </row>
    <row r="52" spans="3:17">
      <c r="C52" s="52"/>
      <c r="E52" s="52"/>
      <c r="F52" s="214"/>
      <c r="G52" s="214"/>
      <c r="H52" s="215"/>
      <c r="I52" s="216"/>
      <c r="J52" s="216"/>
      <c r="K52" s="216"/>
      <c r="L52" s="216"/>
      <c r="M52" s="216"/>
      <c r="N52" s="216"/>
      <c r="O52" s="216"/>
      <c r="P52" s="216"/>
    </row>
    <row r="53" spans="3:17">
      <c r="C53" s="1" t="s">
        <v>265</v>
      </c>
    </row>
    <row r="54" spans="3:17">
      <c r="C54" s="47" t="s">
        <v>137</v>
      </c>
      <c r="D54" s="47" t="s">
        <v>24</v>
      </c>
      <c r="E54" s="47" t="s">
        <v>18</v>
      </c>
      <c r="F54" s="47" t="s">
        <v>8</v>
      </c>
      <c r="G54" s="47" t="s">
        <v>234</v>
      </c>
      <c r="H54" s="47" t="s">
        <v>235</v>
      </c>
      <c r="I54" s="47">
        <v>2015</v>
      </c>
      <c r="J54" s="47">
        <v>2020</v>
      </c>
      <c r="K54" s="47">
        <v>2025</v>
      </c>
      <c r="L54" s="47">
        <v>2030</v>
      </c>
      <c r="M54" s="47">
        <v>2035</v>
      </c>
      <c r="N54" s="47">
        <v>2040</v>
      </c>
      <c r="O54" s="47">
        <v>2045</v>
      </c>
      <c r="P54" s="47">
        <v>2050</v>
      </c>
    </row>
    <row r="55" spans="3:17">
      <c r="C55" s="48" t="s">
        <v>148</v>
      </c>
      <c r="D55" s="41" t="s">
        <v>299</v>
      </c>
      <c r="E55" s="48" t="s">
        <v>377</v>
      </c>
      <c r="F55" s="49"/>
      <c r="G55" s="49" t="s">
        <v>357</v>
      </c>
      <c r="H55" s="49" t="s">
        <v>357</v>
      </c>
      <c r="I55" s="245">
        <f>'Background Step 4.1.3'!J48</f>
        <v>1.0269188796831686E-2</v>
      </c>
      <c r="J55" s="246">
        <f>(I55+L55)/3</f>
        <v>2.0089729598943895E-2</v>
      </c>
      <c r="K55" s="246">
        <f>2*(I55+L55)/3</f>
        <v>4.017945919788779E-2</v>
      </c>
      <c r="L55" s="245">
        <v>0.05</v>
      </c>
      <c r="M55" s="245">
        <f>L55</f>
        <v>0.05</v>
      </c>
      <c r="N55" s="245">
        <f t="shared" ref="N55:P55" si="19">M55</f>
        <v>0.05</v>
      </c>
      <c r="O55" s="245">
        <f t="shared" si="19"/>
        <v>0.05</v>
      </c>
      <c r="P55" s="245">
        <f t="shared" si="19"/>
        <v>0.05</v>
      </c>
      <c r="Q55" s="75"/>
    </row>
    <row r="56" spans="3:17">
      <c r="C56" s="52"/>
      <c r="E56" s="52"/>
      <c r="F56" s="214"/>
      <c r="G56" s="214"/>
      <c r="H56" s="215"/>
      <c r="I56" s="217"/>
      <c r="J56" s="217"/>
      <c r="K56" s="217"/>
      <c r="L56" s="217"/>
      <c r="M56" s="217"/>
      <c r="N56" s="217"/>
      <c r="O56" s="217"/>
      <c r="P56" s="217"/>
      <c r="Q56" s="75"/>
    </row>
  </sheetData>
  <conditionalFormatting sqref="A1:XFD10 F15 B19:B23 B37:B41 D31:D41 A11:A41 A53:XFD53 A49:B52 Q49:XFD52 A54:B56 Q54:XFD56 A57:XFD1048576 D20:D23 E39:E41 G20:G23 R14:XFD14 Q11:XFD13 A42:XFD42 Q15:XFD31 Q33:XFD41 R32:XFD32 G38:G41 B24:P24 B28:P30 B25:B27 J26:P27 A45:XFD48 I23 J37:L39">
    <cfRule type="expression" dxfId="194" priority="64">
      <formula>_xlfn.ISFORMULA(A1)</formula>
    </cfRule>
  </conditionalFormatting>
  <conditionalFormatting sqref="B31:B33 B34:C36 E34:P36 D19:E19 G19:I19 G37 E32 I20:I22 E37:E38 I37:I39 E31:P31 E20:E23 B16:P18 B11:P13 I32 B14:F15">
    <cfRule type="expression" dxfId="193" priority="62">
      <formula>_xlfn.ISFORMULA(B11)</formula>
    </cfRule>
  </conditionalFormatting>
  <conditionalFormatting sqref="C31:C32">
    <cfRule type="expression" dxfId="192" priority="61">
      <formula>_xlfn.ISFORMULA(C31)</formula>
    </cfRule>
  </conditionalFormatting>
  <conditionalFormatting sqref="C33 E33">
    <cfRule type="expression" dxfId="191" priority="60">
      <formula>_xlfn.ISFORMULA(C33)</formula>
    </cfRule>
  </conditionalFormatting>
  <conditionalFormatting sqref="I33:P33">
    <cfRule type="expression" dxfId="190" priority="51">
      <formula>_xlfn.ISFORMULA(I33)</formula>
    </cfRule>
  </conditionalFormatting>
  <conditionalFormatting sqref="F14">
    <cfRule type="expression" dxfId="189" priority="45">
      <formula>_xlfn.ISFORMULA(F14)</formula>
    </cfRule>
  </conditionalFormatting>
  <conditionalFormatting sqref="I41">
    <cfRule type="expression" dxfId="188" priority="35">
      <formula>_xlfn.ISFORMULA(I41)</formula>
    </cfRule>
  </conditionalFormatting>
  <conditionalFormatting sqref="J32:P32">
    <cfRule type="expression" dxfId="187" priority="39">
      <formula>_xlfn.ISFORMULA(J32)</formula>
    </cfRule>
  </conditionalFormatting>
  <conditionalFormatting sqref="M19:P23 J19:L19 J20:J23">
    <cfRule type="expression" dxfId="186" priority="32">
      <formula>_xlfn.ISFORMULA(J19)</formula>
    </cfRule>
  </conditionalFormatting>
  <conditionalFormatting sqref="J14:P14">
    <cfRule type="expression" dxfId="185" priority="27">
      <formula>_xlfn.ISFORMULA(J14)</formula>
    </cfRule>
  </conditionalFormatting>
  <conditionalFormatting sqref="K20:L20 K22:L22">
    <cfRule type="expression" dxfId="184" priority="36">
      <formula>_xlfn.ISFORMULA(K20)</formula>
    </cfRule>
  </conditionalFormatting>
  <conditionalFormatting sqref="I40">
    <cfRule type="expression" dxfId="183" priority="34">
      <formula>_xlfn.ISFORMULA(I40)</formula>
    </cfRule>
  </conditionalFormatting>
  <conditionalFormatting sqref="I14">
    <cfRule type="expression" dxfId="182" priority="29">
      <formula>_xlfn.ISFORMULA(I14)</formula>
    </cfRule>
  </conditionalFormatting>
  <conditionalFormatting sqref="Q14">
    <cfRule type="expression" dxfId="181" priority="26">
      <formula>_xlfn.ISFORMULA(Q14)</formula>
    </cfRule>
  </conditionalFormatting>
  <conditionalFormatting sqref="I15:P15">
    <cfRule type="expression" dxfId="180" priority="28">
      <formula>_xlfn.ISFORMULA(I15)</formula>
    </cfRule>
  </conditionalFormatting>
  <conditionalFormatting sqref="K21:L21">
    <cfRule type="expression" dxfId="179" priority="25">
      <formula>_xlfn.ISFORMULA(K21)</formula>
    </cfRule>
  </conditionalFormatting>
  <conditionalFormatting sqref="K23:L23">
    <cfRule type="expression" dxfId="178" priority="24">
      <formula>_xlfn.ISFORMULA(K23)</formula>
    </cfRule>
  </conditionalFormatting>
  <conditionalFormatting sqref="M37:P41">
    <cfRule type="expression" dxfId="177" priority="22">
      <formula>_xlfn.ISFORMULA(M37)</formula>
    </cfRule>
  </conditionalFormatting>
  <conditionalFormatting sqref="Q32">
    <cfRule type="expression" dxfId="176" priority="20">
      <formula>_xlfn.ISFORMULA(Q32)</formula>
    </cfRule>
  </conditionalFormatting>
  <conditionalFormatting sqref="D25:P25">
    <cfRule type="expression" dxfId="175" priority="19">
      <formula>_xlfn.ISFORMULA(D25)</formula>
    </cfRule>
  </conditionalFormatting>
  <conditionalFormatting sqref="C25">
    <cfRule type="expression" dxfId="174" priority="18">
      <formula>_xlfn.ISFORMULA(C25)</formula>
    </cfRule>
  </conditionalFormatting>
  <conditionalFormatting sqref="Q43:XFD44 A43:B44 J44:P44">
    <cfRule type="expression" dxfId="173" priority="17">
      <formula>_xlfn.ISFORMULA(A43)</formula>
    </cfRule>
  </conditionalFormatting>
  <conditionalFormatting sqref="D43:P43">
    <cfRule type="expression" dxfId="172" priority="16">
      <formula>_xlfn.ISFORMULA(D43)</formula>
    </cfRule>
  </conditionalFormatting>
  <conditionalFormatting sqref="C43">
    <cfRule type="expression" dxfId="171" priority="15">
      <formula>_xlfn.ISFORMULA(C43)</formula>
    </cfRule>
  </conditionalFormatting>
  <conditionalFormatting sqref="H20:H23">
    <cfRule type="expression" dxfId="170" priority="14">
      <formula>_xlfn.ISFORMULA(H20)</formula>
    </cfRule>
  </conditionalFormatting>
  <conditionalFormatting sqref="H26">
    <cfRule type="expression" dxfId="169" priority="13">
      <formula>_xlfn.ISFORMULA(H26)</formula>
    </cfRule>
  </conditionalFormatting>
  <conditionalFormatting sqref="H27">
    <cfRule type="expression" dxfId="168" priority="12">
      <formula>_xlfn.ISFORMULA(H27)</formula>
    </cfRule>
  </conditionalFormatting>
  <conditionalFormatting sqref="H37:H41">
    <cfRule type="expression" dxfId="167" priority="11">
      <formula>_xlfn.ISFORMULA(H37)</formula>
    </cfRule>
  </conditionalFormatting>
  <conditionalFormatting sqref="H44">
    <cfRule type="expression" dxfId="166" priority="10">
      <formula>_xlfn.ISFORMULA(H44)</formula>
    </cfRule>
  </conditionalFormatting>
  <conditionalFormatting sqref="J40:L40">
    <cfRule type="expression" dxfId="165" priority="9">
      <formula>_xlfn.ISFORMULA(J40)</formula>
    </cfRule>
  </conditionalFormatting>
  <conditionalFormatting sqref="J41:L41">
    <cfRule type="expression" dxfId="164" priority="8">
      <formula>_xlfn.ISFORMULA(J41)</formula>
    </cfRule>
  </conditionalFormatting>
  <conditionalFormatting sqref="F15">
    <cfRule type="expression" dxfId="163" priority="7">
      <formula>_xlfn.ISFORMULA(F15)</formula>
    </cfRule>
  </conditionalFormatting>
  <conditionalFormatting sqref="F19:F23">
    <cfRule type="expression" dxfId="162" priority="6">
      <formula>_xlfn.ISFORMULA(F19)</formula>
    </cfRule>
  </conditionalFormatting>
  <conditionalFormatting sqref="F19:F23">
    <cfRule type="expression" dxfId="161" priority="5">
      <formula>_xlfn.ISFORMULA(F19)</formula>
    </cfRule>
  </conditionalFormatting>
  <conditionalFormatting sqref="F32:F33">
    <cfRule type="expression" dxfId="160" priority="4">
      <formula>_xlfn.ISFORMULA(F32)</formula>
    </cfRule>
  </conditionalFormatting>
  <conditionalFormatting sqref="F32:F33">
    <cfRule type="expression" dxfId="159" priority="3">
      <formula>_xlfn.ISFORMULA(F32)</formula>
    </cfRule>
  </conditionalFormatting>
  <conditionalFormatting sqref="F37:F41">
    <cfRule type="expression" dxfId="158" priority="2">
      <formula>_xlfn.ISFORMULA(F37)</formula>
    </cfRule>
  </conditionalFormatting>
  <conditionalFormatting sqref="F37:F41">
    <cfRule type="expression" dxfId="157" priority="1">
      <formula>_xlfn.ISFORMULA(F37)</formula>
    </cfRule>
  </conditionalFormatting>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7606-6BDC-448E-BF6F-5D5FC86024BC}">
  <sheetPr codeName="Sheet15">
    <tabColor theme="9" tint="0.39997558519241921"/>
  </sheetPr>
  <dimension ref="B1:E108"/>
  <sheetViews>
    <sheetView workbookViewId="0">
      <selection activeCell="I22" sqref="I22"/>
    </sheetView>
  </sheetViews>
  <sheetFormatPr defaultColWidth="8.81640625" defaultRowHeight="14"/>
  <cols>
    <col min="1" max="1" width="8" style="1" customWidth="1"/>
    <col min="2" max="2" width="19.81640625" style="1" customWidth="1"/>
    <col min="3" max="3" width="25.7265625" style="1" customWidth="1"/>
    <col min="4" max="4" width="12" style="1" customWidth="1"/>
    <col min="5" max="16384" width="8.81640625" style="1"/>
  </cols>
  <sheetData>
    <row r="1" spans="2:5" s="3" customFormat="1" ht="49.5" customHeight="1">
      <c r="B1" s="304" t="s">
        <v>369</v>
      </c>
      <c r="C1" s="304"/>
      <c r="D1" s="304"/>
      <c r="E1" s="304"/>
    </row>
    <row r="8" spans="2:5" s="120" customFormat="1">
      <c r="B8" s="120" t="s">
        <v>383</v>
      </c>
    </row>
    <row r="11" spans="2:5">
      <c r="C11" s="2" t="s">
        <v>370</v>
      </c>
      <c r="D11" s="2"/>
    </row>
    <row r="12" spans="2:5" ht="14.5">
      <c r="C12" s="45" t="s">
        <v>243</v>
      </c>
    </row>
    <row r="13" spans="2:5">
      <c r="B13" s="47" t="s">
        <v>137</v>
      </c>
      <c r="C13" s="47" t="s">
        <v>338</v>
      </c>
      <c r="D13" s="47" t="s">
        <v>24</v>
      </c>
      <c r="E13" s="47">
        <v>2015</v>
      </c>
    </row>
    <row r="14" spans="2:5">
      <c r="B14" s="58" t="s">
        <v>148</v>
      </c>
      <c r="C14" s="41" t="s">
        <v>339</v>
      </c>
      <c r="D14" s="41" t="s">
        <v>299</v>
      </c>
      <c r="E14" s="137">
        <f>'Background Step 4.1.3'!$J$89</f>
        <v>0.18051335622455655</v>
      </c>
    </row>
    <row r="15" spans="2:5">
      <c r="C15" s="41" t="s">
        <v>307</v>
      </c>
      <c r="D15" s="41" t="s">
        <v>299</v>
      </c>
      <c r="E15" s="137" t="s">
        <v>357</v>
      </c>
    </row>
    <row r="17" spans="2:5" ht="14.5">
      <c r="C17" s="45" t="s">
        <v>341</v>
      </c>
    </row>
    <row r="18" spans="2:5">
      <c r="C18" s="47" t="s">
        <v>283</v>
      </c>
      <c r="D18" s="47" t="s">
        <v>24</v>
      </c>
      <c r="E18" s="47">
        <v>2015</v>
      </c>
    </row>
    <row r="19" spans="2:5">
      <c r="C19" s="48" t="s">
        <v>285</v>
      </c>
      <c r="D19" s="41" t="s">
        <v>299</v>
      </c>
      <c r="E19" s="137">
        <f>'Background Step 4.1.3'!N88</f>
        <v>0.1920878940507954</v>
      </c>
    </row>
    <row r="20" spans="2:5">
      <c r="C20" s="41" t="s">
        <v>327</v>
      </c>
      <c r="D20" s="41" t="s">
        <v>299</v>
      </c>
      <c r="E20" s="137">
        <f>'Background Step 4.1.3'!N89</f>
        <v>0.1508821369654807</v>
      </c>
    </row>
    <row r="21" spans="2:5">
      <c r="C21" s="41" t="s">
        <v>320</v>
      </c>
      <c r="D21" s="41" t="s">
        <v>299</v>
      </c>
      <c r="E21" s="137">
        <f>'Background Step 4.1.3'!N90</f>
        <v>0.1816103912020659</v>
      </c>
    </row>
    <row r="22" spans="2:5">
      <c r="C22" s="41" t="s">
        <v>317</v>
      </c>
      <c r="D22" s="41" t="s">
        <v>299</v>
      </c>
      <c r="E22" s="137" t="s">
        <v>357</v>
      </c>
    </row>
    <row r="23" spans="2:5">
      <c r="C23" s="105" t="s">
        <v>280</v>
      </c>
      <c r="D23" s="41" t="s">
        <v>299</v>
      </c>
      <c r="E23" s="137" t="s">
        <v>357</v>
      </c>
    </row>
    <row r="27" spans="2:5">
      <c r="C27" s="2" t="s">
        <v>380</v>
      </c>
    </row>
    <row r="28" spans="2:5" ht="14.5">
      <c r="C28" s="45" t="s">
        <v>243</v>
      </c>
    </row>
    <row r="29" spans="2:5">
      <c r="B29" s="47" t="s">
        <v>137</v>
      </c>
      <c r="C29" s="47" t="s">
        <v>338</v>
      </c>
      <c r="D29" s="47" t="s">
        <v>24</v>
      </c>
      <c r="E29" s="47">
        <v>2015</v>
      </c>
    </row>
    <row r="30" spans="2:5">
      <c r="B30" s="41" t="s">
        <v>257</v>
      </c>
      <c r="C30" s="41" t="s">
        <v>339</v>
      </c>
      <c r="D30" s="41" t="s">
        <v>299</v>
      </c>
      <c r="E30" s="137">
        <f>'Background Step 4.1.3'!$J$94</f>
        <v>8.2652890584147848E-2</v>
      </c>
    </row>
    <row r="31" spans="2:5">
      <c r="C31" s="41" t="s">
        <v>307</v>
      </c>
      <c r="D31" s="41" t="s">
        <v>299</v>
      </c>
      <c r="E31" s="138" t="str">
        <f>E39</f>
        <v>N/A</v>
      </c>
    </row>
    <row r="33" spans="2:5" ht="14.5">
      <c r="C33" s="45" t="s">
        <v>341</v>
      </c>
    </row>
    <row r="34" spans="2:5">
      <c r="C34" s="47" t="s">
        <v>283</v>
      </c>
      <c r="D34" s="47" t="s">
        <v>24</v>
      </c>
      <c r="E34" s="47">
        <v>2015</v>
      </c>
    </row>
    <row r="35" spans="2:5">
      <c r="C35" s="114" t="str">
        <f>C19</f>
        <v>Turbine</v>
      </c>
      <c r="D35" s="41" t="s">
        <v>299</v>
      </c>
      <c r="E35" s="137">
        <f>'Background Step 4.1.3'!O88</f>
        <v>0.11729377073665409</v>
      </c>
    </row>
    <row r="36" spans="2:5">
      <c r="C36" s="114" t="str">
        <f>C20</f>
        <v>foundations</v>
      </c>
      <c r="D36" s="41" t="s">
        <v>299</v>
      </c>
      <c r="E36" s="137">
        <f>'Background Step 4.1.3'!O89</f>
        <v>4.4329652068521352E-2</v>
      </c>
    </row>
    <row r="37" spans="2:5">
      <c r="C37" s="114" t="str">
        <f>C21</f>
        <v>Balance of system</v>
      </c>
      <c r="D37" s="41" t="s">
        <v>299</v>
      </c>
      <c r="E37" s="137">
        <f>'Background Step 4.1.3'!O90</f>
        <v>7.7299285739035939E-2</v>
      </c>
    </row>
    <row r="38" spans="2:5">
      <c r="C38" s="114" t="str">
        <f>C22</f>
        <v>Installation</v>
      </c>
      <c r="D38" s="41" t="s">
        <v>299</v>
      </c>
      <c r="E38" s="137" t="s">
        <v>357</v>
      </c>
    </row>
    <row r="39" spans="2:5">
      <c r="C39" s="114" t="str">
        <f>C23</f>
        <v xml:space="preserve">O&amp;M </v>
      </c>
      <c r="D39" s="41" t="s">
        <v>299</v>
      </c>
      <c r="E39" s="137" t="s">
        <v>357</v>
      </c>
    </row>
    <row r="43" spans="2:5" s="120" customFormat="1">
      <c r="B43" s="120" t="s">
        <v>384</v>
      </c>
    </row>
    <row r="46" spans="2:5">
      <c r="C46" s="2" t="s">
        <v>370</v>
      </c>
      <c r="D46" s="2"/>
    </row>
    <row r="47" spans="2:5" ht="14.5">
      <c r="C47" s="45" t="s">
        <v>243</v>
      </c>
    </row>
    <row r="48" spans="2:5">
      <c r="B48" s="47" t="s">
        <v>137</v>
      </c>
      <c r="C48" s="47" t="s">
        <v>338</v>
      </c>
      <c r="D48" s="47" t="s">
        <v>24</v>
      </c>
      <c r="E48" s="47">
        <v>2015</v>
      </c>
    </row>
    <row r="49" spans="2:5">
      <c r="B49" s="58" t="s">
        <v>148</v>
      </c>
      <c r="C49" s="41" t="s">
        <v>339</v>
      </c>
      <c r="D49" s="41" t="s">
        <v>299</v>
      </c>
      <c r="E49" s="137">
        <f>'Background Step 4.1.3'!$J$99</f>
        <v>7.0393304091733555E-2</v>
      </c>
    </row>
    <row r="50" spans="2:5">
      <c r="C50" s="41" t="s">
        <v>307</v>
      </c>
      <c r="D50" s="41" t="s">
        <v>299</v>
      </c>
      <c r="E50" s="137" t="s">
        <v>357</v>
      </c>
    </row>
    <row r="52" spans="2:5" ht="14.5">
      <c r="C52" s="45" t="s">
        <v>341</v>
      </c>
    </row>
    <row r="53" spans="2:5">
      <c r="C53" s="47" t="s">
        <v>283</v>
      </c>
      <c r="D53" s="47" t="s">
        <v>24</v>
      </c>
      <c r="E53" s="47">
        <v>2015</v>
      </c>
    </row>
    <row r="54" spans="2:5">
      <c r="C54" s="114" t="str">
        <f>C19</f>
        <v>Turbine</v>
      </c>
      <c r="D54" s="41" t="s">
        <v>299</v>
      </c>
      <c r="E54" s="202">
        <f>'Background Step 4.1.3'!N98</f>
        <v>0.1350998558183007</v>
      </c>
    </row>
    <row r="55" spans="2:5">
      <c r="C55" s="114" t="str">
        <f>C20</f>
        <v>foundations</v>
      </c>
      <c r="D55" s="41" t="s">
        <v>299</v>
      </c>
      <c r="E55" s="202">
        <f>'Background Step 4.1.3'!N99</f>
        <v>2.7110230873667585E-2</v>
      </c>
    </row>
    <row r="56" spans="2:5">
      <c r="C56" s="114" t="str">
        <f>C21</f>
        <v>Balance of system</v>
      </c>
      <c r="D56" s="41" t="s">
        <v>299</v>
      </c>
      <c r="E56" s="202">
        <f>'Background Step 4.1.3'!N100</f>
        <v>2.2278994849332892E-2</v>
      </c>
    </row>
    <row r="57" spans="2:5">
      <c r="C57" s="114" t="str">
        <f>C22</f>
        <v>Installation</v>
      </c>
      <c r="D57" s="41" t="s">
        <v>299</v>
      </c>
      <c r="E57" s="137" t="s">
        <v>357</v>
      </c>
    </row>
    <row r="58" spans="2:5">
      <c r="C58" s="114" t="str">
        <f>C23</f>
        <v xml:space="preserve">O&amp;M </v>
      </c>
      <c r="D58" s="41" t="s">
        <v>299</v>
      </c>
      <c r="E58" s="137" t="s">
        <v>357</v>
      </c>
    </row>
    <row r="62" spans="2:5">
      <c r="C62" s="2" t="s">
        <v>380</v>
      </c>
    </row>
    <row r="63" spans="2:5" ht="14.5">
      <c r="C63" s="45" t="s">
        <v>243</v>
      </c>
    </row>
    <row r="64" spans="2:5">
      <c r="B64" s="47" t="s">
        <v>137</v>
      </c>
      <c r="C64" s="47" t="s">
        <v>338</v>
      </c>
      <c r="D64" s="47" t="s">
        <v>24</v>
      </c>
      <c r="E64" s="47">
        <v>2015</v>
      </c>
    </row>
    <row r="65" spans="2:5">
      <c r="B65" s="41" t="s">
        <v>257</v>
      </c>
      <c r="C65" s="41" t="s">
        <v>339</v>
      </c>
      <c r="D65" s="41" t="s">
        <v>299</v>
      </c>
      <c r="E65" s="137">
        <f>'Background Step 4.1.3'!$J$104</f>
        <v>1.1541210493966942E-2</v>
      </c>
    </row>
    <row r="66" spans="2:5">
      <c r="C66" s="41" t="s">
        <v>307</v>
      </c>
      <c r="D66" s="41" t="s">
        <v>299</v>
      </c>
      <c r="E66" s="137" t="s">
        <v>357</v>
      </c>
    </row>
    <row r="68" spans="2:5" ht="14.5">
      <c r="C68" s="45" t="s">
        <v>341</v>
      </c>
    </row>
    <row r="69" spans="2:5">
      <c r="C69" s="47" t="s">
        <v>283</v>
      </c>
      <c r="D69" s="47" t="s">
        <v>24</v>
      </c>
      <c r="E69" s="47">
        <v>2015</v>
      </c>
    </row>
    <row r="70" spans="2:5">
      <c r="C70" s="114" t="str">
        <f>C19</f>
        <v>Turbine</v>
      </c>
      <c r="D70" s="41" t="s">
        <v>299</v>
      </c>
      <c r="E70" s="202">
        <f>'Background Step 4.1.3'!O98</f>
        <v>2.6336066548779222E-2</v>
      </c>
    </row>
    <row r="71" spans="2:5">
      <c r="C71" s="114" t="str">
        <f>C20</f>
        <v>foundations</v>
      </c>
      <c r="D71" s="41" t="s">
        <v>299</v>
      </c>
      <c r="E71" s="202">
        <f>'Background Step 4.1.3'!O99</f>
        <v>4.9976918416457022E-3</v>
      </c>
    </row>
    <row r="72" spans="2:5">
      <c r="C72" s="114" t="str">
        <f>C21</f>
        <v>Balance of system</v>
      </c>
      <c r="D72" s="41" t="s">
        <v>299</v>
      </c>
      <c r="E72" s="202">
        <f>'Background Step 4.1.3'!O100</f>
        <v>5.8280966565157624E-3</v>
      </c>
    </row>
    <row r="73" spans="2:5">
      <c r="C73" s="114" t="str">
        <f>C22</f>
        <v>Installation</v>
      </c>
      <c r="D73" s="41" t="s">
        <v>299</v>
      </c>
      <c r="E73" s="137" t="s">
        <v>357</v>
      </c>
    </row>
    <row r="74" spans="2:5">
      <c r="C74" s="114" t="str">
        <f t="shared" ref="C74" si="0">C23</f>
        <v xml:space="preserve">O&amp;M </v>
      </c>
      <c r="D74" s="41" t="s">
        <v>299</v>
      </c>
      <c r="E74" s="137" t="s">
        <v>357</v>
      </c>
    </row>
    <row r="77" spans="2:5" s="120" customFormat="1">
      <c r="B77" s="120" t="s">
        <v>385</v>
      </c>
      <c r="C77" s="120" t="s">
        <v>386</v>
      </c>
    </row>
    <row r="80" spans="2:5">
      <c r="C80" s="2" t="s">
        <v>370</v>
      </c>
      <c r="D80" s="2"/>
    </row>
    <row r="81" spans="2:5" ht="14.5">
      <c r="C81" s="45" t="s">
        <v>243</v>
      </c>
    </row>
    <row r="82" spans="2:5">
      <c r="B82" s="47" t="s">
        <v>137</v>
      </c>
      <c r="C82" s="47" t="s">
        <v>338</v>
      </c>
      <c r="D82" s="47" t="s">
        <v>24</v>
      </c>
      <c r="E82" s="47">
        <v>2015</v>
      </c>
    </row>
    <row r="83" spans="2:5">
      <c r="B83" s="58" t="s">
        <v>148</v>
      </c>
      <c r="C83" s="41" t="s">
        <v>339</v>
      </c>
      <c r="D83" s="41" t="s">
        <v>299</v>
      </c>
      <c r="E83" s="59">
        <f>'Background Step 4.1.3'!J145</f>
        <v>2.285194169136236E-2</v>
      </c>
    </row>
    <row r="84" spans="2:5">
      <c r="C84" s="41" t="s">
        <v>307</v>
      </c>
      <c r="D84" s="41" t="s">
        <v>299</v>
      </c>
      <c r="E84" s="137" t="s">
        <v>357</v>
      </c>
    </row>
    <row r="86" spans="2:5" ht="14.5">
      <c r="C86" s="45" t="s">
        <v>341</v>
      </c>
    </row>
    <row r="87" spans="2:5">
      <c r="C87" s="47" t="s">
        <v>283</v>
      </c>
      <c r="D87" s="47" t="s">
        <v>24</v>
      </c>
      <c r="E87" s="47">
        <v>2015</v>
      </c>
    </row>
    <row r="88" spans="2:5">
      <c r="C88" s="94" t="str">
        <f>C19</f>
        <v>Turbine</v>
      </c>
      <c r="D88" s="41" t="s">
        <v>299</v>
      </c>
      <c r="E88" s="137">
        <f>'Background Step 4.1.3'!R135</f>
        <v>2.7729600758072175E-2</v>
      </c>
    </row>
    <row r="89" spans="2:5">
      <c r="C89" s="94" t="str">
        <f>C20</f>
        <v>foundations</v>
      </c>
      <c r="D89" s="41" t="s">
        <v>299</v>
      </c>
      <c r="E89" s="137">
        <f>'Background Step 4.1.3'!R136</f>
        <v>3.6220887134648981E-3</v>
      </c>
    </row>
    <row r="90" spans="2:5">
      <c r="C90" s="94" t="str">
        <f>C21</f>
        <v>Balance of system</v>
      </c>
      <c r="D90" s="41" t="s">
        <v>299</v>
      </c>
      <c r="E90" s="137">
        <f>'Background Step 4.1.3'!R137</f>
        <v>2.66008310751591E-2</v>
      </c>
    </row>
    <row r="91" spans="2:5">
      <c r="C91" s="94" t="str">
        <f>C22</f>
        <v>Installation</v>
      </c>
      <c r="D91" s="41" t="s">
        <v>299</v>
      </c>
      <c r="E91" s="137" t="s">
        <v>357</v>
      </c>
    </row>
    <row r="92" spans="2:5">
      <c r="C92" s="94" t="str">
        <f t="shared" ref="C92" si="1">C23</f>
        <v xml:space="preserve">O&amp;M </v>
      </c>
      <c r="D92" s="41" t="s">
        <v>299</v>
      </c>
      <c r="E92" s="137" t="s">
        <v>357</v>
      </c>
    </row>
    <row r="96" spans="2:5">
      <c r="C96" s="2" t="s">
        <v>380</v>
      </c>
    </row>
    <row r="97" spans="2:5" ht="14.5">
      <c r="C97" s="45" t="s">
        <v>243</v>
      </c>
    </row>
    <row r="98" spans="2:5">
      <c r="B98" s="47" t="s">
        <v>137</v>
      </c>
      <c r="C98" s="47" t="s">
        <v>338</v>
      </c>
      <c r="D98" s="47" t="s">
        <v>24</v>
      </c>
      <c r="E98" s="47">
        <v>2015</v>
      </c>
    </row>
    <row r="99" spans="2:5">
      <c r="B99" s="41" t="s">
        <v>257</v>
      </c>
      <c r="C99" s="41" t="s">
        <v>339</v>
      </c>
      <c r="D99" s="41" t="s">
        <v>299</v>
      </c>
      <c r="E99" s="59">
        <f>'Background Step 4.1.3'!J150</f>
        <v>6.2480963849551714E-2</v>
      </c>
    </row>
    <row r="100" spans="2:5">
      <c r="C100" s="41" t="s">
        <v>307</v>
      </c>
      <c r="D100" s="41" t="s">
        <v>299</v>
      </c>
      <c r="E100" s="137" t="s">
        <v>357</v>
      </c>
    </row>
    <row r="102" spans="2:5" ht="14.5">
      <c r="C102" s="45" t="s">
        <v>341</v>
      </c>
    </row>
    <row r="103" spans="2:5">
      <c r="C103" s="47" t="s">
        <v>283</v>
      </c>
      <c r="D103" s="47" t="s">
        <v>24</v>
      </c>
      <c r="E103" s="47">
        <v>2015</v>
      </c>
    </row>
    <row r="104" spans="2:5">
      <c r="C104" s="94" t="str">
        <f>C19</f>
        <v>Turbine</v>
      </c>
      <c r="D104" s="41" t="s">
        <v>299</v>
      </c>
      <c r="E104" s="137">
        <f>'Background Step 4.1.3'!S135</f>
        <v>9.2190500204600956E-2</v>
      </c>
    </row>
    <row r="105" spans="2:5">
      <c r="C105" s="94" t="str">
        <f>C20</f>
        <v>foundations</v>
      </c>
      <c r="D105" s="41" t="s">
        <v>299</v>
      </c>
      <c r="E105" s="137">
        <f>'Background Step 4.1.3'!S136</f>
        <v>3.2272883983876635E-2</v>
      </c>
    </row>
    <row r="106" spans="2:5">
      <c r="C106" s="94" t="str">
        <f>C21</f>
        <v>Balance of system</v>
      </c>
      <c r="D106" s="41" t="s">
        <v>299</v>
      </c>
      <c r="E106" s="137">
        <f>'Background Step 4.1.3'!S137</f>
        <v>5.6246687798100985E-2</v>
      </c>
    </row>
    <row r="107" spans="2:5">
      <c r="C107" s="94" t="str">
        <f>C22</f>
        <v>Installation</v>
      </c>
      <c r="D107" s="41" t="s">
        <v>299</v>
      </c>
      <c r="E107" s="137" t="s">
        <v>357</v>
      </c>
    </row>
    <row r="108" spans="2:5">
      <c r="C108" s="94" t="str">
        <f t="shared" ref="C108" si="2">C23</f>
        <v xml:space="preserve">O&amp;M </v>
      </c>
      <c r="D108" s="41" t="s">
        <v>299</v>
      </c>
      <c r="E108" s="137" t="s">
        <v>357</v>
      </c>
    </row>
  </sheetData>
  <conditionalFormatting sqref="B19:B23 B35:B39 D29:D39 A11:A39 F11:XFD39 B54:B58 B70:B74 D64:D74 A46:A74 F46:XFD74 B88:B92 B104:B108 D98:D108 A80:A108 F80:XFD108 D19:D23 D54:D58 B24:D28 B15:D18 B59:D63 B50:D50 B84:D84 E67:E74 D88:D92 E101:E108 B11:E14 E16:E39 B46:E49 E54:E65 B51:E53 B93:D97 B80:E83 E88:E99 B85:E87 A1:XFD10 A75:XFD79 A109:XFD1048576 A40:XFD45">
    <cfRule type="expression" dxfId="156" priority="25">
      <formula>_xlfn.ISFORMULA(A1)</formula>
    </cfRule>
  </conditionalFormatting>
  <conditionalFormatting sqref="B29:B31 B32:C34">
    <cfRule type="expression" dxfId="155" priority="24">
      <formula>_xlfn.ISFORMULA(B29)</formula>
    </cfRule>
  </conditionalFormatting>
  <conditionalFormatting sqref="C29:C30">
    <cfRule type="expression" dxfId="154" priority="23">
      <formula>_xlfn.ISFORMULA(C29)</formula>
    </cfRule>
  </conditionalFormatting>
  <conditionalFormatting sqref="C31">
    <cfRule type="expression" dxfId="153" priority="22">
      <formula>_xlfn.ISFORMULA(C31)</formula>
    </cfRule>
  </conditionalFormatting>
  <conditionalFormatting sqref="B64:B66 B67:C69">
    <cfRule type="expression" dxfId="152" priority="19">
      <formula>_xlfn.ISFORMULA(B64)</formula>
    </cfRule>
  </conditionalFormatting>
  <conditionalFormatting sqref="C64:C65">
    <cfRule type="expression" dxfId="151" priority="18">
      <formula>_xlfn.ISFORMULA(C64)</formula>
    </cfRule>
  </conditionalFormatting>
  <conditionalFormatting sqref="C66">
    <cfRule type="expression" dxfId="150" priority="17">
      <formula>_xlfn.ISFORMULA(C66)</formula>
    </cfRule>
  </conditionalFormatting>
  <conditionalFormatting sqref="B98:B100 B101:C103">
    <cfRule type="expression" dxfId="149" priority="13">
      <formula>_xlfn.ISFORMULA(B98)</formula>
    </cfRule>
  </conditionalFormatting>
  <conditionalFormatting sqref="C98:C99">
    <cfRule type="expression" dxfId="148" priority="12">
      <formula>_xlfn.ISFORMULA(C98)</formula>
    </cfRule>
  </conditionalFormatting>
  <conditionalFormatting sqref="C100">
    <cfRule type="expression" dxfId="147" priority="11">
      <formula>_xlfn.ISFORMULA(C100)</formula>
    </cfRule>
  </conditionalFormatting>
  <conditionalFormatting sqref="E15">
    <cfRule type="expression" dxfId="146" priority="6">
      <formula>_xlfn.ISFORMULA(E15)</formula>
    </cfRule>
  </conditionalFormatting>
  <conditionalFormatting sqref="E50">
    <cfRule type="expression" dxfId="145" priority="1">
      <formula>_xlfn.ISFORMULA(E50)</formula>
    </cfRule>
  </conditionalFormatting>
  <conditionalFormatting sqref="E100">
    <cfRule type="expression" dxfId="144" priority="4">
      <formula>_xlfn.ISFORMULA(E100)</formula>
    </cfRule>
  </conditionalFormatting>
  <conditionalFormatting sqref="E84">
    <cfRule type="expression" dxfId="143" priority="3">
      <formula>_xlfn.ISFORMULA(E84)</formula>
    </cfRule>
  </conditionalFormatting>
  <conditionalFormatting sqref="E66">
    <cfRule type="expression" dxfId="142" priority="2">
      <formula>_xlfn.ISFORMULA(E66)</formula>
    </cfRule>
  </conditionalFormatting>
  <pageMargins left="0.7" right="0.7" top="0.75" bottom="0.75" header="0.3" footer="0.3"/>
  <pageSetup paperSize="9" orientation="portrait" horizontalDpi="4294967294" verticalDpi="4294967294"/>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sheetPr>
  <dimension ref="B1:L51"/>
  <sheetViews>
    <sheetView workbookViewId="0"/>
  </sheetViews>
  <sheetFormatPr defaultColWidth="8.81640625" defaultRowHeight="14"/>
  <cols>
    <col min="1" max="1" width="13" style="1" customWidth="1"/>
    <col min="2" max="2" width="16.453125" style="1" customWidth="1"/>
    <col min="3" max="3" width="19.81640625" style="1" customWidth="1"/>
    <col min="4" max="4" width="8.81640625" style="1"/>
    <col min="5" max="12" width="14.1796875" style="1" customWidth="1"/>
    <col min="13" max="16384" width="8.81640625" style="1"/>
  </cols>
  <sheetData>
    <row r="1" spans="2:12" s="3" customFormat="1" ht="49.5" customHeight="1">
      <c r="B1" s="304" t="s">
        <v>67</v>
      </c>
      <c r="C1" s="304"/>
      <c r="D1" s="304"/>
      <c r="E1" s="304"/>
      <c r="F1" s="304"/>
      <c r="G1" s="304"/>
      <c r="H1" s="304"/>
      <c r="I1" s="304"/>
      <c r="J1" s="304"/>
      <c r="K1" s="304"/>
      <c r="L1" s="304"/>
    </row>
    <row r="4" spans="2:12">
      <c r="K4" s="7"/>
      <c r="L4" s="2"/>
    </row>
    <row r="5" spans="2:12">
      <c r="L5" s="2"/>
    </row>
    <row r="9" spans="2:12">
      <c r="C9" s="2" t="s">
        <v>387</v>
      </c>
      <c r="D9" s="2"/>
    </row>
    <row r="10" spans="2:12" ht="14.5">
      <c r="C10" s="45" t="s">
        <v>243</v>
      </c>
    </row>
    <row r="11" spans="2:12">
      <c r="B11" s="47" t="s">
        <v>137</v>
      </c>
      <c r="C11" s="47" t="s">
        <v>338</v>
      </c>
      <c r="D11" s="47" t="s">
        <v>24</v>
      </c>
      <c r="E11" s="47">
        <v>2015</v>
      </c>
      <c r="F11" s="47">
        <v>2020</v>
      </c>
      <c r="G11" s="47">
        <v>2025</v>
      </c>
      <c r="H11" s="47">
        <v>2030</v>
      </c>
      <c r="I11" s="47">
        <v>2035</v>
      </c>
      <c r="J11" s="47">
        <v>2040</v>
      </c>
      <c r="K11" s="47">
        <v>2045</v>
      </c>
      <c r="L11" s="47">
        <v>2050</v>
      </c>
    </row>
    <row r="12" spans="2:12">
      <c r="B12" s="58" t="s">
        <v>148</v>
      </c>
      <c r="C12" s="41" t="s">
        <v>339</v>
      </c>
      <c r="D12" s="41" t="s">
        <v>340</v>
      </c>
      <c r="E12" s="110">
        <f t="shared" ref="E12:L12" si="0">SUM(E17:E20)</f>
        <v>29.113962710109327</v>
      </c>
      <c r="F12" s="110">
        <f t="shared" si="0"/>
        <v>433.48824839155884</v>
      </c>
      <c r="G12" s="110">
        <f t="shared" si="0"/>
        <v>849.52289719318333</v>
      </c>
      <c r="H12" s="110">
        <f t="shared" si="0"/>
        <v>1641.2354489810623</v>
      </c>
      <c r="I12" s="110">
        <f t="shared" si="0"/>
        <v>1902.0679445308267</v>
      </c>
      <c r="J12" s="110">
        <f t="shared" si="0"/>
        <v>2734.5541051732953</v>
      </c>
      <c r="K12" s="110">
        <f t="shared" si="0"/>
        <v>2909.642612722545</v>
      </c>
      <c r="L12" s="110">
        <f t="shared" si="0"/>
        <v>3229.946814280976</v>
      </c>
    </row>
    <row r="13" spans="2:12">
      <c r="C13" s="41" t="s">
        <v>307</v>
      </c>
      <c r="D13" s="41" t="s">
        <v>340</v>
      </c>
      <c r="E13" s="110">
        <f>E21</f>
        <v>4.9463902040903571</v>
      </c>
      <c r="F13" s="110">
        <f t="shared" ref="F13:L13" si="1">F21</f>
        <v>94.279756383278809</v>
      </c>
      <c r="G13" s="110">
        <f t="shared" si="1"/>
        <v>328.45928821928266</v>
      </c>
      <c r="H13" s="110">
        <f t="shared" si="1"/>
        <v>693.73391001250161</v>
      </c>
      <c r="I13" s="110">
        <f t="shared" si="1"/>
        <v>1069.8540161752105</v>
      </c>
      <c r="J13" s="110">
        <f t="shared" si="1"/>
        <v>1890.9628692292504</v>
      </c>
      <c r="K13" s="110">
        <f t="shared" si="1"/>
        <v>2134.627397987917</v>
      </c>
      <c r="L13" s="110">
        <f t="shared" si="1"/>
        <v>2531.461973883826</v>
      </c>
    </row>
    <row r="15" spans="2:12" ht="14.5">
      <c r="C15" s="45" t="s">
        <v>341</v>
      </c>
    </row>
    <row r="16" spans="2:12">
      <c r="C16" s="47" t="s">
        <v>283</v>
      </c>
      <c r="D16" s="47" t="s">
        <v>24</v>
      </c>
      <c r="E16" s="47">
        <v>2015</v>
      </c>
      <c r="F16" s="47">
        <v>2020</v>
      </c>
      <c r="G16" s="47">
        <v>2025</v>
      </c>
      <c r="H16" s="47">
        <v>2030</v>
      </c>
      <c r="I16" s="47">
        <v>2035</v>
      </c>
      <c r="J16" s="47">
        <v>2040</v>
      </c>
      <c r="K16" s="47">
        <v>2045</v>
      </c>
      <c r="L16" s="47">
        <v>2050</v>
      </c>
    </row>
    <row r="17" spans="2:12">
      <c r="C17" s="48" t="s">
        <v>285</v>
      </c>
      <c r="D17" s="41" t="s">
        <v>340</v>
      </c>
      <c r="E17" s="110">
        <f t="shared" ref="E17:L21" si="2">E32+E47</f>
        <v>11.556311478921344</v>
      </c>
      <c r="F17" s="110">
        <f t="shared" si="2"/>
        <v>177.88704742053451</v>
      </c>
      <c r="G17" s="110">
        <f t="shared" si="2"/>
        <v>350.89031532779495</v>
      </c>
      <c r="H17" s="110">
        <f t="shared" si="2"/>
        <v>804.6214683419023</v>
      </c>
      <c r="I17" s="110">
        <f t="shared" si="2"/>
        <v>937.41539122724066</v>
      </c>
      <c r="J17" s="110">
        <f t="shared" si="2"/>
        <v>1311.9541350573418</v>
      </c>
      <c r="K17" s="110">
        <f t="shared" si="2"/>
        <v>1386.2105924986599</v>
      </c>
      <c r="L17" s="110">
        <f t="shared" si="2"/>
        <v>1615.9250921038185</v>
      </c>
    </row>
    <row r="18" spans="2:12">
      <c r="C18" s="41" t="s">
        <v>327</v>
      </c>
      <c r="D18" s="41" t="s">
        <v>340</v>
      </c>
      <c r="E18" s="110">
        <f t="shared" si="2"/>
        <v>9.2678950141439085</v>
      </c>
      <c r="F18" s="110">
        <f t="shared" si="2"/>
        <v>135.80524958006112</v>
      </c>
      <c r="G18" s="110">
        <f t="shared" si="2"/>
        <v>263.51957719249577</v>
      </c>
      <c r="H18" s="110">
        <f t="shared" si="2"/>
        <v>427.86897080163914</v>
      </c>
      <c r="I18" s="110">
        <f t="shared" si="2"/>
        <v>492.65926758843557</v>
      </c>
      <c r="J18" s="110">
        <f t="shared" si="2"/>
        <v>731.59434831252963</v>
      </c>
      <c r="K18" s="110">
        <f t="shared" si="2"/>
        <v>784.7926994908679</v>
      </c>
      <c r="L18" s="110">
        <f t="shared" si="2"/>
        <v>820.89382097444934</v>
      </c>
    </row>
    <row r="19" spans="2:12">
      <c r="C19" s="41" t="s">
        <v>320</v>
      </c>
      <c r="D19" s="41" t="s">
        <v>340</v>
      </c>
      <c r="E19" s="110">
        <f t="shared" si="2"/>
        <v>3.4321008992858868</v>
      </c>
      <c r="F19" s="110">
        <f t="shared" si="2"/>
        <v>48.615268852448345</v>
      </c>
      <c r="G19" s="110">
        <f t="shared" si="2"/>
        <v>96.992398696136306</v>
      </c>
      <c r="H19" s="110">
        <f t="shared" si="2"/>
        <v>184.48265272769618</v>
      </c>
      <c r="I19" s="110">
        <f t="shared" si="2"/>
        <v>213.77187649638421</v>
      </c>
      <c r="J19" s="110">
        <f t="shared" si="2"/>
        <v>307.54927372237375</v>
      </c>
      <c r="K19" s="110">
        <f t="shared" si="2"/>
        <v>327.29969893090686</v>
      </c>
      <c r="L19" s="110">
        <f t="shared" si="2"/>
        <v>362.86631227816918</v>
      </c>
    </row>
    <row r="20" spans="2:12">
      <c r="C20" s="41" t="s">
        <v>317</v>
      </c>
      <c r="D20" s="41" t="s">
        <v>340</v>
      </c>
      <c r="E20" s="110">
        <f t="shared" si="2"/>
        <v>4.8576553177581863</v>
      </c>
      <c r="F20" s="110">
        <f t="shared" si="2"/>
        <v>71.180682538514802</v>
      </c>
      <c r="G20" s="110">
        <f t="shared" si="2"/>
        <v>138.12060597675639</v>
      </c>
      <c r="H20" s="110">
        <f t="shared" si="2"/>
        <v>224.26235710982468</v>
      </c>
      <c r="I20" s="110">
        <f t="shared" si="2"/>
        <v>258.22140921876627</v>
      </c>
      <c r="J20" s="110">
        <f t="shared" si="2"/>
        <v>383.45634808105007</v>
      </c>
      <c r="K20" s="110">
        <f t="shared" si="2"/>
        <v>411.33962180211006</v>
      </c>
      <c r="L20" s="110">
        <f t="shared" si="2"/>
        <v>430.26158892453896</v>
      </c>
    </row>
    <row r="21" spans="2:12">
      <c r="C21" s="105" t="s">
        <v>280</v>
      </c>
      <c r="D21" s="41" t="s">
        <v>340</v>
      </c>
      <c r="E21" s="110">
        <f t="shared" si="2"/>
        <v>4.9463902040903571</v>
      </c>
      <c r="F21" s="110">
        <f t="shared" si="2"/>
        <v>94.279756383278809</v>
      </c>
      <c r="G21" s="110">
        <f t="shared" si="2"/>
        <v>328.45928821928266</v>
      </c>
      <c r="H21" s="110">
        <f t="shared" si="2"/>
        <v>693.73391001250161</v>
      </c>
      <c r="I21" s="110">
        <f t="shared" si="2"/>
        <v>1069.8540161752105</v>
      </c>
      <c r="J21" s="110">
        <f t="shared" si="2"/>
        <v>1890.9628692292504</v>
      </c>
      <c r="K21" s="110">
        <f t="shared" si="2"/>
        <v>2134.627397987917</v>
      </c>
      <c r="L21" s="110">
        <f t="shared" si="2"/>
        <v>2531.461973883826</v>
      </c>
    </row>
    <row r="24" spans="2:12">
      <c r="C24" s="2" t="s">
        <v>388</v>
      </c>
    </row>
    <row r="25" spans="2:12" ht="14.5">
      <c r="C25" s="45" t="s">
        <v>243</v>
      </c>
    </row>
    <row r="26" spans="2:12">
      <c r="B26" s="47" t="s">
        <v>137</v>
      </c>
      <c r="C26" s="47" t="s">
        <v>338</v>
      </c>
      <c r="D26" s="47" t="s">
        <v>24</v>
      </c>
      <c r="E26" s="47">
        <v>2015</v>
      </c>
      <c r="F26" s="47">
        <v>2020</v>
      </c>
      <c r="G26" s="47">
        <v>2025</v>
      </c>
      <c r="H26" s="47">
        <v>2030</v>
      </c>
      <c r="I26" s="47">
        <v>2035</v>
      </c>
      <c r="J26" s="47">
        <v>2040</v>
      </c>
      <c r="K26" s="47">
        <v>2045</v>
      </c>
      <c r="L26" s="47">
        <v>2050</v>
      </c>
    </row>
    <row r="27" spans="2:12">
      <c r="B27" s="41" t="s">
        <v>148</v>
      </c>
      <c r="C27" s="41" t="s">
        <v>339</v>
      </c>
      <c r="D27" s="41" t="s">
        <v>340</v>
      </c>
      <c r="E27" s="110">
        <f t="shared" ref="E27:L27" si="3">SUM(E32:E35)</f>
        <v>27.157436047471318</v>
      </c>
      <c r="F27" s="110">
        <f t="shared" si="3"/>
        <v>403.98747977744233</v>
      </c>
      <c r="G27" s="110">
        <f t="shared" si="3"/>
        <v>780.45968980859789</v>
      </c>
      <c r="H27" s="110">
        <f t="shared" si="3"/>
        <v>1290.9549133891671</v>
      </c>
      <c r="I27" s="110">
        <f t="shared" si="3"/>
        <v>1486.4384788838788</v>
      </c>
      <c r="J27" s="110">
        <f t="shared" si="3"/>
        <v>2207.3470688755719</v>
      </c>
      <c r="K27" s="110">
        <f t="shared" si="3"/>
        <v>2367.8557234508453</v>
      </c>
      <c r="L27" s="110">
        <f t="shared" si="3"/>
        <v>2476.7790699388402</v>
      </c>
    </row>
    <row r="28" spans="2:12">
      <c r="C28" s="41" t="s">
        <v>307</v>
      </c>
      <c r="D28" s="41" t="s">
        <v>340</v>
      </c>
      <c r="E28" s="110">
        <f>E36</f>
        <v>4.9463902040903571</v>
      </c>
      <c r="F28" s="110">
        <f t="shared" ref="F28:L28" si="4">F36</f>
        <v>94.279756383278809</v>
      </c>
      <c r="G28" s="110">
        <f t="shared" si="4"/>
        <v>328.45928821928266</v>
      </c>
      <c r="H28" s="110">
        <f t="shared" si="4"/>
        <v>693.73391001250161</v>
      </c>
      <c r="I28" s="110">
        <f t="shared" si="4"/>
        <v>1069.8540161752105</v>
      </c>
      <c r="J28" s="110">
        <f t="shared" si="4"/>
        <v>1890.9628692292504</v>
      </c>
      <c r="K28" s="110">
        <f t="shared" si="4"/>
        <v>2134.627397987917</v>
      </c>
      <c r="L28" s="110">
        <f t="shared" si="4"/>
        <v>2531.461973883826</v>
      </c>
    </row>
    <row r="30" spans="2:12" ht="14.5">
      <c r="C30" s="45" t="s">
        <v>341</v>
      </c>
    </row>
    <row r="31" spans="2:12">
      <c r="C31" s="47" t="s">
        <v>283</v>
      </c>
      <c r="D31" s="47" t="s">
        <v>24</v>
      </c>
      <c r="E31" s="47">
        <v>2015</v>
      </c>
      <c r="F31" s="47">
        <v>2020</v>
      </c>
      <c r="G31" s="47">
        <v>2025</v>
      </c>
      <c r="H31" s="47">
        <v>2030</v>
      </c>
      <c r="I31" s="47">
        <v>2035</v>
      </c>
      <c r="J31" s="47">
        <v>2040</v>
      </c>
      <c r="K31" s="47">
        <v>2045</v>
      </c>
      <c r="L31" s="47">
        <v>2050</v>
      </c>
    </row>
    <row r="32" spans="2:12">
      <c r="C32" s="41" t="str">
        <f>C17</f>
        <v>Turbine</v>
      </c>
      <c r="D32" s="41" t="s">
        <v>340</v>
      </c>
      <c r="E32" s="110">
        <f>'UK market share'!I19*'Total tradeable turnover'!E33</f>
        <v>9.8259952432396531</v>
      </c>
      <c r="F32" s="110">
        <f>'UK market share'!J19*'Total tradeable turnover'!F33</f>
        <v>151.22283017931579</v>
      </c>
      <c r="G32" s="110">
        <f>'UK market share'!K19*'Total tradeable turnover'!G33</f>
        <v>289.30587363174146</v>
      </c>
      <c r="H32" s="110">
        <f>'UK market share'!L19*'Total tradeable turnover'!H33</f>
        <v>492.87207454918405</v>
      </c>
      <c r="I32" s="110">
        <f>'UK market share'!M19*'Total tradeable turnover'!I33</f>
        <v>567.50550246085675</v>
      </c>
      <c r="J32" s="110">
        <f>'UK market share'!N19*'Total tradeable turnover'!J33</f>
        <v>842.74029852101967</v>
      </c>
      <c r="K32" s="110">
        <f>'UK market share'!O19*'Total tradeable turnover'!K33</f>
        <v>904.02069859008486</v>
      </c>
      <c r="L32" s="110">
        <f>'UK market share'!P19*'Total tradeable turnover'!L33</f>
        <v>945.60640789222987</v>
      </c>
    </row>
    <row r="33" spans="2:12">
      <c r="C33" s="41" t="str">
        <f>C18</f>
        <v>foundations</v>
      </c>
      <c r="D33" s="41" t="s">
        <v>340</v>
      </c>
      <c r="E33" s="110">
        <f>'UK market share'!I20*'Total tradeable turnover'!E34</f>
        <v>9.2678950141439085</v>
      </c>
      <c r="F33" s="110">
        <f>'UK market share'!J20*'Total tradeable turnover'!F34</f>
        <v>135.80524958006112</v>
      </c>
      <c r="G33" s="110">
        <f>'UK market share'!K20*'Total tradeable turnover'!G34</f>
        <v>263.51957719249577</v>
      </c>
      <c r="H33" s="110">
        <f>'UK market share'!L20*'Total tradeable turnover'!H34</f>
        <v>427.86897080163914</v>
      </c>
      <c r="I33" s="110">
        <f>'UK market share'!M20*'Total tradeable turnover'!I34</f>
        <v>492.65926758843557</v>
      </c>
      <c r="J33" s="110">
        <f>'UK market share'!N20*'Total tradeable turnover'!J34</f>
        <v>731.59434831252963</v>
      </c>
      <c r="K33" s="110">
        <f>'UK market share'!O20*'Total tradeable turnover'!K34</f>
        <v>784.7926994908679</v>
      </c>
      <c r="L33" s="110">
        <f>'UK market share'!P20*'Total tradeable turnover'!L34</f>
        <v>820.89382097444934</v>
      </c>
    </row>
    <row r="34" spans="2:12">
      <c r="C34" s="41" t="str">
        <f>C19</f>
        <v>Balance of system</v>
      </c>
      <c r="D34" s="41" t="s">
        <v>340</v>
      </c>
      <c r="E34" s="110">
        <f>'UK market share'!I21*'Total tradeable turnover'!E35</f>
        <v>3.2058904723295671</v>
      </c>
      <c r="F34" s="110">
        <f>'UK market share'!J21*'Total tradeable turnover'!F35</f>
        <v>45.7787174795506</v>
      </c>
      <c r="G34" s="110">
        <f>'UK market share'!K21*'Total tradeable turnover'!G35</f>
        <v>89.513633007604184</v>
      </c>
      <c r="H34" s="110">
        <f>'UK market share'!L21*'Total tradeable turnover'!H35</f>
        <v>145.95151092851913</v>
      </c>
      <c r="I34" s="110">
        <f>'UK market share'!M21*'Total tradeable turnover'!I35</f>
        <v>168.0522996158204</v>
      </c>
      <c r="J34" s="110">
        <f>'UK market share'!N21*'Total tradeable turnover'!J35</f>
        <v>249.55607396097236</v>
      </c>
      <c r="K34" s="110">
        <f>'UK market share'!O21*'Total tradeable turnover'!K35</f>
        <v>267.70270356778258</v>
      </c>
      <c r="L34" s="110">
        <f>'UK market share'!P21*'Total tradeable turnover'!L35</f>
        <v>280.01725214762212</v>
      </c>
    </row>
    <row r="35" spans="2:12">
      <c r="C35" s="41" t="str">
        <f>C20</f>
        <v>Installation</v>
      </c>
      <c r="D35" s="41" t="s">
        <v>340</v>
      </c>
      <c r="E35" s="110">
        <f>'UK market share'!I22*'Total tradeable turnover'!E36</f>
        <v>4.8576553177581863</v>
      </c>
      <c r="F35" s="110">
        <f>'UK market share'!J22*'Total tradeable turnover'!F36</f>
        <v>71.180682538514802</v>
      </c>
      <c r="G35" s="110">
        <f>'UK market share'!K22*'Total tradeable turnover'!G36</f>
        <v>138.12060597675639</v>
      </c>
      <c r="H35" s="110">
        <f>'UK market share'!L22*'Total tradeable turnover'!H36</f>
        <v>224.26235710982468</v>
      </c>
      <c r="I35" s="110">
        <f>'UK market share'!M22*'Total tradeable turnover'!I36</f>
        <v>258.22140921876627</v>
      </c>
      <c r="J35" s="110">
        <f>'UK market share'!N22*'Total tradeable turnover'!J36</f>
        <v>383.45634808105007</v>
      </c>
      <c r="K35" s="110">
        <f>'UK market share'!O22*'Total tradeable turnover'!K36</f>
        <v>411.33962180211006</v>
      </c>
      <c r="L35" s="110">
        <f>'UK market share'!P22*'Total tradeable turnover'!L36</f>
        <v>430.26158892453896</v>
      </c>
    </row>
    <row r="36" spans="2:12">
      <c r="C36" s="41" t="str">
        <f>C21</f>
        <v xml:space="preserve">O&amp;M </v>
      </c>
      <c r="D36" s="41" t="s">
        <v>340</v>
      </c>
      <c r="E36" s="110">
        <f>'UK market share'!I23*'Total tradeable turnover'!E37</f>
        <v>4.9463902040903571</v>
      </c>
      <c r="F36" s="110">
        <f>'UK market share'!J23*'Total tradeable turnover'!F37</f>
        <v>94.279756383278809</v>
      </c>
      <c r="G36" s="110">
        <f>'UK market share'!K23*'Total tradeable turnover'!G37</f>
        <v>328.45928821928266</v>
      </c>
      <c r="H36" s="110">
        <f>'UK market share'!L23*'Total tradeable turnover'!H37</f>
        <v>693.73391001250161</v>
      </c>
      <c r="I36" s="110">
        <f>'UK market share'!M23*'Total tradeable turnover'!I37</f>
        <v>1069.8540161752105</v>
      </c>
      <c r="J36" s="110">
        <f>'UK market share'!N23*'Total tradeable turnover'!J37</f>
        <v>1890.9628692292504</v>
      </c>
      <c r="K36" s="110">
        <f>'UK market share'!O23*'Total tradeable turnover'!K37</f>
        <v>2134.627397987917</v>
      </c>
      <c r="L36" s="110">
        <f>'UK market share'!P23*'Total tradeable turnover'!L37</f>
        <v>2531.461973883826</v>
      </c>
    </row>
    <row r="39" spans="2:12">
      <c r="C39" s="2" t="s">
        <v>389</v>
      </c>
    </row>
    <row r="40" spans="2:12" ht="14.5">
      <c r="C40" s="45" t="s">
        <v>243</v>
      </c>
    </row>
    <row r="41" spans="2:12">
      <c r="B41" s="47" t="s">
        <v>137</v>
      </c>
      <c r="C41" s="47" t="s">
        <v>338</v>
      </c>
      <c r="D41" s="47" t="s">
        <v>24</v>
      </c>
      <c r="E41" s="47">
        <v>2015</v>
      </c>
      <c r="F41" s="47">
        <v>2020</v>
      </c>
      <c r="G41" s="47">
        <v>2025</v>
      </c>
      <c r="H41" s="47">
        <v>2030</v>
      </c>
      <c r="I41" s="47">
        <v>2035</v>
      </c>
      <c r="J41" s="47">
        <v>2040</v>
      </c>
      <c r="K41" s="47">
        <v>2045</v>
      </c>
      <c r="L41" s="47">
        <v>2050</v>
      </c>
    </row>
    <row r="42" spans="2:12">
      <c r="B42" s="41" t="s">
        <v>148</v>
      </c>
      <c r="C42" s="41" t="s">
        <v>339</v>
      </c>
      <c r="D42" s="41" t="s">
        <v>340</v>
      </c>
      <c r="E42" s="110">
        <f t="shared" ref="E42:L42" si="5">SUM(E47:E50)</f>
        <v>1.95652666263801</v>
      </c>
      <c r="F42" s="110">
        <f t="shared" si="5"/>
        <v>29.50076861411647</v>
      </c>
      <c r="G42" s="110">
        <f t="shared" si="5"/>
        <v>69.063207384585638</v>
      </c>
      <c r="H42" s="110">
        <f t="shared" si="5"/>
        <v>350.28053559189533</v>
      </c>
      <c r="I42" s="110">
        <f t="shared" si="5"/>
        <v>415.62946564694766</v>
      </c>
      <c r="J42" s="110">
        <f t="shared" si="5"/>
        <v>527.20703629772356</v>
      </c>
      <c r="K42" s="110">
        <f t="shared" si="5"/>
        <v>541.78688927169924</v>
      </c>
      <c r="L42" s="110">
        <f t="shared" si="5"/>
        <v>753.16774434213573</v>
      </c>
    </row>
    <row r="43" spans="2:12">
      <c r="C43" s="41" t="s">
        <v>307</v>
      </c>
      <c r="D43" s="41" t="s">
        <v>340</v>
      </c>
      <c r="E43" s="164">
        <f>E51</f>
        <v>0</v>
      </c>
      <c r="F43" s="164">
        <f t="shared" ref="F43:L43" si="6">F51</f>
        <v>0</v>
      </c>
      <c r="G43" s="164">
        <f t="shared" si="6"/>
        <v>0</v>
      </c>
      <c r="H43" s="164">
        <f t="shared" si="6"/>
        <v>0</v>
      </c>
      <c r="I43" s="164">
        <f t="shared" si="6"/>
        <v>0</v>
      </c>
      <c r="J43" s="164">
        <f t="shared" si="6"/>
        <v>0</v>
      </c>
      <c r="K43" s="164">
        <f t="shared" si="6"/>
        <v>0</v>
      </c>
      <c r="L43" s="164">
        <f t="shared" si="6"/>
        <v>0</v>
      </c>
    </row>
    <row r="45" spans="2:12" ht="14.5">
      <c r="C45" s="45" t="s">
        <v>341</v>
      </c>
    </row>
    <row r="46" spans="2:12">
      <c r="C46" s="47" t="s">
        <v>283</v>
      </c>
      <c r="D46" s="47" t="s">
        <v>24</v>
      </c>
      <c r="E46" s="47">
        <v>2015</v>
      </c>
      <c r="F46" s="47">
        <v>2020</v>
      </c>
      <c r="G46" s="47">
        <v>2025</v>
      </c>
      <c r="H46" s="47">
        <v>2030</v>
      </c>
      <c r="I46" s="47">
        <v>2035</v>
      </c>
      <c r="J46" s="47">
        <v>2040</v>
      </c>
      <c r="K46" s="47">
        <v>2045</v>
      </c>
      <c r="L46" s="47">
        <v>2050</v>
      </c>
    </row>
    <row r="47" spans="2:12">
      <c r="C47" s="41" t="str">
        <f>C17</f>
        <v>Turbine</v>
      </c>
      <c r="D47" s="41" t="s">
        <v>340</v>
      </c>
      <c r="E47" s="110">
        <f>'UK market share'!I37*'Total tradeable turnover'!E48</f>
        <v>1.7303162356816906</v>
      </c>
      <c r="F47" s="110">
        <f>'UK market share'!J37*'Total tradeable turnover'!F48</f>
        <v>26.664217241218729</v>
      </c>
      <c r="G47" s="110">
        <f>'UK market share'!K37*'Total tradeable turnover'!G48</f>
        <v>61.584441696053517</v>
      </c>
      <c r="H47" s="110">
        <f>'UK market share'!L37*'Total tradeable turnover'!H48</f>
        <v>311.74939379271831</v>
      </c>
      <c r="I47" s="110">
        <f>'UK market share'!M37*'Total tradeable turnover'!I48</f>
        <v>369.90988876638386</v>
      </c>
      <c r="J47" s="110">
        <f>'UK market share'!N37*'Total tradeable turnover'!J48</f>
        <v>469.21383653632211</v>
      </c>
      <c r="K47" s="110">
        <f>'UK market share'!O37*'Total tradeable turnover'!K48</f>
        <v>482.18989390857496</v>
      </c>
      <c r="L47" s="110">
        <f>'UK market share'!P37*'Total tradeable turnover'!L48</f>
        <v>670.31868421158867</v>
      </c>
    </row>
    <row r="48" spans="2:12">
      <c r="C48" s="41" t="str">
        <f>C18</f>
        <v>foundations</v>
      </c>
      <c r="D48" s="41" t="s">
        <v>340</v>
      </c>
      <c r="E48" s="110">
        <f>'UK market share'!I38*'Total tradeable turnover'!E49</f>
        <v>0</v>
      </c>
      <c r="F48" s="110">
        <f>'UK market share'!J38*'Total tradeable turnover'!F49</f>
        <v>0</v>
      </c>
      <c r="G48" s="110">
        <f>'UK market share'!K38*'Total tradeable turnover'!G49</f>
        <v>0</v>
      </c>
      <c r="H48" s="110">
        <f>'UK market share'!L38*'Total tradeable turnover'!H49</f>
        <v>0</v>
      </c>
      <c r="I48" s="110">
        <f>'UK market share'!M38*'Total tradeable turnover'!I49</f>
        <v>0</v>
      </c>
      <c r="J48" s="110">
        <f>'UK market share'!N38*'Total tradeable turnover'!J49</f>
        <v>0</v>
      </c>
      <c r="K48" s="110">
        <f>'UK market share'!O38*'Total tradeable turnover'!K49</f>
        <v>0</v>
      </c>
      <c r="L48" s="110">
        <f>'UK market share'!P38*'Total tradeable turnover'!L49</f>
        <v>0</v>
      </c>
    </row>
    <row r="49" spans="3:12">
      <c r="C49" s="41" t="str">
        <f>C19</f>
        <v>Balance of system</v>
      </c>
      <c r="D49" s="41" t="s">
        <v>340</v>
      </c>
      <c r="E49" s="110">
        <f>'UK market share'!I39*'Total tradeable turnover'!E50</f>
        <v>0.22621042695631943</v>
      </c>
      <c r="F49" s="110">
        <f>'UK market share'!J39*'Total tradeable turnover'!F50</f>
        <v>2.8365513728977416</v>
      </c>
      <c r="G49" s="110">
        <f>'UK market share'!K39*'Total tradeable turnover'!G50</f>
        <v>7.4787656885321212</v>
      </c>
      <c r="H49" s="110">
        <f>'UK market share'!L39*'Total tradeable turnover'!H50</f>
        <v>38.531141799177043</v>
      </c>
      <c r="I49" s="110">
        <f>'UK market share'!M39*'Total tradeable turnover'!I50</f>
        <v>45.719576880563793</v>
      </c>
      <c r="J49" s="110">
        <f>'UK market share'!N39*'Total tradeable turnover'!J50</f>
        <v>57.993199761401399</v>
      </c>
      <c r="K49" s="110">
        <f>'UK market share'!O39*'Total tradeable turnover'!K50</f>
        <v>59.596995363124272</v>
      </c>
      <c r="L49" s="110">
        <f>'UK market share'!P39*'Total tradeable turnover'!L50</f>
        <v>82.849060130547031</v>
      </c>
    </row>
    <row r="50" spans="3:12">
      <c r="C50" s="41" t="str">
        <f>C20</f>
        <v>Installation</v>
      </c>
      <c r="D50" s="41" t="s">
        <v>340</v>
      </c>
      <c r="E50" s="110">
        <f>'UK market share'!I40*'Total tradeable turnover'!E51</f>
        <v>0</v>
      </c>
      <c r="F50" s="110">
        <f>'UK market share'!J40*'Total tradeable turnover'!F51</f>
        <v>0</v>
      </c>
      <c r="G50" s="110">
        <f>'UK market share'!K40*'Total tradeable turnover'!G51</f>
        <v>0</v>
      </c>
      <c r="H50" s="110">
        <f>'UK market share'!L40*'Total tradeable turnover'!H51</f>
        <v>0</v>
      </c>
      <c r="I50" s="110">
        <f>'UK market share'!M40*'Total tradeable turnover'!I51</f>
        <v>0</v>
      </c>
      <c r="J50" s="110">
        <f>'UK market share'!N40*'Total tradeable turnover'!J51</f>
        <v>0</v>
      </c>
      <c r="K50" s="110">
        <f>'UK market share'!O40*'Total tradeable turnover'!K51</f>
        <v>0</v>
      </c>
      <c r="L50" s="110">
        <f>'UK market share'!P40*'Total tradeable turnover'!L51</f>
        <v>0</v>
      </c>
    </row>
    <row r="51" spans="3:12">
      <c r="C51" s="41" t="str">
        <f t="shared" ref="C51" si="7">C21</f>
        <v xml:space="preserve">O&amp;M </v>
      </c>
      <c r="D51" s="41" t="s">
        <v>340</v>
      </c>
      <c r="E51" s="110">
        <f>'UK market share'!I41*'Total tradeable turnover'!E52</f>
        <v>0</v>
      </c>
      <c r="F51" s="110">
        <f>'UK market share'!J41*'Total tradeable turnover'!F52</f>
        <v>0</v>
      </c>
      <c r="G51" s="110">
        <f>'UK market share'!K41*'Total tradeable turnover'!G52</f>
        <v>0</v>
      </c>
      <c r="H51" s="110">
        <f>'UK market share'!L41*'Total tradeable turnover'!H52</f>
        <v>0</v>
      </c>
      <c r="I51" s="110">
        <f>'UK market share'!M41*'Total tradeable turnover'!I52</f>
        <v>0</v>
      </c>
      <c r="J51" s="110">
        <f>'UK market share'!N41*'Total tradeable turnover'!J52</f>
        <v>0</v>
      </c>
      <c r="K51" s="110">
        <f>'UK market share'!O41*'Total tradeable turnover'!K52</f>
        <v>0</v>
      </c>
      <c r="L51" s="110">
        <f>'UK market share'!P41*'Total tradeable turnover'!L52</f>
        <v>0</v>
      </c>
    </row>
  </sheetData>
  <conditionalFormatting sqref="D19:D20 B17:B21 B32:C36 D26:D36 D41:D51 B47:C51 M9:XFD51 A9:A51 A52:XFD1048576 E17:L20 D21:L21 E45:L51 A1:XFD8 B37:D40 E26:L26 B9:L11 B22:L25 B14:L16 E29:L43">
    <cfRule type="expression" dxfId="141" priority="26">
      <formula>_xlfn.ISFORMULA(A1)</formula>
    </cfRule>
  </conditionalFormatting>
  <conditionalFormatting sqref="B26:B28 B45:C46 B41:B44 B29:C31 B12:C13">
    <cfRule type="expression" dxfId="140" priority="23">
      <formula>_xlfn.ISFORMULA(B12)</formula>
    </cfRule>
  </conditionalFormatting>
  <conditionalFormatting sqref="C26:C27">
    <cfRule type="expression" dxfId="139" priority="22">
      <formula>_xlfn.ISFORMULA(C26)</formula>
    </cfRule>
  </conditionalFormatting>
  <conditionalFormatting sqref="C28">
    <cfRule type="expression" dxfId="138" priority="21">
      <formula>_xlfn.ISFORMULA(C28)</formula>
    </cfRule>
  </conditionalFormatting>
  <conditionalFormatting sqref="C41:C42">
    <cfRule type="expression" dxfId="137" priority="20">
      <formula>_xlfn.ISFORMULA(C41)</formula>
    </cfRule>
  </conditionalFormatting>
  <conditionalFormatting sqref="C43:C44">
    <cfRule type="expression" dxfId="136" priority="19">
      <formula>_xlfn.ISFORMULA(C43)</formula>
    </cfRule>
  </conditionalFormatting>
  <conditionalFormatting sqref="D12:D13">
    <cfRule type="expression" dxfId="135" priority="10">
      <formula>_xlfn.ISFORMULA(D12)</formula>
    </cfRule>
  </conditionalFormatting>
  <conditionalFormatting sqref="D17">
    <cfRule type="expression" dxfId="134" priority="9">
      <formula>_xlfn.ISFORMULA(D17)</formula>
    </cfRule>
  </conditionalFormatting>
  <conditionalFormatting sqref="D18">
    <cfRule type="expression" dxfId="133" priority="8">
      <formula>_xlfn.ISFORMULA(D18)</formula>
    </cfRule>
  </conditionalFormatting>
  <conditionalFormatting sqref="E27:L27">
    <cfRule type="expression" dxfId="132" priority="6">
      <formula>_xlfn.ISFORMULA(E27)</formula>
    </cfRule>
  </conditionalFormatting>
  <conditionalFormatting sqref="E28:L28">
    <cfRule type="expression" dxfId="131" priority="5">
      <formula>_xlfn.ISFORMULA(E28)</formula>
    </cfRule>
  </conditionalFormatting>
  <conditionalFormatting sqref="E12:L12">
    <cfRule type="expression" dxfId="130" priority="4">
      <formula>_xlfn.ISFORMULA(E12)</formula>
    </cfRule>
  </conditionalFormatting>
  <conditionalFormatting sqref="E13:L13">
    <cfRule type="expression" dxfId="129" priority="3">
      <formula>_xlfn.ISFORMULA(E13)</formula>
    </cfRule>
  </conditionalFormatting>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9" tint="0.39997558519241921"/>
  </sheetPr>
  <dimension ref="B1:P51"/>
  <sheetViews>
    <sheetView topLeftCell="A7" workbookViewId="0">
      <selection activeCell="I29" sqref="I29"/>
    </sheetView>
  </sheetViews>
  <sheetFormatPr defaultColWidth="8.81640625" defaultRowHeight="14"/>
  <cols>
    <col min="1" max="1" width="10.81640625" style="1" customWidth="1"/>
    <col min="2" max="2" width="14" style="1" customWidth="1"/>
    <col min="3" max="3" width="19.81640625" style="1" customWidth="1"/>
    <col min="4" max="4" width="13" style="1" customWidth="1"/>
    <col min="5" max="5" width="21.1796875" style="1" customWidth="1"/>
    <col min="6" max="6" width="15.7265625" style="1" customWidth="1"/>
    <col min="7" max="7" width="21.81640625" style="1" customWidth="1"/>
    <col min="8" max="8" width="28.453125" style="1" customWidth="1"/>
    <col min="9" max="9" width="8.81640625" style="1"/>
    <col min="10" max="10" width="10.1796875" style="1" bestFit="1" customWidth="1"/>
    <col min="11" max="16384" width="8.81640625" style="1"/>
  </cols>
  <sheetData>
    <row r="1" spans="2:16" s="3" customFormat="1" ht="49.5" customHeight="1">
      <c r="B1" s="304" t="s">
        <v>72</v>
      </c>
      <c r="C1" s="304"/>
      <c r="D1" s="304"/>
      <c r="E1" s="304"/>
      <c r="F1" s="304"/>
      <c r="G1" s="304"/>
      <c r="H1" s="304"/>
      <c r="I1" s="304"/>
      <c r="J1" s="304"/>
      <c r="K1" s="304"/>
      <c r="L1" s="304"/>
      <c r="M1" s="304"/>
      <c r="N1" s="304"/>
      <c r="O1" s="304"/>
      <c r="P1" s="304"/>
    </row>
    <row r="4" spans="2:16">
      <c r="O4" s="7"/>
      <c r="P4" s="2"/>
    </row>
    <row r="5" spans="2:16">
      <c r="P5" s="2"/>
    </row>
    <row r="10" spans="2:16">
      <c r="C10" s="2" t="s">
        <v>72</v>
      </c>
      <c r="D10" s="2"/>
      <c r="E10" s="2"/>
      <c r="F10" s="2"/>
      <c r="G10" s="2"/>
      <c r="H10" s="2"/>
    </row>
    <row r="11" spans="2:16" ht="14.5">
      <c r="C11" s="45" t="s">
        <v>243</v>
      </c>
    </row>
    <row r="12" spans="2:16">
      <c r="B12" s="47" t="s">
        <v>137</v>
      </c>
      <c r="C12" s="47" t="s">
        <v>338</v>
      </c>
      <c r="D12" s="47" t="s">
        <v>24</v>
      </c>
      <c r="E12" s="47" t="s">
        <v>18</v>
      </c>
      <c r="F12" s="47" t="s">
        <v>8</v>
      </c>
      <c r="G12" s="47" t="s">
        <v>234</v>
      </c>
      <c r="H12" s="47" t="s">
        <v>235</v>
      </c>
      <c r="I12" s="47">
        <v>2015</v>
      </c>
      <c r="J12" s="47">
        <v>2020</v>
      </c>
      <c r="K12" s="47">
        <v>2025</v>
      </c>
      <c r="L12" s="47">
        <v>2030</v>
      </c>
      <c r="M12" s="47">
        <v>2035</v>
      </c>
      <c r="N12" s="47">
        <v>2040</v>
      </c>
      <c r="O12" s="47">
        <v>2045</v>
      </c>
      <c r="P12" s="47">
        <v>2050</v>
      </c>
    </row>
    <row r="13" spans="2:16">
      <c r="B13" s="58" t="s">
        <v>148</v>
      </c>
      <c r="C13" s="41" t="s">
        <v>339</v>
      </c>
      <c r="D13" s="41" t="s">
        <v>299</v>
      </c>
      <c r="E13" s="41" t="s">
        <v>390</v>
      </c>
      <c r="F13" s="41"/>
      <c r="G13" s="41" t="s">
        <v>391</v>
      </c>
      <c r="H13" s="41" t="s">
        <v>392</v>
      </c>
      <c r="I13" s="59">
        <f>SUMPRODUCT(I18:I21,$E$18:$E$21)</f>
        <v>0.40207999999999999</v>
      </c>
      <c r="J13" s="59">
        <f>SUMPRODUCT(J18:J21,$E$18:$E$21)</f>
        <v>0.40207999999999999</v>
      </c>
      <c r="K13" s="59">
        <f t="shared" ref="K13:P13" si="0">SUMPRODUCT(K18:K21,$E$18:$E$21)</f>
        <v>0.40207999999999999</v>
      </c>
      <c r="L13" s="59">
        <f t="shared" si="0"/>
        <v>0.40207999999999999</v>
      </c>
      <c r="M13" s="59">
        <f t="shared" si="0"/>
        <v>0.40207999999999999</v>
      </c>
      <c r="N13" s="59">
        <f t="shared" si="0"/>
        <v>0.40207999999999999</v>
      </c>
      <c r="O13" s="59">
        <f t="shared" si="0"/>
        <v>0.40207999999999999</v>
      </c>
      <c r="P13" s="59">
        <f t="shared" si="0"/>
        <v>0.40207999999999999</v>
      </c>
    </row>
    <row r="14" spans="2:16">
      <c r="C14" s="41" t="s">
        <v>307</v>
      </c>
      <c r="D14" s="41" t="s">
        <v>299</v>
      </c>
      <c r="E14" s="41" t="s">
        <v>390</v>
      </c>
      <c r="F14" s="41"/>
      <c r="G14" s="41" t="s">
        <v>391</v>
      </c>
      <c r="H14" s="41" t="s">
        <v>392</v>
      </c>
      <c r="I14" s="78">
        <f>I22</f>
        <v>0.44227759497990671</v>
      </c>
      <c r="J14" s="78">
        <f t="shared" ref="J14:P14" si="1">J22</f>
        <v>0.44227759497990671</v>
      </c>
      <c r="K14" s="78">
        <f t="shared" si="1"/>
        <v>0.44227759497990671</v>
      </c>
      <c r="L14" s="78">
        <f t="shared" si="1"/>
        <v>0.44227759497990671</v>
      </c>
      <c r="M14" s="78">
        <f t="shared" si="1"/>
        <v>0.44227759497990671</v>
      </c>
      <c r="N14" s="78">
        <f t="shared" si="1"/>
        <v>0.44227759497990671</v>
      </c>
      <c r="O14" s="78">
        <f t="shared" si="1"/>
        <v>0.44227759497990671</v>
      </c>
      <c r="P14" s="78">
        <f t="shared" si="1"/>
        <v>0.44227759497990671</v>
      </c>
    </row>
    <row r="16" spans="2:16" ht="14.5">
      <c r="C16" s="45" t="s">
        <v>341</v>
      </c>
    </row>
    <row r="17" spans="3:16">
      <c r="C17" s="47" t="s">
        <v>283</v>
      </c>
      <c r="D17" s="47" t="s">
        <v>24</v>
      </c>
      <c r="E17" s="47" t="s">
        <v>393</v>
      </c>
      <c r="F17" s="47" t="s">
        <v>394</v>
      </c>
      <c r="G17" s="47" t="s">
        <v>234</v>
      </c>
      <c r="H17" s="47" t="s">
        <v>235</v>
      </c>
      <c r="I17" s="47">
        <v>2015</v>
      </c>
      <c r="J17" s="47">
        <v>2020</v>
      </c>
      <c r="K17" s="47">
        <v>2025</v>
      </c>
      <c r="L17" s="47">
        <v>2030</v>
      </c>
      <c r="M17" s="47">
        <v>2035</v>
      </c>
      <c r="N17" s="47">
        <v>2040</v>
      </c>
      <c r="O17" s="47">
        <v>2045</v>
      </c>
      <c r="P17" s="47">
        <v>2050</v>
      </c>
    </row>
    <row r="18" spans="3:16">
      <c r="C18" s="48" t="s">
        <v>285</v>
      </c>
      <c r="D18" s="41" t="s">
        <v>299</v>
      </c>
      <c r="E18" s="59">
        <f>'Tech costs'!I19/'Tech costs'!$I$14</f>
        <v>0.4</v>
      </c>
      <c r="F18" s="41" t="s">
        <v>395</v>
      </c>
      <c r="G18" s="41" t="s">
        <v>391</v>
      </c>
      <c r="H18" s="41" t="s">
        <v>392</v>
      </c>
      <c r="I18" s="59">
        <f>AVERAGE(I29,I31,I34,I33)</f>
        <v>0.32</v>
      </c>
      <c r="J18" s="59">
        <f>I18</f>
        <v>0.32</v>
      </c>
      <c r="K18" s="59">
        <f t="shared" ref="K18:P19" si="2">J18</f>
        <v>0.32</v>
      </c>
      <c r="L18" s="59">
        <f t="shared" si="2"/>
        <v>0.32</v>
      </c>
      <c r="M18" s="59">
        <f t="shared" si="2"/>
        <v>0.32</v>
      </c>
      <c r="N18" s="59">
        <f t="shared" si="2"/>
        <v>0.32</v>
      </c>
      <c r="O18" s="59">
        <f t="shared" si="2"/>
        <v>0.32</v>
      </c>
      <c r="P18" s="59">
        <f t="shared" si="2"/>
        <v>0.32</v>
      </c>
    </row>
    <row r="19" spans="3:16">
      <c r="C19" s="41" t="s">
        <v>327</v>
      </c>
      <c r="D19" s="41" t="s">
        <v>299</v>
      </c>
      <c r="E19" s="59">
        <f>'Tech costs'!I20/'Tech costs'!$I$14</f>
        <v>0.28999999999999998</v>
      </c>
      <c r="F19" s="41">
        <v>25.11</v>
      </c>
      <c r="G19" s="41" t="s">
        <v>391</v>
      </c>
      <c r="H19" s="41" t="s">
        <v>392</v>
      </c>
      <c r="I19" s="59">
        <f>I30</f>
        <v>0.4</v>
      </c>
      <c r="J19" s="59">
        <f>I19</f>
        <v>0.4</v>
      </c>
      <c r="K19" s="59">
        <f t="shared" si="2"/>
        <v>0.4</v>
      </c>
      <c r="L19" s="59">
        <f t="shared" si="2"/>
        <v>0.4</v>
      </c>
      <c r="M19" s="59">
        <f t="shared" si="2"/>
        <v>0.4</v>
      </c>
      <c r="N19" s="59">
        <f t="shared" si="2"/>
        <v>0.4</v>
      </c>
      <c r="O19" s="59">
        <f t="shared" si="2"/>
        <v>0.4</v>
      </c>
      <c r="P19" s="59">
        <f t="shared" si="2"/>
        <v>0.4</v>
      </c>
    </row>
    <row r="20" spans="3:16">
      <c r="C20" s="41" t="s">
        <v>320</v>
      </c>
      <c r="D20" s="41" t="s">
        <v>299</v>
      </c>
      <c r="E20" s="59">
        <f>'Tech costs'!I21/'Tech costs'!$I$14</f>
        <v>8.4999999999999992E-2</v>
      </c>
      <c r="F20" s="41" t="s">
        <v>396</v>
      </c>
      <c r="G20" s="41" t="s">
        <v>391</v>
      </c>
      <c r="H20" s="41" t="s">
        <v>392</v>
      </c>
      <c r="I20" s="59">
        <f>AVERAGE(I36,I38,I37,I30)</f>
        <v>0.38</v>
      </c>
      <c r="J20" s="59">
        <f t="shared" ref="J20:J22" si="3">I20</f>
        <v>0.38</v>
      </c>
      <c r="K20" s="59">
        <f t="shared" ref="K20:K22" si="4">J20</f>
        <v>0.38</v>
      </c>
      <c r="L20" s="59">
        <f t="shared" ref="L20:L22" si="5">K20</f>
        <v>0.38</v>
      </c>
      <c r="M20" s="59">
        <f t="shared" ref="M20:M22" si="6">L20</f>
        <v>0.38</v>
      </c>
      <c r="N20" s="59">
        <f t="shared" ref="N20:N22" si="7">M20</f>
        <v>0.38</v>
      </c>
      <c r="O20" s="59">
        <f t="shared" ref="O20:O22" si="8">N20</f>
        <v>0.38</v>
      </c>
      <c r="P20" s="59">
        <f t="shared" ref="P20:P22" si="9">O20</f>
        <v>0.38</v>
      </c>
    </row>
    <row r="21" spans="3:16">
      <c r="C21" s="41" t="s">
        <v>317</v>
      </c>
      <c r="D21" s="41" t="s">
        <v>299</v>
      </c>
      <c r="E21" s="59">
        <f>'Tech costs'!I22/'Tech costs'!$I$14</f>
        <v>0.18999999999999997</v>
      </c>
      <c r="F21" s="41">
        <v>52.22</v>
      </c>
      <c r="G21" s="41" t="s">
        <v>391</v>
      </c>
      <c r="H21" s="41" t="s">
        <v>392</v>
      </c>
      <c r="I21" s="59">
        <f>I39</f>
        <v>0.66200000000000003</v>
      </c>
      <c r="J21" s="59">
        <f t="shared" si="3"/>
        <v>0.66200000000000003</v>
      </c>
      <c r="K21" s="59">
        <f t="shared" si="4"/>
        <v>0.66200000000000003</v>
      </c>
      <c r="L21" s="59">
        <f t="shared" si="5"/>
        <v>0.66200000000000003</v>
      </c>
      <c r="M21" s="59">
        <f t="shared" si="6"/>
        <v>0.66200000000000003</v>
      </c>
      <c r="N21" s="59">
        <f t="shared" si="7"/>
        <v>0.66200000000000003</v>
      </c>
      <c r="O21" s="59">
        <f t="shared" si="8"/>
        <v>0.66200000000000003</v>
      </c>
      <c r="P21" s="59">
        <f t="shared" si="9"/>
        <v>0.66200000000000003</v>
      </c>
    </row>
    <row r="22" spans="3:16">
      <c r="C22" s="105" t="s">
        <v>280</v>
      </c>
      <c r="D22" s="41" t="s">
        <v>299</v>
      </c>
      <c r="E22" s="41"/>
      <c r="F22" s="41" t="s">
        <v>397</v>
      </c>
      <c r="G22" s="41" t="s">
        <v>391</v>
      </c>
      <c r="H22" s="41" t="s">
        <v>392</v>
      </c>
      <c r="I22" s="59">
        <f>AVERAGE(I39:I40)</f>
        <v>0.44227759497990671</v>
      </c>
      <c r="J22" s="59">
        <f t="shared" si="3"/>
        <v>0.44227759497990671</v>
      </c>
      <c r="K22" s="59">
        <f t="shared" si="4"/>
        <v>0.44227759497990671</v>
      </c>
      <c r="L22" s="59">
        <f t="shared" si="5"/>
        <v>0.44227759497990671</v>
      </c>
      <c r="M22" s="59">
        <f t="shared" si="6"/>
        <v>0.44227759497990671</v>
      </c>
      <c r="N22" s="59">
        <f t="shared" si="7"/>
        <v>0.44227759497990671</v>
      </c>
      <c r="O22" s="59">
        <f t="shared" si="8"/>
        <v>0.44227759497990671</v>
      </c>
      <c r="P22" s="59">
        <f t="shared" si="9"/>
        <v>0.44227759497990671</v>
      </c>
    </row>
    <row r="23" spans="3:16">
      <c r="C23" s="52"/>
      <c r="I23" s="75"/>
      <c r="J23" s="75"/>
      <c r="K23" s="75"/>
      <c r="L23" s="75"/>
      <c r="M23" s="75"/>
      <c r="N23" s="75"/>
      <c r="O23" s="75"/>
      <c r="P23" s="75"/>
    </row>
    <row r="24" spans="3:16">
      <c r="C24" s="52"/>
      <c r="I24" s="75"/>
      <c r="J24" s="75"/>
      <c r="K24" s="75"/>
      <c r="L24" s="75"/>
      <c r="M24" s="75"/>
      <c r="N24" s="75"/>
      <c r="O24" s="75"/>
      <c r="P24" s="75"/>
    </row>
    <row r="28" spans="3:16" ht="14.5">
      <c r="C28" s="145" t="s">
        <v>283</v>
      </c>
      <c r="D28" s="41" t="s">
        <v>398</v>
      </c>
      <c r="E28" s="355" t="s">
        <v>399</v>
      </c>
      <c r="F28" s="355"/>
      <c r="G28" s="355"/>
      <c r="H28" s="355"/>
      <c r="I28" s="41" t="s">
        <v>400</v>
      </c>
    </row>
    <row r="29" spans="3:16" ht="14.5" customHeight="1">
      <c r="C29" s="146" t="s">
        <v>401</v>
      </c>
      <c r="D29" s="41">
        <v>25.11</v>
      </c>
      <c r="E29" s="352" t="s">
        <v>402</v>
      </c>
      <c r="F29" s="353"/>
      <c r="G29" s="353"/>
      <c r="H29" s="354"/>
      <c r="I29" s="78">
        <v>0.4</v>
      </c>
    </row>
    <row r="30" spans="3:16" ht="17.5" customHeight="1">
      <c r="C30" s="146" t="s">
        <v>403</v>
      </c>
      <c r="D30" s="41">
        <v>25.11</v>
      </c>
      <c r="E30" s="352" t="s">
        <v>402</v>
      </c>
      <c r="F30" s="353"/>
      <c r="G30" s="353"/>
      <c r="H30" s="354"/>
      <c r="I30" s="78">
        <v>0.4</v>
      </c>
    </row>
    <row r="31" spans="3:16" ht="15" customHeight="1">
      <c r="C31" s="146" t="s">
        <v>404</v>
      </c>
      <c r="D31" s="41">
        <v>28.11</v>
      </c>
      <c r="E31" s="352" t="s">
        <v>405</v>
      </c>
      <c r="F31" s="353"/>
      <c r="G31" s="353"/>
      <c r="H31" s="354"/>
      <c r="I31" s="78">
        <v>0.21</v>
      </c>
    </row>
    <row r="32" spans="3:16" ht="14.5" customHeight="1">
      <c r="C32" s="146" t="s">
        <v>406</v>
      </c>
      <c r="D32" s="41">
        <v>28.15</v>
      </c>
      <c r="E32" s="352" t="s">
        <v>407</v>
      </c>
      <c r="F32" s="353"/>
      <c r="G32" s="353"/>
      <c r="H32" s="354"/>
      <c r="I32" s="78">
        <v>0.39</v>
      </c>
    </row>
    <row r="33" spans="3:12" ht="15" customHeight="1">
      <c r="C33" s="146" t="s">
        <v>408</v>
      </c>
      <c r="D33" s="41">
        <v>28.15</v>
      </c>
      <c r="E33" s="352" t="s">
        <v>407</v>
      </c>
      <c r="F33" s="353"/>
      <c r="G33" s="353"/>
      <c r="H33" s="354"/>
      <c r="I33" s="78">
        <v>0.39</v>
      </c>
    </row>
    <row r="34" spans="3:12" ht="15" customHeight="1">
      <c r="C34" s="146" t="s">
        <v>409</v>
      </c>
      <c r="D34" s="41">
        <v>27.11</v>
      </c>
      <c r="E34" s="352" t="s">
        <v>410</v>
      </c>
      <c r="F34" s="353"/>
      <c r="G34" s="353"/>
      <c r="H34" s="354"/>
      <c r="I34" s="78">
        <v>0.28000000000000003</v>
      </c>
    </row>
    <row r="35" spans="3:12" ht="17.25" customHeight="1">
      <c r="C35" s="146" t="s">
        <v>411</v>
      </c>
      <c r="D35" s="41">
        <v>27.11</v>
      </c>
      <c r="E35" s="352" t="s">
        <v>410</v>
      </c>
      <c r="F35" s="353"/>
      <c r="G35" s="353"/>
      <c r="H35" s="354"/>
      <c r="I35" s="78">
        <v>0.28000000000000003</v>
      </c>
    </row>
    <row r="36" spans="3:12" ht="29.25" customHeight="1">
      <c r="C36" s="146" t="s">
        <v>412</v>
      </c>
      <c r="D36" s="41">
        <v>27.11</v>
      </c>
      <c r="E36" s="352" t="s">
        <v>410</v>
      </c>
      <c r="F36" s="353"/>
      <c r="G36" s="353"/>
      <c r="H36" s="354"/>
      <c r="I36" s="78">
        <v>0.28000000000000003</v>
      </c>
    </row>
    <row r="37" spans="3:12" ht="28" customHeight="1">
      <c r="C37" s="230" t="s">
        <v>413</v>
      </c>
      <c r="D37" s="147">
        <v>27.12</v>
      </c>
      <c r="E37" s="352" t="s">
        <v>410</v>
      </c>
      <c r="F37" s="353"/>
      <c r="G37" s="353"/>
      <c r="H37" s="354"/>
      <c r="I37" s="78">
        <v>0.39</v>
      </c>
    </row>
    <row r="38" spans="3:12" ht="18" customHeight="1">
      <c r="C38" s="146" t="s">
        <v>414</v>
      </c>
      <c r="D38" s="41">
        <v>27.32</v>
      </c>
      <c r="E38" s="352" t="s">
        <v>415</v>
      </c>
      <c r="F38" s="353"/>
      <c r="G38" s="353"/>
      <c r="H38" s="354"/>
      <c r="I38" s="78">
        <v>0.45</v>
      </c>
    </row>
    <row r="39" spans="3:12" ht="19.5" customHeight="1">
      <c r="C39" s="146" t="s">
        <v>416</v>
      </c>
      <c r="D39" s="41">
        <v>52.22</v>
      </c>
      <c r="E39" s="352" t="s">
        <v>417</v>
      </c>
      <c r="F39" s="353"/>
      <c r="G39" s="353"/>
      <c r="H39" s="354"/>
      <c r="I39" s="78">
        <v>0.66200000000000003</v>
      </c>
    </row>
    <row r="40" spans="3:12" ht="14.5">
      <c r="C40" s="146" t="s">
        <v>307</v>
      </c>
      <c r="D40" s="41" t="s">
        <v>418</v>
      </c>
      <c r="E40" s="352" t="s">
        <v>419</v>
      </c>
      <c r="F40" s="353"/>
      <c r="G40" s="353"/>
      <c r="H40" s="354"/>
      <c r="I40" s="78">
        <v>0.22255518995981341</v>
      </c>
    </row>
    <row r="43" spans="3:12">
      <c r="C43" s="148"/>
      <c r="D43" s="149"/>
      <c r="E43" s="149"/>
      <c r="F43" s="150"/>
      <c r="G43" s="151"/>
      <c r="H43" s="151"/>
      <c r="I43" s="151"/>
      <c r="J43" s="151" t="s">
        <v>420</v>
      </c>
      <c r="K43" s="152" t="s">
        <v>420</v>
      </c>
      <c r="L43" s="153" t="s">
        <v>420</v>
      </c>
    </row>
    <row r="44" spans="3:12" ht="14.5">
      <c r="E44"/>
    </row>
    <row r="45" spans="3:12" ht="19">
      <c r="E45" s="241"/>
      <c r="H45" s="2"/>
    </row>
    <row r="46" spans="3:12" ht="14.5">
      <c r="E46" s="242"/>
      <c r="H46" s="52"/>
    </row>
    <row r="47" spans="3:12" ht="19">
      <c r="E47" s="241"/>
    </row>
    <row r="48" spans="3:12" ht="14.5">
      <c r="E48" s="242"/>
    </row>
    <row r="49" spans="5:9" ht="19">
      <c r="E49" s="241"/>
    </row>
    <row r="50" spans="5:9" ht="14.5">
      <c r="E50" s="242"/>
      <c r="I50" s="75"/>
    </row>
    <row r="51" spans="5:9">
      <c r="I51" s="75"/>
    </row>
  </sheetData>
  <mergeCells count="13">
    <mergeCell ref="E40:H40"/>
    <mergeCell ref="E28:H28"/>
    <mergeCell ref="E29:H29"/>
    <mergeCell ref="E30:H30"/>
    <mergeCell ref="E31:H31"/>
    <mergeCell ref="E39:H39"/>
    <mergeCell ref="E32:H32"/>
    <mergeCell ref="E38:H38"/>
    <mergeCell ref="E37:H37"/>
    <mergeCell ref="E33:H33"/>
    <mergeCell ref="E34:H34"/>
    <mergeCell ref="E35:H35"/>
    <mergeCell ref="E36:H36"/>
  </mergeCells>
  <conditionalFormatting sqref="A44:D50 F44:XFD44 K29:XFD31 A41:XFD43 J40:XFD40 K34:XFD39 J31 F45:G50 J28:XFD28 A51:H1048576 A10:A24 Q10:XFD24 B18:B24 I45:XFD45 I50:XFD1048576 J46:XFD49 D18:E24 A25:XFD27 J32:XFD33 A28:B40 I28:I38 D28:D38 A1:XFD9 G18:P24">
    <cfRule type="expression" dxfId="128" priority="21">
      <formula>_xlfn.ISFORMULA(A1)</formula>
    </cfRule>
  </conditionalFormatting>
  <conditionalFormatting sqref="B10:P12 B15:P17 B14:D14 F13:F14 I13:P14">
    <cfRule type="expression" dxfId="127" priority="20">
      <formula>_xlfn.ISFORMULA(B10)</formula>
    </cfRule>
  </conditionalFormatting>
  <conditionalFormatting sqref="B13:E13">
    <cfRule type="expression" dxfId="126" priority="19">
      <formula>_xlfn.ISFORMULA(B13)</formula>
    </cfRule>
  </conditionalFormatting>
  <conditionalFormatting sqref="J29:J30">
    <cfRule type="expression" dxfId="125" priority="17">
      <formula>_xlfn.ISFORMULA(J29)</formula>
    </cfRule>
  </conditionalFormatting>
  <conditionalFormatting sqref="J34:J37">
    <cfRule type="expression" dxfId="124" priority="15">
      <formula>_xlfn.ISFORMULA(J34)</formula>
    </cfRule>
  </conditionalFormatting>
  <conditionalFormatting sqref="J38">
    <cfRule type="expression" dxfId="123" priority="14">
      <formula>_xlfn.ISFORMULA(J38)</formula>
    </cfRule>
  </conditionalFormatting>
  <conditionalFormatting sqref="J39">
    <cfRule type="expression" dxfId="122" priority="12">
      <formula>_xlfn.ISFORMULA(J39)</formula>
    </cfRule>
  </conditionalFormatting>
  <conditionalFormatting sqref="H45">
    <cfRule type="expression" dxfId="121" priority="10">
      <formula>_xlfn.ISFORMULA(H45)</formula>
    </cfRule>
  </conditionalFormatting>
  <conditionalFormatting sqref="H50">
    <cfRule type="expression" dxfId="120" priority="8">
      <formula>_xlfn.ISFORMULA(H50)</formula>
    </cfRule>
  </conditionalFormatting>
  <conditionalFormatting sqref="I39 D39">
    <cfRule type="expression" dxfId="119" priority="7">
      <formula>_xlfn.ISFORMULA(D39)</formula>
    </cfRule>
  </conditionalFormatting>
  <conditionalFormatting sqref="I40 D40">
    <cfRule type="expression" dxfId="118" priority="6">
      <formula>_xlfn.ISFORMULA(D40)</formula>
    </cfRule>
  </conditionalFormatting>
  <conditionalFormatting sqref="F18:F22">
    <cfRule type="expression" dxfId="117" priority="5">
      <formula>_xlfn.ISFORMULA(F18)</formula>
    </cfRule>
  </conditionalFormatting>
  <conditionalFormatting sqref="E14">
    <cfRule type="expression" dxfId="116" priority="3">
      <formula>_xlfn.ISFORMULA(E14)</formula>
    </cfRule>
  </conditionalFormatting>
  <conditionalFormatting sqref="H13:H14">
    <cfRule type="expression" dxfId="115" priority="2">
      <formula>_xlfn.ISFORMULA(H13)</formula>
    </cfRule>
  </conditionalFormatting>
  <conditionalFormatting sqref="G13:G14">
    <cfRule type="expression" dxfId="114" priority="1">
      <formula>_xlfn.ISFORMULA(G13)</formula>
    </cfRule>
  </conditionalFormatting>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39997558519241921"/>
  </sheetPr>
  <dimension ref="B1:R32"/>
  <sheetViews>
    <sheetView topLeftCell="A10" zoomScale="70" zoomScaleNormal="70" workbookViewId="0">
      <selection activeCell="I24" sqref="I24:P28"/>
    </sheetView>
  </sheetViews>
  <sheetFormatPr defaultColWidth="8.81640625" defaultRowHeight="14"/>
  <cols>
    <col min="1" max="1" width="10.7265625" style="1" customWidth="1"/>
    <col min="2" max="2" width="17.81640625" style="1" customWidth="1"/>
    <col min="3" max="3" width="25.1796875" style="1" customWidth="1"/>
    <col min="4" max="4" width="8.81640625" style="1"/>
    <col min="5" max="5" width="9.81640625" style="1" customWidth="1"/>
    <col min="6" max="6" width="15.7265625" style="1" customWidth="1"/>
    <col min="7" max="7" width="21.81640625" style="1" customWidth="1"/>
    <col min="8" max="8" width="24" style="1" customWidth="1"/>
    <col min="9" max="9" width="15" style="1" bestFit="1" customWidth="1"/>
    <col min="10" max="10" width="18.453125" style="1" customWidth="1"/>
    <col min="11" max="12" width="17.26953125" style="1" customWidth="1"/>
    <col min="13" max="13" width="17.1796875" style="1" bestFit="1" customWidth="1"/>
    <col min="14" max="14" width="17" style="1" customWidth="1"/>
    <col min="15" max="15" width="16.7265625" style="1" customWidth="1"/>
    <col min="16" max="16" width="17.7265625" style="1" bestFit="1" customWidth="1"/>
    <col min="17" max="17" width="8.81640625" style="1"/>
    <col min="18" max="18" width="9.81640625" style="1" bestFit="1" customWidth="1"/>
    <col min="19" max="16384" width="8.81640625" style="1"/>
  </cols>
  <sheetData>
    <row r="1" spans="2:18" s="3" customFormat="1" ht="49.5" customHeight="1">
      <c r="B1" s="304" t="s">
        <v>421</v>
      </c>
      <c r="C1" s="304"/>
      <c r="D1" s="304"/>
      <c r="E1" s="304"/>
      <c r="F1" s="304"/>
      <c r="G1" s="304"/>
      <c r="H1" s="304"/>
      <c r="I1" s="304"/>
      <c r="J1" s="304"/>
      <c r="K1" s="304"/>
      <c r="L1" s="304"/>
      <c r="M1" s="304"/>
      <c r="N1" s="304"/>
      <c r="O1" s="304"/>
      <c r="P1" s="304"/>
      <c r="Q1" s="304"/>
      <c r="R1" s="304"/>
    </row>
    <row r="4" spans="2:18">
      <c r="O4" s="7"/>
      <c r="P4" s="2"/>
    </row>
    <row r="5" spans="2:18">
      <c r="P5" s="2"/>
    </row>
    <row r="8" spans="2:18" ht="14.5">
      <c r="C8" s="5"/>
      <c r="D8" s="5"/>
      <c r="E8" s="5"/>
      <c r="F8" s="5"/>
      <c r="G8" s="5"/>
      <c r="H8" s="5"/>
      <c r="I8" s="5"/>
      <c r="J8" s="103"/>
      <c r="K8" s="5"/>
      <c r="L8" s="5"/>
      <c r="M8" s="5"/>
      <c r="N8" s="5"/>
      <c r="O8" s="5"/>
      <c r="P8" s="5"/>
      <c r="Q8" s="5"/>
      <c r="R8" s="5"/>
    </row>
    <row r="9" spans="2:18" ht="14.5">
      <c r="C9" s="2" t="s">
        <v>76</v>
      </c>
      <c r="D9" s="2"/>
      <c r="E9" s="2"/>
      <c r="F9" s="2"/>
      <c r="G9" s="2"/>
      <c r="H9" s="2"/>
      <c r="Q9" s="5"/>
      <c r="R9" s="5"/>
    </row>
    <row r="10" spans="2:18" ht="14.5">
      <c r="C10" s="45" t="s">
        <v>243</v>
      </c>
      <c r="Q10" s="5"/>
      <c r="R10" s="5"/>
    </row>
    <row r="11" spans="2:18" ht="14.5">
      <c r="B11" s="47" t="s">
        <v>137</v>
      </c>
      <c r="C11" s="47" t="s">
        <v>338</v>
      </c>
      <c r="D11" s="47" t="s">
        <v>24</v>
      </c>
      <c r="E11" s="47">
        <v>2015</v>
      </c>
      <c r="F11" s="47">
        <v>2020</v>
      </c>
      <c r="G11" s="47">
        <v>2025</v>
      </c>
      <c r="H11" s="47">
        <v>2030</v>
      </c>
      <c r="I11" s="47">
        <v>2035</v>
      </c>
      <c r="J11" s="47">
        <v>2040</v>
      </c>
      <c r="K11" s="47">
        <v>2045</v>
      </c>
      <c r="L11" s="47">
        <v>2050</v>
      </c>
      <c r="M11" s="5"/>
      <c r="N11" s="5"/>
    </row>
    <row r="12" spans="2:18" ht="14.5">
      <c r="B12" s="58" t="s">
        <v>148</v>
      </c>
      <c r="C12" s="41" t="s">
        <v>339</v>
      </c>
      <c r="D12" s="41" t="s">
        <v>422</v>
      </c>
      <c r="E12" s="111">
        <f t="shared" ref="E12:L12" si="0">SUM(E17:E20)</f>
        <v>11925143.840996951</v>
      </c>
      <c r="F12" s="111">
        <f t="shared" si="0"/>
        <v>176841369.01102266</v>
      </c>
      <c r="G12" s="111">
        <f t="shared" si="0"/>
        <v>345985684.44303727</v>
      </c>
      <c r="H12" s="111">
        <f t="shared" si="0"/>
        <v>647191546.63329291</v>
      </c>
      <c r="I12" s="111">
        <f t="shared" si="0"/>
        <v>749212518.19954062</v>
      </c>
      <c r="J12" s="111">
        <f t="shared" si="0"/>
        <v>1083179888.9875183</v>
      </c>
      <c r="K12" s="111">
        <f t="shared" si="0"/>
        <v>1154185184.6226599</v>
      </c>
      <c r="L12" s="111">
        <f t="shared" si="0"/>
        <v>1268175928.3967509</v>
      </c>
      <c r="M12" s="5"/>
      <c r="N12" s="5"/>
    </row>
    <row r="13" spans="2:18" ht="14.5">
      <c r="C13" s="41" t="s">
        <v>307</v>
      </c>
      <c r="D13" s="41" t="s">
        <v>422</v>
      </c>
      <c r="E13" s="111">
        <f>E21</f>
        <v>2187677.5632972531</v>
      </c>
      <c r="F13" s="111">
        <f t="shared" ref="F13:L13" si="1">F21</f>
        <v>41697823.908488065</v>
      </c>
      <c r="G13" s="111">
        <f t="shared" si="1"/>
        <v>145270184.04243633</v>
      </c>
      <c r="H13" s="111">
        <f t="shared" si="1"/>
        <v>306822965.27633619</v>
      </c>
      <c r="I13" s="111">
        <f t="shared" si="1"/>
        <v>473172461.25356632</v>
      </c>
      <c r="J13" s="111">
        <f t="shared" si="1"/>
        <v>836330509.99901676</v>
      </c>
      <c r="K13" s="111">
        <f t="shared" si="1"/>
        <v>944097871.76031208</v>
      </c>
      <c r="L13" s="111">
        <f t="shared" si="1"/>
        <v>1119608913.5924261</v>
      </c>
      <c r="M13" s="5"/>
      <c r="N13" s="5"/>
    </row>
    <row r="14" spans="2:18" ht="14.5">
      <c r="M14" s="5"/>
      <c r="N14" s="5"/>
    </row>
    <row r="15" spans="2:18" ht="14.5">
      <c r="C15" s="45" t="s">
        <v>341</v>
      </c>
      <c r="M15" s="5"/>
      <c r="N15" s="5"/>
    </row>
    <row r="16" spans="2:18" ht="14.5">
      <c r="C16" s="47" t="s">
        <v>283</v>
      </c>
      <c r="D16" s="47" t="s">
        <v>24</v>
      </c>
      <c r="E16" s="47">
        <v>2015</v>
      </c>
      <c r="F16" s="47">
        <v>2020</v>
      </c>
      <c r="G16" s="47">
        <v>2025</v>
      </c>
      <c r="H16" s="47">
        <v>2030</v>
      </c>
      <c r="I16" s="47">
        <v>2035</v>
      </c>
      <c r="J16" s="47">
        <v>2040</v>
      </c>
      <c r="K16" s="47">
        <v>2045</v>
      </c>
      <c r="L16" s="47">
        <v>2050</v>
      </c>
      <c r="M16" s="5"/>
      <c r="N16" s="160" t="s">
        <v>423</v>
      </c>
    </row>
    <row r="17" spans="3:18" ht="14.5">
      <c r="C17" s="48" t="s">
        <v>285</v>
      </c>
      <c r="D17" s="41" t="s">
        <v>422</v>
      </c>
      <c r="E17" s="110">
        <f>'GVA turnover multiplier'!I18*'UK captured turnover'!E17*10^6</f>
        <v>3698019.6732548298</v>
      </c>
      <c r="F17" s="110">
        <f>'GVA turnover multiplier'!J18*'UK captured turnover'!F17*10^6</f>
        <v>56923855.174571045</v>
      </c>
      <c r="G17" s="110">
        <f>'GVA turnover multiplier'!K18*'UK captured turnover'!G17*10^6</f>
        <v>112284900.90489438</v>
      </c>
      <c r="H17" s="110">
        <f>'GVA turnover multiplier'!L18*'UK captured turnover'!H17*10^6</f>
        <v>257478869.86940876</v>
      </c>
      <c r="I17" s="110">
        <f>'GVA turnover multiplier'!M18*'UK captured turnover'!I17*10^6</f>
        <v>299972925.19271702</v>
      </c>
      <c r="J17" s="110">
        <f>'GVA turnover multiplier'!N18*'UK captured turnover'!J17*10^6</f>
        <v>419825323.21834934</v>
      </c>
      <c r="K17" s="110">
        <f>'GVA turnover multiplier'!O18*'UK captured turnover'!K17*10^6</f>
        <v>443587389.59957117</v>
      </c>
      <c r="L17" s="110">
        <f>'GVA turnover multiplier'!P18*'UK captured turnover'!L17*10^6</f>
        <v>517096029.47322196</v>
      </c>
      <c r="M17" s="5"/>
      <c r="N17" s="161">
        <f>L17/1000000000</f>
        <v>0.51709602947322197</v>
      </c>
    </row>
    <row r="18" spans="3:18" ht="14.5">
      <c r="C18" s="41" t="s">
        <v>333</v>
      </c>
      <c r="D18" s="41" t="s">
        <v>422</v>
      </c>
      <c r="E18" s="110">
        <f>'GVA turnover multiplier'!I19*'UK captured turnover'!E18*10^6</f>
        <v>3707158.0056575635</v>
      </c>
      <c r="F18" s="110">
        <f>'GVA turnover multiplier'!J19*'UK captured turnover'!F18*10^6</f>
        <v>54322099.832024448</v>
      </c>
      <c r="G18" s="110">
        <f>'GVA turnover multiplier'!K19*'UK captured turnover'!G18*10^6</f>
        <v>105407830.87699832</v>
      </c>
      <c r="H18" s="110">
        <f>'GVA turnover multiplier'!L19*'UK captured turnover'!H18*10^6</f>
        <v>171147588.32065567</v>
      </c>
      <c r="I18" s="110">
        <f>'GVA turnover multiplier'!M19*'UK captured turnover'!I18*10^6</f>
        <v>197063707.03537425</v>
      </c>
      <c r="J18" s="110">
        <f>'GVA turnover multiplier'!N19*'UK captured turnover'!J18*10^6</f>
        <v>292637739.32501185</v>
      </c>
      <c r="K18" s="110">
        <f>'GVA turnover multiplier'!O19*'UK captured turnover'!K18*10^6</f>
        <v>313917079.7963472</v>
      </c>
      <c r="L18" s="110">
        <f>'GVA turnover multiplier'!P19*'UK captured turnover'!L18*10^6</f>
        <v>328357528.38977975</v>
      </c>
      <c r="M18" s="5"/>
      <c r="N18" s="161">
        <f t="shared" ref="N18:N21" si="2">L18/1000000000</f>
        <v>0.32835752838977977</v>
      </c>
    </row>
    <row r="19" spans="3:18" ht="14.5">
      <c r="C19" s="41" t="s">
        <v>320</v>
      </c>
      <c r="D19" s="41" t="s">
        <v>422</v>
      </c>
      <c r="E19" s="110">
        <f>'GVA turnover multiplier'!I20*'UK captured turnover'!E19*10^6</f>
        <v>1304198.341728637</v>
      </c>
      <c r="F19" s="110">
        <f>'GVA turnover multiplier'!J20*'UK captured turnover'!F19*10^6</f>
        <v>18473802.163930371</v>
      </c>
      <c r="G19" s="110">
        <f>'GVA turnover multiplier'!K20*'UK captured turnover'!G19*10^6</f>
        <v>36857111.504531793</v>
      </c>
      <c r="H19" s="110">
        <f>'GVA turnover multiplier'!L20*'UK captured turnover'!H19*10^6</f>
        <v>70103408.036524534</v>
      </c>
      <c r="I19" s="110">
        <f>'GVA turnover multiplier'!M20*'UK captured turnover'!I19*10^6</f>
        <v>81233313.068626001</v>
      </c>
      <c r="J19" s="110">
        <f>'GVA turnover multiplier'!N20*'UK captured turnover'!J19*10^6</f>
        <v>116868724.01450202</v>
      </c>
      <c r="K19" s="110">
        <f>'GVA turnover multiplier'!O20*'UK captured turnover'!K19*10^6</f>
        <v>124373885.59374461</v>
      </c>
      <c r="L19" s="110">
        <f>'GVA turnover multiplier'!P20*'UK captured turnover'!L19*10^6</f>
        <v>137889198.66570431</v>
      </c>
      <c r="M19" s="5"/>
      <c r="N19" s="161">
        <f t="shared" si="2"/>
        <v>0.13788919866570432</v>
      </c>
    </row>
    <row r="20" spans="3:18" ht="14.5">
      <c r="C20" s="41" t="s">
        <v>317</v>
      </c>
      <c r="D20" s="41" t="s">
        <v>422</v>
      </c>
      <c r="E20" s="110">
        <f>'GVA turnover multiplier'!I21*'UK captured turnover'!E20*10^6</f>
        <v>3215767.8203559197</v>
      </c>
      <c r="F20" s="110">
        <f>'GVA turnover multiplier'!J21*'UK captured turnover'!F20*10^6</f>
        <v>47121611.840496801</v>
      </c>
      <c r="G20" s="110">
        <f>'GVA turnover multiplier'!K21*'UK captured turnover'!G20*10^6</f>
        <v>91435841.156612739</v>
      </c>
      <c r="H20" s="110">
        <f>'GVA turnover multiplier'!L21*'UK captured turnover'!H20*10^6</f>
        <v>148461680.40670395</v>
      </c>
      <c r="I20" s="110">
        <f>'GVA turnover multiplier'!M21*'UK captured turnover'!I20*10^6</f>
        <v>170942572.9028233</v>
      </c>
      <c r="J20" s="110">
        <f>'GVA turnover multiplier'!N21*'UK captured turnover'!J20*10^6</f>
        <v>253848102.42965513</v>
      </c>
      <c r="K20" s="110">
        <f>'GVA turnover multiplier'!O21*'UK captured turnover'!K20*10^6</f>
        <v>272306829.63299686</v>
      </c>
      <c r="L20" s="110">
        <f>'GVA turnover multiplier'!P21*'UK captured turnover'!L20*10^6</f>
        <v>284833171.86804479</v>
      </c>
      <c r="M20" s="5"/>
      <c r="N20" s="161">
        <f t="shared" si="2"/>
        <v>0.2848331718680448</v>
      </c>
    </row>
    <row r="21" spans="3:18" ht="14.5">
      <c r="C21" s="105" t="s">
        <v>280</v>
      </c>
      <c r="D21" s="41" t="s">
        <v>422</v>
      </c>
      <c r="E21" s="110">
        <f>'GVA turnover multiplier'!I22*'UK captured turnover'!E21*10^6</f>
        <v>2187677.5632972531</v>
      </c>
      <c r="F21" s="110">
        <f>'GVA turnover multiplier'!J22*'UK captured turnover'!F21*10^6</f>
        <v>41697823.908488065</v>
      </c>
      <c r="G21" s="110">
        <f>'GVA turnover multiplier'!K22*'UK captured turnover'!G21*10^6</f>
        <v>145270184.04243633</v>
      </c>
      <c r="H21" s="110">
        <f>'GVA turnover multiplier'!L22*'UK captured turnover'!H21*10^6</f>
        <v>306822965.27633619</v>
      </c>
      <c r="I21" s="110">
        <f>'GVA turnover multiplier'!M22*'UK captured turnover'!I21*10^6</f>
        <v>473172461.25356632</v>
      </c>
      <c r="J21" s="110">
        <f>'GVA turnover multiplier'!N22*'UK captured turnover'!J21*10^6</f>
        <v>836330509.99901676</v>
      </c>
      <c r="K21" s="110">
        <f>'GVA turnover multiplier'!O22*'UK captured turnover'!K21*10^6</f>
        <v>944097871.76031208</v>
      </c>
      <c r="L21" s="110">
        <f>'GVA turnover multiplier'!P22*'UK captured turnover'!L21*10^6</f>
        <v>1119608913.5924261</v>
      </c>
      <c r="M21" s="5"/>
      <c r="N21" s="161">
        <f t="shared" si="2"/>
        <v>1.1196089135924261</v>
      </c>
    </row>
    <row r="22" spans="3:18" ht="14.5">
      <c r="Q22" s="5"/>
      <c r="R22" s="158"/>
    </row>
    <row r="23" spans="3:18" ht="14.5">
      <c r="Q23" s="5"/>
      <c r="R23" s="5"/>
    </row>
    <row r="24" spans="3:18">
      <c r="I24" s="162">
        <f t="shared" ref="I24:P25" si="3">E17/10^6</f>
        <v>3.6980196732548301</v>
      </c>
      <c r="J24" s="162">
        <f t="shared" si="3"/>
        <v>56.923855174571045</v>
      </c>
      <c r="K24" s="162">
        <f t="shared" si="3"/>
        <v>112.28490090489439</v>
      </c>
      <c r="L24" s="162">
        <f t="shared" si="3"/>
        <v>257.47886986940875</v>
      </c>
      <c r="M24" s="162">
        <f t="shared" si="3"/>
        <v>299.97292519271701</v>
      </c>
      <c r="N24" s="162">
        <f t="shared" si="3"/>
        <v>419.82532321834935</v>
      </c>
      <c r="O24" s="162">
        <f t="shared" si="3"/>
        <v>443.58738959957117</v>
      </c>
      <c r="P24" s="162">
        <f t="shared" si="3"/>
        <v>517.09602947322196</v>
      </c>
    </row>
    <row r="25" spans="3:18">
      <c r="I25" s="162">
        <f t="shared" si="3"/>
        <v>3.7071580056575635</v>
      </c>
      <c r="J25" s="162">
        <f t="shared" si="3"/>
        <v>54.322099832024449</v>
      </c>
      <c r="K25" s="162">
        <f t="shared" si="3"/>
        <v>105.40783087699832</v>
      </c>
      <c r="L25" s="162">
        <f t="shared" si="3"/>
        <v>171.14758832065567</v>
      </c>
      <c r="M25" s="162">
        <f t="shared" si="3"/>
        <v>197.06370703537425</v>
      </c>
      <c r="N25" s="162">
        <f t="shared" si="3"/>
        <v>292.63773932501186</v>
      </c>
      <c r="O25" s="162">
        <f t="shared" si="3"/>
        <v>313.9170797963472</v>
      </c>
      <c r="P25" s="162">
        <f t="shared" si="3"/>
        <v>328.35752838977976</v>
      </c>
    </row>
    <row r="26" spans="3:18">
      <c r="I26" s="162">
        <f t="shared" ref="I26:P28" si="4">E19/10^6</f>
        <v>1.3041983417286369</v>
      </c>
      <c r="J26" s="162">
        <f t="shared" si="4"/>
        <v>18.473802163930372</v>
      </c>
      <c r="K26" s="162">
        <f t="shared" si="4"/>
        <v>36.857111504531794</v>
      </c>
      <c r="L26" s="162">
        <f t="shared" si="4"/>
        <v>70.103408036524527</v>
      </c>
      <c r="M26" s="162">
        <f t="shared" si="4"/>
        <v>81.233313068626003</v>
      </c>
      <c r="N26" s="162">
        <f t="shared" si="4"/>
        <v>116.86872401450202</v>
      </c>
      <c r="O26" s="162">
        <f t="shared" si="4"/>
        <v>124.3738855937446</v>
      </c>
      <c r="P26" s="162">
        <f t="shared" si="4"/>
        <v>137.8891986657043</v>
      </c>
    </row>
    <row r="27" spans="3:18">
      <c r="I27" s="162">
        <f t="shared" si="4"/>
        <v>3.2157678203559197</v>
      </c>
      <c r="J27" s="162">
        <f t="shared" si="4"/>
        <v>47.121611840496804</v>
      </c>
      <c r="K27" s="162">
        <f t="shared" si="4"/>
        <v>91.435841156612739</v>
      </c>
      <c r="L27" s="162">
        <f t="shared" si="4"/>
        <v>148.46168040670395</v>
      </c>
      <c r="M27" s="162">
        <f t="shared" si="4"/>
        <v>170.94257290282329</v>
      </c>
      <c r="N27" s="162">
        <f t="shared" si="4"/>
        <v>253.84810242965514</v>
      </c>
      <c r="O27" s="162">
        <f t="shared" si="4"/>
        <v>272.30682963299688</v>
      </c>
      <c r="P27" s="162">
        <f t="shared" si="4"/>
        <v>284.83317186804481</v>
      </c>
    </row>
    <row r="28" spans="3:18">
      <c r="I28" s="162">
        <f t="shared" si="4"/>
        <v>2.1876775632972532</v>
      </c>
      <c r="J28" s="162">
        <f t="shared" si="4"/>
        <v>41.697823908488068</v>
      </c>
      <c r="K28" s="162">
        <f t="shared" si="4"/>
        <v>145.27018404243634</v>
      </c>
      <c r="L28" s="162">
        <f t="shared" si="4"/>
        <v>306.82296527633622</v>
      </c>
      <c r="M28" s="162">
        <f t="shared" si="4"/>
        <v>473.17246125356633</v>
      </c>
      <c r="N28" s="162">
        <f t="shared" si="4"/>
        <v>836.33050999901673</v>
      </c>
      <c r="O28" s="162">
        <f t="shared" si="4"/>
        <v>944.09787176031205</v>
      </c>
      <c r="P28" s="162">
        <f t="shared" si="4"/>
        <v>1119.608913592426</v>
      </c>
    </row>
    <row r="29" spans="3:18">
      <c r="I29" s="159"/>
      <c r="J29" s="159"/>
      <c r="K29" s="159"/>
      <c r="L29" s="159"/>
      <c r="M29" s="159"/>
      <c r="N29" s="159"/>
    </row>
    <row r="32" spans="3:18">
      <c r="D32" s="1" t="s">
        <v>424</v>
      </c>
      <c r="E32" s="163" t="s">
        <v>425</v>
      </c>
    </row>
  </sheetData>
  <conditionalFormatting sqref="A1:XFD7 A8:B8 B22:P23 A32:D32 A24:XFD25 A26:H31 A33:H1048576 F32:H32 I26:XFD1048576 B17:B21 A9:A23 B9:P10 B11:L16 S8:XFD10 S22:XFD23 O11:XFD21 D17:L21">
    <cfRule type="expression" dxfId="113" priority="14">
      <formula>_xlfn.ISFORMULA(A1)</formula>
    </cfRule>
  </conditionalFormatting>
  <pageMargins left="0.7" right="0.7" top="0.75" bottom="0.75" header="0.3" footer="0.3"/>
  <pageSetup paperSize="9" orientation="portrait" horizontalDpi="4294967294" verticalDpi="4294967294" r:id="rId1"/>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9" tint="0.39997558519241921"/>
  </sheetPr>
  <dimension ref="B1:P44"/>
  <sheetViews>
    <sheetView topLeftCell="A7" workbookViewId="0">
      <selection activeCell="D32" sqref="D32"/>
    </sheetView>
  </sheetViews>
  <sheetFormatPr defaultColWidth="8.81640625" defaultRowHeight="14"/>
  <cols>
    <col min="1" max="1" width="7.1796875" style="1" customWidth="1"/>
    <col min="2" max="2" width="17.81640625" style="1" customWidth="1"/>
    <col min="3" max="3" width="25.1796875" style="1" customWidth="1"/>
    <col min="4" max="4" width="19.453125" style="1" customWidth="1"/>
    <col min="5" max="5" width="29.81640625" style="1" customWidth="1"/>
    <col min="6" max="6" width="15.7265625" style="1" customWidth="1"/>
    <col min="7" max="7" width="29.453125" style="1" customWidth="1"/>
    <col min="8" max="8" width="24" style="1" customWidth="1"/>
    <col min="9" max="9" width="10.81640625" style="1" customWidth="1"/>
    <col min="10" max="10" width="11.453125" style="1" bestFit="1" customWidth="1"/>
    <col min="11" max="11" width="10.81640625" style="1" customWidth="1"/>
    <col min="12" max="12" width="11.7265625" style="1" customWidth="1"/>
    <col min="13" max="13" width="10.7265625" style="1" customWidth="1"/>
    <col min="14" max="14" width="11.453125" style="1" customWidth="1"/>
    <col min="15" max="16" width="10.81640625" style="1" customWidth="1"/>
    <col min="17" max="17" width="8.81640625" style="1"/>
    <col min="18" max="18" width="11.26953125" style="1" bestFit="1" customWidth="1"/>
    <col min="19" max="16384" width="8.81640625" style="1"/>
  </cols>
  <sheetData>
    <row r="1" spans="2:16" s="3" customFormat="1" ht="49.5" customHeight="1">
      <c r="B1" s="304" t="s">
        <v>426</v>
      </c>
      <c r="C1" s="304"/>
      <c r="D1" s="304"/>
      <c r="E1" s="304"/>
      <c r="F1" s="304"/>
      <c r="G1" s="304"/>
      <c r="H1" s="304"/>
      <c r="I1" s="304"/>
      <c r="J1" s="304"/>
      <c r="K1" s="304"/>
      <c r="L1" s="304"/>
      <c r="M1" s="304"/>
      <c r="N1" s="304"/>
      <c r="O1" s="304"/>
      <c r="P1" s="304"/>
    </row>
    <row r="4" spans="2:16">
      <c r="O4" s="7"/>
      <c r="P4" s="2"/>
    </row>
    <row r="5" spans="2:16">
      <c r="P5" s="2"/>
    </row>
    <row r="9" spans="2:16">
      <c r="H9" s="41"/>
      <c r="I9" s="47" t="s">
        <v>427</v>
      </c>
      <c r="J9" s="47" t="s">
        <v>428</v>
      </c>
      <c r="K9" s="47" t="s">
        <v>18</v>
      </c>
    </row>
    <row r="10" spans="2:16" ht="14.5">
      <c r="H10" s="70" t="s">
        <v>429</v>
      </c>
      <c r="I10" s="286">
        <v>1.9745789999999999E-2</v>
      </c>
      <c r="J10" s="41" t="s">
        <v>430</v>
      </c>
      <c r="K10" s="287" t="s">
        <v>431</v>
      </c>
    </row>
    <row r="11" spans="2:16" ht="28">
      <c r="H11" s="104" t="s">
        <v>432</v>
      </c>
      <c r="I11" s="47">
        <v>2015</v>
      </c>
      <c r="J11" s="47">
        <v>2020</v>
      </c>
      <c r="K11" s="47">
        <v>2025</v>
      </c>
      <c r="L11" s="47">
        <v>2030</v>
      </c>
      <c r="M11" s="47">
        <v>2035</v>
      </c>
      <c r="N11" s="47">
        <v>2040</v>
      </c>
      <c r="O11" s="47">
        <v>2045</v>
      </c>
      <c r="P11" s="47">
        <v>2050</v>
      </c>
    </row>
    <row r="12" spans="2:16">
      <c r="H12" s="41"/>
      <c r="I12" s="155">
        <v>1</v>
      </c>
      <c r="J12" s="244">
        <f>I12*((1+$I$10)^(J11-I11))</f>
        <v>1.1027056634136567</v>
      </c>
      <c r="K12" s="144">
        <f t="shared" ref="K12" si="0">J12*1.008^(K11-J11)</f>
        <v>1.1475252900473301</v>
      </c>
      <c r="L12" s="144">
        <f t="shared" ref="L12" si="1">K12*1.008^(L11-K11)</f>
        <v>1.1941666167032587</v>
      </c>
      <c r="M12" s="144">
        <f t="shared" ref="M12" si="2">L12*1.008^(M11-L11)</f>
        <v>1.2427036866348196</v>
      </c>
      <c r="N12" s="144">
        <f t="shared" ref="N12" si="3">M12*1.008^(N11-M11)</f>
        <v>1.2932135525938269</v>
      </c>
      <c r="O12" s="144">
        <f t="shared" ref="O12" si="4">N12*1.008^(O11-N11)</f>
        <v>1.3457763991520191</v>
      </c>
      <c r="P12" s="144">
        <f t="shared" ref="P12" si="5">O12*1.008^(P11-O11)</f>
        <v>1.4004756699943199</v>
      </c>
    </row>
    <row r="14" spans="2:16" ht="14.5">
      <c r="C14" s="45" t="s">
        <v>243</v>
      </c>
      <c r="I14" s="90"/>
    </row>
    <row r="15" spans="2:16">
      <c r="B15" s="47" t="s">
        <v>137</v>
      </c>
      <c r="C15" s="47" t="s">
        <v>338</v>
      </c>
      <c r="D15" s="47" t="s">
        <v>24</v>
      </c>
      <c r="E15" s="47" t="s">
        <v>18</v>
      </c>
      <c r="F15" s="47" t="s">
        <v>8</v>
      </c>
      <c r="G15" s="47" t="s">
        <v>234</v>
      </c>
      <c r="H15" s="47" t="s">
        <v>235</v>
      </c>
      <c r="I15" s="47">
        <v>2015</v>
      </c>
      <c r="J15" s="47">
        <v>2020</v>
      </c>
      <c r="K15" s="47">
        <v>2025</v>
      </c>
      <c r="L15" s="47">
        <v>2030</v>
      </c>
      <c r="M15" s="47">
        <v>2035</v>
      </c>
      <c r="N15" s="47">
        <v>2040</v>
      </c>
      <c r="O15" s="47">
        <v>2045</v>
      </c>
      <c r="P15" s="47">
        <v>2050</v>
      </c>
    </row>
    <row r="16" spans="2:16">
      <c r="B16" s="58" t="s">
        <v>148</v>
      </c>
      <c r="C16" s="41" t="s">
        <v>339</v>
      </c>
      <c r="D16" s="41" t="s">
        <v>433</v>
      </c>
      <c r="E16" s="41" t="s">
        <v>390</v>
      </c>
      <c r="F16" s="41"/>
      <c r="G16" s="41" t="s">
        <v>434</v>
      </c>
      <c r="H16" s="41" t="s">
        <v>435</v>
      </c>
      <c r="I16" s="156">
        <f t="shared" ref="I16:P16" si="6">SUMPRODUCT(I21:I24,$E$21:$E$24)</f>
        <v>61744.393333333326</v>
      </c>
      <c r="J16" s="156">
        <f t="shared" si="6"/>
        <v>68085.892212707098</v>
      </c>
      <c r="K16" s="156">
        <f t="shared" si="6"/>
        <v>70853.252868629759</v>
      </c>
      <c r="L16" s="156">
        <f t="shared" si="6"/>
        <v>73733.093287261901</v>
      </c>
      <c r="M16" s="156">
        <f t="shared" si="6"/>
        <v>76729.9852243637</v>
      </c>
      <c r="N16" s="156">
        <f t="shared" si="6"/>
        <v>79848.686255350607</v>
      </c>
      <c r="O16" s="156">
        <f t="shared" si="6"/>
        <v>83094.147327959261</v>
      </c>
      <c r="P16" s="156">
        <f t="shared" si="6"/>
        <v>86471.520621892822</v>
      </c>
    </row>
    <row r="17" spans="3:16">
      <c r="C17" s="41" t="s">
        <v>307</v>
      </c>
      <c r="D17" s="41" t="s">
        <v>433</v>
      </c>
      <c r="E17" s="41" t="s">
        <v>390</v>
      </c>
      <c r="F17" s="41"/>
      <c r="G17" s="41" t="s">
        <v>434</v>
      </c>
      <c r="H17" s="41" t="s">
        <v>435</v>
      </c>
      <c r="I17" s="156">
        <f>I25</f>
        <v>141550.46220218827</v>
      </c>
      <c r="J17" s="156">
        <f t="shared" ref="J17:P17" si="7">J25</f>
        <v>156088.49632917377</v>
      </c>
      <c r="K17" s="156">
        <f t="shared" si="7"/>
        <v>162432.73519489972</v>
      </c>
      <c r="L17" s="156">
        <f t="shared" si="7"/>
        <v>169034.83654076967</v>
      </c>
      <c r="M17" s="156">
        <f t="shared" si="7"/>
        <v>175905.28122352203</v>
      </c>
      <c r="N17" s="156">
        <f t="shared" si="7"/>
        <v>183054.9760957901</v>
      </c>
      <c r="O17" s="156">
        <f t="shared" si="7"/>
        <v>190495.27132076491</v>
      </c>
      <c r="P17" s="156">
        <f t="shared" si="7"/>
        <v>198237.97839061529</v>
      </c>
    </row>
    <row r="19" spans="3:16" ht="14.5">
      <c r="C19" s="45" t="s">
        <v>341</v>
      </c>
    </row>
    <row r="20" spans="3:16">
      <c r="C20" s="47" t="s">
        <v>283</v>
      </c>
      <c r="D20" s="47" t="s">
        <v>24</v>
      </c>
      <c r="E20" s="47" t="s">
        <v>393</v>
      </c>
      <c r="F20" s="47" t="s">
        <v>394</v>
      </c>
      <c r="G20" s="47" t="s">
        <v>234</v>
      </c>
      <c r="H20" s="47" t="s">
        <v>235</v>
      </c>
      <c r="I20" s="47">
        <v>2015</v>
      </c>
      <c r="J20" s="47">
        <v>2020</v>
      </c>
      <c r="K20" s="47">
        <v>2025</v>
      </c>
      <c r="L20" s="47">
        <v>2030</v>
      </c>
      <c r="M20" s="47">
        <v>2035</v>
      </c>
      <c r="N20" s="47">
        <v>2040</v>
      </c>
      <c r="O20" s="47">
        <v>2045</v>
      </c>
      <c r="P20" s="47">
        <v>2050</v>
      </c>
    </row>
    <row r="21" spans="3:16">
      <c r="C21" s="48" t="s">
        <v>285</v>
      </c>
      <c r="D21" s="41" t="s">
        <v>433</v>
      </c>
      <c r="E21" s="59">
        <f>'Tech costs'!F19</f>
        <v>0.4</v>
      </c>
      <c r="F21" s="41" t="s">
        <v>395</v>
      </c>
      <c r="G21" s="41" t="s">
        <v>434</v>
      </c>
      <c r="H21" s="41" t="s">
        <v>435</v>
      </c>
      <c r="I21" s="110">
        <f>AVERAGE(I$30,I$32,I$35,I$34)</f>
        <v>56581.5</v>
      </c>
      <c r="J21" s="154">
        <f>$I21*J$12</f>
        <v>62392.740494439815</v>
      </c>
      <c r="K21" s="154">
        <f t="shared" ref="K21:P25" si="8">$I21*K$12</f>
        <v>64928.702198813007</v>
      </c>
      <c r="L21" s="154">
        <f t="shared" si="8"/>
        <v>67567.738422995433</v>
      </c>
      <c r="M21" s="154">
        <f t="shared" si="8"/>
        <v>70314.038645328037</v>
      </c>
      <c r="N21" s="154">
        <f t="shared" si="8"/>
        <v>73171.96262608761</v>
      </c>
      <c r="O21" s="154">
        <f t="shared" si="8"/>
        <v>76146.04732861997</v>
      </c>
      <c r="P21" s="154">
        <f t="shared" si="8"/>
        <v>79241.014121783621</v>
      </c>
    </row>
    <row r="22" spans="3:16">
      <c r="C22" s="41" t="s">
        <v>327</v>
      </c>
      <c r="D22" s="41" t="s">
        <v>433</v>
      </c>
      <c r="E22" s="59">
        <f>'Tech costs'!F20</f>
        <v>0.28999999999999998</v>
      </c>
      <c r="F22" s="41">
        <v>25.11</v>
      </c>
      <c r="G22" s="41" t="s">
        <v>434</v>
      </c>
      <c r="H22" s="41" t="s">
        <v>435</v>
      </c>
      <c r="I22" s="110">
        <f>$I$31</f>
        <v>56064</v>
      </c>
      <c r="J22" s="154">
        <f t="shared" ref="J22:J25" si="9">$I22*J$12</f>
        <v>61822.090313623252</v>
      </c>
      <c r="K22" s="154">
        <f t="shared" si="8"/>
        <v>64334.85786121351</v>
      </c>
      <c r="L22" s="154">
        <f t="shared" si="8"/>
        <v>66949.757198851497</v>
      </c>
      <c r="M22" s="154">
        <f t="shared" si="8"/>
        <v>69670.939487494528</v>
      </c>
      <c r="N22" s="154">
        <f t="shared" si="8"/>
        <v>72502.72461262031</v>
      </c>
      <c r="O22" s="154">
        <f t="shared" si="8"/>
        <v>75449.608042058797</v>
      </c>
      <c r="P22" s="154">
        <f t="shared" si="8"/>
        <v>78516.267962561556</v>
      </c>
    </row>
    <row r="23" spans="3:16">
      <c r="C23" s="41" t="s">
        <v>320</v>
      </c>
      <c r="D23" s="41" t="s">
        <v>433</v>
      </c>
      <c r="E23" s="59">
        <f>'Tech costs'!F21</f>
        <v>8.4999999999999992E-2</v>
      </c>
      <c r="F23" s="41" t="s">
        <v>396</v>
      </c>
      <c r="G23" s="41" t="s">
        <v>434</v>
      </c>
      <c r="H23" s="41" t="s">
        <v>435</v>
      </c>
      <c r="I23" s="110">
        <f>AVERAGE(I$36,I$38,I$37)</f>
        <v>47281.333333333336</v>
      </c>
      <c r="J23" s="154">
        <f t="shared" si="9"/>
        <v>52137.39404041558</v>
      </c>
      <c r="K23" s="154">
        <f t="shared" si="8"/>
        <v>54256.52574715783</v>
      </c>
      <c r="L23" s="154">
        <f t="shared" si="8"/>
        <v>56461.789859885677</v>
      </c>
      <c r="M23" s="154">
        <f t="shared" si="8"/>
        <v>58756.68724234312</v>
      </c>
      <c r="N23" s="154">
        <f t="shared" si="8"/>
        <v>61144.861051372929</v>
      </c>
      <c r="O23" s="154">
        <f t="shared" si="8"/>
        <v>63630.102520439665</v>
      </c>
      <c r="P23" s="154">
        <f t="shared" si="8"/>
        <v>66216.35697822478</v>
      </c>
    </row>
    <row r="24" spans="3:16">
      <c r="C24" s="41" t="s">
        <v>317</v>
      </c>
      <c r="D24" s="41" t="s">
        <v>433</v>
      </c>
      <c r="E24" s="59">
        <f>'Tech costs'!F22</f>
        <v>0.18999999999999997</v>
      </c>
      <c r="F24" s="41">
        <v>52.22</v>
      </c>
      <c r="G24" s="41" t="s">
        <v>434</v>
      </c>
      <c r="H24" s="41" t="s">
        <v>435</v>
      </c>
      <c r="I24" s="110">
        <f>$I$39</f>
        <v>99128</v>
      </c>
      <c r="J24" s="154">
        <f t="shared" si="9"/>
        <v>109309.00700286897</v>
      </c>
      <c r="K24" s="154">
        <f t="shared" si="8"/>
        <v>113751.88695181173</v>
      </c>
      <c r="L24" s="154">
        <f t="shared" si="8"/>
        <v>118375.34838056064</v>
      </c>
      <c r="M24" s="154">
        <f t="shared" si="8"/>
        <v>123186.73104873639</v>
      </c>
      <c r="N24" s="154">
        <f t="shared" si="8"/>
        <v>128193.67304152087</v>
      </c>
      <c r="O24" s="154">
        <f t="shared" si="8"/>
        <v>133404.12289514134</v>
      </c>
      <c r="P24" s="154">
        <f t="shared" si="8"/>
        <v>138826.35221519694</v>
      </c>
    </row>
    <row r="25" spans="3:16">
      <c r="C25" s="105" t="s">
        <v>280</v>
      </c>
      <c r="D25" s="41" t="s">
        <v>433</v>
      </c>
      <c r="E25" s="41"/>
      <c r="F25" s="305" t="s">
        <v>436</v>
      </c>
      <c r="G25" s="41" t="s">
        <v>434</v>
      </c>
      <c r="H25" s="41" t="s">
        <v>435</v>
      </c>
      <c r="I25" s="110">
        <f>AVERAGE(I39:I40)</f>
        <v>141550.46220218827</v>
      </c>
      <c r="J25" s="154">
        <f t="shared" si="9"/>
        <v>156088.49632917377</v>
      </c>
      <c r="K25" s="154">
        <f t="shared" si="8"/>
        <v>162432.73519489972</v>
      </c>
      <c r="L25" s="154">
        <f t="shared" si="8"/>
        <v>169034.83654076967</v>
      </c>
      <c r="M25" s="154">
        <f t="shared" si="8"/>
        <v>175905.28122352203</v>
      </c>
      <c r="N25" s="154">
        <f t="shared" si="8"/>
        <v>183054.9760957901</v>
      </c>
      <c r="O25" s="154">
        <f t="shared" si="8"/>
        <v>190495.27132076491</v>
      </c>
      <c r="P25" s="154">
        <f>$I25*P$12</f>
        <v>198237.97839061529</v>
      </c>
    </row>
    <row r="29" spans="3:16" ht="14.5">
      <c r="C29" s="47" t="s">
        <v>398</v>
      </c>
      <c r="D29" s="145" t="s">
        <v>283</v>
      </c>
      <c r="E29" s="355" t="s">
        <v>437</v>
      </c>
      <c r="F29" s="355"/>
      <c r="G29" s="355"/>
      <c r="H29" s="355"/>
      <c r="I29" s="231" t="s">
        <v>400</v>
      </c>
      <c r="J29" s="358"/>
      <c r="K29" s="359"/>
      <c r="L29" s="359"/>
      <c r="M29" s="359"/>
    </row>
    <row r="30" spans="3:16" ht="14.5">
      <c r="C30" s="41">
        <v>25.11</v>
      </c>
      <c r="D30" s="146" t="s">
        <v>401</v>
      </c>
      <c r="E30" s="360" t="s">
        <v>402</v>
      </c>
      <c r="F30" s="361"/>
      <c r="G30" s="361"/>
      <c r="H30" s="362"/>
      <c r="I30" s="58">
        <v>56064</v>
      </c>
      <c r="J30" s="356"/>
      <c r="K30" s="357"/>
      <c r="L30" s="357"/>
      <c r="M30" s="357"/>
    </row>
    <row r="31" spans="3:16" ht="14.5">
      <c r="C31" s="41">
        <v>25.11</v>
      </c>
      <c r="D31" s="146" t="s">
        <v>403</v>
      </c>
      <c r="E31" s="360" t="s">
        <v>402</v>
      </c>
      <c r="F31" s="361"/>
      <c r="G31" s="361"/>
      <c r="H31" s="362"/>
      <c r="I31" s="58">
        <v>56064</v>
      </c>
      <c r="J31" s="356"/>
      <c r="K31" s="357"/>
      <c r="L31" s="357"/>
      <c r="M31" s="357"/>
    </row>
    <row r="32" spans="3:16" ht="14.5" customHeight="1">
      <c r="C32" s="41">
        <v>28.11</v>
      </c>
      <c r="D32" s="146" t="s">
        <v>404</v>
      </c>
      <c r="E32" s="360" t="s">
        <v>405</v>
      </c>
      <c r="F32" s="361"/>
      <c r="G32" s="361"/>
      <c r="H32" s="362"/>
      <c r="I32" s="58">
        <v>54190</v>
      </c>
      <c r="J32" s="356"/>
      <c r="K32" s="357"/>
      <c r="L32" s="357"/>
      <c r="M32" s="357"/>
    </row>
    <row r="33" spans="3:13" ht="15" customHeight="1">
      <c r="C33" s="41">
        <v>28.15</v>
      </c>
      <c r="D33" s="146" t="s">
        <v>406</v>
      </c>
      <c r="E33" s="360" t="s">
        <v>407</v>
      </c>
      <c r="F33" s="361"/>
      <c r="G33" s="361"/>
      <c r="H33" s="362"/>
      <c r="I33" s="58">
        <v>57444</v>
      </c>
      <c r="J33" s="356"/>
      <c r="K33" s="357"/>
      <c r="L33" s="357"/>
      <c r="M33" s="357"/>
    </row>
    <row r="34" spans="3:13" ht="14.5" customHeight="1">
      <c r="C34" s="41">
        <v>28.15</v>
      </c>
      <c r="D34" s="146" t="s">
        <v>408</v>
      </c>
      <c r="E34" s="360" t="s">
        <v>407</v>
      </c>
      <c r="F34" s="361"/>
      <c r="G34" s="361"/>
      <c r="H34" s="362"/>
      <c r="I34" s="58">
        <v>57444</v>
      </c>
      <c r="J34" s="356"/>
      <c r="K34" s="357"/>
      <c r="L34" s="357"/>
      <c r="M34" s="357"/>
    </row>
    <row r="35" spans="3:13" ht="14.5" customHeight="1">
      <c r="C35" s="41">
        <v>27.11</v>
      </c>
      <c r="D35" s="146" t="s">
        <v>409</v>
      </c>
      <c r="E35" s="360" t="s">
        <v>410</v>
      </c>
      <c r="F35" s="361"/>
      <c r="G35" s="361"/>
      <c r="H35" s="362"/>
      <c r="I35" s="58">
        <v>58628</v>
      </c>
      <c r="J35" s="356"/>
      <c r="K35" s="357"/>
      <c r="L35" s="357"/>
      <c r="M35" s="357"/>
    </row>
    <row r="36" spans="3:13" ht="26.5" customHeight="1">
      <c r="C36" s="41">
        <v>27.11</v>
      </c>
      <c r="D36" s="146" t="s">
        <v>412</v>
      </c>
      <c r="E36" s="360" t="s">
        <v>410</v>
      </c>
      <c r="F36" s="361"/>
      <c r="G36" s="361"/>
      <c r="H36" s="362"/>
      <c r="I36" s="58">
        <v>58628</v>
      </c>
      <c r="J36" s="356"/>
      <c r="K36" s="357"/>
      <c r="L36" s="357"/>
      <c r="M36" s="357"/>
    </row>
    <row r="37" spans="3:13" ht="29.25" customHeight="1">
      <c r="C37" s="41">
        <v>27.12</v>
      </c>
      <c r="D37" s="146" t="s">
        <v>413</v>
      </c>
      <c r="E37" s="360" t="s">
        <v>410</v>
      </c>
      <c r="F37" s="361"/>
      <c r="G37" s="361"/>
      <c r="H37" s="362"/>
      <c r="I37" s="58">
        <v>57516</v>
      </c>
      <c r="J37" s="356"/>
      <c r="K37" s="357"/>
      <c r="L37" s="357"/>
      <c r="M37" s="357"/>
    </row>
    <row r="38" spans="3:13" ht="29.25" customHeight="1">
      <c r="C38" s="41">
        <v>27.32</v>
      </c>
      <c r="D38" s="146" t="s">
        <v>414</v>
      </c>
      <c r="E38" s="360" t="s">
        <v>415</v>
      </c>
      <c r="F38" s="361"/>
      <c r="G38" s="361"/>
      <c r="H38" s="362"/>
      <c r="I38" s="58">
        <v>25700</v>
      </c>
      <c r="J38" s="356"/>
      <c r="K38" s="357"/>
      <c r="L38" s="357"/>
      <c r="M38" s="357"/>
    </row>
    <row r="39" spans="3:13" ht="29.25" customHeight="1">
      <c r="C39" s="41">
        <v>52.22</v>
      </c>
      <c r="D39" s="146" t="s">
        <v>416</v>
      </c>
      <c r="E39" s="360" t="s">
        <v>417</v>
      </c>
      <c r="F39" s="361"/>
      <c r="G39" s="361"/>
      <c r="H39" s="362"/>
      <c r="I39" s="58">
        <v>99128</v>
      </c>
      <c r="J39" s="356"/>
      <c r="K39" s="357"/>
      <c r="L39" s="357"/>
      <c r="M39" s="357"/>
    </row>
    <row r="40" spans="3:13" ht="15" customHeight="1">
      <c r="C40" s="41" t="s">
        <v>418</v>
      </c>
      <c r="D40" s="41" t="s">
        <v>307</v>
      </c>
      <c r="E40" s="352" t="s">
        <v>419</v>
      </c>
      <c r="F40" s="353"/>
      <c r="G40" s="353"/>
      <c r="H40" s="354"/>
      <c r="I40" s="164">
        <v>183972.92440437651</v>
      </c>
    </row>
    <row r="43" spans="3:13">
      <c r="C43" s="148"/>
      <c r="D43" s="149"/>
      <c r="E43" s="149"/>
      <c r="F43" s="150"/>
      <c r="G43" s="151"/>
      <c r="H43" s="151"/>
      <c r="I43" s="151"/>
      <c r="J43" s="151" t="s">
        <v>420</v>
      </c>
      <c r="K43" s="152" t="s">
        <v>420</v>
      </c>
      <c r="L43" s="153" t="s">
        <v>420</v>
      </c>
    </row>
    <row r="44" spans="3:13" ht="14.5">
      <c r="E44" s="5"/>
    </row>
  </sheetData>
  <mergeCells count="23">
    <mergeCell ref="E33:H33"/>
    <mergeCell ref="E39:H39"/>
    <mergeCell ref="E34:H34"/>
    <mergeCell ref="E35:H35"/>
    <mergeCell ref="E36:H36"/>
    <mergeCell ref="E37:H37"/>
    <mergeCell ref="E38:H38"/>
    <mergeCell ref="E40:H40"/>
    <mergeCell ref="J39:M39"/>
    <mergeCell ref="J29:M29"/>
    <mergeCell ref="J34:M34"/>
    <mergeCell ref="J35:M35"/>
    <mergeCell ref="J36:M36"/>
    <mergeCell ref="J37:M37"/>
    <mergeCell ref="J30:M30"/>
    <mergeCell ref="J31:M31"/>
    <mergeCell ref="J32:M32"/>
    <mergeCell ref="J33:M33"/>
    <mergeCell ref="J38:M38"/>
    <mergeCell ref="E29:H29"/>
    <mergeCell ref="E30:H30"/>
    <mergeCell ref="E31:H31"/>
    <mergeCell ref="E32:H32"/>
  </mergeCells>
  <conditionalFormatting sqref="A11:H11 Q11:XFD11 A26:XFD28 C44:D44 F44:N44 C41:N43 K40:N40 A14:A25 Q14:XFD25 B21:B25 A12:XFD13 A1:XFD8 A47:XFD1048576 C45:N46 O40:XFD46 I29:I33 I35:I38 A29:B46 N29:XFD39 C29:C38 J32:J37 E32:E37 D21:F25 I21:P25 A9:G10 L9:XFD10">
    <cfRule type="expression" dxfId="112" priority="56">
      <formula>_xlfn.ISFORMULA(A1)</formula>
    </cfRule>
  </conditionalFormatting>
  <conditionalFormatting sqref="B14:P15 B16:D17 B18:P20">
    <cfRule type="expression" dxfId="111" priority="44">
      <formula>_xlfn.ISFORMULA(B14)</formula>
    </cfRule>
  </conditionalFormatting>
  <conditionalFormatting sqref="F16:G17">
    <cfRule type="expression" dxfId="110" priority="43">
      <formula>_xlfn.ISFORMULA(F16)</formula>
    </cfRule>
  </conditionalFormatting>
  <conditionalFormatting sqref="E16">
    <cfRule type="expression" dxfId="109" priority="42">
      <formula>_xlfn.ISFORMULA(E16)</formula>
    </cfRule>
  </conditionalFormatting>
  <conditionalFormatting sqref="I11:P11">
    <cfRule type="expression" dxfId="108" priority="41">
      <formula>_xlfn.ISFORMULA(I11)</formula>
    </cfRule>
  </conditionalFormatting>
  <conditionalFormatting sqref="J29">
    <cfRule type="expression" dxfId="107" priority="40">
      <formula>_xlfn.ISFORMULA(J29)</formula>
    </cfRule>
  </conditionalFormatting>
  <conditionalFormatting sqref="J30:J31">
    <cfRule type="expression" dxfId="106" priority="39">
      <formula>_xlfn.ISFORMULA(J30)</formula>
    </cfRule>
  </conditionalFormatting>
  <conditionalFormatting sqref="J38">
    <cfRule type="expression" dxfId="105" priority="37">
      <formula>_xlfn.ISFORMULA(J38)</formula>
    </cfRule>
  </conditionalFormatting>
  <conditionalFormatting sqref="J40">
    <cfRule type="expression" dxfId="104" priority="36">
      <formula>_xlfn.ISFORMULA(J40)</formula>
    </cfRule>
  </conditionalFormatting>
  <conditionalFormatting sqref="J39">
    <cfRule type="expression" dxfId="103" priority="35">
      <formula>_xlfn.ISFORMULA(J39)</formula>
    </cfRule>
  </conditionalFormatting>
  <conditionalFormatting sqref="I34">
    <cfRule type="expression" dxfId="102" priority="34">
      <formula>_xlfn.ISFORMULA(I34)</formula>
    </cfRule>
  </conditionalFormatting>
  <conditionalFormatting sqref="E30:E31">
    <cfRule type="expression" dxfId="101" priority="17">
      <formula>_xlfn.ISFORMULA(E30)</formula>
    </cfRule>
  </conditionalFormatting>
  <conditionalFormatting sqref="E38">
    <cfRule type="expression" dxfId="100" priority="15">
      <formula>_xlfn.ISFORMULA(E38)</formula>
    </cfRule>
  </conditionalFormatting>
  <conditionalFormatting sqref="I39 C39">
    <cfRule type="expression" dxfId="99" priority="13">
      <formula>_xlfn.ISFORMULA(C39)</formula>
    </cfRule>
  </conditionalFormatting>
  <conditionalFormatting sqref="E39">
    <cfRule type="expression" dxfId="98" priority="12">
      <formula>_xlfn.ISFORMULA(E39)</formula>
    </cfRule>
  </conditionalFormatting>
  <conditionalFormatting sqref="I40">
    <cfRule type="expression" dxfId="97" priority="11">
      <formula>_xlfn.ISFORMULA(I40)</formula>
    </cfRule>
  </conditionalFormatting>
  <conditionalFormatting sqref="D40">
    <cfRule type="expression" dxfId="96" priority="9">
      <formula>_xlfn.ISFORMULA(D40)</formula>
    </cfRule>
  </conditionalFormatting>
  <conditionalFormatting sqref="C40">
    <cfRule type="expression" dxfId="95" priority="8">
      <formula>_xlfn.ISFORMULA(C40)</formula>
    </cfRule>
  </conditionalFormatting>
  <conditionalFormatting sqref="E17">
    <cfRule type="expression" dxfId="94" priority="7">
      <formula>_xlfn.ISFORMULA(E17)</formula>
    </cfRule>
  </conditionalFormatting>
  <conditionalFormatting sqref="H16:H17">
    <cfRule type="expression" dxfId="93" priority="4">
      <formula>_xlfn.ISFORMULA(H16)</formula>
    </cfRule>
  </conditionalFormatting>
  <conditionalFormatting sqref="H21:H25">
    <cfRule type="expression" dxfId="92" priority="3">
      <formula>_xlfn.ISFORMULA(H21)</formula>
    </cfRule>
  </conditionalFormatting>
  <conditionalFormatting sqref="G21:G25">
    <cfRule type="expression" dxfId="91" priority="2">
      <formula>_xlfn.ISFORMULA(G21)</formula>
    </cfRule>
  </conditionalFormatting>
  <conditionalFormatting sqref="I10 K10 H9:K9">
    <cfRule type="expression" dxfId="90" priority="1">
      <formula>_xlfn.ISFORMULA(H9)</formula>
    </cfRule>
  </conditionalFormatting>
  <hyperlinks>
    <hyperlink ref="K10" r:id="rId1" xr:uid="{8A32EFF6-1045-4495-8CC2-3F76EA9906CC}"/>
  </hyperlinks>
  <pageMargins left="0.7" right="0.7" top="0.75" bottom="0.75" header="0.3" footer="0.3"/>
  <pageSetup paperSize="9" orientation="portrait" horizontalDpi="4294967294" verticalDpi="4294967294" r:id="rId2"/>
  <drawing r:id="rId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39997558519241921"/>
  </sheetPr>
  <dimension ref="A1:R38"/>
  <sheetViews>
    <sheetView topLeftCell="A12" zoomScaleNormal="100" workbookViewId="0">
      <selection activeCell="C17" sqref="C17:L22"/>
    </sheetView>
  </sheetViews>
  <sheetFormatPr defaultColWidth="8.81640625" defaultRowHeight="14"/>
  <cols>
    <col min="1" max="1" width="6.453125" style="1" customWidth="1"/>
    <col min="2" max="2" width="17.81640625" style="1" customWidth="1"/>
    <col min="3" max="3" width="25.1796875" style="1" customWidth="1"/>
    <col min="4" max="4" width="8.81640625" style="1"/>
    <col min="5" max="5" width="9.81640625" style="1" customWidth="1"/>
    <col min="6" max="6" width="15.7265625" style="1" customWidth="1"/>
    <col min="7" max="7" width="21.81640625" style="1" customWidth="1"/>
    <col min="8" max="8" width="24" style="1" customWidth="1"/>
    <col min="9" max="9" width="19" style="1" bestFit="1" customWidth="1"/>
    <col min="10" max="10" width="17.81640625" style="1" customWidth="1"/>
    <col min="11" max="11" width="10.81640625" style="1" customWidth="1"/>
    <col min="12" max="12" width="11.7265625" style="1" customWidth="1"/>
    <col min="13" max="13" width="12" style="1" customWidth="1"/>
    <col min="14" max="14" width="11.453125" style="1" customWidth="1"/>
    <col min="15" max="16" width="10.81640625" style="1" customWidth="1"/>
    <col min="17" max="16384" width="8.81640625" style="1"/>
  </cols>
  <sheetData>
    <row r="1" spans="1:18" s="3" customFormat="1" ht="49.5" customHeight="1">
      <c r="A1" s="304" t="s">
        <v>438</v>
      </c>
      <c r="B1" s="304" t="s">
        <v>83</v>
      </c>
      <c r="C1" s="304"/>
      <c r="D1" s="304"/>
      <c r="E1" s="304"/>
      <c r="F1" s="304"/>
      <c r="G1" s="304"/>
      <c r="H1" s="304"/>
      <c r="I1" s="304"/>
      <c r="J1" s="304"/>
      <c r="K1" s="304"/>
      <c r="L1" s="304"/>
      <c r="M1" s="304"/>
      <c r="N1" s="304"/>
      <c r="O1" s="304"/>
      <c r="P1" s="304"/>
      <c r="Q1" s="304"/>
      <c r="R1" s="304"/>
    </row>
    <row r="4" spans="1:18">
      <c r="O4" s="7"/>
      <c r="P4" s="2"/>
    </row>
    <row r="5" spans="1:18">
      <c r="P5" s="2"/>
    </row>
    <row r="10" spans="1:18" ht="16" customHeight="1">
      <c r="C10" s="2" t="s">
        <v>439</v>
      </c>
      <c r="D10" s="2"/>
      <c r="E10" s="2"/>
      <c r="F10" s="2"/>
      <c r="G10" s="2"/>
      <c r="H10" s="2"/>
      <c r="Q10" s="5"/>
      <c r="R10" s="5"/>
    </row>
    <row r="11" spans="1:18" ht="16" customHeight="1">
      <c r="C11" s="45" t="s">
        <v>243</v>
      </c>
      <c r="Q11" s="5"/>
      <c r="R11" s="5"/>
    </row>
    <row r="12" spans="1:18" ht="16" customHeight="1">
      <c r="B12" s="47" t="s">
        <v>137</v>
      </c>
      <c r="C12" s="47" t="s">
        <v>338</v>
      </c>
      <c r="D12" s="47" t="s">
        <v>24</v>
      </c>
      <c r="E12" s="47">
        <v>2015</v>
      </c>
      <c r="F12" s="47">
        <v>2020</v>
      </c>
      <c r="G12" s="47">
        <v>2025</v>
      </c>
      <c r="H12" s="47">
        <v>2030</v>
      </c>
      <c r="I12" s="47">
        <v>2035</v>
      </c>
      <c r="J12" s="47">
        <v>2040</v>
      </c>
      <c r="K12" s="47">
        <v>2045</v>
      </c>
      <c r="L12" s="47">
        <v>2050</v>
      </c>
      <c r="M12" s="5"/>
      <c r="N12" s="5"/>
    </row>
    <row r="13" spans="1:18" ht="16" customHeight="1">
      <c r="B13" s="58" t="s">
        <v>148</v>
      </c>
      <c r="C13" s="41" t="s">
        <v>339</v>
      </c>
      <c r="D13" s="41" t="s">
        <v>136</v>
      </c>
      <c r="E13" s="111">
        <f t="shared" ref="E13:L13" si="0">SUM(E18:E21)</f>
        <v>191.50542850807432</v>
      </c>
      <c r="F13" s="111">
        <f t="shared" si="0"/>
        <v>2576.4471921173772</v>
      </c>
      <c r="G13" s="111">
        <f t="shared" si="0"/>
        <v>4850.9120752663184</v>
      </c>
      <c r="H13" s="111">
        <f t="shared" si="0"/>
        <v>8862.8046664727717</v>
      </c>
      <c r="I13" s="111">
        <f t="shared" si="0"/>
        <v>9864.8880812844673</v>
      </c>
      <c r="J13" s="111">
        <f t="shared" si="0"/>
        <v>13665.281008977909</v>
      </c>
      <c r="K13" s="111">
        <f t="shared" si="0"/>
        <v>13981.957171913595</v>
      </c>
      <c r="L13" s="111">
        <f t="shared" si="0"/>
        <v>14841.769271078958</v>
      </c>
      <c r="M13" s="5"/>
      <c r="N13" s="264"/>
    </row>
    <row r="14" spans="1:18" ht="16" customHeight="1">
      <c r="C14" s="41" t="s">
        <v>307</v>
      </c>
      <c r="D14" s="41" t="s">
        <v>136</v>
      </c>
      <c r="E14" s="111">
        <f>E22</f>
        <v>15.455107169995756</v>
      </c>
      <c r="F14" s="111">
        <f t="shared" ref="F14:L14" si="1">F22</f>
        <v>267.14219746567267</v>
      </c>
      <c r="G14" s="111">
        <f t="shared" si="1"/>
        <v>894.34056422265871</v>
      </c>
      <c r="H14" s="111">
        <f t="shared" si="1"/>
        <v>1815.1463423477992</v>
      </c>
      <c r="I14" s="111">
        <f t="shared" si="1"/>
        <v>2689.9275448831368</v>
      </c>
      <c r="J14" s="111">
        <f t="shared" si="1"/>
        <v>4568.7395548393979</v>
      </c>
      <c r="K14" s="111">
        <f t="shared" si="1"/>
        <v>4956.017360507577</v>
      </c>
      <c r="L14" s="111">
        <f t="shared" si="1"/>
        <v>5647.8023165990326</v>
      </c>
      <c r="M14" s="5"/>
    </row>
    <row r="15" spans="1:18" ht="16" customHeight="1">
      <c r="M15" s="5"/>
      <c r="N15" s="5"/>
    </row>
    <row r="16" spans="1:18" ht="16" customHeight="1">
      <c r="C16" s="45" t="s">
        <v>341</v>
      </c>
      <c r="L16" s="157"/>
      <c r="M16" s="5"/>
      <c r="N16" s="5"/>
    </row>
    <row r="17" spans="3:14" ht="16" customHeight="1">
      <c r="C17" s="47" t="s">
        <v>283</v>
      </c>
      <c r="D17" s="47" t="s">
        <v>24</v>
      </c>
      <c r="E17" s="47">
        <v>2015</v>
      </c>
      <c r="F17" s="47">
        <v>2020</v>
      </c>
      <c r="G17" s="47">
        <v>2025</v>
      </c>
      <c r="H17" s="47">
        <v>2030</v>
      </c>
      <c r="I17" s="47">
        <v>2035</v>
      </c>
      <c r="J17" s="47">
        <v>2040</v>
      </c>
      <c r="K17" s="47">
        <v>2045</v>
      </c>
      <c r="L17" s="47">
        <v>2050</v>
      </c>
      <c r="M17" s="5"/>
      <c r="N17" s="5"/>
    </row>
    <row r="18" spans="3:14" ht="16" customHeight="1">
      <c r="C18" s="48" t="s">
        <v>285</v>
      </c>
      <c r="D18" s="41" t="s">
        <v>136</v>
      </c>
      <c r="E18" s="110">
        <f>GVA!E17/'GVA per worker'!I21</f>
        <v>65.357399030687233</v>
      </c>
      <c r="F18" s="110">
        <f>GVA!F17/'GVA per worker'!J21</f>
        <v>912.34740970616394</v>
      </c>
      <c r="G18" s="110">
        <f>GVA!G17/'GVA per worker'!K21</f>
        <v>1729.3569269423517</v>
      </c>
      <c r="H18" s="110">
        <f>GVA!H17/'GVA per worker'!L21</f>
        <v>3810.6776381578666</v>
      </c>
      <c r="I18" s="110">
        <f>GVA!I17/'GVA per worker'!M21</f>
        <v>4266.1882459321441</v>
      </c>
      <c r="J18" s="110">
        <f>GVA!J17/'GVA per worker'!N21</f>
        <v>5737.5162309596335</v>
      </c>
      <c r="K18" s="110">
        <f>GVA!K17/'GVA per worker'!O21</f>
        <v>5825.4814945968446</v>
      </c>
      <c r="L18" s="110">
        <f>GVA!L17/'GVA per worker'!P21</f>
        <v>6525.6109503912885</v>
      </c>
      <c r="M18" s="5"/>
      <c r="N18" s="5"/>
    </row>
    <row r="19" spans="3:14">
      <c r="C19" s="41" t="s">
        <v>333</v>
      </c>
      <c r="D19" s="41" t="s">
        <v>136</v>
      </c>
      <c r="E19" s="110">
        <f>GVA!E18/'GVA per worker'!I22</f>
        <v>66.123680180821268</v>
      </c>
      <c r="F19" s="110">
        <f>GVA!F18/'GVA per worker'!J22</f>
        <v>878.68429482808847</v>
      </c>
      <c r="G19" s="110">
        <f>GVA!G18/'GVA per worker'!K22</f>
        <v>1638.4248661027518</v>
      </c>
      <c r="H19" s="110">
        <f>GVA!H18/'GVA per worker'!L22</f>
        <v>2556.3586110151218</v>
      </c>
      <c r="I19" s="110">
        <f>GVA!I18/'GVA per worker'!M22</f>
        <v>2828.4921731354848</v>
      </c>
      <c r="J19" s="110">
        <f>GVA!J18/'GVA per worker'!N22</f>
        <v>4036.2309263350548</v>
      </c>
      <c r="K19" s="110">
        <f>GVA!K18/'GVA per worker'!O22</f>
        <v>4160.6190932278478</v>
      </c>
      <c r="L19" s="110">
        <f>GVA!L18/'GVA per worker'!P22</f>
        <v>4182.0317866655159</v>
      </c>
    </row>
    <row r="20" spans="3:14">
      <c r="C20" s="41" t="s">
        <v>320</v>
      </c>
      <c r="D20" s="41" t="s">
        <v>136</v>
      </c>
      <c r="E20" s="110">
        <f>GVA!E19/'GVA per worker'!I23</f>
        <v>27.58378941080279</v>
      </c>
      <c r="F20" s="110">
        <f>GVA!F19/'GVA per worker'!J23</f>
        <v>354.32922001452454</v>
      </c>
      <c r="G20" s="110">
        <f>GVA!G19/'GVA per worker'!K23</f>
        <v>679.31204582266332</v>
      </c>
      <c r="H20" s="110">
        <f>GVA!H19/'GVA per worker'!L23</f>
        <v>1241.6079655018304</v>
      </c>
      <c r="I20" s="110">
        <f>GVA!I19/'GVA per worker'!M23</f>
        <v>1382.5373226638458</v>
      </c>
      <c r="J20" s="110">
        <f>GVA!J19/'GVA per worker'!N23</f>
        <v>1911.3417220183196</v>
      </c>
      <c r="K20" s="110">
        <f>GVA!K19/'GVA per worker'!O23</f>
        <v>1954.6390885319167</v>
      </c>
      <c r="L20" s="110">
        <f>GVA!L19/'GVA per worker'!P23</f>
        <v>2082.4038796191871</v>
      </c>
    </row>
    <row r="21" spans="3:14">
      <c r="C21" s="41" t="s">
        <v>317</v>
      </c>
      <c r="D21" s="41" t="s">
        <v>136</v>
      </c>
      <c r="E21" s="110">
        <f>GVA!E20/'GVA per worker'!I24</f>
        <v>32.440559885763051</v>
      </c>
      <c r="F21" s="110">
        <f>GVA!F20/'GVA per worker'!J24</f>
        <v>431.08626756860053</v>
      </c>
      <c r="G21" s="110">
        <f>GVA!G20/'GVA per worker'!K24</f>
        <v>803.81823639855179</v>
      </c>
      <c r="H21" s="110">
        <f>GVA!H20/'GVA per worker'!L24</f>
        <v>1254.1604517979524</v>
      </c>
      <c r="I21" s="110">
        <f>GVA!I20/'GVA per worker'!M24</f>
        <v>1387.6703395529935</v>
      </c>
      <c r="J21" s="110">
        <f>GVA!J20/'GVA per worker'!N24</f>
        <v>1980.1921296649002</v>
      </c>
      <c r="K21" s="110">
        <f>GVA!K20/'GVA per worker'!O24</f>
        <v>2041.2174955569867</v>
      </c>
      <c r="L21" s="110">
        <f>GVA!L20/'GVA per worker'!P24</f>
        <v>2051.722654402965</v>
      </c>
    </row>
    <row r="22" spans="3:14">
      <c r="C22" s="105" t="s">
        <v>280</v>
      </c>
      <c r="D22" s="41" t="s">
        <v>136</v>
      </c>
      <c r="E22" s="110">
        <f>GVA!E21/'GVA per worker'!I25</f>
        <v>15.455107169995756</v>
      </c>
      <c r="F22" s="110">
        <f>GVA!F21/'GVA per worker'!J25</f>
        <v>267.14219746567267</v>
      </c>
      <c r="G22" s="110">
        <f>GVA!G21/'GVA per worker'!K25</f>
        <v>894.34056422265871</v>
      </c>
      <c r="H22" s="110">
        <f>GVA!H21/'GVA per worker'!L25</f>
        <v>1815.1463423477992</v>
      </c>
      <c r="I22" s="110">
        <f>GVA!I21/'GVA per worker'!M25</f>
        <v>2689.9275448831368</v>
      </c>
      <c r="J22" s="110">
        <f>GVA!J21/'GVA per worker'!N25</f>
        <v>4568.7395548393979</v>
      </c>
      <c r="K22" s="110">
        <f>GVA!K21/'GVA per worker'!O25</f>
        <v>4956.017360507577</v>
      </c>
      <c r="L22" s="110">
        <f>GVA!L21/'GVA per worker'!P25</f>
        <v>5647.8023165990326</v>
      </c>
    </row>
    <row r="27" spans="3:14">
      <c r="C27" s="1" t="s">
        <v>440</v>
      </c>
      <c r="D27" s="1" t="s">
        <v>441</v>
      </c>
    </row>
    <row r="37" spans="16:16">
      <c r="P37" s="174"/>
    </row>
    <row r="38" spans="16:16">
      <c r="P38" s="174"/>
    </row>
  </sheetData>
  <conditionalFormatting sqref="A1:XFD9 A23:B24 G23:XFD24 M19:XFD22 B18:B22 A25:XFD1048576 A10:A22 S10:XFD11 O12:XFD18 B10:P11 B12:L17 D18:L22">
    <cfRule type="expression" dxfId="89" priority="18">
      <formula>_xlfn.ISFORMULA(A1)</formula>
    </cfRule>
  </conditionalFormatting>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B1:H28"/>
  <sheetViews>
    <sheetView tabSelected="1" topLeftCell="D1" zoomScale="85" zoomScaleNormal="85" workbookViewId="0">
      <selection activeCell="C8" sqref="C8"/>
    </sheetView>
  </sheetViews>
  <sheetFormatPr defaultColWidth="8.81640625" defaultRowHeight="14"/>
  <cols>
    <col min="1" max="1" width="8.81640625" style="40"/>
    <col min="2" max="2" width="44.7265625" style="233" customWidth="1"/>
    <col min="3" max="3" width="25.1796875" style="40" customWidth="1"/>
    <col min="4" max="4" width="50" style="40" customWidth="1"/>
    <col min="5" max="5" width="46.453125" style="40" customWidth="1"/>
    <col min="6" max="6" width="25.81640625" style="40" customWidth="1"/>
    <col min="7" max="7" width="29.1796875" style="40" customWidth="1"/>
    <col min="8" max="12" width="25.81640625" style="40" customWidth="1"/>
    <col min="13" max="20" width="15.81640625" style="40" customWidth="1"/>
    <col min="21" max="16384" width="8.81640625" style="40"/>
  </cols>
  <sheetData>
    <row r="1" spans="2:5" s="232" customFormat="1" ht="49.5" customHeight="1">
      <c r="B1" s="232" t="s">
        <v>34</v>
      </c>
    </row>
    <row r="3" spans="2:5" ht="14.5" thickBot="1"/>
    <row r="4" spans="2:5" ht="13.5" thickBot="1">
      <c r="B4" s="340" t="s">
        <v>35</v>
      </c>
      <c r="C4" s="341"/>
      <c r="D4" s="341"/>
      <c r="E4" s="342"/>
    </row>
    <row r="5" spans="2:5" ht="13">
      <c r="B5" s="234" t="s">
        <v>36</v>
      </c>
      <c r="C5" s="343" t="s">
        <v>37</v>
      </c>
      <c r="D5" s="343"/>
      <c r="E5" s="344"/>
    </row>
    <row r="6" spans="2:5" ht="12.5">
      <c r="B6" s="235" t="s">
        <v>38</v>
      </c>
      <c r="C6" s="345" t="s">
        <v>39</v>
      </c>
      <c r="D6" s="345"/>
      <c r="E6" s="346"/>
    </row>
    <row r="7" spans="2:5" ht="43.5" customHeight="1" thickBot="1">
      <c r="B7" s="236" t="s">
        <v>40</v>
      </c>
      <c r="C7" s="347" t="s">
        <v>41</v>
      </c>
      <c r="D7" s="347"/>
      <c r="E7" s="348"/>
    </row>
    <row r="8" spans="2:5" ht="30" customHeight="1"/>
    <row r="11" spans="2:5">
      <c r="B11" s="83" t="s">
        <v>42</v>
      </c>
      <c r="C11" s="60" t="s">
        <v>43</v>
      </c>
      <c r="D11" s="60" t="s">
        <v>44</v>
      </c>
      <c r="E11" s="60" t="s">
        <v>45</v>
      </c>
    </row>
    <row r="12" spans="2:5" ht="39" customHeight="1">
      <c r="B12" s="336" t="s">
        <v>46</v>
      </c>
      <c r="C12" s="63" t="s">
        <v>47</v>
      </c>
      <c r="D12" s="43" t="s">
        <v>48</v>
      </c>
      <c r="E12" s="61" t="s">
        <v>49</v>
      </c>
    </row>
    <row r="13" spans="2:5" ht="37.5">
      <c r="B13" s="338"/>
      <c r="C13" s="63" t="s">
        <v>50</v>
      </c>
      <c r="D13" s="62" t="s">
        <v>51</v>
      </c>
      <c r="E13" s="61" t="s">
        <v>52</v>
      </c>
    </row>
    <row r="14" spans="2:5" ht="35.5" customHeight="1">
      <c r="B14" s="337"/>
      <c r="C14" s="82" t="s">
        <v>53</v>
      </c>
      <c r="D14" s="61" t="s">
        <v>54</v>
      </c>
      <c r="E14" s="61" t="s">
        <v>55</v>
      </c>
    </row>
    <row r="15" spans="2:5" ht="23.25" customHeight="1">
      <c r="B15" s="336" t="s">
        <v>56</v>
      </c>
      <c r="C15" s="64" t="s">
        <v>57</v>
      </c>
      <c r="D15" s="61" t="s">
        <v>58</v>
      </c>
      <c r="E15" s="61" t="s">
        <v>59</v>
      </c>
    </row>
    <row r="16" spans="2:5" ht="37.5" customHeight="1">
      <c r="B16" s="337"/>
      <c r="C16" s="64" t="s">
        <v>60</v>
      </c>
      <c r="D16" s="61" t="s">
        <v>61</v>
      </c>
      <c r="E16" s="61" t="s">
        <v>62</v>
      </c>
    </row>
    <row r="17" spans="2:8" ht="36.75" customHeight="1">
      <c r="B17" s="336" t="s">
        <v>63</v>
      </c>
      <c r="C17" s="64" t="s">
        <v>64</v>
      </c>
      <c r="D17" s="61" t="s">
        <v>65</v>
      </c>
      <c r="E17" s="61" t="s">
        <v>66</v>
      </c>
    </row>
    <row r="18" spans="2:8" ht="28" customHeight="1">
      <c r="B18" s="337"/>
      <c r="C18" s="64" t="s">
        <v>67</v>
      </c>
      <c r="D18" s="44" t="s">
        <v>68</v>
      </c>
      <c r="E18" s="61" t="s">
        <v>69</v>
      </c>
    </row>
    <row r="19" spans="2:8">
      <c r="B19" s="336" t="s">
        <v>70</v>
      </c>
      <c r="C19" s="64" t="s">
        <v>71</v>
      </c>
      <c r="D19" s="44" t="s">
        <v>72</v>
      </c>
      <c r="E19" s="44" t="s">
        <v>73</v>
      </c>
      <c r="G19" s="339" t="s">
        <v>74</v>
      </c>
      <c r="H19" s="339"/>
    </row>
    <row r="20" spans="2:8" ht="25">
      <c r="B20" s="338"/>
      <c r="C20" s="64" t="s">
        <v>75</v>
      </c>
      <c r="D20" s="61" t="s">
        <v>76</v>
      </c>
      <c r="E20" s="61" t="s">
        <v>77</v>
      </c>
      <c r="G20" s="60" t="s">
        <v>43</v>
      </c>
      <c r="H20" s="60" t="s">
        <v>44</v>
      </c>
    </row>
    <row r="21" spans="2:8" ht="25">
      <c r="B21" s="338"/>
      <c r="C21" s="64" t="s">
        <v>78</v>
      </c>
      <c r="D21" s="237" t="s">
        <v>79</v>
      </c>
      <c r="E21" s="61" t="s">
        <v>80</v>
      </c>
      <c r="G21" s="238" t="s">
        <v>81</v>
      </c>
      <c r="H21" s="44" t="s">
        <v>82</v>
      </c>
    </row>
    <row r="22" spans="2:8" ht="12.5">
      <c r="B22" s="337"/>
      <c r="C22" s="64" t="s">
        <v>83</v>
      </c>
      <c r="D22" s="44" t="s">
        <v>84</v>
      </c>
      <c r="E22" s="44" t="s">
        <v>85</v>
      </c>
      <c r="G22" s="238" t="s">
        <v>86</v>
      </c>
      <c r="H22" s="44" t="s">
        <v>87</v>
      </c>
    </row>
    <row r="24" spans="2:8">
      <c r="B24" s="42" t="s">
        <v>88</v>
      </c>
      <c r="C24" s="60" t="s">
        <v>43</v>
      </c>
      <c r="D24" s="60" t="s">
        <v>44</v>
      </c>
    </row>
    <row r="25" spans="2:8" ht="25">
      <c r="B25" s="42" t="s">
        <v>89</v>
      </c>
      <c r="C25" s="66" t="s">
        <v>90</v>
      </c>
      <c r="D25" s="44" t="s">
        <v>91</v>
      </c>
    </row>
    <row r="27" spans="2:8" ht="13">
      <c r="B27" s="60" t="s">
        <v>92</v>
      </c>
    </row>
    <row r="28" spans="2:8" ht="12.5">
      <c r="B28" s="44" t="s">
        <v>93</v>
      </c>
    </row>
  </sheetData>
  <mergeCells count="9">
    <mergeCell ref="B17:B18"/>
    <mergeCell ref="B19:B22"/>
    <mergeCell ref="G19:H19"/>
    <mergeCell ref="B4:E4"/>
    <mergeCell ref="C5:E5"/>
    <mergeCell ref="C6:E6"/>
    <mergeCell ref="C7:E7"/>
    <mergeCell ref="B12:B14"/>
    <mergeCell ref="B15:B16"/>
  </mergeCells>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5" tint="0.39997558519241921"/>
  </sheetPr>
  <dimension ref="B1:Z150"/>
  <sheetViews>
    <sheetView workbookViewId="0"/>
  </sheetViews>
  <sheetFormatPr defaultColWidth="8.81640625" defaultRowHeight="14.5"/>
  <cols>
    <col min="1" max="1" width="8.81640625" style="5"/>
    <col min="2" max="2" width="13.7265625" style="5" customWidth="1"/>
    <col min="3" max="3" width="13.453125" style="5" customWidth="1"/>
    <col min="4" max="4" width="19.81640625" style="5" customWidth="1"/>
    <col min="5" max="5" width="21" style="5" customWidth="1"/>
    <col min="6" max="6" width="19.1796875" style="5" customWidth="1"/>
    <col min="7" max="7" width="15.1796875" style="5" customWidth="1"/>
    <col min="8" max="8" width="15" style="5" customWidth="1"/>
    <col min="9" max="9" width="17.81640625" style="5" customWidth="1"/>
    <col min="10" max="10" width="17.7265625" style="5" customWidth="1"/>
    <col min="11" max="11" width="16.7265625" style="5" customWidth="1"/>
    <col min="12" max="12" width="14.453125" style="5" customWidth="1"/>
    <col min="13" max="13" width="12.453125" style="5" customWidth="1"/>
    <col min="14" max="14" width="11.26953125" style="5" customWidth="1"/>
    <col min="15" max="15" width="11.1796875" style="5" customWidth="1"/>
    <col min="16" max="17" width="23.81640625" style="5" customWidth="1"/>
    <col min="18" max="18" width="20.81640625" style="5" customWidth="1"/>
    <col min="19" max="19" width="14.453125" style="5" customWidth="1"/>
    <col min="20" max="20" width="12.453125" style="5" customWidth="1"/>
    <col min="21" max="21" width="11.453125" style="5" customWidth="1"/>
    <col min="22" max="22" width="13" style="5" customWidth="1"/>
    <col min="23" max="16384" width="8.81640625" style="5"/>
  </cols>
  <sheetData>
    <row r="1" spans="2:21" s="65" customFormat="1" ht="49.5" customHeight="1">
      <c r="B1" s="306"/>
      <c r="C1" s="306"/>
      <c r="D1" s="306" t="s">
        <v>442</v>
      </c>
      <c r="E1" s="306"/>
      <c r="F1" s="306"/>
      <c r="G1" s="306"/>
      <c r="H1" s="306"/>
      <c r="I1" s="306"/>
      <c r="J1" s="306"/>
      <c r="K1" s="306"/>
      <c r="L1" s="306"/>
      <c r="M1" s="306"/>
      <c r="N1" s="306"/>
      <c r="O1" s="306"/>
      <c r="P1" s="306"/>
      <c r="Q1" s="306"/>
      <c r="R1" s="306"/>
      <c r="S1" s="306"/>
      <c r="T1" s="306"/>
      <c r="U1" s="306"/>
    </row>
    <row r="4" spans="2:21">
      <c r="B4" s="71" t="s">
        <v>257</v>
      </c>
      <c r="C4" s="72"/>
      <c r="D4" s="72"/>
      <c r="E4" s="72"/>
      <c r="F4" s="72"/>
      <c r="G4" s="72"/>
      <c r="H4" s="72"/>
      <c r="I4" s="72"/>
      <c r="J4" s="72"/>
      <c r="K4" s="72"/>
      <c r="L4" s="72"/>
      <c r="M4" s="72"/>
      <c r="N4" s="72"/>
      <c r="O4" s="72"/>
      <c r="Q4" s="71" t="s">
        <v>443</v>
      </c>
      <c r="R4" s="72"/>
      <c r="S4" s="72"/>
      <c r="T4" s="72"/>
      <c r="U4" s="72"/>
    </row>
    <row r="6" spans="2:21">
      <c r="D6" s="363" t="s">
        <v>444</v>
      </c>
      <c r="E6" s="363"/>
      <c r="F6" s="364"/>
      <c r="G6" s="366" t="s">
        <v>382</v>
      </c>
      <c r="H6" s="367"/>
      <c r="I6" s="367"/>
      <c r="J6" s="368"/>
      <c r="K6" s="351" t="s">
        <v>256</v>
      </c>
      <c r="L6" s="351"/>
      <c r="M6" s="351"/>
      <c r="N6" s="351"/>
    </row>
    <row r="7" spans="2:21">
      <c r="B7" s="70" t="s">
        <v>445</v>
      </c>
      <c r="C7" s="70" t="s">
        <v>446</v>
      </c>
      <c r="D7" s="70" t="s">
        <v>447</v>
      </c>
      <c r="E7" s="70" t="s">
        <v>448</v>
      </c>
      <c r="F7" s="70" t="s">
        <v>449</v>
      </c>
      <c r="G7" s="70" t="s">
        <v>450</v>
      </c>
      <c r="H7" s="118" t="s">
        <v>451</v>
      </c>
      <c r="I7" s="73" t="s">
        <v>452</v>
      </c>
      <c r="J7" s="73" t="s">
        <v>453</v>
      </c>
      <c r="K7" s="70" t="s">
        <v>454</v>
      </c>
      <c r="L7" s="70" t="s">
        <v>455</v>
      </c>
      <c r="M7" s="118" t="s">
        <v>451</v>
      </c>
      <c r="N7" s="73" t="s">
        <v>452</v>
      </c>
      <c r="O7" s="73" t="s">
        <v>453</v>
      </c>
      <c r="Q7" s="70"/>
      <c r="R7" s="70" t="s">
        <v>456</v>
      </c>
      <c r="S7" s="70" t="s">
        <v>457</v>
      </c>
      <c r="T7" s="70" t="s">
        <v>458</v>
      </c>
    </row>
    <row r="8" spans="2:21">
      <c r="B8" s="70">
        <v>730820</v>
      </c>
      <c r="C8" s="70">
        <v>2015</v>
      </c>
      <c r="D8" s="176">
        <v>17.673500000000001</v>
      </c>
      <c r="E8" s="180">
        <f>D8-F8</f>
        <v>13.083315000000001</v>
      </c>
      <c r="F8" s="125">
        <v>4.590185</v>
      </c>
      <c r="G8" s="125">
        <v>933.60185799999999</v>
      </c>
      <c r="H8" s="116">
        <f>((F8*10^6)/($R$8*10^9))/((G8*10^6)/($S$8*10^9))</f>
        <v>5.5229357509205441E-2</v>
      </c>
      <c r="I8" s="128">
        <f t="shared" ref="I8:I37" si="0">(F8*10^6)/(G8*10^6)</f>
        <v>4.9166408149971782E-3</v>
      </c>
      <c r="J8" s="128"/>
      <c r="K8" s="129">
        <v>3.0686560900000002</v>
      </c>
      <c r="L8" s="116">
        <f>K8-(G8/10^3)</f>
        <v>2.1350542320000003</v>
      </c>
      <c r="M8" s="116">
        <f>((E8*10^6)/($R$8*10^9))/((L8*10^9)/($T$8*10^9))</f>
        <v>0.19938608455386461</v>
      </c>
      <c r="N8" s="128">
        <f t="shared" ref="N8:N37" si="1">(E8*10^6)/(L8*10^9)</f>
        <v>6.127860737169321E-3</v>
      </c>
      <c r="O8" s="128"/>
      <c r="Q8" s="70">
        <v>2015</v>
      </c>
      <c r="R8" s="133">
        <v>466.29568275399998</v>
      </c>
      <c r="S8" s="133">
        <v>5237.968754859</v>
      </c>
      <c r="T8" s="134">
        <v>15172.157856779</v>
      </c>
    </row>
    <row r="9" spans="2:21">
      <c r="B9" s="70">
        <v>730820</v>
      </c>
      <c r="C9" s="70">
        <v>2016</v>
      </c>
      <c r="D9" s="176">
        <v>11.950398999999999</v>
      </c>
      <c r="E9" s="180">
        <f t="shared" ref="E9:E37" si="2">D9-F9</f>
        <v>8.6697999999999986</v>
      </c>
      <c r="F9" s="125">
        <v>3.280599</v>
      </c>
      <c r="G9" s="125">
        <v>1181.0145649999999</v>
      </c>
      <c r="H9" s="116">
        <f>((F9*10^6)/($R$9*10^9))/((G9*10^6)/($S$9*10^9))</f>
        <v>3.5029807092079847E-2</v>
      </c>
      <c r="I9" s="128">
        <f t="shared" si="0"/>
        <v>2.7777803062064691E-3</v>
      </c>
      <c r="J9" s="128"/>
      <c r="K9" s="129">
        <v>3.0653222950000001</v>
      </c>
      <c r="L9" s="116">
        <f t="shared" ref="L9:L37" si="3">K9-(G9/10^3)</f>
        <v>1.8843077300000002</v>
      </c>
      <c r="M9" s="116">
        <f>((E9*10^6)/($R$9*10^9))/((L9*10^9)/($T$9*10^9))</f>
        <v>0.16372059474171372</v>
      </c>
      <c r="N9" s="128">
        <f t="shared" si="1"/>
        <v>4.6010531411448371E-3</v>
      </c>
      <c r="O9" s="128"/>
      <c r="Q9" s="70">
        <v>2016</v>
      </c>
      <c r="R9" s="133">
        <v>411.46335562500002</v>
      </c>
      <c r="S9" s="133">
        <v>5188.8487872130008</v>
      </c>
      <c r="T9" s="134">
        <v>14641.218701635</v>
      </c>
    </row>
    <row r="10" spans="2:21" ht="15" thickBot="1">
      <c r="B10" s="74">
        <v>730820</v>
      </c>
      <c r="C10" s="74">
        <v>2017</v>
      </c>
      <c r="D10" s="177">
        <v>27.080199</v>
      </c>
      <c r="E10" s="181">
        <f t="shared" si="2"/>
        <v>14.83329</v>
      </c>
      <c r="F10" s="126">
        <v>12.246909</v>
      </c>
      <c r="G10" s="126">
        <v>1031.3042110000001</v>
      </c>
      <c r="H10" s="117">
        <f>((F10*10^6)/($R$10*10^9))/((G10*10^6)/($S$10*10^9))</f>
        <v>0.15332044688104124</v>
      </c>
      <c r="I10" s="131">
        <f t="shared" si="0"/>
        <v>1.1875166288834244E-2</v>
      </c>
      <c r="J10" s="131"/>
      <c r="K10" s="130">
        <v>2.603758424</v>
      </c>
      <c r="L10" s="117">
        <f t="shared" si="3"/>
        <v>1.5724542129999999</v>
      </c>
      <c r="M10" s="117">
        <f>((E10*10^6)/($R$10*10^9))/((L10*10^9)/($T$10*10^9))</f>
        <v>0.32828985244011821</v>
      </c>
      <c r="N10" s="131">
        <f t="shared" si="1"/>
        <v>9.4332094870351567E-3</v>
      </c>
      <c r="O10" s="131"/>
      <c r="Q10" s="70">
        <v>2017</v>
      </c>
      <c r="R10" s="133">
        <v>442.06570722399994</v>
      </c>
      <c r="S10" s="133">
        <v>5707.5168577720005</v>
      </c>
      <c r="T10" s="134">
        <v>15384.550294665001</v>
      </c>
    </row>
    <row r="11" spans="2:21" ht="15" thickTop="1">
      <c r="B11" s="70">
        <v>841280</v>
      </c>
      <c r="C11" s="70">
        <v>2015</v>
      </c>
      <c r="D11" s="176">
        <v>7.2330230000000002</v>
      </c>
      <c r="E11" s="180">
        <f t="shared" si="2"/>
        <v>6.8643450000000001</v>
      </c>
      <c r="F11" s="125">
        <v>0.36867800000000001</v>
      </c>
      <c r="G11" s="125">
        <v>243.03787500000001</v>
      </c>
      <c r="H11" s="116">
        <f>((F11*10^6)/($R$8*10^9))/((G11*10^6)/($S$8*10^9))</f>
        <v>1.7040203326974122E-2</v>
      </c>
      <c r="I11" s="128">
        <f t="shared" si="0"/>
        <v>1.5169569763560514E-3</v>
      </c>
      <c r="J11" s="128"/>
      <c r="K11" s="129">
        <v>0.81176031199999998</v>
      </c>
      <c r="L11" s="116">
        <f t="shared" si="3"/>
        <v>0.56872243699999991</v>
      </c>
      <c r="M11" s="116">
        <f>((E11*10^6)/($R$8*10^9))/((L11*10^9)/($T$8*10^9))</f>
        <v>0.3927215189257689</v>
      </c>
      <c r="N11" s="128">
        <f t="shared" si="1"/>
        <v>1.2069762951870318E-2</v>
      </c>
      <c r="O11" s="128"/>
      <c r="S11" s="97"/>
    </row>
    <row r="12" spans="2:21">
      <c r="B12" s="70">
        <v>841280</v>
      </c>
      <c r="C12" s="70">
        <v>2016</v>
      </c>
      <c r="D12" s="176">
        <v>11.26515</v>
      </c>
      <c r="E12" s="180">
        <f t="shared" si="2"/>
        <v>10.500415</v>
      </c>
      <c r="F12" s="125">
        <v>0.76473500000000005</v>
      </c>
      <c r="G12" s="125">
        <v>223.99851800000002</v>
      </c>
      <c r="H12" s="116">
        <f>((F12*10^6)/($R$9*10^9))/((G12*10^6)/($S$9*10^9))</f>
        <v>4.3053223465484534E-2</v>
      </c>
      <c r="I12" s="128">
        <f t="shared" si="0"/>
        <v>3.4140181231020464E-3</v>
      </c>
      <c r="J12" s="128"/>
      <c r="K12" s="129">
        <v>0.69711650699999994</v>
      </c>
      <c r="L12" s="116">
        <f t="shared" si="3"/>
        <v>0.47311798899999991</v>
      </c>
      <c r="M12" s="116">
        <f>((E12*10^6)/($R$9*10^9))/((L12*10^9)/($T$9*10^9))</f>
        <v>0.78973805684247156</v>
      </c>
      <c r="N12" s="128">
        <f t="shared" si="1"/>
        <v>2.2194072607964188E-2</v>
      </c>
      <c r="O12" s="128"/>
    </row>
    <row r="13" spans="2:21" ht="15" thickBot="1">
      <c r="B13" s="74">
        <v>841280</v>
      </c>
      <c r="C13" s="74">
        <v>2017</v>
      </c>
      <c r="D13" s="177">
        <v>8.6779220000000006</v>
      </c>
      <c r="E13" s="181">
        <f t="shared" si="2"/>
        <v>7.9575440000000004</v>
      </c>
      <c r="F13" s="126">
        <v>0.72037800000000007</v>
      </c>
      <c r="G13" s="126">
        <v>237.36433199999999</v>
      </c>
      <c r="H13" s="117">
        <f>((F13*10^6)/($R$10*10^9))/((G13*10^6)/($S$10*10^9))</f>
        <v>3.9183692390031166E-2</v>
      </c>
      <c r="I13" s="131">
        <f t="shared" si="0"/>
        <v>3.0349041658036479E-3</v>
      </c>
      <c r="J13" s="131"/>
      <c r="K13" s="130">
        <v>0.63440816900000008</v>
      </c>
      <c r="L13" s="117">
        <f t="shared" si="3"/>
        <v>0.39704383700000012</v>
      </c>
      <c r="M13" s="117">
        <f>((E13*10^6)/($R$10*10^9))/((L13*10^9)/($T$10*10^9))</f>
        <v>0.6974909373577286</v>
      </c>
      <c r="N13" s="131">
        <f t="shared" si="1"/>
        <v>2.0041978387388991E-2</v>
      </c>
      <c r="O13" s="131"/>
    </row>
    <row r="14" spans="2:21" ht="15" thickTop="1">
      <c r="B14" s="70">
        <v>841290</v>
      </c>
      <c r="C14" s="70">
        <v>2015</v>
      </c>
      <c r="D14" s="176">
        <v>130.098919</v>
      </c>
      <c r="E14" s="180">
        <f t="shared" si="2"/>
        <v>100.62513999999999</v>
      </c>
      <c r="F14" s="125">
        <v>29.473779</v>
      </c>
      <c r="G14" s="125">
        <v>2467.4386359999999</v>
      </c>
      <c r="H14" s="116">
        <f>((F14*10^6)/($R$8*10^9))/((G14*10^6)/($S$8*10^9))</f>
        <v>0.13418098355349192</v>
      </c>
      <c r="I14" s="128">
        <f t="shared" si="0"/>
        <v>1.1945090982193731E-2</v>
      </c>
      <c r="J14" s="128"/>
      <c r="K14" s="129">
        <v>5.7862439460000008</v>
      </c>
      <c r="L14" s="116">
        <f t="shared" si="3"/>
        <v>3.318805310000001</v>
      </c>
      <c r="M14" s="116">
        <f>((E14*10^6)/($R$8*10^9))/((L14*10^9)/($T$8*10^9))</f>
        <v>0.98653086982060956</v>
      </c>
      <c r="N14" s="128">
        <f t="shared" si="1"/>
        <v>3.0319687538405186E-2</v>
      </c>
      <c r="O14" s="128"/>
    </row>
    <row r="15" spans="2:21">
      <c r="B15" s="70">
        <v>841290</v>
      </c>
      <c r="C15" s="70">
        <v>2016</v>
      </c>
      <c r="D15" s="176">
        <v>92.198589999999996</v>
      </c>
      <c r="E15" s="180">
        <f t="shared" si="2"/>
        <v>60.891473999999995</v>
      </c>
      <c r="F15" s="125">
        <v>31.307116000000001</v>
      </c>
      <c r="G15" s="125">
        <v>2428.2726400000001</v>
      </c>
      <c r="H15" s="116">
        <f>((F15*10^6)/($R$9*10^9))/((G15*10^6)/($S$9*10^9))</f>
        <v>0.16258686870799022</v>
      </c>
      <c r="I15" s="128">
        <f t="shared" si="0"/>
        <v>1.2892751614579818E-2</v>
      </c>
      <c r="J15" s="128"/>
      <c r="K15" s="129">
        <v>5.6491407169999999</v>
      </c>
      <c r="L15" s="116">
        <f t="shared" si="3"/>
        <v>3.2208680769999996</v>
      </c>
      <c r="M15" s="116">
        <f>((E15*10^6)/($R$9*10^9))/((L15*10^9)/($T$9*10^9))</f>
        <v>0.67271268105555626</v>
      </c>
      <c r="N15" s="128">
        <f t="shared" si="1"/>
        <v>1.8905298989058843E-2</v>
      </c>
      <c r="O15" s="128"/>
    </row>
    <row r="16" spans="2:21" ht="15" thickBot="1">
      <c r="B16" s="74">
        <v>841290</v>
      </c>
      <c r="C16" s="74">
        <v>2017</v>
      </c>
      <c r="D16" s="177">
        <v>103.996994</v>
      </c>
      <c r="E16" s="181">
        <f t="shared" si="2"/>
        <v>66.616399000000001</v>
      </c>
      <c r="F16" s="126">
        <v>37.380595</v>
      </c>
      <c r="G16" s="126">
        <v>2923.1321389999998</v>
      </c>
      <c r="H16" s="117">
        <f>((F16*10^6)/($R$10*10^9))/((G16*10^6)/($S$10*10^9))</f>
        <v>0.16510420662716682</v>
      </c>
      <c r="I16" s="131">
        <f t="shared" si="0"/>
        <v>1.2787856731234825E-2</v>
      </c>
      <c r="J16" s="131"/>
      <c r="K16" s="130">
        <v>6.3849872419999993</v>
      </c>
      <c r="L16" s="117">
        <f t="shared" si="3"/>
        <v>3.4618551029999995</v>
      </c>
      <c r="M16" s="117">
        <f>((E16*10^6)/($R$10*10^9))/((L16*10^9)/($T$10*10^9))</f>
        <v>0.66968449832035104</v>
      </c>
      <c r="N16" s="131">
        <f t="shared" si="1"/>
        <v>1.924297725293906E-2</v>
      </c>
      <c r="O16" s="131"/>
    </row>
    <row r="17" spans="2:26" ht="15" thickTop="1">
      <c r="B17" s="70">
        <v>8482</v>
      </c>
      <c r="C17" s="70">
        <v>2015</v>
      </c>
      <c r="D17" s="176">
        <v>593.51286300000004</v>
      </c>
      <c r="E17" s="180">
        <f t="shared" si="2"/>
        <v>192.98807400000004</v>
      </c>
      <c r="F17" s="125">
        <v>400.524789</v>
      </c>
      <c r="G17" s="125">
        <v>12204.15445</v>
      </c>
      <c r="H17" s="116">
        <f>((F17*10^6)/($R$8*10^9))/((G17*10^6)/($S$8*10^9))</f>
        <v>0.36865761916437789</v>
      </c>
      <c r="I17" s="128">
        <f t="shared" si="0"/>
        <v>3.2818725020314701E-2</v>
      </c>
      <c r="J17" s="128"/>
      <c r="K17" s="129">
        <v>28.850655478999997</v>
      </c>
      <c r="L17" s="116">
        <f t="shared" si="3"/>
        <v>16.646501028999996</v>
      </c>
      <c r="M17" s="116">
        <f>((E17*10^6)/($R$8*10^9))/((L17*10^9)/($T$8*10^9))</f>
        <v>0.37721892065158641</v>
      </c>
      <c r="N17" s="128">
        <f t="shared" si="1"/>
        <v>1.1593311631302821E-2</v>
      </c>
      <c r="O17" s="128"/>
    </row>
    <row r="18" spans="2:26" ht="29">
      <c r="B18" s="70">
        <v>8482</v>
      </c>
      <c r="C18" s="70">
        <v>2016</v>
      </c>
      <c r="D18" s="176">
        <v>508.653369</v>
      </c>
      <c r="E18" s="180">
        <f t="shared" si="2"/>
        <v>148.652467</v>
      </c>
      <c r="F18" s="125">
        <v>360.000902</v>
      </c>
      <c r="G18" s="125">
        <v>12039.923862</v>
      </c>
      <c r="H18" s="116">
        <f>((F18*10^6)/($R$9*10^9))/((G18*10^6)/($S$9*10^9))</f>
        <v>0.37706801917538274</v>
      </c>
      <c r="I18" s="128">
        <f t="shared" si="0"/>
        <v>2.9900596226876703E-2</v>
      </c>
      <c r="J18" s="128"/>
      <c r="K18" s="129">
        <v>28.150490454</v>
      </c>
      <c r="L18" s="116">
        <f t="shared" si="3"/>
        <v>16.110566591999998</v>
      </c>
      <c r="M18" s="116">
        <f>((E18*10^6)/($R$9*10^9))/((L18*10^9)/($T$9*10^9))</f>
        <v>0.3283275840480443</v>
      </c>
      <c r="N18" s="128">
        <f t="shared" si="1"/>
        <v>9.2270167005681948E-3</v>
      </c>
      <c r="O18" s="128"/>
      <c r="Q18" s="166" t="s">
        <v>459</v>
      </c>
      <c r="R18" s="166" t="s">
        <v>460</v>
      </c>
      <c r="S18" s="370" t="s">
        <v>399</v>
      </c>
      <c r="T18" s="370"/>
      <c r="U18" s="370"/>
      <c r="V18" s="166" t="s">
        <v>461</v>
      </c>
    </row>
    <row r="19" spans="2:26" ht="15" thickBot="1">
      <c r="B19" s="74">
        <v>8482</v>
      </c>
      <c r="C19" s="74">
        <v>2017</v>
      </c>
      <c r="D19" s="177">
        <v>549.75358900000003</v>
      </c>
      <c r="E19" s="181">
        <f t="shared" si="2"/>
        <v>154.75282600000008</v>
      </c>
      <c r="F19" s="126">
        <v>395.00076299999995</v>
      </c>
      <c r="G19" s="126">
        <v>13188.849598999999</v>
      </c>
      <c r="H19" s="117">
        <f>((F19*10^6)/($R$10*10^9))/((G19*10^6)/($S$10*10^9))</f>
        <v>0.3866797199656708</v>
      </c>
      <c r="I19" s="131">
        <f t="shared" si="0"/>
        <v>2.9949599473023752E-2</v>
      </c>
      <c r="J19" s="131"/>
      <c r="K19" s="130">
        <v>30.688372122000001</v>
      </c>
      <c r="L19" s="117">
        <f t="shared" si="3"/>
        <v>17.499522523000003</v>
      </c>
      <c r="M19" s="117">
        <f>((E19*10^6)/($R$10*10^9))/((L19*10^9)/($T$10*10^9))</f>
        <v>0.3077587215107237</v>
      </c>
      <c r="N19" s="131">
        <f t="shared" si="1"/>
        <v>8.8432599116121634E-3</v>
      </c>
      <c r="O19" s="131"/>
      <c r="Q19" s="167">
        <v>730820</v>
      </c>
      <c r="R19" s="167" t="s">
        <v>401</v>
      </c>
      <c r="S19" s="369" t="s">
        <v>462</v>
      </c>
      <c r="T19" s="369"/>
      <c r="U19" s="369"/>
      <c r="V19" s="70" t="s">
        <v>285</v>
      </c>
    </row>
    <row r="20" spans="2:26" ht="15" thickTop="1">
      <c r="B20" s="307">
        <v>850231</v>
      </c>
      <c r="C20" s="307">
        <v>2015</v>
      </c>
      <c r="D20" s="308">
        <v>9.1105859999999996</v>
      </c>
      <c r="E20" s="309">
        <f t="shared" si="2"/>
        <v>2.1121639999999999</v>
      </c>
      <c r="F20" s="310">
        <v>6.9984219999999997</v>
      </c>
      <c r="G20" s="310">
        <v>5408.2950039999996</v>
      </c>
      <c r="H20" s="116">
        <f>((F20*10^6)/($R$8*10^9))/((G20*10^6)/($S$8*10^9))</f>
        <v>1.4535877779973647E-2</v>
      </c>
      <c r="I20" s="311">
        <f t="shared" si="0"/>
        <v>1.2940163202680207E-3</v>
      </c>
      <c r="J20" s="311"/>
      <c r="K20" s="312">
        <v>7.9070612840000001</v>
      </c>
      <c r="L20" s="313">
        <f t="shared" si="3"/>
        <v>2.4987662800000008</v>
      </c>
      <c r="M20" s="116">
        <f>((E20*10^6)/($R$8*10^9))/((L20*10^9)/($T$8*10^9))</f>
        <v>2.7503499586183325E-2</v>
      </c>
      <c r="N20" s="311">
        <f t="shared" si="1"/>
        <v>8.4528273688726067E-4</v>
      </c>
      <c r="O20" s="311"/>
      <c r="Q20" s="167">
        <v>841280</v>
      </c>
      <c r="R20" s="167" t="s">
        <v>404</v>
      </c>
      <c r="S20" s="365" t="s">
        <v>463</v>
      </c>
      <c r="T20" s="365"/>
      <c r="U20" s="365"/>
      <c r="V20" s="70" t="s">
        <v>285</v>
      </c>
    </row>
    <row r="21" spans="2:26" ht="19" customHeight="1">
      <c r="B21" s="70">
        <v>850231</v>
      </c>
      <c r="C21" s="70">
        <v>2016</v>
      </c>
      <c r="D21" s="176">
        <v>6.2226549999999996</v>
      </c>
      <c r="E21" s="180">
        <f t="shared" si="2"/>
        <v>1.8389179999999996</v>
      </c>
      <c r="F21" s="125">
        <v>4.383737</v>
      </c>
      <c r="G21" s="125">
        <v>4694.6581409999999</v>
      </c>
      <c r="H21" s="116">
        <f>((F21*10^6)/($R$9*10^9))/((G21*10^6)/($S$9*10^9))</f>
        <v>1.177552744904444E-2</v>
      </c>
      <c r="I21" s="128">
        <f t="shared" si="0"/>
        <v>9.337712924643814E-4</v>
      </c>
      <c r="J21" s="128"/>
      <c r="K21" s="129">
        <v>7.4519697029999996</v>
      </c>
      <c r="L21" s="116">
        <f t="shared" si="3"/>
        <v>2.7573115619999999</v>
      </c>
      <c r="M21" s="116">
        <f>((E21*10^6)/($R$9*10^9))/((L21*10^9)/($T$9*10^9))</f>
        <v>2.3731357744404307E-2</v>
      </c>
      <c r="N21" s="128">
        <f t="shared" si="1"/>
        <v>6.6692426976447698E-4</v>
      </c>
      <c r="O21" s="128"/>
      <c r="Q21" s="167">
        <v>841290</v>
      </c>
      <c r="R21" s="167" t="s">
        <v>464</v>
      </c>
      <c r="S21" s="365" t="s">
        <v>465</v>
      </c>
      <c r="T21" s="365"/>
      <c r="U21" s="365"/>
      <c r="V21" s="70" t="s">
        <v>285</v>
      </c>
    </row>
    <row r="22" spans="2:26" ht="19" customHeight="1" thickBot="1">
      <c r="B22" s="74">
        <v>850231</v>
      </c>
      <c r="C22" s="74">
        <v>2017</v>
      </c>
      <c r="D22" s="177">
        <v>4.3437280000000005</v>
      </c>
      <c r="E22" s="181">
        <f t="shared" si="2"/>
        <v>2.1418680000000005</v>
      </c>
      <c r="F22" s="126">
        <v>2.2018599999999999</v>
      </c>
      <c r="G22" s="126">
        <v>2919.7176759999998</v>
      </c>
      <c r="H22" s="117">
        <f>((F22*10^6)/($R$10*10^9))/((G22*10^6)/($S$10*10^9))</f>
        <v>9.7366423911288483E-3</v>
      </c>
      <c r="I22" s="131">
        <f t="shared" si="0"/>
        <v>7.5413455831679541E-4</v>
      </c>
      <c r="J22" s="131"/>
      <c r="K22" s="130">
        <v>5.4208394389999999</v>
      </c>
      <c r="L22" s="117">
        <f t="shared" si="3"/>
        <v>2.501121763</v>
      </c>
      <c r="M22" s="117">
        <f>((E22*10^6)/($R$10*10^9))/((L22*10^9)/($T$10*10^9))</f>
        <v>2.9802716180273331E-2</v>
      </c>
      <c r="N22" s="131">
        <f t="shared" si="1"/>
        <v>8.5636294549326999E-4</v>
      </c>
      <c r="O22" s="131"/>
      <c r="Q22" s="167">
        <v>8482</v>
      </c>
      <c r="R22" s="167" t="s">
        <v>406</v>
      </c>
      <c r="S22" s="369" t="s">
        <v>466</v>
      </c>
      <c r="T22" s="369"/>
      <c r="U22" s="369"/>
      <c r="V22" s="70" t="s">
        <v>285</v>
      </c>
      <c r="Y22" s="1"/>
    </row>
    <row r="23" spans="2:26" ht="19" customHeight="1" thickTop="1">
      <c r="B23" s="307">
        <v>850300</v>
      </c>
      <c r="C23" s="307">
        <v>2015</v>
      </c>
      <c r="D23" s="308">
        <v>275.56594200000001</v>
      </c>
      <c r="E23" s="309">
        <f t="shared" si="2"/>
        <v>194.522829</v>
      </c>
      <c r="F23" s="310">
        <v>81.043112999999991</v>
      </c>
      <c r="G23" s="310">
        <v>5699.5411619999995</v>
      </c>
      <c r="H23" s="116">
        <f>((F23*10^6)/($R$8*10^9))/((G23*10^6)/($S$8*10^9))</f>
        <v>0.15972677724479695</v>
      </c>
      <c r="I23" s="311">
        <f t="shared" si="0"/>
        <v>1.4219234618451551E-2</v>
      </c>
      <c r="J23" s="311"/>
      <c r="K23" s="312">
        <v>16.101202684</v>
      </c>
      <c r="L23" s="313">
        <f t="shared" si="3"/>
        <v>10.401661522000001</v>
      </c>
      <c r="M23" s="116">
        <f>((E23*10^6)/($R$8*10^9))/((L23*10^9)/($T$8*10^9))</f>
        <v>0.60849052168603823</v>
      </c>
      <c r="N23" s="311">
        <f t="shared" si="1"/>
        <v>1.8701130448109188E-2</v>
      </c>
      <c r="O23" s="311"/>
      <c r="Q23" s="167">
        <v>848340</v>
      </c>
      <c r="R23" s="167" t="s">
        <v>408</v>
      </c>
      <c r="S23" s="365" t="s">
        <v>467</v>
      </c>
      <c r="T23" s="365"/>
      <c r="U23" s="365"/>
      <c r="V23" s="70" t="s">
        <v>285</v>
      </c>
      <c r="Y23" s="1"/>
    </row>
    <row r="24" spans="2:26" ht="19" customHeight="1">
      <c r="B24" s="70">
        <v>850300</v>
      </c>
      <c r="C24" s="70">
        <v>2016</v>
      </c>
      <c r="D24" s="176">
        <v>234.78913699999998</v>
      </c>
      <c r="E24" s="180">
        <f t="shared" si="2"/>
        <v>151.50906999999998</v>
      </c>
      <c r="F24" s="125">
        <v>83.280067000000003</v>
      </c>
      <c r="G24" s="125">
        <v>5943.1049469999998</v>
      </c>
      <c r="H24" s="116">
        <f>((F24*10^6)/($R$9*10^9))/((G24*10^6)/($S$9*10^9))</f>
        <v>0.17671260036685424</v>
      </c>
      <c r="I24" s="128">
        <f t="shared" si="0"/>
        <v>1.4012888505702505E-2</v>
      </c>
      <c r="J24" s="128"/>
      <c r="K24" s="129">
        <v>15.673832825</v>
      </c>
      <c r="L24" s="116">
        <f t="shared" si="3"/>
        <v>9.7307278779999997</v>
      </c>
      <c r="M24" s="116">
        <f>((E24*10^6)/($R$9*10^9))/((L24*10^9)/($T$9*10^9))</f>
        <v>0.55403776562048179</v>
      </c>
      <c r="N24" s="128">
        <f t="shared" si="1"/>
        <v>1.5570168223750628E-2</v>
      </c>
      <c r="O24" s="128"/>
      <c r="Q24" s="167">
        <v>850231</v>
      </c>
      <c r="R24" s="167" t="s">
        <v>409</v>
      </c>
      <c r="S24" s="365" t="s">
        <v>468</v>
      </c>
      <c r="T24" s="365"/>
      <c r="U24" s="365"/>
      <c r="V24" s="70" t="s">
        <v>285</v>
      </c>
      <c r="Y24" s="1"/>
    </row>
    <row r="25" spans="2:26" ht="30" customHeight="1" thickBot="1">
      <c r="B25" s="74">
        <v>850300</v>
      </c>
      <c r="C25" s="74">
        <v>2017</v>
      </c>
      <c r="D25" s="177">
        <v>258.38815599999998</v>
      </c>
      <c r="E25" s="181">
        <f t="shared" si="2"/>
        <v>174.95566099999999</v>
      </c>
      <c r="F25" s="126">
        <v>83.432494999999989</v>
      </c>
      <c r="G25" s="126">
        <v>6322.2165690000002</v>
      </c>
      <c r="H25" s="117">
        <f>((F25*10^6)/($R$10*10^9))/((G25*10^6)/($S$10*10^9))</f>
        <v>0.17038299150025413</v>
      </c>
      <c r="I25" s="131">
        <f t="shared" si="0"/>
        <v>1.3196715754581735E-2</v>
      </c>
      <c r="J25" s="131">
        <f>SUM(F8:F25)/SUM(G8:G25)</f>
        <v>1.9190988836292704E-2</v>
      </c>
      <c r="K25" s="130">
        <v>16.547766590999998</v>
      </c>
      <c r="L25" s="117">
        <f t="shared" si="3"/>
        <v>10.225550021999998</v>
      </c>
      <c r="M25" s="117">
        <f>((E25*10^6)/($R$10*10^9))/((L25*10^9)/($T$10*10^9))</f>
        <v>0.59544177619796945</v>
      </c>
      <c r="N25" s="131">
        <f t="shared" si="1"/>
        <v>1.7109657732208787E-2</v>
      </c>
      <c r="O25" s="131">
        <f>SUM(E8:E25)/SUM(L8:L25)/10^3</f>
        <v>1.2461729357129921E-2</v>
      </c>
      <c r="Q25" s="167">
        <v>8503</v>
      </c>
      <c r="R25" s="167" t="s">
        <v>411</v>
      </c>
      <c r="S25" s="365" t="s">
        <v>469</v>
      </c>
      <c r="T25" s="365"/>
      <c r="U25" s="365"/>
      <c r="V25" s="70" t="s">
        <v>285</v>
      </c>
      <c r="Y25" s="1"/>
    </row>
    <row r="26" spans="2:26" ht="26.25" customHeight="1" thickTop="1">
      <c r="B26" s="307">
        <v>730890</v>
      </c>
      <c r="C26" s="307">
        <v>2015</v>
      </c>
      <c r="D26" s="308">
        <v>499.34406199999995</v>
      </c>
      <c r="E26" s="309">
        <f t="shared" si="2"/>
        <v>241.98990299999991</v>
      </c>
      <c r="F26" s="310">
        <v>257.35415900000004</v>
      </c>
      <c r="G26" s="310">
        <v>10248.866879000001</v>
      </c>
      <c r="H26" s="116">
        <f>((F26*10^6)/($R$8*10^9))/((G26*10^6)/($S$8*10^9))</f>
        <v>0.28206996710347265</v>
      </c>
      <c r="I26" s="311">
        <f>(F26*10^6)/(G26*10^6)</f>
        <v>2.5110498754483821E-2</v>
      </c>
      <c r="J26" s="311"/>
      <c r="K26" s="312">
        <v>34.327265315999995</v>
      </c>
      <c r="L26" s="313">
        <f t="shared" si="3"/>
        <v>24.078398436999993</v>
      </c>
      <c r="M26" s="116">
        <f>((E26*10^6)/($R$8*10^9))/((L26*10^9)/($T$8*10^9))</f>
        <v>0.32700591387820727</v>
      </c>
      <c r="N26" s="311">
        <f t="shared" si="1"/>
        <v>1.0050083008351042E-2</v>
      </c>
      <c r="O26" s="311"/>
      <c r="Q26" s="167">
        <v>730890</v>
      </c>
      <c r="R26" s="167" t="s">
        <v>403</v>
      </c>
      <c r="S26" s="365" t="s">
        <v>470</v>
      </c>
      <c r="T26" s="365"/>
      <c r="U26" s="365"/>
      <c r="V26" s="70" t="s">
        <v>333</v>
      </c>
    </row>
    <row r="27" spans="2:26" ht="30" customHeight="1">
      <c r="B27" s="70">
        <v>730890</v>
      </c>
      <c r="C27" s="70">
        <v>2016</v>
      </c>
      <c r="D27" s="176">
        <v>468.17836800000003</v>
      </c>
      <c r="E27" s="180">
        <f t="shared" si="2"/>
        <v>181.28740600000003</v>
      </c>
      <c r="F27" s="125">
        <v>286.890962</v>
      </c>
      <c r="G27" s="125">
        <v>11622.600488</v>
      </c>
      <c r="H27" s="116">
        <f>((F27*10^6)/($R$9*10^9))/((G27*10^6)/($S$9*10^9))</f>
        <v>0.31128156994753697</v>
      </c>
      <c r="I27" s="128">
        <f>(F27*10^6)/(G27*10^6)</f>
        <v>2.4683887422286145E-2</v>
      </c>
      <c r="J27" s="128"/>
      <c r="K27" s="129">
        <v>33.508590081000001</v>
      </c>
      <c r="L27" s="116">
        <f t="shared" si="3"/>
        <v>21.885989593000001</v>
      </c>
      <c r="M27" s="116">
        <f>((E27*10^6)/($R$9*10^9))/((L27*10^9)/($T$9*10^9))</f>
        <v>0.29474572224874435</v>
      </c>
      <c r="N27" s="128">
        <f t="shared" si="1"/>
        <v>8.2832629171121809E-3</v>
      </c>
      <c r="O27" s="128"/>
      <c r="Q27" s="167">
        <v>8504</v>
      </c>
      <c r="R27" s="167" t="s">
        <v>412</v>
      </c>
      <c r="S27" s="369" t="s">
        <v>471</v>
      </c>
      <c r="T27" s="369"/>
      <c r="U27" s="369"/>
      <c r="V27" s="175" t="s">
        <v>292</v>
      </c>
    </row>
    <row r="28" spans="2:26" ht="29.5" thickBot="1">
      <c r="B28" s="74">
        <v>730890</v>
      </c>
      <c r="C28" s="74">
        <v>2017</v>
      </c>
      <c r="D28" s="177">
        <v>486.00827399999997</v>
      </c>
      <c r="E28" s="181">
        <f t="shared" si="2"/>
        <v>178.00016499999998</v>
      </c>
      <c r="F28" s="126">
        <v>308.00810899999999</v>
      </c>
      <c r="G28" s="126">
        <v>12263.913563999999</v>
      </c>
      <c r="H28" s="117">
        <f>((F28*10^6)/($R$10*10^9))/((G28*10^6)/($S$10*10^9))</f>
        <v>0.32426005056442897</v>
      </c>
      <c r="I28" s="131">
        <f>(F28*10^6)/(G28*10^6)</f>
        <v>2.511499346376183E-2</v>
      </c>
      <c r="J28" s="131">
        <f>SUM(F26:F28)/SUM(G26:G28)</f>
        <v>2.4966858630425519E-2</v>
      </c>
      <c r="K28" s="130">
        <v>34.329322843</v>
      </c>
      <c r="L28" s="117">
        <f t="shared" si="3"/>
        <v>22.065409279000001</v>
      </c>
      <c r="M28" s="117">
        <f>((E28*10^6)/($R$10*10^9))/((L28*10^9)/($T$10*10^9))</f>
        <v>0.28074135853801352</v>
      </c>
      <c r="N28" s="131">
        <f t="shared" si="1"/>
        <v>8.0669323985485993E-3</v>
      </c>
      <c r="O28" s="131">
        <f>SUM(E26:E28)/SUM(L26:L28)/10^3</f>
        <v>8.8384428262945E-3</v>
      </c>
      <c r="Q28" s="167">
        <v>853720</v>
      </c>
      <c r="R28" s="167" t="s">
        <v>472</v>
      </c>
      <c r="S28" s="365" t="s">
        <v>473</v>
      </c>
      <c r="T28" s="365"/>
      <c r="U28" s="365"/>
      <c r="V28" s="175" t="s">
        <v>292</v>
      </c>
    </row>
    <row r="29" spans="2:26" ht="31" customHeight="1" thickTop="1">
      <c r="B29" s="307">
        <v>8504</v>
      </c>
      <c r="C29" s="307">
        <v>2015</v>
      </c>
      <c r="D29" s="308">
        <v>1306.254997</v>
      </c>
      <c r="E29" s="309">
        <f t="shared" si="2"/>
        <v>537.48675900000001</v>
      </c>
      <c r="F29" s="310">
        <v>768.768238</v>
      </c>
      <c r="G29" s="310">
        <v>21097.312797999999</v>
      </c>
      <c r="H29" s="116">
        <f>((F29*10^6)/($R$8*10^9))/((G29*10^6)/($S$8*10^9))</f>
        <v>0.40932644058884649</v>
      </c>
      <c r="I29" s="311">
        <f t="shared" si="0"/>
        <v>3.6439154377655068E-2</v>
      </c>
      <c r="J29" s="311"/>
      <c r="K29" s="312">
        <v>75.798304443000006</v>
      </c>
      <c r="L29" s="313">
        <f t="shared" si="3"/>
        <v>54.700991645000009</v>
      </c>
      <c r="M29" s="116">
        <f>((E29*10^6)/($R$8*10^9))/((L29*10^9)/($T$8*10^9))</f>
        <v>0.31971169903986579</v>
      </c>
      <c r="N29" s="311">
        <f t="shared" si="1"/>
        <v>9.8259052137152515E-3</v>
      </c>
      <c r="O29" s="311"/>
      <c r="Q29" s="167">
        <v>854460</v>
      </c>
      <c r="R29" s="167" t="s">
        <v>414</v>
      </c>
      <c r="S29" s="365" t="s">
        <v>474</v>
      </c>
      <c r="T29" s="365"/>
      <c r="U29" s="365"/>
      <c r="V29" s="175" t="s">
        <v>292</v>
      </c>
      <c r="Y29" s="1"/>
      <c r="Z29" s="52"/>
    </row>
    <row r="30" spans="2:26" ht="27" customHeight="1">
      <c r="B30" s="70">
        <v>8504</v>
      </c>
      <c r="C30" s="70">
        <v>2016</v>
      </c>
      <c r="D30" s="176">
        <v>1177.418664</v>
      </c>
      <c r="E30" s="180">
        <f t="shared" si="2"/>
        <v>501.17531400000007</v>
      </c>
      <c r="F30" s="125">
        <v>676.24334999999996</v>
      </c>
      <c r="G30" s="125">
        <v>21274.311317000003</v>
      </c>
      <c r="H30" s="116">
        <f>((F30*10^6)/($R$9*10^9))/((G30*10^6)/($S$9*10^9))</f>
        <v>0.40085503994637955</v>
      </c>
      <c r="I30" s="128">
        <f t="shared" si="0"/>
        <v>3.1786850343758173E-2</v>
      </c>
      <c r="J30" s="128"/>
      <c r="K30" s="129">
        <v>73.300972146000007</v>
      </c>
      <c r="L30" s="116">
        <f t="shared" si="3"/>
        <v>52.026660829000008</v>
      </c>
      <c r="M30" s="116">
        <f>((E30*10^6)/($R$9*10^9))/((L30*10^9)/($T$9*10^9))</f>
        <v>0.34277550751607438</v>
      </c>
      <c r="N30" s="128">
        <f t="shared" si="1"/>
        <v>9.6330478645794918E-3</v>
      </c>
      <c r="O30" s="128"/>
      <c r="Q30" s="168"/>
      <c r="Y30" s="1"/>
    </row>
    <row r="31" spans="2:26" ht="28" customHeight="1" thickBot="1">
      <c r="B31" s="74">
        <v>8504</v>
      </c>
      <c r="C31" s="74">
        <v>2017</v>
      </c>
      <c r="D31" s="177">
        <v>1286.236999</v>
      </c>
      <c r="E31" s="181">
        <f t="shared" si="2"/>
        <v>548.65521100000001</v>
      </c>
      <c r="F31" s="126">
        <v>737.58178799999996</v>
      </c>
      <c r="G31" s="126">
        <v>23989.619753999999</v>
      </c>
      <c r="H31" s="117">
        <f>((F31*10^6)/($R$10*10^9))/((G31*10^6)/($S$10*10^9))</f>
        <v>0.39696041151931966</v>
      </c>
      <c r="I31" s="131">
        <f t="shared" si="0"/>
        <v>3.0745872404960337E-2</v>
      </c>
      <c r="J31" s="131"/>
      <c r="K31" s="130">
        <v>85.168146149000009</v>
      </c>
      <c r="L31" s="117">
        <f t="shared" si="3"/>
        <v>61.178526395000006</v>
      </c>
      <c r="M31" s="117">
        <f>((E31*10^6)/($R$10*10^9))/((L31*10^9)/($T$10*10^9))</f>
        <v>0.31210338294237155</v>
      </c>
      <c r="N31" s="131">
        <f t="shared" si="1"/>
        <v>8.9681011186441457E-3</v>
      </c>
      <c r="O31" s="131"/>
      <c r="Q31" s="169"/>
      <c r="R31" s="5" t="s">
        <v>382</v>
      </c>
      <c r="S31" s="5" t="s">
        <v>475</v>
      </c>
      <c r="U31" s="5" t="s">
        <v>476</v>
      </c>
    </row>
    <row r="32" spans="2:26" ht="19" customHeight="1" thickTop="1">
      <c r="B32" s="307">
        <v>853720</v>
      </c>
      <c r="C32" s="307">
        <v>2015</v>
      </c>
      <c r="D32" s="308">
        <v>51.453521000000002</v>
      </c>
      <c r="E32" s="309">
        <f t="shared" si="2"/>
        <v>49.390784000000004</v>
      </c>
      <c r="F32" s="310">
        <v>2.0627370000000003</v>
      </c>
      <c r="G32" s="310">
        <v>1182.6432379999999</v>
      </c>
      <c r="H32" s="116">
        <f>((F32*10^6)/($R$8*10^9))/((G32*10^6)/($S$8*10^9))</f>
        <v>1.9592579367938401E-2</v>
      </c>
      <c r="I32" s="311">
        <f t="shared" si="0"/>
        <v>1.7441751947851582E-3</v>
      </c>
      <c r="J32" s="311"/>
      <c r="K32" s="312">
        <v>6.3497696050000005</v>
      </c>
      <c r="L32" s="313">
        <f t="shared" si="3"/>
        <v>5.1671263670000007</v>
      </c>
      <c r="M32" s="116">
        <f>((E32*10^6)/($R$8*10^9))/((L32*10^9)/($T$8*10^9))</f>
        <v>0.3110160456280911</v>
      </c>
      <c r="N32" s="311">
        <f t="shared" si="1"/>
        <v>9.5586561063100064E-3</v>
      </c>
      <c r="O32" s="311"/>
      <c r="Q32" s="48" t="s">
        <v>285</v>
      </c>
      <c r="R32" s="171">
        <f>J25</f>
        <v>1.9190988836292704E-2</v>
      </c>
      <c r="S32" s="171">
        <f>O25</f>
        <v>1.2461729357129921E-2</v>
      </c>
      <c r="U32" s="184">
        <v>0.18559999999999999</v>
      </c>
    </row>
    <row r="33" spans="2:21" ht="29.25" customHeight="1">
      <c r="B33" s="70">
        <v>853720</v>
      </c>
      <c r="C33" s="70">
        <v>2016</v>
      </c>
      <c r="D33" s="176">
        <v>30.347158</v>
      </c>
      <c r="E33" s="180">
        <f t="shared" si="2"/>
        <v>21.607851</v>
      </c>
      <c r="F33" s="125">
        <v>8.7393070000000002</v>
      </c>
      <c r="G33" s="125">
        <v>1244.9374210000001</v>
      </c>
      <c r="H33" s="116">
        <f>((F33*10^6)/($R$9*10^9))/((G33*10^6)/($S$9*10^9))</f>
        <v>8.852569102931733E-2</v>
      </c>
      <c r="I33" s="128">
        <f t="shared" si="0"/>
        <v>7.0198765436580123E-3</v>
      </c>
      <c r="J33" s="128"/>
      <c r="K33" s="129">
        <v>6.5955972110000003</v>
      </c>
      <c r="L33" s="116">
        <f t="shared" si="3"/>
        <v>5.3506597899999999</v>
      </c>
      <c r="M33" s="116">
        <f>((E33*10^6)/($R$9*10^9))/((L33*10^9)/($T$9*10^9))</f>
        <v>0.14369786068572873</v>
      </c>
      <c r="N33" s="128">
        <f t="shared" si="1"/>
        <v>4.0383526234247834E-3</v>
      </c>
      <c r="O33" s="128"/>
      <c r="Q33" s="41" t="s">
        <v>289</v>
      </c>
      <c r="R33" s="171">
        <f>J28</f>
        <v>2.4966858630425519E-2</v>
      </c>
      <c r="S33" s="171">
        <f>O28</f>
        <v>8.8384428262945E-3</v>
      </c>
      <c r="U33" s="184">
        <v>0.25519999999999998</v>
      </c>
    </row>
    <row r="34" spans="2:21" ht="19" customHeight="1" thickBot="1">
      <c r="B34" s="74">
        <v>853720</v>
      </c>
      <c r="C34" s="74">
        <v>2017</v>
      </c>
      <c r="D34" s="177">
        <v>32.234019000000004</v>
      </c>
      <c r="E34" s="181">
        <f t="shared" si="2"/>
        <v>22.032131000000003</v>
      </c>
      <c r="F34" s="126">
        <v>10.201888</v>
      </c>
      <c r="G34" s="126">
        <v>1515.8241379999999</v>
      </c>
      <c r="H34" s="117">
        <f>((F34*10^6)/($R$10*10^9))/((G34*10^6)/($S$10*10^9))</f>
        <v>8.6894464168936772E-2</v>
      </c>
      <c r="I34" s="131">
        <f t="shared" si="0"/>
        <v>6.7302583091601352E-3</v>
      </c>
      <c r="J34" s="131"/>
      <c r="K34" s="130">
        <v>6.3017032340000005</v>
      </c>
      <c r="L34" s="117">
        <f t="shared" si="3"/>
        <v>4.7858790960000004</v>
      </c>
      <c r="M34" s="117">
        <f>((E34*10^6)/($R$10*10^9))/((L34*10^9)/($T$10*10^9))</f>
        <v>0.16021115886079929</v>
      </c>
      <c r="N34" s="131">
        <f t="shared" si="1"/>
        <v>4.6035703280541051E-3</v>
      </c>
      <c r="O34" s="131"/>
      <c r="Q34" s="41" t="s">
        <v>292</v>
      </c>
      <c r="R34" s="171">
        <f>J37</f>
        <v>2.9465278456291644E-2</v>
      </c>
      <c r="S34" s="171">
        <f>O37</f>
        <v>9.5833319208941583E-3</v>
      </c>
      <c r="U34" s="184">
        <v>0.49879999999999997</v>
      </c>
    </row>
    <row r="35" spans="2:21" ht="19" customHeight="1" thickTop="1">
      <c r="B35" s="307">
        <v>854460</v>
      </c>
      <c r="C35" s="307">
        <v>2015</v>
      </c>
      <c r="D35" s="314">
        <v>123.60153200000001</v>
      </c>
      <c r="E35" s="315">
        <f t="shared" si="2"/>
        <v>95.071025000000006</v>
      </c>
      <c r="F35" s="316">
        <v>28.530507</v>
      </c>
      <c r="G35" s="310">
        <v>2172.040473</v>
      </c>
      <c r="H35" s="116">
        <f>((F35*10^6)/($R$8*10^9))/((G35*10^6)/($S$8*10^9))</f>
        <v>0.14755131515954376</v>
      </c>
      <c r="I35" s="311">
        <f t="shared" si="0"/>
        <v>1.3135347777656259E-2</v>
      </c>
      <c r="J35" s="311"/>
      <c r="K35" s="312">
        <v>6.5371591589999998</v>
      </c>
      <c r="L35" s="313">
        <f t="shared" si="3"/>
        <v>4.3651186859999997</v>
      </c>
      <c r="M35" s="116">
        <f>((E35*10^6)/($R$8*10^9))/((L35*10^9)/($T$8*10^9))</f>
        <v>0.70866025771861918</v>
      </c>
      <c r="N35" s="311">
        <f t="shared" si="1"/>
        <v>2.1779711352389101E-2</v>
      </c>
      <c r="O35" s="311"/>
      <c r="Q35" s="41" t="s">
        <v>295</v>
      </c>
      <c r="R35" s="171">
        <f t="shared" ref="R35:S38" si="4">AVERAGE(R$32:R$34)</f>
        <v>2.4541041974336621E-2</v>
      </c>
      <c r="S35" s="171">
        <f t="shared" si="4"/>
        <v>1.0294501368106194E-2</v>
      </c>
      <c r="T35" s="5" t="s">
        <v>477</v>
      </c>
      <c r="U35" s="184">
        <v>0.30159999999999998</v>
      </c>
    </row>
    <row r="36" spans="2:21">
      <c r="B36" s="70">
        <v>854460</v>
      </c>
      <c r="C36" s="70">
        <v>2016</v>
      </c>
      <c r="D36" s="178">
        <v>64.932170999999997</v>
      </c>
      <c r="E36" s="182">
        <f t="shared" si="2"/>
        <v>48.746410999999995</v>
      </c>
      <c r="F36" s="127">
        <v>16.185760000000002</v>
      </c>
      <c r="G36" s="125">
        <v>2230.5539679999997</v>
      </c>
      <c r="H36" s="116">
        <f>((F36*10^6)/($R$9*10^9))/((G36*10^6)/($S$9*10^9))</f>
        <v>9.1508242030706691E-2</v>
      </c>
      <c r="I36" s="128">
        <f t="shared" si="0"/>
        <v>7.2563857374465489E-3</v>
      </c>
      <c r="J36" s="128"/>
      <c r="K36" s="129">
        <v>6.0220845980000002</v>
      </c>
      <c r="L36" s="116">
        <f t="shared" si="3"/>
        <v>3.7915306300000005</v>
      </c>
      <c r="M36" s="116">
        <f>((E36*10^6)/($R$9*10^9))/((L36*10^9)/($T$9*10^9))</f>
        <v>0.45748213728743181</v>
      </c>
      <c r="N36" s="128">
        <f t="shared" si="1"/>
        <v>1.2856657576309752E-2</v>
      </c>
      <c r="O36" s="128"/>
      <c r="Q36" s="41"/>
      <c r="R36" s="171"/>
      <c r="S36" s="171"/>
      <c r="U36" s="184">
        <v>0.71919999999999995</v>
      </c>
    </row>
    <row r="37" spans="2:21" ht="15" thickBot="1">
      <c r="B37" s="74">
        <v>854460</v>
      </c>
      <c r="C37" s="74">
        <v>2017</v>
      </c>
      <c r="D37" s="179">
        <v>65.497415000000004</v>
      </c>
      <c r="E37" s="183">
        <f t="shared" si="2"/>
        <v>44.961562000000001</v>
      </c>
      <c r="F37" s="135">
        <v>20.535852999999999</v>
      </c>
      <c r="G37" s="126">
        <v>2293.5370269999999</v>
      </c>
      <c r="H37" s="117">
        <f>((F37*10^6)/($R$10*10^9))/((G37*10^6)/($S$10*10^9))</f>
        <v>0.11560253768000209</v>
      </c>
      <c r="I37" s="131">
        <f t="shared" si="0"/>
        <v>8.9537917889476477E-3</v>
      </c>
      <c r="J37" s="131">
        <f>SUM(F29:F37)/SUM(G29:G37)</f>
        <v>2.9465278456291644E-2</v>
      </c>
      <c r="K37" s="130">
        <v>5.9664164740000007</v>
      </c>
      <c r="L37" s="117">
        <f t="shared" si="3"/>
        <v>3.672879447000001</v>
      </c>
      <c r="M37" s="117">
        <f>((E37*10^6)/($R$10*10^9))/((L37*10^9)/($T$10*10^9))</f>
        <v>0.42602265660817479</v>
      </c>
      <c r="N37" s="131">
        <f t="shared" si="1"/>
        <v>1.2241502246071402E-2</v>
      </c>
      <c r="O37" s="131">
        <f>SUM(E29:E37)/SUM(L29:L37)/10^3</f>
        <v>9.5833319208941583E-3</v>
      </c>
      <c r="Q37" s="41" t="s">
        <v>379</v>
      </c>
      <c r="R37" s="171">
        <f t="shared" si="4"/>
        <v>2.4541041974336621E-2</v>
      </c>
      <c r="S37" s="171">
        <f t="shared" si="4"/>
        <v>1.0294501368106194E-2</v>
      </c>
      <c r="T37" s="5" t="s">
        <v>477</v>
      </c>
      <c r="U37" s="184">
        <v>0.73</v>
      </c>
    </row>
    <row r="38" spans="2:21" ht="15" thickTop="1">
      <c r="Q38" s="41" t="s">
        <v>307</v>
      </c>
      <c r="R38" s="171">
        <f t="shared" si="4"/>
        <v>2.4541041974336621E-2</v>
      </c>
      <c r="S38" s="171">
        <f t="shared" si="4"/>
        <v>1.0294501368106194E-2</v>
      </c>
      <c r="T38" s="5" t="s">
        <v>477</v>
      </c>
      <c r="U38" s="184">
        <v>0.75</v>
      </c>
    </row>
    <row r="40" spans="2:21">
      <c r="B40" s="71" t="s">
        <v>478</v>
      </c>
      <c r="C40" s="72"/>
      <c r="D40" s="72"/>
      <c r="E40" s="72"/>
      <c r="F40" s="72"/>
      <c r="G40" s="72"/>
      <c r="H40" s="72"/>
      <c r="I40" s="72" t="s">
        <v>479</v>
      </c>
      <c r="J40" s="72"/>
      <c r="K40" s="72"/>
    </row>
    <row r="42" spans="2:21">
      <c r="I42" s="70" t="s">
        <v>451</v>
      </c>
      <c r="J42" s="70" t="s">
        <v>452</v>
      </c>
    </row>
    <row r="43" spans="2:21">
      <c r="I43" s="132">
        <f>((SUM(E8:E37)/10^3)/(SUM(R8:R10)))/((SUM(G8:G37)/10^3)/SUM(S8:S10))</f>
        <v>0.24189689257106445</v>
      </c>
      <c r="J43" s="128">
        <f>(SUM(F8:F37))/(SUM(G8:G37))</f>
        <v>2.435917167350744E-2</v>
      </c>
      <c r="K43" s="115"/>
      <c r="L43" s="115"/>
    </row>
    <row r="45" spans="2:21">
      <c r="B45" s="71" t="s">
        <v>480</v>
      </c>
      <c r="C45" s="72"/>
      <c r="D45" s="72"/>
      <c r="E45" s="72"/>
      <c r="F45" s="72"/>
      <c r="G45" s="72"/>
      <c r="H45" s="72"/>
      <c r="I45" s="72" t="s">
        <v>265</v>
      </c>
      <c r="J45" s="72"/>
      <c r="K45" s="72"/>
    </row>
    <row r="47" spans="2:21">
      <c r="I47" s="70" t="s">
        <v>451</v>
      </c>
      <c r="J47" s="70" t="s">
        <v>452</v>
      </c>
    </row>
    <row r="48" spans="2:21">
      <c r="I48" s="132">
        <f>((SUM(E8:E37)/10^3)/(SUM(R8:R10)))/(SUM(L8:L37)/SUM(T8:T10))</f>
        <v>0.35167248199123463</v>
      </c>
      <c r="J48" s="128">
        <f>(SUM(E8:E37)*10^6)/(SUM(L8:L37)*10^9)</f>
        <v>1.0269188796831686E-2</v>
      </c>
      <c r="K48" s="115"/>
      <c r="L48" s="115"/>
    </row>
    <row r="50" spans="2:23">
      <c r="B50" s="71" t="s">
        <v>257</v>
      </c>
      <c r="C50" s="72"/>
      <c r="D50" s="72"/>
      <c r="E50" s="72"/>
      <c r="F50" s="72"/>
      <c r="G50" s="72"/>
      <c r="H50" s="72"/>
      <c r="I50" s="72"/>
      <c r="J50" s="72"/>
      <c r="K50" s="72"/>
      <c r="L50" s="72"/>
      <c r="M50" s="72"/>
      <c r="N50" s="72"/>
      <c r="O50" s="72"/>
      <c r="P50" s="72"/>
      <c r="Q50" s="72"/>
      <c r="S50" s="71" t="s">
        <v>443</v>
      </c>
      <c r="T50" s="72"/>
      <c r="U50" s="72"/>
      <c r="V50" s="72"/>
      <c r="W50" s="72"/>
    </row>
    <row r="52" spans="2:23">
      <c r="D52" s="351" t="s">
        <v>481</v>
      </c>
      <c r="E52" s="351"/>
      <c r="F52" s="351"/>
      <c r="G52" s="351" t="s">
        <v>482</v>
      </c>
      <c r="H52" s="351"/>
      <c r="I52" s="351"/>
      <c r="J52" s="351" t="s">
        <v>382</v>
      </c>
      <c r="K52" s="351"/>
      <c r="L52" s="351"/>
      <c r="M52" s="185"/>
      <c r="N52" s="366" t="s">
        <v>483</v>
      </c>
      <c r="O52" s="367"/>
      <c r="P52" s="170"/>
      <c r="Q52" s="185"/>
    </row>
    <row r="53" spans="2:23">
      <c r="B53" s="70" t="s">
        <v>445</v>
      </c>
      <c r="C53" s="70" t="s">
        <v>446</v>
      </c>
      <c r="D53" s="70" t="s">
        <v>484</v>
      </c>
      <c r="E53" s="70" t="s">
        <v>485</v>
      </c>
      <c r="F53" s="70" t="s">
        <v>486</v>
      </c>
      <c r="G53" s="70" t="s">
        <v>484</v>
      </c>
      <c r="H53" s="70" t="s">
        <v>485</v>
      </c>
      <c r="I53" s="70" t="s">
        <v>486</v>
      </c>
      <c r="J53" s="73" t="s">
        <v>487</v>
      </c>
      <c r="K53" s="73" t="s">
        <v>488</v>
      </c>
      <c r="L53" s="73" t="s">
        <v>489</v>
      </c>
      <c r="M53" s="73"/>
      <c r="N53" s="73" t="s">
        <v>487</v>
      </c>
      <c r="O53" s="73" t="s">
        <v>488</v>
      </c>
      <c r="P53" s="73" t="s">
        <v>489</v>
      </c>
      <c r="Q53" s="73"/>
      <c r="S53" s="70"/>
      <c r="T53" s="70" t="s">
        <v>490</v>
      </c>
      <c r="U53" s="121" t="s">
        <v>491</v>
      </c>
      <c r="V53" s="123"/>
    </row>
    <row r="54" spans="2:23">
      <c r="B54" s="70">
        <v>730820</v>
      </c>
      <c r="C54" s="70">
        <v>2015</v>
      </c>
      <c r="D54" s="134">
        <v>222.00908200000001</v>
      </c>
      <c r="E54" s="180">
        <f>D54-F54</f>
        <v>6.7029520000000105</v>
      </c>
      <c r="F54" s="134">
        <v>215.30613</v>
      </c>
      <c r="G54" s="197">
        <v>273.547169</v>
      </c>
      <c r="H54" s="197">
        <f>G54-I54</f>
        <v>5.6974319999999921</v>
      </c>
      <c r="I54" s="134">
        <v>267.849737</v>
      </c>
      <c r="J54" s="128">
        <f t="shared" ref="J54:J83" si="5">(F54*10^6)/(G8*10^6)</f>
        <v>0.23061878910699427</v>
      </c>
      <c r="K54" s="128"/>
      <c r="L54" s="128">
        <f t="shared" ref="L54:L83" si="6">(H54*10^6)/(G8*10^6)</f>
        <v>6.1026356697760466E-3</v>
      </c>
      <c r="M54" s="128"/>
      <c r="N54" s="128">
        <f t="shared" ref="N54:N83" si="7">(E54*10^6)/(L8*10^9)</f>
        <v>3.1394762247894084E-3</v>
      </c>
      <c r="O54" s="128"/>
      <c r="P54" s="128">
        <f t="shared" ref="P54:P82" si="8">(H54*10^6)/(L8*10^9)</f>
        <v>2.668518632738876E-3</v>
      </c>
      <c r="Q54" s="128"/>
      <c r="S54" s="70">
        <v>2015</v>
      </c>
      <c r="T54" s="133">
        <v>1328.549134465</v>
      </c>
      <c r="U54" s="136">
        <v>94.618816681999988</v>
      </c>
      <c r="V54" s="124"/>
      <c r="W54" s="122"/>
    </row>
    <row r="55" spans="2:23">
      <c r="B55" s="70">
        <v>730820</v>
      </c>
      <c r="C55" s="70">
        <v>2016</v>
      </c>
      <c r="D55" s="134">
        <v>338.92866399999997</v>
      </c>
      <c r="E55" s="180">
        <f t="shared" ref="E55:E83" si="9">D55-F55</f>
        <v>29.838304999999991</v>
      </c>
      <c r="F55" s="134">
        <v>309.09035899999998</v>
      </c>
      <c r="G55" s="197">
        <v>368.00019600000002</v>
      </c>
      <c r="H55" s="197">
        <f t="shared" ref="H55:H83" si="10">G55-I55</f>
        <v>2.2908770000000231</v>
      </c>
      <c r="I55" s="134">
        <v>365.70931899999999</v>
      </c>
      <c r="J55" s="128">
        <f t="shared" si="5"/>
        <v>0.26171595860039204</v>
      </c>
      <c r="K55" s="128"/>
      <c r="L55" s="128">
        <f t="shared" si="6"/>
        <v>1.9397533848365565E-3</v>
      </c>
      <c r="M55" s="128"/>
      <c r="N55" s="128">
        <f t="shared" si="7"/>
        <v>1.5835155014727868E-2</v>
      </c>
      <c r="O55" s="128"/>
      <c r="P55" s="128">
        <f t="shared" si="8"/>
        <v>1.2157658558244215E-3</v>
      </c>
      <c r="Q55" s="128"/>
      <c r="S55" s="70">
        <v>2016</v>
      </c>
      <c r="T55" s="133">
        <v>1340.7520461700001</v>
      </c>
      <c r="U55" s="136">
        <v>94.35477672799999</v>
      </c>
      <c r="V55" s="124"/>
      <c r="W55" s="122"/>
    </row>
    <row r="56" spans="2:23" ht="15" thickBot="1">
      <c r="B56" s="74">
        <v>730820</v>
      </c>
      <c r="C56" s="74">
        <v>2017</v>
      </c>
      <c r="D56" s="198">
        <v>207.93043400000002</v>
      </c>
      <c r="E56" s="181">
        <f t="shared" si="9"/>
        <v>61.701491000000033</v>
      </c>
      <c r="F56" s="198">
        <v>146.22894299999999</v>
      </c>
      <c r="G56" s="199">
        <v>479.94646699999998</v>
      </c>
      <c r="H56" s="199">
        <f t="shared" si="10"/>
        <v>31.80600800000002</v>
      </c>
      <c r="I56" s="198">
        <v>448.14045899999996</v>
      </c>
      <c r="J56" s="131">
        <f t="shared" si="5"/>
        <v>0.14179030924174127</v>
      </c>
      <c r="K56" s="131"/>
      <c r="L56" s="131">
        <f t="shared" si="6"/>
        <v>3.0840568341284524E-2</v>
      </c>
      <c r="M56" s="131"/>
      <c r="N56" s="131">
        <f t="shared" si="7"/>
        <v>3.9238974648605582E-2</v>
      </c>
      <c r="O56" s="131"/>
      <c r="P56" s="131">
        <f t="shared" si="8"/>
        <v>2.022698514020263E-2</v>
      </c>
      <c r="Q56" s="131"/>
      <c r="S56" s="70">
        <v>2017</v>
      </c>
      <c r="T56" s="133">
        <v>1450.2148384930001</v>
      </c>
      <c r="U56" s="136">
        <v>101.64638177099999</v>
      </c>
      <c r="V56" s="124"/>
      <c r="W56" s="122"/>
    </row>
    <row r="57" spans="2:23" ht="15" thickTop="1">
      <c r="B57" s="70">
        <v>841280</v>
      </c>
      <c r="C57" s="70">
        <v>2015</v>
      </c>
      <c r="D57" s="134">
        <v>40.032491999999998</v>
      </c>
      <c r="E57" s="180">
        <f t="shared" si="9"/>
        <v>27.366308999999998</v>
      </c>
      <c r="F57" s="134">
        <v>12.666183</v>
      </c>
      <c r="G57" s="197">
        <v>11.404781999999999</v>
      </c>
      <c r="H57" s="197">
        <f t="shared" si="10"/>
        <v>3.0054919999999985</v>
      </c>
      <c r="I57" s="134">
        <v>8.3992900000000006</v>
      </c>
      <c r="J57" s="128">
        <f t="shared" si="5"/>
        <v>5.2116086844488742E-2</v>
      </c>
      <c r="K57" s="128"/>
      <c r="L57" s="128">
        <f t="shared" si="6"/>
        <v>1.2366352363803373E-2</v>
      </c>
      <c r="M57" s="128"/>
      <c r="N57" s="128">
        <f t="shared" si="7"/>
        <v>4.811891921190372E-2</v>
      </c>
      <c r="O57" s="128"/>
      <c r="P57" s="128">
        <f t="shared" si="8"/>
        <v>5.2846376447778501E-3</v>
      </c>
      <c r="Q57" s="128"/>
      <c r="T57" s="97"/>
    </row>
    <row r="58" spans="2:23">
      <c r="B58" s="70">
        <v>841280</v>
      </c>
      <c r="C58" s="70">
        <v>2016</v>
      </c>
      <c r="D58" s="134">
        <v>84.430589999999995</v>
      </c>
      <c r="E58" s="180">
        <f t="shared" si="9"/>
        <v>54.225645</v>
      </c>
      <c r="F58" s="134">
        <v>30.204944999999999</v>
      </c>
      <c r="G58" s="197">
        <v>7.0864899999999995</v>
      </c>
      <c r="H58" s="197">
        <f t="shared" si="10"/>
        <v>3.7630849999999993</v>
      </c>
      <c r="I58" s="134">
        <v>3.3234050000000002</v>
      </c>
      <c r="J58" s="128">
        <f t="shared" si="5"/>
        <v>0.13484439660444536</v>
      </c>
      <c r="K58" s="128"/>
      <c r="L58" s="128">
        <f t="shared" si="6"/>
        <v>1.6799597754481567E-2</v>
      </c>
      <c r="M58" s="128"/>
      <c r="N58" s="128">
        <f t="shared" si="7"/>
        <v>0.11461336550447676</v>
      </c>
      <c r="O58" s="128"/>
      <c r="P58" s="128">
        <f t="shared" si="8"/>
        <v>7.9537981803520057E-3</v>
      </c>
      <c r="Q58" s="128"/>
    </row>
    <row r="59" spans="2:23" ht="15" thickBot="1">
      <c r="B59" s="74">
        <v>841280</v>
      </c>
      <c r="C59" s="74">
        <v>2017</v>
      </c>
      <c r="D59" s="198">
        <v>165.80684599999998</v>
      </c>
      <c r="E59" s="181">
        <f t="shared" si="9"/>
        <v>112.24419199999997</v>
      </c>
      <c r="F59" s="198">
        <v>53.562654000000002</v>
      </c>
      <c r="G59" s="199">
        <v>1.928471</v>
      </c>
      <c r="H59" s="199">
        <f t="shared" si="10"/>
        <v>1.903624</v>
      </c>
      <c r="I59" s="198">
        <v>2.4847000000000001E-2</v>
      </c>
      <c r="J59" s="131">
        <f t="shared" si="5"/>
        <v>0.22565586644247798</v>
      </c>
      <c r="K59" s="131"/>
      <c r="L59" s="131">
        <f t="shared" si="6"/>
        <v>8.0198401502042018E-3</v>
      </c>
      <c r="M59" s="131"/>
      <c r="N59" s="131">
        <f t="shared" si="7"/>
        <v>0.28269974632549183</v>
      </c>
      <c r="O59" s="131"/>
      <c r="P59" s="131">
        <f t="shared" si="8"/>
        <v>4.7944932589395646E-3</v>
      </c>
      <c r="Q59" s="131"/>
    </row>
    <row r="60" spans="2:23" ht="15" thickTop="1">
      <c r="B60" s="70">
        <v>841290</v>
      </c>
      <c r="C60" s="70">
        <v>2015</v>
      </c>
      <c r="D60" s="134">
        <v>768.33493500000009</v>
      </c>
      <c r="E60" s="180">
        <f t="shared" si="9"/>
        <v>298.71500100000009</v>
      </c>
      <c r="F60" s="134">
        <v>469.619934</v>
      </c>
      <c r="G60" s="197">
        <v>790.77909399999999</v>
      </c>
      <c r="H60" s="197">
        <f t="shared" si="10"/>
        <v>217.63176499999997</v>
      </c>
      <c r="I60" s="134">
        <v>573.14732900000001</v>
      </c>
      <c r="J60" s="128">
        <f t="shared" si="5"/>
        <v>0.19032689492181559</v>
      </c>
      <c r="K60" s="128"/>
      <c r="L60" s="128">
        <f t="shared" si="6"/>
        <v>8.820149033282787E-2</v>
      </c>
      <c r="M60" s="128"/>
      <c r="N60" s="128">
        <f t="shared" si="7"/>
        <v>9.0006786508365563E-2</v>
      </c>
      <c r="O60" s="128"/>
      <c r="P60" s="128">
        <f t="shared" si="8"/>
        <v>6.5575333492521107E-2</v>
      </c>
      <c r="Q60" s="128"/>
    </row>
    <row r="61" spans="2:23">
      <c r="B61" s="70">
        <v>841290</v>
      </c>
      <c r="C61" s="70">
        <v>2016</v>
      </c>
      <c r="D61" s="134">
        <v>774.63242100000002</v>
      </c>
      <c r="E61" s="180">
        <f t="shared" si="9"/>
        <v>235.88016300000004</v>
      </c>
      <c r="F61" s="134">
        <v>538.75225799999998</v>
      </c>
      <c r="G61" s="197">
        <v>891.07840399999998</v>
      </c>
      <c r="H61" s="197">
        <f t="shared" si="10"/>
        <v>320.35054400000001</v>
      </c>
      <c r="I61" s="134">
        <v>570.72785999999996</v>
      </c>
      <c r="J61" s="128">
        <f t="shared" si="5"/>
        <v>0.22186646142008173</v>
      </c>
      <c r="K61" s="128"/>
      <c r="L61" s="128">
        <f t="shared" si="6"/>
        <v>0.13192527837401322</v>
      </c>
      <c r="M61" s="128"/>
      <c r="N61" s="128">
        <f t="shared" si="7"/>
        <v>7.3234965655502707E-2</v>
      </c>
      <c r="O61" s="128"/>
      <c r="P61" s="128">
        <f t="shared" si="8"/>
        <v>9.9460932997411947E-2</v>
      </c>
      <c r="Q61" s="128"/>
    </row>
    <row r="62" spans="2:23" ht="15" thickBot="1">
      <c r="B62" s="74">
        <v>841290</v>
      </c>
      <c r="C62" s="74">
        <v>2017</v>
      </c>
      <c r="D62" s="198">
        <v>686.86780099999999</v>
      </c>
      <c r="E62" s="181">
        <f t="shared" si="9"/>
        <v>283.51543299999997</v>
      </c>
      <c r="F62" s="198">
        <v>403.35236800000001</v>
      </c>
      <c r="G62" s="199">
        <v>1458.1531829999999</v>
      </c>
      <c r="H62" s="199">
        <f t="shared" si="10"/>
        <v>357.98572799999988</v>
      </c>
      <c r="I62" s="198">
        <v>1100.167455</v>
      </c>
      <c r="J62" s="131">
        <f t="shared" si="5"/>
        <v>0.13798636148483742</v>
      </c>
      <c r="K62" s="131"/>
      <c r="L62" s="131">
        <f t="shared" si="6"/>
        <v>0.12246648833414228</v>
      </c>
      <c r="M62" s="131"/>
      <c r="N62" s="131">
        <f t="shared" si="7"/>
        <v>8.189696696268689E-2</v>
      </c>
      <c r="O62" s="131"/>
      <c r="P62" s="131">
        <f t="shared" si="8"/>
        <v>0.10340863997738496</v>
      </c>
      <c r="Q62" s="131"/>
    </row>
    <row r="63" spans="2:23" ht="15" thickTop="1">
      <c r="B63" s="70">
        <v>8482</v>
      </c>
      <c r="C63" s="70">
        <v>2015</v>
      </c>
      <c r="D63" s="134">
        <v>4445.4588099999992</v>
      </c>
      <c r="E63" s="180">
        <f t="shared" si="9"/>
        <v>2150.2881109999989</v>
      </c>
      <c r="F63" s="134">
        <v>2295.1706990000002</v>
      </c>
      <c r="G63" s="197">
        <v>26.537777999999999</v>
      </c>
      <c r="H63" s="197">
        <f t="shared" si="10"/>
        <v>8.3745389999999986</v>
      </c>
      <c r="I63" s="134">
        <v>18.163239000000001</v>
      </c>
      <c r="J63" s="128">
        <f t="shared" si="5"/>
        <v>0.18806470439252762</v>
      </c>
      <c r="K63" s="128"/>
      <c r="L63" s="128">
        <f t="shared" si="6"/>
        <v>6.8620395081938669E-4</v>
      </c>
      <c r="M63" s="128"/>
      <c r="N63" s="128">
        <f t="shared" si="7"/>
        <v>0.12917357871506846</v>
      </c>
      <c r="O63" s="128"/>
      <c r="P63" s="128">
        <f t="shared" si="8"/>
        <v>5.0308103699454019E-4</v>
      </c>
      <c r="Q63" s="128"/>
    </row>
    <row r="64" spans="2:23">
      <c r="B64" s="70">
        <v>8482</v>
      </c>
      <c r="C64" s="70">
        <v>2016</v>
      </c>
      <c r="D64" s="134">
        <v>4399.5528960000001</v>
      </c>
      <c r="E64" s="180">
        <f t="shared" si="9"/>
        <v>2033.5009100000002</v>
      </c>
      <c r="F64" s="134">
        <v>2366.0519859999999</v>
      </c>
      <c r="G64" s="197">
        <v>26.396169</v>
      </c>
      <c r="H64" s="197">
        <f t="shared" si="10"/>
        <v>9.3268449999999987</v>
      </c>
      <c r="I64" s="134">
        <v>17.069324000000002</v>
      </c>
      <c r="J64" s="128">
        <f t="shared" si="5"/>
        <v>0.19651718840744942</v>
      </c>
      <c r="K64" s="128"/>
      <c r="L64" s="128">
        <f t="shared" si="6"/>
        <v>7.746597990903473E-4</v>
      </c>
      <c r="M64" s="128"/>
      <c r="N64" s="128">
        <f t="shared" si="7"/>
        <v>0.12622156386540576</v>
      </c>
      <c r="O64" s="128"/>
      <c r="P64" s="128">
        <f t="shared" si="8"/>
        <v>5.7892718711900651E-4</v>
      </c>
      <c r="Q64" s="128"/>
    </row>
    <row r="65" spans="2:19" ht="15" thickBot="1">
      <c r="B65" s="74">
        <v>8482</v>
      </c>
      <c r="C65" s="74">
        <v>2017</v>
      </c>
      <c r="D65" s="198">
        <v>5120.3000769999999</v>
      </c>
      <c r="E65" s="181">
        <f t="shared" si="9"/>
        <v>2497.5112140000001</v>
      </c>
      <c r="F65" s="198">
        <v>2622.7888629999998</v>
      </c>
      <c r="G65" s="199">
        <v>30.534096000000002</v>
      </c>
      <c r="H65" s="199">
        <f t="shared" si="10"/>
        <v>11.570306000000002</v>
      </c>
      <c r="I65" s="198">
        <v>18.963789999999999</v>
      </c>
      <c r="J65" s="131">
        <f t="shared" si="5"/>
        <v>0.19886411193883538</v>
      </c>
      <c r="K65" s="131"/>
      <c r="L65" s="131">
        <f t="shared" si="6"/>
        <v>8.7727939523074712E-4</v>
      </c>
      <c r="M65" s="131"/>
      <c r="N65" s="131">
        <f t="shared" si="7"/>
        <v>0.14271882051167206</v>
      </c>
      <c r="O65" s="131"/>
      <c r="P65" s="131">
        <f t="shared" si="8"/>
        <v>6.6117838271260814E-4</v>
      </c>
      <c r="Q65" s="131"/>
    </row>
    <row r="66" spans="2:19" ht="15" thickTop="1">
      <c r="B66" s="307">
        <v>850231</v>
      </c>
      <c r="C66" s="307">
        <v>2015</v>
      </c>
      <c r="D66" s="317">
        <v>2393.762933</v>
      </c>
      <c r="E66" s="309">
        <f t="shared" si="9"/>
        <v>947.44935199999986</v>
      </c>
      <c r="F66" s="317">
        <v>1446.3135810000001</v>
      </c>
      <c r="G66" s="318">
        <v>3303.4141120000004</v>
      </c>
      <c r="H66" s="318">
        <f t="shared" si="10"/>
        <v>384.21506600000021</v>
      </c>
      <c r="I66" s="317">
        <v>2919.1990460000002</v>
      </c>
      <c r="J66" s="311">
        <f t="shared" si="5"/>
        <v>0.26742505353910978</v>
      </c>
      <c r="K66" s="311"/>
      <c r="L66" s="311">
        <f t="shared" si="6"/>
        <v>7.1041809981858037E-2</v>
      </c>
      <c r="M66" s="311"/>
      <c r="N66" s="311">
        <f t="shared" si="7"/>
        <v>0.37916685509298592</v>
      </c>
      <c r="O66" s="311"/>
      <c r="P66" s="311">
        <f t="shared" si="8"/>
        <v>0.15376190605549553</v>
      </c>
      <c r="Q66" s="311"/>
    </row>
    <row r="67" spans="2:19">
      <c r="B67" s="70">
        <v>850231</v>
      </c>
      <c r="C67" s="70">
        <v>2016</v>
      </c>
      <c r="D67" s="134">
        <v>2186.0582919999997</v>
      </c>
      <c r="E67" s="180">
        <f t="shared" si="9"/>
        <v>926.42435999999975</v>
      </c>
      <c r="F67" s="134">
        <v>1259.633932</v>
      </c>
      <c r="G67" s="197">
        <v>3116.7069369999999</v>
      </c>
      <c r="H67" s="197">
        <f t="shared" si="10"/>
        <v>414.25707499999953</v>
      </c>
      <c r="I67" s="134">
        <v>2702.4498620000004</v>
      </c>
      <c r="J67" s="128">
        <f t="shared" si="5"/>
        <v>0.2683121740003177</v>
      </c>
      <c r="K67" s="128"/>
      <c r="L67" s="128">
        <f t="shared" si="6"/>
        <v>8.824009385947737E-2</v>
      </c>
      <c r="M67" s="128"/>
      <c r="N67" s="128">
        <f t="shared" si="7"/>
        <v>0.33598827668499792</v>
      </c>
      <c r="O67" s="128"/>
      <c r="P67" s="128">
        <f t="shared" si="8"/>
        <v>0.15023948715448049</v>
      </c>
      <c r="Q67" s="128"/>
    </row>
    <row r="68" spans="2:19" ht="15" thickBot="1">
      <c r="B68" s="74">
        <v>850231</v>
      </c>
      <c r="C68" s="74">
        <v>2017</v>
      </c>
      <c r="D68" s="198">
        <v>1214.4552279999998</v>
      </c>
      <c r="E68" s="181">
        <f t="shared" si="9"/>
        <v>461.41288499999985</v>
      </c>
      <c r="F68" s="198">
        <v>753.04234299999996</v>
      </c>
      <c r="G68" s="199">
        <v>2057.2715920000001</v>
      </c>
      <c r="H68" s="199">
        <f t="shared" si="10"/>
        <v>570.21974399999999</v>
      </c>
      <c r="I68" s="198">
        <v>1487.0518480000001</v>
      </c>
      <c r="J68" s="131">
        <f t="shared" si="5"/>
        <v>0.25791615031480192</v>
      </c>
      <c r="K68" s="131"/>
      <c r="L68" s="131">
        <f t="shared" si="6"/>
        <v>0.19529961704420634</v>
      </c>
      <c r="M68" s="131"/>
      <c r="N68" s="131">
        <f t="shared" si="7"/>
        <v>0.18448237579867072</v>
      </c>
      <c r="O68" s="131"/>
      <c r="P68" s="131">
        <f t="shared" si="8"/>
        <v>0.2279855992760797</v>
      </c>
      <c r="Q68" s="131"/>
    </row>
    <row r="69" spans="2:19" ht="15" thickTop="1">
      <c r="B69" s="307">
        <v>850300</v>
      </c>
      <c r="C69" s="307">
        <v>2015</v>
      </c>
      <c r="D69" s="317">
        <v>1580.1476520000001</v>
      </c>
      <c r="E69" s="309">
        <f t="shared" si="9"/>
        <v>810.79970700000013</v>
      </c>
      <c r="F69" s="317">
        <v>769.34794499999998</v>
      </c>
      <c r="G69" s="318">
        <v>247.90257699999998</v>
      </c>
      <c r="H69" s="318">
        <f t="shared" si="10"/>
        <v>149.26551799999999</v>
      </c>
      <c r="I69" s="317">
        <v>98.637058999999994</v>
      </c>
      <c r="J69" s="311">
        <f t="shared" si="5"/>
        <v>0.13498418962729827</v>
      </c>
      <c r="K69" s="311"/>
      <c r="L69" s="311">
        <f t="shared" si="6"/>
        <v>2.6189041145133499E-2</v>
      </c>
      <c r="M69" s="311"/>
      <c r="N69" s="311">
        <f t="shared" si="7"/>
        <v>7.7949057012201436E-2</v>
      </c>
      <c r="O69" s="311"/>
      <c r="P69" s="311">
        <f t="shared" si="8"/>
        <v>1.4350161047280421E-2</v>
      </c>
      <c r="Q69" s="311"/>
    </row>
    <row r="70" spans="2:19">
      <c r="B70" s="70">
        <v>850300</v>
      </c>
      <c r="C70" s="70">
        <v>2016</v>
      </c>
      <c r="D70" s="134">
        <v>1579.6431810000001</v>
      </c>
      <c r="E70" s="180">
        <f t="shared" si="9"/>
        <v>747.7951680000001</v>
      </c>
      <c r="F70" s="134">
        <v>831.84801300000004</v>
      </c>
      <c r="G70" s="197">
        <v>243.11654800000002</v>
      </c>
      <c r="H70" s="197">
        <f t="shared" si="10"/>
        <v>137.65343100000001</v>
      </c>
      <c r="I70" s="134">
        <v>105.463117</v>
      </c>
      <c r="J70" s="128">
        <f t="shared" si="5"/>
        <v>0.13996858888044805</v>
      </c>
      <c r="K70" s="128"/>
      <c r="L70" s="128">
        <f t="shared" si="6"/>
        <v>2.3161871147755118E-2</v>
      </c>
      <c r="M70" s="128"/>
      <c r="N70" s="128">
        <f t="shared" si="7"/>
        <v>7.6848841872422996E-2</v>
      </c>
      <c r="O70" s="128"/>
      <c r="P70" s="128">
        <f t="shared" si="8"/>
        <v>1.4146262512511297E-2</v>
      </c>
      <c r="Q70" s="128"/>
    </row>
    <row r="71" spans="2:19" ht="15" thickBot="1">
      <c r="B71" s="74">
        <v>850300</v>
      </c>
      <c r="C71" s="74">
        <v>2017</v>
      </c>
      <c r="D71" s="198">
        <v>1539.122991</v>
      </c>
      <c r="E71" s="181">
        <f t="shared" si="9"/>
        <v>677.85649799999999</v>
      </c>
      <c r="F71" s="198">
        <v>861.26649299999997</v>
      </c>
      <c r="G71" s="199">
        <v>262.21853999999996</v>
      </c>
      <c r="H71" s="199">
        <f t="shared" si="10"/>
        <v>146.60857599999997</v>
      </c>
      <c r="I71" s="198">
        <v>115.60996400000001</v>
      </c>
      <c r="J71" s="131">
        <f t="shared" si="5"/>
        <v>0.13622856534575001</v>
      </c>
      <c r="K71" s="131">
        <f>SUM(F54:F71)/SUM(G8:G25)</f>
        <v>0.1920878940507954</v>
      </c>
      <c r="L71" s="131">
        <f t="shared" si="6"/>
        <v>2.3189426429786063E-2</v>
      </c>
      <c r="M71" s="131">
        <f>SUM(I54:I71)/SUM(G8:G25)</f>
        <v>0.1350998558183007</v>
      </c>
      <c r="N71" s="131">
        <f t="shared" si="7"/>
        <v>6.6290468145147191E-2</v>
      </c>
      <c r="O71" s="131">
        <f>SUM(E54:E71)/SUM(L8:L25)/10^3</f>
        <v>0.11729377073665409</v>
      </c>
      <c r="P71" s="131">
        <f t="shared" si="8"/>
        <v>1.4337475801749102E-2</v>
      </c>
      <c r="Q71" s="131">
        <f>SUM(H54:H71)/SUM(L8:L25)/10^3</f>
        <v>2.6336066548779222E-2</v>
      </c>
    </row>
    <row r="72" spans="2:19" ht="15" thickTop="1">
      <c r="B72" s="307">
        <v>730890</v>
      </c>
      <c r="C72" s="307">
        <v>2015</v>
      </c>
      <c r="D72" s="317">
        <v>2763.3720250000001</v>
      </c>
      <c r="E72" s="309">
        <f t="shared" si="9"/>
        <v>1093.0471710000002</v>
      </c>
      <c r="F72" s="317">
        <v>1670.324854</v>
      </c>
      <c r="G72" s="318">
        <v>395.37377299999997</v>
      </c>
      <c r="H72" s="318">
        <f t="shared" si="10"/>
        <v>106.29639499999996</v>
      </c>
      <c r="I72" s="317">
        <v>289.07737800000001</v>
      </c>
      <c r="J72" s="311">
        <f t="shared" si="5"/>
        <v>0.16297653913551233</v>
      </c>
      <c r="K72" s="311"/>
      <c r="L72" s="311">
        <f t="shared" si="6"/>
        <v>1.0371526555565082E-2</v>
      </c>
      <c r="M72" s="311"/>
      <c r="N72" s="311">
        <f t="shared" si="7"/>
        <v>4.5395343625528384E-2</v>
      </c>
      <c r="O72" s="311"/>
      <c r="P72" s="311">
        <f t="shared" si="8"/>
        <v>4.4145957331057344E-3</v>
      </c>
      <c r="Q72" s="311"/>
    </row>
    <row r="73" spans="2:19">
      <c r="B73" s="70">
        <v>730890</v>
      </c>
      <c r="C73" s="70">
        <v>2016</v>
      </c>
      <c r="D73" s="134">
        <v>2566.6364619999999</v>
      </c>
      <c r="E73" s="180">
        <f t="shared" si="9"/>
        <v>933.34846900000002</v>
      </c>
      <c r="F73" s="134">
        <v>1633.2879929999999</v>
      </c>
      <c r="G73" s="197">
        <v>352.403255</v>
      </c>
      <c r="H73" s="197">
        <f t="shared" si="10"/>
        <v>92.024196000000018</v>
      </c>
      <c r="I73" s="134">
        <v>260.37905899999998</v>
      </c>
      <c r="J73" s="128">
        <f t="shared" si="5"/>
        <v>0.14052689797660367</v>
      </c>
      <c r="K73" s="128"/>
      <c r="L73" s="128">
        <f t="shared" si="6"/>
        <v>7.9176941593245287E-3</v>
      </c>
      <c r="M73" s="128"/>
      <c r="N73" s="128">
        <f t="shared" si="7"/>
        <v>4.2645934059043947E-2</v>
      </c>
      <c r="O73" s="128"/>
      <c r="P73" s="128">
        <f t="shared" si="8"/>
        <v>4.2047080214930276E-3</v>
      </c>
      <c r="Q73" s="128"/>
    </row>
    <row r="74" spans="2:19" ht="15" thickBot="1">
      <c r="B74" s="74">
        <v>730890</v>
      </c>
      <c r="C74" s="74">
        <v>2017</v>
      </c>
      <c r="D74" s="198">
        <v>2836.1479789999999</v>
      </c>
      <c r="E74" s="181">
        <f t="shared" si="9"/>
        <v>989.34160499999984</v>
      </c>
      <c r="F74" s="198">
        <v>1846.806374</v>
      </c>
      <c r="G74" s="199">
        <v>517.63299300000006</v>
      </c>
      <c r="H74" s="199">
        <f t="shared" si="10"/>
        <v>141.67137200000008</v>
      </c>
      <c r="I74" s="198">
        <v>375.96162099999998</v>
      </c>
      <c r="J74" s="131">
        <f t="shared" si="5"/>
        <v>0.15058866522193962</v>
      </c>
      <c r="K74" s="131">
        <f>SUM(F72:F74)/SUM(G26:G28)</f>
        <v>0.1508821369654807</v>
      </c>
      <c r="L74" s="131">
        <f t="shared" si="6"/>
        <v>1.1551889310103109E-2</v>
      </c>
      <c r="M74" s="131">
        <f>SUM(I72:I74)/SUM(G26:G28)</f>
        <v>2.7110230873667585E-2</v>
      </c>
      <c r="N74" s="131">
        <f t="shared" si="7"/>
        <v>4.4836766564831952E-2</v>
      </c>
      <c r="O74" s="131">
        <f>SUM(E72:E74)/SUM(L26:L28)/10^3</f>
        <v>4.4329652068521352E-2</v>
      </c>
      <c r="P74" s="131">
        <f t="shared" si="8"/>
        <v>6.4205186592587241E-3</v>
      </c>
      <c r="Q74" s="131">
        <f>SUM(H72:H74)/SUM(L26:L28)/10^3</f>
        <v>4.9976918416457022E-3</v>
      </c>
    </row>
    <row r="75" spans="2:19" ht="15" thickTop="1">
      <c r="B75" s="307">
        <v>8504</v>
      </c>
      <c r="C75" s="307">
        <v>2015</v>
      </c>
      <c r="D75" s="317">
        <v>7650.3804309999996</v>
      </c>
      <c r="E75" s="309">
        <f t="shared" si="9"/>
        <v>3947.8509739999995</v>
      </c>
      <c r="F75" s="317">
        <v>3702.5294570000001</v>
      </c>
      <c r="G75" s="318">
        <v>750.66170299999999</v>
      </c>
      <c r="H75" s="318">
        <f t="shared" si="10"/>
        <v>345.60539699999998</v>
      </c>
      <c r="I75" s="317">
        <v>405.05630600000001</v>
      </c>
      <c r="J75" s="311">
        <f t="shared" si="5"/>
        <v>0.17549768031836716</v>
      </c>
      <c r="K75" s="311"/>
      <c r="L75" s="311">
        <f t="shared" si="6"/>
        <v>1.6381488974878497E-2</v>
      </c>
      <c r="M75" s="311"/>
      <c r="N75" s="311">
        <f t="shared" si="7"/>
        <v>7.2171469936429505E-2</v>
      </c>
      <c r="O75" s="311"/>
      <c r="P75" s="311">
        <f t="shared" si="8"/>
        <v>6.3180828465216748E-3</v>
      </c>
      <c r="Q75" s="311"/>
    </row>
    <row r="76" spans="2:19">
      <c r="B76" s="70">
        <v>8504</v>
      </c>
      <c r="C76" s="70">
        <v>2016</v>
      </c>
      <c r="D76" s="134">
        <v>7701.5074910000003</v>
      </c>
      <c r="E76" s="180">
        <f t="shared" si="9"/>
        <v>3891.9894230000004</v>
      </c>
      <c r="F76" s="134">
        <v>3809.5180679999999</v>
      </c>
      <c r="G76" s="197">
        <v>1005.4658020000001</v>
      </c>
      <c r="H76" s="197">
        <f t="shared" si="10"/>
        <v>338.22406599999999</v>
      </c>
      <c r="I76" s="134">
        <v>667.24173600000006</v>
      </c>
      <c r="J76" s="128">
        <f t="shared" si="5"/>
        <v>0.17906657523413544</v>
      </c>
      <c r="K76" s="128"/>
      <c r="L76" s="128">
        <f t="shared" si="6"/>
        <v>1.589823806563035E-2</v>
      </c>
      <c r="M76" s="128"/>
      <c r="N76" s="128">
        <f t="shared" si="7"/>
        <v>7.4807595970690852E-2</v>
      </c>
      <c r="O76" s="128"/>
      <c r="P76" s="128">
        <f t="shared" si="8"/>
        <v>6.5009758575832266E-3</v>
      </c>
      <c r="Q76" s="128"/>
    </row>
    <row r="77" spans="2:19" ht="15" thickBot="1">
      <c r="B77" s="74">
        <v>8504</v>
      </c>
      <c r="C77" s="74">
        <v>2017</v>
      </c>
      <c r="D77" s="198">
        <v>8663.6383750000005</v>
      </c>
      <c r="E77" s="181">
        <f t="shared" si="9"/>
        <v>4235.3611689999998</v>
      </c>
      <c r="F77" s="198">
        <v>4428.2772060000007</v>
      </c>
      <c r="G77" s="199">
        <v>917.31941799999993</v>
      </c>
      <c r="H77" s="199">
        <f t="shared" si="10"/>
        <v>405.65579899999994</v>
      </c>
      <c r="I77" s="198">
        <v>511.66361899999998</v>
      </c>
      <c r="J77" s="131">
        <f t="shared" si="5"/>
        <v>0.18459138791733601</v>
      </c>
      <c r="K77" s="131"/>
      <c r="L77" s="131">
        <f t="shared" si="6"/>
        <v>1.6909638550330144E-2</v>
      </c>
      <c r="M77" s="131"/>
      <c r="N77" s="131">
        <f t="shared" si="7"/>
        <v>6.9229538836132337E-2</v>
      </c>
      <c r="O77" s="131"/>
      <c r="P77" s="131">
        <f t="shared" si="8"/>
        <v>6.6306892778174751E-3</v>
      </c>
      <c r="Q77" s="131"/>
    </row>
    <row r="78" spans="2:19" ht="15" thickTop="1">
      <c r="B78" s="307">
        <v>853720</v>
      </c>
      <c r="C78" s="307">
        <v>2015</v>
      </c>
      <c r="D78" s="317">
        <v>1121.6608899999999</v>
      </c>
      <c r="E78" s="309">
        <f t="shared" si="9"/>
        <v>770.99177099999986</v>
      </c>
      <c r="F78" s="317">
        <v>350.66911900000002</v>
      </c>
      <c r="G78" s="318">
        <v>7.994764</v>
      </c>
      <c r="H78" s="318">
        <f t="shared" si="10"/>
        <v>3.3646649999999996</v>
      </c>
      <c r="I78" s="317">
        <v>4.6300990000000004</v>
      </c>
      <c r="J78" s="311">
        <f t="shared" si="5"/>
        <v>0.29651302077626218</v>
      </c>
      <c r="K78" s="311"/>
      <c r="L78" s="311">
        <f t="shared" si="6"/>
        <v>2.8450380401194154E-3</v>
      </c>
      <c r="M78" s="311"/>
      <c r="N78" s="311">
        <f t="shared" si="7"/>
        <v>0.14921093780944872</v>
      </c>
      <c r="O78" s="311"/>
      <c r="P78" s="311">
        <f t="shared" si="8"/>
        <v>6.5116754672162231E-4</v>
      </c>
      <c r="Q78" s="311"/>
    </row>
    <row r="79" spans="2:19">
      <c r="B79" s="70">
        <v>853720</v>
      </c>
      <c r="C79" s="70">
        <v>2016</v>
      </c>
      <c r="D79" s="134">
        <v>1311.661707</v>
      </c>
      <c r="E79" s="180">
        <f t="shared" si="9"/>
        <v>983.93847599999992</v>
      </c>
      <c r="F79" s="134">
        <v>327.72323100000006</v>
      </c>
      <c r="G79" s="197">
        <v>12.325421</v>
      </c>
      <c r="H79" s="197">
        <f t="shared" si="10"/>
        <v>3.0603739999999995</v>
      </c>
      <c r="I79" s="134">
        <v>9.2650470000000009</v>
      </c>
      <c r="J79" s="128">
        <f t="shared" si="5"/>
        <v>0.26324474264477915</v>
      </c>
      <c r="K79" s="128"/>
      <c r="L79" s="128">
        <f t="shared" si="6"/>
        <v>2.4582552892833316E-3</v>
      </c>
      <c r="M79" s="128"/>
      <c r="N79" s="128">
        <f t="shared" si="7"/>
        <v>0.18389105542440026</v>
      </c>
      <c r="O79" s="128"/>
      <c r="P79" s="128">
        <f t="shared" si="8"/>
        <v>5.7196198601892412E-4</v>
      </c>
      <c r="Q79" s="128"/>
    </row>
    <row r="80" spans="2:19" ht="15.5" thickBot="1">
      <c r="B80" s="74">
        <v>853720</v>
      </c>
      <c r="C80" s="74">
        <v>2017</v>
      </c>
      <c r="D80" s="198">
        <v>1153.4615060000001</v>
      </c>
      <c r="E80" s="181">
        <f t="shared" si="9"/>
        <v>744.46594400000015</v>
      </c>
      <c r="F80" s="198">
        <v>408.99556199999995</v>
      </c>
      <c r="G80" s="199">
        <v>58.080529000000006</v>
      </c>
      <c r="H80" s="199">
        <f t="shared" si="10"/>
        <v>12.959946000000009</v>
      </c>
      <c r="I80" s="198">
        <v>45.120582999999996</v>
      </c>
      <c r="J80" s="131">
        <f t="shared" si="5"/>
        <v>0.26981729063876403</v>
      </c>
      <c r="K80" s="131"/>
      <c r="L80" s="131">
        <f t="shared" si="6"/>
        <v>8.5497688518798402E-3</v>
      </c>
      <c r="M80" s="131"/>
      <c r="N80" s="131">
        <f t="shared" si="7"/>
        <v>0.15555469101219438</v>
      </c>
      <c r="O80" s="131"/>
      <c r="P80" s="131">
        <f t="shared" si="8"/>
        <v>2.7079551614314348E-3</v>
      </c>
      <c r="Q80" s="131"/>
      <c r="S80" s="169"/>
    </row>
    <row r="81" spans="2:21" ht="15" thickTop="1">
      <c r="B81" s="307">
        <v>854460</v>
      </c>
      <c r="C81" s="307">
        <v>2015</v>
      </c>
      <c r="D81" s="317">
        <v>575.76582499999995</v>
      </c>
      <c r="E81" s="309">
        <f t="shared" si="9"/>
        <v>172.89550799999995</v>
      </c>
      <c r="F81" s="317">
        <v>402.870317</v>
      </c>
      <c r="G81" s="319">
        <v>28.568808000000001</v>
      </c>
      <c r="H81" s="319">
        <f t="shared" si="10"/>
        <v>6.323476000000003</v>
      </c>
      <c r="I81" s="317">
        <v>22.245331999999998</v>
      </c>
      <c r="J81" s="311">
        <f t="shared" si="5"/>
        <v>0.18548011513043294</v>
      </c>
      <c r="K81" s="311"/>
      <c r="L81" s="311">
        <f t="shared" si="6"/>
        <v>2.9113067084178606E-3</v>
      </c>
      <c r="M81" s="311"/>
      <c r="N81" s="311">
        <f t="shared" si="7"/>
        <v>3.9608432310103733E-2</v>
      </c>
      <c r="O81" s="311"/>
      <c r="P81" s="311">
        <f t="shared" si="8"/>
        <v>1.4486378160302794E-3</v>
      </c>
      <c r="Q81" s="311"/>
      <c r="S81" s="52"/>
      <c r="T81" s="171"/>
      <c r="U81" s="171"/>
    </row>
    <row r="82" spans="2:21">
      <c r="B82" s="70">
        <v>854460</v>
      </c>
      <c r="C82" s="70">
        <v>2016</v>
      </c>
      <c r="D82" s="134">
        <v>458.178697</v>
      </c>
      <c r="E82" s="180">
        <f t="shared" si="9"/>
        <v>175.39998699999995</v>
      </c>
      <c r="F82" s="134">
        <v>282.77871000000005</v>
      </c>
      <c r="G82" s="200">
        <v>27.632918</v>
      </c>
      <c r="H82" s="200">
        <f t="shared" si="10"/>
        <v>9.3184719999999999</v>
      </c>
      <c r="I82" s="134">
        <v>18.314446</v>
      </c>
      <c r="J82" s="128">
        <f t="shared" si="5"/>
        <v>0.12677510343027043</v>
      </c>
      <c r="K82" s="128"/>
      <c r="L82" s="128">
        <f t="shared" si="6"/>
        <v>4.1776492000125424E-3</v>
      </c>
      <c r="M82" s="128"/>
      <c r="N82" s="128">
        <f t="shared" si="7"/>
        <v>4.6260996973668103E-2</v>
      </c>
      <c r="O82" s="128"/>
      <c r="P82" s="128">
        <f t="shared" si="8"/>
        <v>2.4577071661425558E-3</v>
      </c>
      <c r="Q82" s="128"/>
      <c r="S82" s="1"/>
      <c r="T82" s="171"/>
      <c r="U82" s="171"/>
    </row>
    <row r="83" spans="2:21" ht="15" thickBot="1">
      <c r="B83" s="74">
        <v>854460</v>
      </c>
      <c r="C83" s="74">
        <v>2017</v>
      </c>
      <c r="D83" s="198">
        <v>424.29109600000004</v>
      </c>
      <c r="E83" s="181">
        <f t="shared" si="9"/>
        <v>153.51096300000006</v>
      </c>
      <c r="F83" s="198">
        <v>270.78013299999998</v>
      </c>
      <c r="G83" s="201">
        <v>44.158937999999999</v>
      </c>
      <c r="H83" s="201">
        <f t="shared" si="10"/>
        <v>12.196121999999999</v>
      </c>
      <c r="I83" s="198">
        <v>31.962816</v>
      </c>
      <c r="J83" s="131">
        <f t="shared" si="5"/>
        <v>0.11806224613438517</v>
      </c>
      <c r="K83" s="131">
        <f>SUM(F75:F83)/SUM(G29:G37)</f>
        <v>0.1816103912020659</v>
      </c>
      <c r="L83" s="131">
        <f t="shared" si="6"/>
        <v>5.3176041443520148E-3</v>
      </c>
      <c r="M83" s="131">
        <f>SUM(I75:I83)/SUM(G29:G37)</f>
        <v>2.2278994849332892E-2</v>
      </c>
      <c r="N83" s="131">
        <f t="shared" si="7"/>
        <v>4.1795807680371173E-2</v>
      </c>
      <c r="O83" s="131">
        <f>SUM(E75:E83)/SUM(L29:L37)/10^3</f>
        <v>7.7299285739035939E-2</v>
      </c>
      <c r="P83" s="131">
        <f>(J83*10^6)/(I37*10^6)</f>
        <v>13.185726105460532</v>
      </c>
      <c r="Q83" s="131">
        <f>SUM(H75:H83)/SUM(L29:L37)/10^3</f>
        <v>5.8280966565157624E-3</v>
      </c>
      <c r="S83" s="1"/>
      <c r="T83" s="171"/>
      <c r="U83" s="171"/>
    </row>
    <row r="84" spans="2:21" ht="15" thickTop="1">
      <c r="S84" s="1"/>
      <c r="T84" s="171"/>
      <c r="U84" s="171"/>
    </row>
    <row r="85" spans="2:21">
      <c r="S85" s="1"/>
      <c r="T85" s="171"/>
      <c r="U85" s="171"/>
    </row>
    <row r="86" spans="2:21">
      <c r="B86" s="71" t="s">
        <v>481</v>
      </c>
      <c r="C86" s="72"/>
      <c r="D86" s="72"/>
      <c r="E86" s="72"/>
      <c r="F86" s="72"/>
      <c r="G86" s="72"/>
      <c r="H86" s="72"/>
      <c r="I86" s="71" t="s">
        <v>492</v>
      </c>
      <c r="J86" s="72"/>
      <c r="K86" s="72"/>
    </row>
    <row r="87" spans="2:21" ht="15">
      <c r="M87" s="169" t="s">
        <v>481</v>
      </c>
      <c r="N87" s="5" t="s">
        <v>382</v>
      </c>
      <c r="O87" s="5" t="s">
        <v>475</v>
      </c>
    </row>
    <row r="88" spans="2:21">
      <c r="J88" s="70" t="s">
        <v>452</v>
      </c>
      <c r="M88" s="48" t="s">
        <v>285</v>
      </c>
      <c r="N88" s="171">
        <f>K71</f>
        <v>0.1920878940507954</v>
      </c>
      <c r="O88" s="171">
        <f>O71</f>
        <v>0.11729377073665409</v>
      </c>
    </row>
    <row r="89" spans="2:21">
      <c r="J89" s="128">
        <f>(SUM(F54:F83))/(SUM(G8:G37))</f>
        <v>0.18051335622455655</v>
      </c>
      <c r="K89" s="115"/>
      <c r="L89" s="115"/>
      <c r="M89" s="41" t="s">
        <v>289</v>
      </c>
      <c r="N89" s="171">
        <f>K74</f>
        <v>0.1508821369654807</v>
      </c>
      <c r="O89" s="171">
        <f>O74</f>
        <v>4.4329652068521352E-2</v>
      </c>
    </row>
    <row r="90" spans="2:21">
      <c r="M90" s="41" t="s">
        <v>292</v>
      </c>
      <c r="N90" s="171">
        <f>K83</f>
        <v>0.1816103912020659</v>
      </c>
      <c r="O90" s="171">
        <f>O83</f>
        <v>7.7299285739035939E-2</v>
      </c>
    </row>
    <row r="91" spans="2:21">
      <c r="H91" s="72"/>
      <c r="I91" s="71" t="s">
        <v>493</v>
      </c>
      <c r="J91" s="72"/>
      <c r="K91" s="72"/>
      <c r="M91" s="41" t="s">
        <v>295</v>
      </c>
      <c r="N91" s="171">
        <f>AVERAGE(N$88:N$90)</f>
        <v>0.17486014073944733</v>
      </c>
      <c r="O91" s="171">
        <f>AVERAGE(O$88:O$90)</f>
        <v>7.9640902848070461E-2</v>
      </c>
      <c r="P91" s="5" t="s">
        <v>494</v>
      </c>
    </row>
    <row r="92" spans="2:21">
      <c r="M92" s="41" t="s">
        <v>307</v>
      </c>
      <c r="N92" s="171">
        <f>AVERAGE(N$88:N$90)</f>
        <v>0.17486014073944733</v>
      </c>
      <c r="O92" s="171">
        <f>AVERAGE(O$88:O$90)</f>
        <v>7.9640902848070461E-2</v>
      </c>
      <c r="P92" s="5" t="s">
        <v>494</v>
      </c>
    </row>
    <row r="93" spans="2:21">
      <c r="J93" s="70" t="s">
        <v>452</v>
      </c>
    </row>
    <row r="94" spans="2:21">
      <c r="J94" s="128">
        <f>(SUM(E54:E83))/10^3/(SUM(L8:L37))</f>
        <v>8.2652890584147848E-2</v>
      </c>
      <c r="K94" s="115"/>
      <c r="L94" s="115"/>
    </row>
    <row r="96" spans="2:21">
      <c r="B96" s="71" t="s">
        <v>482</v>
      </c>
      <c r="C96" s="72"/>
      <c r="D96" s="72"/>
      <c r="E96" s="72"/>
      <c r="F96" s="72"/>
      <c r="G96" s="72"/>
      <c r="H96" s="72"/>
      <c r="I96" s="71" t="s">
        <v>492</v>
      </c>
      <c r="J96" s="72"/>
      <c r="K96" s="72"/>
    </row>
    <row r="97" spans="2:21" ht="15">
      <c r="M97" s="169" t="s">
        <v>482</v>
      </c>
      <c r="N97" s="5" t="s">
        <v>382</v>
      </c>
      <c r="O97" s="5" t="s">
        <v>475</v>
      </c>
    </row>
    <row r="98" spans="2:21">
      <c r="J98" s="70" t="s">
        <v>452</v>
      </c>
      <c r="M98" s="48" t="s">
        <v>285</v>
      </c>
      <c r="N98" s="171">
        <f>M71</f>
        <v>0.1350998558183007</v>
      </c>
      <c r="O98" s="171">
        <f>Q71</f>
        <v>2.6336066548779222E-2</v>
      </c>
    </row>
    <row r="99" spans="2:21">
      <c r="J99" s="128">
        <f>(SUM(I54:I83))/(SUM(G8:G37))</f>
        <v>7.0393304091733555E-2</v>
      </c>
      <c r="K99" s="115"/>
      <c r="L99" s="115"/>
      <c r="M99" s="41" t="s">
        <v>289</v>
      </c>
      <c r="N99" s="171">
        <f>M74</f>
        <v>2.7110230873667585E-2</v>
      </c>
      <c r="O99" s="171">
        <f>Q74</f>
        <v>4.9976918416457022E-3</v>
      </c>
    </row>
    <row r="100" spans="2:21">
      <c r="M100" s="41" t="s">
        <v>292</v>
      </c>
      <c r="N100" s="171">
        <f>M83</f>
        <v>2.2278994849332892E-2</v>
      </c>
      <c r="O100" s="171">
        <f>Q83</f>
        <v>5.8280966565157624E-3</v>
      </c>
    </row>
    <row r="101" spans="2:21">
      <c r="H101" s="72"/>
      <c r="I101" s="71" t="s">
        <v>493</v>
      </c>
      <c r="J101" s="72"/>
      <c r="K101" s="72"/>
      <c r="M101" s="41" t="s">
        <v>295</v>
      </c>
      <c r="N101" s="171">
        <f>AVERAGE(N$98:N$100)</f>
        <v>6.1496360513767057E-2</v>
      </c>
      <c r="O101" s="171">
        <f>AVERAGE(O$98:O$100)</f>
        <v>1.2387285015646897E-2</v>
      </c>
      <c r="P101" s="5" t="s">
        <v>494</v>
      </c>
    </row>
    <row r="102" spans="2:21">
      <c r="M102" s="41" t="s">
        <v>307</v>
      </c>
      <c r="N102" s="171">
        <f>AVERAGE(N$98:N$100)</f>
        <v>6.1496360513767057E-2</v>
      </c>
      <c r="O102" s="171">
        <f>AVERAGE(O$98:O$100)</f>
        <v>1.2387285015646897E-2</v>
      </c>
      <c r="P102" s="5" t="s">
        <v>494</v>
      </c>
    </row>
    <row r="103" spans="2:21">
      <c r="J103" s="70" t="s">
        <v>452</v>
      </c>
    </row>
    <row r="104" spans="2:21">
      <c r="J104" s="128">
        <f>(SUM(H54:H83)*10^6)/(SUM(L8:L37)*10^9)</f>
        <v>1.1541210493966942E-2</v>
      </c>
      <c r="K104" s="115"/>
      <c r="L104" s="115"/>
    </row>
    <row r="107" spans="2:21">
      <c r="B107" s="71" t="s">
        <v>495</v>
      </c>
      <c r="C107" s="72" t="s">
        <v>386</v>
      </c>
      <c r="D107" s="72"/>
      <c r="E107" s="72"/>
      <c r="F107" s="72"/>
      <c r="G107" s="72"/>
      <c r="H107" s="72"/>
      <c r="I107" s="72"/>
      <c r="J107" s="72"/>
      <c r="K107" s="72"/>
      <c r="L107" s="72"/>
      <c r="M107" s="72"/>
      <c r="N107" s="72"/>
      <c r="O107" s="72"/>
      <c r="Q107" s="71" t="s">
        <v>443</v>
      </c>
      <c r="R107" s="72"/>
      <c r="S107" s="72"/>
      <c r="T107" s="72"/>
      <c r="U107" s="72"/>
    </row>
    <row r="109" spans="2:21">
      <c r="D109" s="363" t="s">
        <v>496</v>
      </c>
      <c r="E109" s="363"/>
      <c r="F109" s="364"/>
      <c r="G109" s="366" t="s">
        <v>382</v>
      </c>
      <c r="H109" s="367"/>
      <c r="I109" s="367"/>
      <c r="J109" s="368"/>
      <c r="K109" s="351" t="s">
        <v>256</v>
      </c>
      <c r="L109" s="351"/>
      <c r="M109" s="351"/>
      <c r="N109" s="351"/>
    </row>
    <row r="110" spans="2:21">
      <c r="B110" s="70" t="s">
        <v>445</v>
      </c>
      <c r="C110" s="70" t="s">
        <v>446</v>
      </c>
      <c r="D110" s="70" t="s">
        <v>447</v>
      </c>
      <c r="E110" s="70" t="s">
        <v>448</v>
      </c>
      <c r="F110" s="70" t="s">
        <v>449</v>
      </c>
      <c r="G110" s="70" t="s">
        <v>450</v>
      </c>
      <c r="H110" s="118" t="s">
        <v>451</v>
      </c>
      <c r="I110" s="73" t="s">
        <v>452</v>
      </c>
      <c r="J110" s="73" t="s">
        <v>453</v>
      </c>
      <c r="K110" s="70" t="s">
        <v>454</v>
      </c>
      <c r="L110" s="70" t="s">
        <v>455</v>
      </c>
      <c r="M110" s="118" t="s">
        <v>451</v>
      </c>
      <c r="N110" s="73" t="s">
        <v>452</v>
      </c>
      <c r="O110" s="73" t="s">
        <v>453</v>
      </c>
      <c r="Q110" s="70"/>
      <c r="R110" s="70" t="s">
        <v>456</v>
      </c>
      <c r="S110" s="70" t="s">
        <v>457</v>
      </c>
      <c r="T110" s="70" t="s">
        <v>458</v>
      </c>
    </row>
    <row r="111" spans="2:21">
      <c r="B111" s="70">
        <v>730820</v>
      </c>
      <c r="C111" s="70">
        <v>2015</v>
      </c>
      <c r="D111" s="176">
        <v>59.655480000000004</v>
      </c>
      <c r="E111" s="180">
        <f>D111-F111</f>
        <v>58.833069000000002</v>
      </c>
      <c r="F111" s="125">
        <v>0.82241099999999989</v>
      </c>
      <c r="G111" s="125">
        <v>933.60185799999999</v>
      </c>
      <c r="H111" s="116">
        <f>((F111*10^6)/($R$8*10^9))/((G111*10^6)/($S$8*10^9))</f>
        <v>9.8952942285557444E-3</v>
      </c>
      <c r="I111" s="128">
        <f t="shared" ref="I111:I128" si="11">(F111*10^6)/(G111*10^6)</f>
        <v>8.8090120317648281E-4</v>
      </c>
      <c r="J111" s="128"/>
      <c r="K111" s="129">
        <v>3.0686560900000002</v>
      </c>
      <c r="L111" s="116">
        <f>K111-(G111/10^3)</f>
        <v>2.1350542320000003</v>
      </c>
      <c r="M111" s="116">
        <f>((E111*10^6)/($R$8*10^9))/((L111*10^9)/($T$8*10^9))</f>
        <v>0.89659962098270585</v>
      </c>
      <c r="N111" s="128">
        <f t="shared" ref="N111:N140" si="12">(E111*10^6)/(L111*10^9)</f>
        <v>2.7555772644186394E-2</v>
      </c>
      <c r="O111" s="128"/>
      <c r="Q111" s="70">
        <v>2015</v>
      </c>
      <c r="R111" s="133"/>
      <c r="S111" s="133"/>
      <c r="T111" s="134"/>
    </row>
    <row r="112" spans="2:21">
      <c r="B112" s="70">
        <v>730820</v>
      </c>
      <c r="C112" s="70">
        <v>2016</v>
      </c>
      <c r="D112" s="176">
        <v>44.856749000000001</v>
      </c>
      <c r="E112" s="180">
        <f t="shared" ref="E112:E140" si="13">D112-F112</f>
        <v>43.500590000000003</v>
      </c>
      <c r="F112" s="125">
        <v>1.3561590000000001</v>
      </c>
      <c r="G112" s="125">
        <v>1181.0145649999999</v>
      </c>
      <c r="H112" s="116">
        <f>((F112*10^6)/($R$9*10^9))/((G112*10^6)/($S$9*10^9))</f>
        <v>1.448088844634407E-2</v>
      </c>
      <c r="I112" s="128">
        <f t="shared" si="11"/>
        <v>1.1482999788406504E-3</v>
      </c>
      <c r="J112" s="128"/>
      <c r="K112" s="129">
        <v>3.0653222950000001</v>
      </c>
      <c r="L112" s="116">
        <f t="shared" ref="L112:L140" si="14">K112-(G112/10^3)</f>
        <v>1.8843077300000002</v>
      </c>
      <c r="M112" s="116">
        <f>((E112*10^6)/($R$9*10^9))/((L112*10^9)/($T$9*10^9))</f>
        <v>0.8214656008691601</v>
      </c>
      <c r="N112" s="128">
        <f t="shared" si="12"/>
        <v>2.3085714348791635E-2</v>
      </c>
      <c r="O112" s="128"/>
      <c r="Q112" s="70">
        <v>2016</v>
      </c>
      <c r="R112" s="133"/>
      <c r="S112" s="133"/>
      <c r="T112" s="134"/>
    </row>
    <row r="113" spans="2:25" ht="15" thickBot="1">
      <c r="B113" s="74">
        <v>730820</v>
      </c>
      <c r="C113" s="74">
        <v>2017</v>
      </c>
      <c r="D113" s="177">
        <v>37.069709000000003</v>
      </c>
      <c r="E113" s="181">
        <f t="shared" si="13"/>
        <v>35.523234000000002</v>
      </c>
      <c r="F113" s="126">
        <v>1.5464749999999998</v>
      </c>
      <c r="G113" s="126">
        <v>1031.3042110000001</v>
      </c>
      <c r="H113" s="117">
        <f>((F113*10^6)/($R$10*10^9))/((G113*10^6)/($S$10*10^9))</f>
        <v>1.9360496439579832E-2</v>
      </c>
      <c r="I113" s="131">
        <f t="shared" si="11"/>
        <v>1.4995332933824311E-3</v>
      </c>
      <c r="J113" s="131"/>
      <c r="K113" s="130">
        <v>2.603758424</v>
      </c>
      <c r="L113" s="117">
        <f t="shared" si="14"/>
        <v>1.5724542129999999</v>
      </c>
      <c r="M113" s="117">
        <f>((E113*10^6)/($R$10*10^9))/((L113*10^9)/($T$10*10^9))</f>
        <v>0.78619896516927734</v>
      </c>
      <c r="N113" s="131">
        <f t="shared" si="12"/>
        <v>2.2590949680008271E-2</v>
      </c>
      <c r="O113" s="131"/>
      <c r="Q113" s="70">
        <v>2017</v>
      </c>
      <c r="R113" s="133"/>
      <c r="S113" s="133"/>
      <c r="T113" s="134"/>
    </row>
    <row r="114" spans="2:25" ht="15" thickTop="1">
      <c r="B114" s="70">
        <v>841280</v>
      </c>
      <c r="C114" s="70">
        <v>2015</v>
      </c>
      <c r="D114" s="176">
        <v>371.75310400000001</v>
      </c>
      <c r="E114" s="180">
        <f t="shared" si="13"/>
        <v>314.976201</v>
      </c>
      <c r="F114" s="125">
        <v>56.776902999999997</v>
      </c>
      <c r="G114" s="125">
        <v>243.03787500000001</v>
      </c>
      <c r="H114" s="116">
        <f>((F114*10^6)/($R$8*10^9))/((G114*10^6)/($S$8*10^9))</f>
        <v>2.6242140062490495</v>
      </c>
      <c r="I114" s="128">
        <f t="shared" si="11"/>
        <v>0.23361339462007721</v>
      </c>
      <c r="J114" s="128"/>
      <c r="K114" s="129">
        <v>0.81176031199999998</v>
      </c>
      <c r="L114" s="116">
        <f t="shared" si="14"/>
        <v>0.56872243699999991</v>
      </c>
      <c r="M114" s="116">
        <f>((E114*10^6)/($R$8*10^9))/((L114*10^9)/($T$8*10^9))</f>
        <v>18.020354758128892</v>
      </c>
      <c r="N114" s="128">
        <f t="shared" si="12"/>
        <v>0.55383114944698419</v>
      </c>
      <c r="O114" s="128"/>
      <c r="S114" s="97"/>
    </row>
    <row r="115" spans="2:25">
      <c r="B115" s="70">
        <v>841280</v>
      </c>
      <c r="C115" s="70">
        <v>2016</v>
      </c>
      <c r="D115" s="176">
        <v>250.14983999999998</v>
      </c>
      <c r="E115" s="180">
        <f t="shared" si="13"/>
        <v>197.123625</v>
      </c>
      <c r="F115" s="125">
        <v>53.026214999999993</v>
      </c>
      <c r="G115" s="125">
        <v>223.99851800000002</v>
      </c>
      <c r="H115" s="116">
        <f>((F115*10^6)/($R$9*10^9))/((G115*10^6)/($S$9*10^9))</f>
        <v>2.9852818086315227</v>
      </c>
      <c r="I115" s="128">
        <f t="shared" si="11"/>
        <v>0.23672574030154961</v>
      </c>
      <c r="J115" s="128"/>
      <c r="K115" s="129">
        <v>0.69711650699999994</v>
      </c>
      <c r="L115" s="116">
        <f t="shared" si="14"/>
        <v>0.47311798899999991</v>
      </c>
      <c r="M115" s="116">
        <f>((E115*10^6)/($R$9*10^9))/((L115*10^9)/($T$9*10^9))</f>
        <v>14.825702466544804</v>
      </c>
      <c r="N115" s="128">
        <f t="shared" si="12"/>
        <v>0.41664791781992472</v>
      </c>
      <c r="O115" s="128"/>
    </row>
    <row r="116" spans="2:25" ht="15" thickBot="1">
      <c r="B116" s="74">
        <v>841280</v>
      </c>
      <c r="C116" s="74">
        <v>2017</v>
      </c>
      <c r="D116" s="177">
        <v>193.92151899999999</v>
      </c>
      <c r="E116" s="181">
        <f t="shared" si="13"/>
        <v>142.867223</v>
      </c>
      <c r="F116" s="126">
        <v>51.054296000000001</v>
      </c>
      <c r="G116" s="126">
        <v>237.36433199999999</v>
      </c>
      <c r="H116" s="117">
        <f>((F116*10^6)/($R$10*10^9))/((G116*10^6)/($S$10*10^9))</f>
        <v>2.7770085006116214</v>
      </c>
      <c r="I116" s="131">
        <f t="shared" si="11"/>
        <v>0.21508832253701873</v>
      </c>
      <c r="J116" s="131"/>
      <c r="K116" s="130">
        <v>0.63440816900000008</v>
      </c>
      <c r="L116" s="117">
        <f t="shared" si="14"/>
        <v>0.39704383700000012</v>
      </c>
      <c r="M116" s="117">
        <f>((E116*10^6)/($R$10*10^9))/((L116*10^9)/($T$10*10^9))</f>
        <v>12.522531234255899</v>
      </c>
      <c r="N116" s="131">
        <f t="shared" si="12"/>
        <v>0.35982732808417817</v>
      </c>
      <c r="O116" s="131"/>
    </row>
    <row r="117" spans="2:25" ht="15" thickTop="1">
      <c r="B117" s="70">
        <v>841290</v>
      </c>
      <c r="C117" s="70">
        <v>2015</v>
      </c>
      <c r="D117" s="176">
        <v>818.53343500000005</v>
      </c>
      <c r="E117" s="180">
        <f t="shared" si="13"/>
        <v>666.54031300000008</v>
      </c>
      <c r="F117" s="125">
        <v>151.993122</v>
      </c>
      <c r="G117" s="125">
        <v>2467.4386359999999</v>
      </c>
      <c r="H117" s="116">
        <f>((F117*10^6)/($R$8*10^9))/((G117*10^6)/($S$8*10^9))</f>
        <v>0.69195696294411013</v>
      </c>
      <c r="I117" s="128">
        <f t="shared" si="11"/>
        <v>6.1599555013209253E-2</v>
      </c>
      <c r="J117" s="128"/>
      <c r="K117" s="129">
        <v>5.7862439460000008</v>
      </c>
      <c r="L117" s="116">
        <f t="shared" si="14"/>
        <v>3.318805310000001</v>
      </c>
      <c r="M117" s="116">
        <f>((E117*10^6)/($R$8*10^9))/((L117*10^9)/($T$8*10^9))</f>
        <v>6.534774458494085</v>
      </c>
      <c r="N117" s="128">
        <f t="shared" si="12"/>
        <v>0.20083742513959035</v>
      </c>
      <c r="O117" s="128"/>
    </row>
    <row r="118" spans="2:25">
      <c r="B118" s="70">
        <v>841290</v>
      </c>
      <c r="C118" s="70">
        <v>2016</v>
      </c>
      <c r="D118" s="176">
        <v>700.61147100000005</v>
      </c>
      <c r="E118" s="180">
        <f t="shared" si="13"/>
        <v>583.00379900000007</v>
      </c>
      <c r="F118" s="125">
        <v>117.60767200000001</v>
      </c>
      <c r="G118" s="125">
        <v>2428.2726400000001</v>
      </c>
      <c r="H118" s="116">
        <f>((F118*10^6)/($R$9*10^9))/((G118*10^6)/($S$9*10^9))</f>
        <v>0.61077050746278827</v>
      </c>
      <c r="I118" s="128">
        <f t="shared" si="11"/>
        <v>4.8432647167659069E-2</v>
      </c>
      <c r="J118" s="128"/>
      <c r="K118" s="129">
        <v>5.6491407169999999</v>
      </c>
      <c r="L118" s="116">
        <f t="shared" si="14"/>
        <v>3.2208680769999996</v>
      </c>
      <c r="M118" s="116">
        <f>((E118*10^6)/($R$9*10^9))/((L118*10^9)/($T$9*10^9))</f>
        <v>6.4408696805543713</v>
      </c>
      <c r="N118" s="128">
        <f t="shared" si="12"/>
        <v>0.18100828256928334</v>
      </c>
      <c r="O118" s="128"/>
    </row>
    <row r="119" spans="2:25" ht="15" thickBot="1">
      <c r="B119" s="74">
        <v>841290</v>
      </c>
      <c r="C119" s="74">
        <v>2017</v>
      </c>
      <c r="D119" s="177">
        <v>626.18216500000005</v>
      </c>
      <c r="E119" s="181">
        <f t="shared" si="13"/>
        <v>505.02351700000008</v>
      </c>
      <c r="F119" s="126">
        <v>121.158648</v>
      </c>
      <c r="G119" s="126">
        <v>2923.1321389999998</v>
      </c>
      <c r="H119" s="117">
        <f>((F119*10^6)/($R$10*10^9))/((G119*10^6)/($S$10*10^9))</f>
        <v>0.5351386850332418</v>
      </c>
      <c r="I119" s="131">
        <f t="shared" si="11"/>
        <v>4.144822821504341E-2</v>
      </c>
      <c r="J119" s="131"/>
      <c r="K119" s="130">
        <v>6.3849872419999993</v>
      </c>
      <c r="L119" s="117">
        <f t="shared" si="14"/>
        <v>3.4618551029999995</v>
      </c>
      <c r="M119" s="117">
        <f>((E119*10^6)/($R$10*10^9))/((L119*10^9)/($T$10*10^9))</f>
        <v>5.0769243864731299</v>
      </c>
      <c r="N119" s="131">
        <f t="shared" si="12"/>
        <v>0.14588233821870625</v>
      </c>
      <c r="O119" s="131"/>
    </row>
    <row r="120" spans="2:25" ht="15" thickTop="1">
      <c r="B120" s="70">
        <v>8482</v>
      </c>
      <c r="C120" s="70">
        <v>2015</v>
      </c>
      <c r="D120" s="176">
        <v>1889.954686</v>
      </c>
      <c r="E120" s="180">
        <f t="shared" si="13"/>
        <v>1538.3974040000001</v>
      </c>
      <c r="F120" s="125">
        <v>351.55728199999999</v>
      </c>
      <c r="G120" s="125">
        <v>12204.15445</v>
      </c>
      <c r="H120" s="116">
        <f>((F120*10^6)/($R$8*10^9))/((G120*10^6)/($S$8*10^9))</f>
        <v>0.32358614033754551</v>
      </c>
      <c r="I120" s="128">
        <f t="shared" si="11"/>
        <v>2.8806361263315542E-2</v>
      </c>
      <c r="J120" s="128"/>
      <c r="K120" s="129">
        <v>28.850655478999997</v>
      </c>
      <c r="L120" s="116">
        <f t="shared" si="14"/>
        <v>16.646501028999996</v>
      </c>
      <c r="M120" s="116">
        <f>((E120*10^6)/($R$8*10^9))/((L120*10^9)/($T$8*10^9))</f>
        <v>3.0069868890970044</v>
      </c>
      <c r="N120" s="128">
        <f t="shared" si="12"/>
        <v>9.2415661484653508E-2</v>
      </c>
      <c r="O120" s="128"/>
    </row>
    <row r="121" spans="2:25">
      <c r="B121" s="70">
        <v>8482</v>
      </c>
      <c r="C121" s="70">
        <v>2016</v>
      </c>
      <c r="D121" s="176">
        <v>1783.03</v>
      </c>
      <c r="E121" s="180">
        <f t="shared" si="13"/>
        <v>1457.5396499999999</v>
      </c>
      <c r="F121" s="125">
        <v>325.49034999999998</v>
      </c>
      <c r="G121" s="125">
        <v>12039.923862</v>
      </c>
      <c r="H121" s="116">
        <f>((F121*10^6)/($R$9*10^9))/((G121*10^6)/($S$9*10^9))</f>
        <v>0.34092137228923397</v>
      </c>
      <c r="I121" s="128">
        <f t="shared" si="11"/>
        <v>2.7034253183884461E-2</v>
      </c>
      <c r="J121" s="128"/>
      <c r="K121" s="129">
        <v>28.150490454</v>
      </c>
      <c r="L121" s="116">
        <f t="shared" si="14"/>
        <v>16.110566591999998</v>
      </c>
      <c r="M121" s="116">
        <f>((E121*10^6)/($R$9*10^9))/((L121*10^9)/($T$9*10^9))</f>
        <v>3.2192568451536832</v>
      </c>
      <c r="N121" s="128">
        <f t="shared" si="12"/>
        <v>9.0471035992226889E-2</v>
      </c>
      <c r="O121" s="128"/>
      <c r="Q121" s="209"/>
      <c r="R121" s="209"/>
      <c r="S121" s="371"/>
      <c r="T121" s="371"/>
      <c r="U121" s="371"/>
      <c r="V121" s="209"/>
    </row>
    <row r="122" spans="2:25" ht="15" thickBot="1">
      <c r="B122" s="74">
        <v>8482</v>
      </c>
      <c r="C122" s="74">
        <v>2017</v>
      </c>
      <c r="D122" s="177">
        <v>1864.6508160000001</v>
      </c>
      <c r="E122" s="181">
        <f t="shared" si="13"/>
        <v>1510.409768</v>
      </c>
      <c r="F122" s="126">
        <v>354.24104800000003</v>
      </c>
      <c r="G122" s="126">
        <v>13188.849598999999</v>
      </c>
      <c r="H122" s="117">
        <f>((F122*10^6)/($R$10*10^9))/((G122*10^6)/($S$10*10^9))</f>
        <v>0.34677864468070857</v>
      </c>
      <c r="I122" s="131">
        <f t="shared" si="11"/>
        <v>2.6859131673384096E-2</v>
      </c>
      <c r="J122" s="131"/>
      <c r="K122" s="130">
        <v>30.688372122000001</v>
      </c>
      <c r="L122" s="117">
        <f t="shared" si="14"/>
        <v>17.499522523000003</v>
      </c>
      <c r="M122" s="117">
        <f>((E122*10^6)/($R$10*10^9))/((L122*10^9)/($T$10*10^9))</f>
        <v>3.0037692439748311</v>
      </c>
      <c r="N122" s="131">
        <f t="shared" si="12"/>
        <v>8.6311484557069232E-2</v>
      </c>
      <c r="O122" s="131"/>
      <c r="Q122" s="210"/>
      <c r="R122" s="210"/>
      <c r="S122" s="372"/>
      <c r="T122" s="372"/>
      <c r="U122" s="372"/>
    </row>
    <row r="123" spans="2:25" ht="15" thickTop="1">
      <c r="B123" s="307">
        <v>850231</v>
      </c>
      <c r="C123" s="307">
        <v>2015</v>
      </c>
      <c r="D123" s="308">
        <v>138.91168299999998</v>
      </c>
      <c r="E123" s="309">
        <f t="shared" si="13"/>
        <v>126.58621899999999</v>
      </c>
      <c r="F123" s="310">
        <v>12.325464</v>
      </c>
      <c r="G123" s="310">
        <v>5408.2950039999996</v>
      </c>
      <c r="H123" s="116">
        <f>((F123*10^6)/($R$8*10^9))/((G123*10^6)/($S$8*10^9))</f>
        <v>2.5600262214177015E-2</v>
      </c>
      <c r="I123" s="311">
        <f t="shared" si="11"/>
        <v>2.2789925458733353E-3</v>
      </c>
      <c r="J123" s="311"/>
      <c r="K123" s="312">
        <v>7.9070612840000001</v>
      </c>
      <c r="L123" s="313">
        <f t="shared" si="14"/>
        <v>2.4987662800000008</v>
      </c>
      <c r="M123" s="116">
        <f>((E123*10^6)/($R$8*10^9))/((L123*10^9)/($T$8*10^9))</f>
        <v>1.6483398173072785</v>
      </c>
      <c r="N123" s="311">
        <f t="shared" si="12"/>
        <v>5.0659487449142275E-2</v>
      </c>
      <c r="O123" s="311"/>
      <c r="Q123" s="210"/>
      <c r="R123" s="210"/>
      <c r="S123" s="373"/>
      <c r="T123" s="373"/>
      <c r="U123" s="373"/>
    </row>
    <row r="124" spans="2:25" ht="19" customHeight="1">
      <c r="B124" s="70">
        <v>850231</v>
      </c>
      <c r="C124" s="70">
        <v>2016</v>
      </c>
      <c r="D124" s="176">
        <v>16.517869999999998</v>
      </c>
      <c r="E124" s="180">
        <f t="shared" si="13"/>
        <v>16.517869999999998</v>
      </c>
      <c r="F124" s="125"/>
      <c r="G124" s="125"/>
      <c r="H124" s="116"/>
      <c r="I124" s="128"/>
      <c r="J124" s="128"/>
      <c r="K124" s="129">
        <v>7.4519697029999996</v>
      </c>
      <c r="L124" s="116">
        <f t="shared" si="14"/>
        <v>7.4519697029999996</v>
      </c>
      <c r="M124" s="116">
        <f>((E124*10^6)/($R$9*10^9))/((L124*10^9)/($T$9*10^9))</f>
        <v>7.8873121255991593E-2</v>
      </c>
      <c r="N124" s="128">
        <f t="shared" si="12"/>
        <v>2.2165777181501777E-3</v>
      </c>
      <c r="O124" s="128"/>
      <c r="Q124" s="210"/>
      <c r="R124" s="210"/>
      <c r="S124" s="373"/>
      <c r="T124" s="373"/>
      <c r="U124" s="373"/>
    </row>
    <row r="125" spans="2:25" ht="19" customHeight="1" thickBot="1">
      <c r="B125" s="74">
        <v>850231</v>
      </c>
      <c r="C125" s="74">
        <v>2017</v>
      </c>
      <c r="D125" s="177">
        <v>18.806636999999998</v>
      </c>
      <c r="E125" s="181">
        <f t="shared" si="13"/>
        <v>13.086656999999999</v>
      </c>
      <c r="F125" s="126">
        <v>5.7199799999999996</v>
      </c>
      <c r="G125" s="126">
        <v>2919.7176759999998</v>
      </c>
      <c r="H125" s="117">
        <f>((F125*10^6)/($R$10*10^9))/((G125*10^6)/($S$10*10^9))</f>
        <v>2.5293796946404035E-2</v>
      </c>
      <c r="I125" s="131">
        <f t="shared" si="11"/>
        <v>1.9590866771188463E-3</v>
      </c>
      <c r="J125" s="131"/>
      <c r="K125" s="130">
        <v>5.4208394389999999</v>
      </c>
      <c r="L125" s="117">
        <f t="shared" si="14"/>
        <v>2.501121763</v>
      </c>
      <c r="M125" s="117">
        <f>((E125*10^6)/($R$10*10^9))/((L125*10^9)/($T$10*10^9))</f>
        <v>0.18209241854287336</v>
      </c>
      <c r="N125" s="131">
        <f t="shared" si="12"/>
        <v>5.2323150330366372E-3</v>
      </c>
      <c r="O125" s="131"/>
      <c r="Q125" s="210"/>
      <c r="R125" s="210"/>
      <c r="S125" s="372"/>
      <c r="T125" s="372"/>
      <c r="U125" s="372"/>
      <c r="Y125" s="1"/>
    </row>
    <row r="126" spans="2:25" ht="19" customHeight="1" thickTop="1">
      <c r="B126" s="307">
        <v>850300</v>
      </c>
      <c r="C126" s="307">
        <v>2015</v>
      </c>
      <c r="D126" s="308">
        <v>1323.75494</v>
      </c>
      <c r="E126" s="309">
        <f t="shared" si="13"/>
        <v>1147.9549440000001</v>
      </c>
      <c r="F126" s="310">
        <v>175.79999600000002</v>
      </c>
      <c r="G126" s="310">
        <v>5699.5411619999995</v>
      </c>
      <c r="H126" s="116">
        <f>((F126*10^6)/($R$8*10^9))/((G126*10^6)/($S$8*10^9))</f>
        <v>0.34648183863233645</v>
      </c>
      <c r="I126" s="311">
        <f t="shared" si="11"/>
        <v>3.0844587485760144E-2</v>
      </c>
      <c r="J126" s="311"/>
      <c r="K126" s="312">
        <v>16.101202684</v>
      </c>
      <c r="L126" s="313">
        <f t="shared" si="14"/>
        <v>10.401661522000001</v>
      </c>
      <c r="M126" s="116">
        <f>((E126*10^6)/($R$8*10^9))/((L126*10^9)/($T$8*10^9))</f>
        <v>3.5909394611294014</v>
      </c>
      <c r="N126" s="311">
        <f t="shared" si="12"/>
        <v>0.1103626513487313</v>
      </c>
      <c r="O126" s="311"/>
      <c r="Q126" s="210"/>
      <c r="R126" s="210"/>
      <c r="S126" s="373"/>
      <c r="T126" s="373"/>
      <c r="U126" s="373"/>
      <c r="Y126" s="1"/>
    </row>
    <row r="127" spans="2:25" ht="19" customHeight="1">
      <c r="B127" s="70">
        <v>850300</v>
      </c>
      <c r="C127" s="70">
        <v>2016</v>
      </c>
      <c r="D127" s="176">
        <v>1073.6269</v>
      </c>
      <c r="E127" s="180">
        <f t="shared" si="13"/>
        <v>921.85038799999995</v>
      </c>
      <c r="F127" s="125">
        <v>151.776512</v>
      </c>
      <c r="G127" s="125">
        <v>5943.1049469999998</v>
      </c>
      <c r="H127" s="116">
        <f>((F127*10^6)/($R$9*10^9))/((G127*10^6)/($S$9*10^9))</f>
        <v>0.32205572205088473</v>
      </c>
      <c r="I127" s="128">
        <f t="shared" si="11"/>
        <v>2.5538252033832039E-2</v>
      </c>
      <c r="J127" s="128"/>
      <c r="K127" s="129">
        <v>15.673832825</v>
      </c>
      <c r="L127" s="116">
        <f t="shared" si="14"/>
        <v>9.7307278779999997</v>
      </c>
      <c r="M127" s="116">
        <f>((E127*10^6)/($R$9*10^9))/((L127*10^9)/($T$9*10^9))</f>
        <v>3.3710188386998499</v>
      </c>
      <c r="N127" s="128">
        <f t="shared" si="12"/>
        <v>9.4736015594906561E-2</v>
      </c>
      <c r="O127" s="128"/>
      <c r="Q127" s="210"/>
      <c r="R127" s="210"/>
      <c r="S127" s="373"/>
      <c r="T127" s="373"/>
      <c r="U127" s="373"/>
      <c r="Y127" s="1"/>
    </row>
    <row r="128" spans="2:25" ht="30" customHeight="1" thickBot="1">
      <c r="B128" s="74">
        <v>850300</v>
      </c>
      <c r="C128" s="74">
        <v>2017</v>
      </c>
      <c r="D128" s="177">
        <v>1028.7318619999999</v>
      </c>
      <c r="E128" s="181">
        <f t="shared" si="13"/>
        <v>870.31203199999982</v>
      </c>
      <c r="F128" s="126">
        <v>158.41982999999999</v>
      </c>
      <c r="G128" s="126">
        <v>6322.2165690000002</v>
      </c>
      <c r="H128" s="117">
        <f>((F128*10^6)/($R$10*10^9))/((G128*10^6)/($S$10*10^9))</f>
        <v>0.32351956570832152</v>
      </c>
      <c r="I128" s="131">
        <f t="shared" si="11"/>
        <v>2.5057640508043787E-2</v>
      </c>
      <c r="J128" s="131">
        <f>SUM(F111:F128)/SUM(G111:G128)</f>
        <v>2.7729600758072175E-2</v>
      </c>
      <c r="K128" s="130">
        <v>16.547766590999998</v>
      </c>
      <c r="L128" s="117">
        <f t="shared" si="14"/>
        <v>10.225550021999998</v>
      </c>
      <c r="M128" s="117">
        <f>((E128*10^6)/($R$10*10^9))/((L128*10^9)/($T$10*10^9))</f>
        <v>2.9620084266981443</v>
      </c>
      <c r="N128" s="131">
        <f t="shared" si="12"/>
        <v>8.511151284063416E-2</v>
      </c>
      <c r="O128" s="131">
        <f>SUM(E111:E128)/SUM(L111:L128)/10^3</f>
        <v>9.2190500204600956E-2</v>
      </c>
      <c r="Q128" s="210"/>
      <c r="R128" s="210"/>
      <c r="S128" s="373"/>
      <c r="T128" s="373"/>
      <c r="U128" s="373"/>
      <c r="Y128" s="1"/>
    </row>
    <row r="129" spans="2:26" ht="26.25" customHeight="1" thickTop="1">
      <c r="B129" s="307">
        <v>730890</v>
      </c>
      <c r="C129" s="307">
        <v>2015</v>
      </c>
      <c r="D129" s="308">
        <v>903.23209199999997</v>
      </c>
      <c r="E129" s="309">
        <f>D129-F129</f>
        <v>857.364329</v>
      </c>
      <c r="F129" s="310">
        <v>45.867762999999997</v>
      </c>
      <c r="G129" s="310">
        <v>10248.866879000001</v>
      </c>
      <c r="H129" s="116">
        <f>((F129*10^6)/($R$8*10^9))/((G129*10^6)/($S$8*10^9))</f>
        <v>5.0272816459592855E-2</v>
      </c>
      <c r="I129" s="311">
        <f>(F129*10^6)/(G129*10^6)</f>
        <v>4.4753984554120182E-3</v>
      </c>
      <c r="J129" s="311"/>
      <c r="K129" s="312">
        <v>34.327265315999995</v>
      </c>
      <c r="L129" s="313">
        <f>K129-(G129/10^3)</f>
        <v>24.078398436999993</v>
      </c>
      <c r="M129" s="116">
        <f>((E129*10^6)/($R$8*10^9))/((L129*10^9)/($T$8*10^9))</f>
        <v>1.158573983688985</v>
      </c>
      <c r="N129" s="311">
        <f>(E129*10^6)/(L129*10^9)</f>
        <v>3.5607199176608602E-2</v>
      </c>
      <c r="O129" s="311"/>
      <c r="Q129" s="210"/>
      <c r="R129" s="210"/>
      <c r="S129" s="373"/>
      <c r="T129" s="373"/>
      <c r="U129" s="373"/>
    </row>
    <row r="130" spans="2:26" ht="30" customHeight="1">
      <c r="B130" s="70">
        <v>730890</v>
      </c>
      <c r="C130" s="70">
        <v>2016</v>
      </c>
      <c r="D130" s="176">
        <v>722.41399899999999</v>
      </c>
      <c r="E130" s="180">
        <f>D130-F130</f>
        <v>684.81286999999998</v>
      </c>
      <c r="F130" s="125">
        <v>37.601129</v>
      </c>
      <c r="G130" s="125">
        <v>11622.600488</v>
      </c>
      <c r="H130" s="116">
        <f>((F130*10^6)/($R$9*10^9))/((G130*10^6)/($S$9*10^9))</f>
        <v>4.0797864057215784E-2</v>
      </c>
      <c r="I130" s="128">
        <f>(F130*10^6)/(G130*10^6)</f>
        <v>3.2351734914077175E-3</v>
      </c>
      <c r="J130" s="128"/>
      <c r="K130" s="129">
        <v>33.508590081000001</v>
      </c>
      <c r="L130" s="116">
        <f>K130-(G130/10^3)</f>
        <v>21.885989593000001</v>
      </c>
      <c r="M130" s="116">
        <f>((E130*10^6)/($R$9*10^9))/((L130*10^9)/($T$9*10^9))</f>
        <v>1.1134014680169533</v>
      </c>
      <c r="N130" s="128">
        <f>(E130*10^6)/(L130*10^9)</f>
        <v>3.1290011680304833E-2</v>
      </c>
      <c r="O130" s="128"/>
      <c r="Q130" s="210"/>
      <c r="R130" s="210"/>
      <c r="S130" s="372"/>
      <c r="T130" s="372"/>
      <c r="U130" s="372"/>
      <c r="V130" s="208"/>
    </row>
    <row r="131" spans="2:26" ht="15" thickBot="1">
      <c r="B131" s="74">
        <v>730890</v>
      </c>
      <c r="C131" s="74">
        <v>2017</v>
      </c>
      <c r="D131" s="177">
        <v>693.51304299999993</v>
      </c>
      <c r="E131" s="181">
        <f>D131-F131</f>
        <v>653.34055699999988</v>
      </c>
      <c r="F131" s="126">
        <v>40.172485999999999</v>
      </c>
      <c r="G131" s="126">
        <v>12263.913563999999</v>
      </c>
      <c r="H131" s="117">
        <f>((F131*10^6)/($R$10*10^9))/((G131*10^6)/($S$10*10^9))</f>
        <v>4.2292173358522887E-2</v>
      </c>
      <c r="I131" s="131">
        <f>(F131*10^6)/(G131*10^6)</f>
        <v>3.2756661069370209E-3</v>
      </c>
      <c r="J131" s="131">
        <f>SUM(F129:F131)/SUM(G129:G131)</f>
        <v>3.6220887134648981E-3</v>
      </c>
      <c r="K131" s="130">
        <v>34.329322843</v>
      </c>
      <c r="L131" s="117">
        <f>K131-(G131/10^3)</f>
        <v>22.065409279000001</v>
      </c>
      <c r="M131" s="117">
        <f>((E131*10^6)/($R$10*10^9))/((L131*10^9)/($T$10*10^9))</f>
        <v>1.0304468850361035</v>
      </c>
      <c r="N131" s="131">
        <f>(E131*10^6)/(L131*10^9)</f>
        <v>2.9609265286630982E-2</v>
      </c>
      <c r="O131" s="131">
        <f>SUM(E129:E131)/SUM(L129:L131)/10^3</f>
        <v>3.2272883983876635E-2</v>
      </c>
      <c r="Q131" s="210"/>
      <c r="R131" s="210"/>
      <c r="S131" s="373"/>
      <c r="T131" s="373"/>
      <c r="U131" s="373"/>
      <c r="V131" s="208"/>
    </row>
    <row r="132" spans="2:26" ht="31" customHeight="1" thickTop="1">
      <c r="B132" s="307">
        <v>8504</v>
      </c>
      <c r="C132" s="307">
        <v>2015</v>
      </c>
      <c r="D132" s="308">
        <v>3689.4533760000004</v>
      </c>
      <c r="E132" s="309">
        <f t="shared" si="13"/>
        <v>3107.7253490000003</v>
      </c>
      <c r="F132" s="310">
        <v>581.728027</v>
      </c>
      <c r="G132" s="310">
        <v>21097.312797999999</v>
      </c>
      <c r="H132" s="116">
        <f>((F132*10^6)/($R$8*10^9))/((G132*10^6)/($S$8*10^9))</f>
        <v>0.30973790397761253</v>
      </c>
      <c r="I132" s="311">
        <f t="shared" ref="I132:I140" si="15">(F132*10^6)/(G132*10^6)</f>
        <v>2.7573560318788427E-2</v>
      </c>
      <c r="J132" s="311"/>
      <c r="K132" s="312">
        <v>75.798304443000006</v>
      </c>
      <c r="L132" s="313">
        <f t="shared" si="14"/>
        <v>54.700991645000009</v>
      </c>
      <c r="M132" s="116">
        <f>((E132*10^6)/($R$8*10^9))/((L132*10^9)/($T$8*10^9))</f>
        <v>1.8485593083755392</v>
      </c>
      <c r="N132" s="311">
        <f t="shared" si="12"/>
        <v>5.6812961804579364E-2</v>
      </c>
      <c r="O132" s="311"/>
      <c r="Q132" s="210"/>
      <c r="R132" s="210"/>
      <c r="S132" s="373"/>
      <c r="T132" s="373"/>
      <c r="U132" s="373"/>
      <c r="V132" s="208"/>
      <c r="Y132" s="1"/>
      <c r="Z132" s="52"/>
    </row>
    <row r="133" spans="2:26" ht="27" customHeight="1">
      <c r="B133" s="70">
        <v>8504</v>
      </c>
      <c r="C133" s="70">
        <v>2016</v>
      </c>
      <c r="D133" s="176">
        <v>3409.5951669999999</v>
      </c>
      <c r="E133" s="180">
        <f t="shared" si="13"/>
        <v>2804.400897</v>
      </c>
      <c r="F133" s="125">
        <v>605.19427000000007</v>
      </c>
      <c r="G133" s="125">
        <v>21274.311317000003</v>
      </c>
      <c r="H133" s="116">
        <f>((F133*10^6)/($R$9*10^9))/((G133*10^6)/($S$9*10^9))</f>
        <v>0.35873945862265422</v>
      </c>
      <c r="I133" s="128">
        <f t="shared" si="15"/>
        <v>2.8447185010233345E-2</v>
      </c>
      <c r="J133" s="128"/>
      <c r="K133" s="129">
        <v>73.300972146000007</v>
      </c>
      <c r="L133" s="116">
        <f t="shared" si="14"/>
        <v>52.026660829000008</v>
      </c>
      <c r="M133" s="116">
        <f>((E133*10^6)/($R$9*10^9))/((L133*10^9)/($T$9*10^9))</f>
        <v>1.9180512565064392</v>
      </c>
      <c r="N133" s="128">
        <f t="shared" si="12"/>
        <v>5.3903149891119058E-2</v>
      </c>
      <c r="O133" s="128"/>
      <c r="Q133" s="168"/>
      <c r="Y133" s="1"/>
    </row>
    <row r="134" spans="2:26" ht="28" customHeight="1" thickBot="1">
      <c r="B134" s="74">
        <v>8504</v>
      </c>
      <c r="C134" s="74">
        <v>2017</v>
      </c>
      <c r="D134" s="177">
        <v>3581.8290849999998</v>
      </c>
      <c r="E134" s="181">
        <f t="shared" si="13"/>
        <v>2900.4864119999997</v>
      </c>
      <c r="F134" s="126">
        <v>681.34267299999999</v>
      </c>
      <c r="G134" s="126">
        <v>23989.619753999999</v>
      </c>
      <c r="H134" s="117">
        <f>((F134*10^6)/($R$10*10^9))/((G134*10^6)/($S$10*10^9))</f>
        <v>0.3666929854560797</v>
      </c>
      <c r="I134" s="131">
        <f t="shared" si="15"/>
        <v>2.840156200835129E-2</v>
      </c>
      <c r="J134" s="131"/>
      <c r="K134" s="130">
        <v>85.168146149000009</v>
      </c>
      <c r="L134" s="117">
        <f t="shared" si="14"/>
        <v>61.178526395000006</v>
      </c>
      <c r="M134" s="117">
        <f>((E134*10^6)/($R$10*10^9))/((L134*10^9)/($T$10*10^9))</f>
        <v>1.649946274480169</v>
      </c>
      <c r="N134" s="131">
        <f t="shared" si="12"/>
        <v>4.7410203921437542E-2</v>
      </c>
      <c r="O134" s="131"/>
      <c r="Q134" s="169"/>
      <c r="R134" s="5" t="s">
        <v>382</v>
      </c>
      <c r="S134" s="5" t="s">
        <v>475</v>
      </c>
    </row>
    <row r="135" spans="2:26" ht="19" customHeight="1" thickTop="1">
      <c r="B135" s="307">
        <v>853720</v>
      </c>
      <c r="C135" s="307">
        <v>2015</v>
      </c>
      <c r="D135" s="308">
        <v>207.33967199999998</v>
      </c>
      <c r="E135" s="309">
        <f t="shared" si="13"/>
        <v>199.35629299999997</v>
      </c>
      <c r="F135" s="310">
        <v>7.9833790000000002</v>
      </c>
      <c r="G135" s="310">
        <v>1182.6432379999999</v>
      </c>
      <c r="H135" s="116">
        <f>((F135*10^6)/($R$8*10^9))/((G135*10^6)/($S$8*10^9))</f>
        <v>7.5828855875389178E-2</v>
      </c>
      <c r="I135" s="311">
        <f t="shared" si="15"/>
        <v>6.7504541889580397E-3</v>
      </c>
      <c r="J135" s="311"/>
      <c r="K135" s="312">
        <v>6.3497696050000005</v>
      </c>
      <c r="L135" s="313">
        <f t="shared" si="14"/>
        <v>5.1671263670000007</v>
      </c>
      <c r="M135" s="116">
        <f>((E135*10^6)/($R$8*10^9))/((L135*10^9)/($T$8*10^9))</f>
        <v>1.2553557748736097</v>
      </c>
      <c r="N135" s="311">
        <f t="shared" si="12"/>
        <v>3.8581656193507202E-2</v>
      </c>
      <c r="O135" s="311"/>
      <c r="Q135" s="48" t="s">
        <v>285</v>
      </c>
      <c r="R135" s="171">
        <f>J128</f>
        <v>2.7729600758072175E-2</v>
      </c>
      <c r="S135" s="171">
        <f>O128</f>
        <v>9.2190500204600956E-2</v>
      </c>
      <c r="U135" s="184"/>
    </row>
    <row r="136" spans="2:26" ht="29.25" customHeight="1">
      <c r="B136" s="70">
        <v>853720</v>
      </c>
      <c r="C136" s="70">
        <v>2016</v>
      </c>
      <c r="D136" s="176">
        <v>148.42472099999998</v>
      </c>
      <c r="E136" s="180">
        <f t="shared" si="13"/>
        <v>134.40282799999997</v>
      </c>
      <c r="F136" s="125">
        <v>14.021893</v>
      </c>
      <c r="G136" s="125">
        <v>1244.9374210000001</v>
      </c>
      <c r="H136" s="116">
        <f>((F136*10^6)/($R$9*10^9))/((G136*10^6)/($S$9*10^9))</f>
        <v>0.14203617831072277</v>
      </c>
      <c r="I136" s="128">
        <f t="shared" si="15"/>
        <v>1.1263130791535585E-2</v>
      </c>
      <c r="J136" s="128"/>
      <c r="K136" s="129">
        <v>6.5955972110000003</v>
      </c>
      <c r="L136" s="116">
        <f t="shared" si="14"/>
        <v>5.3506597899999999</v>
      </c>
      <c r="M136" s="116">
        <f>((E136*10^6)/($R$9*10^9))/((L136*10^9)/($T$9*10^9))</f>
        <v>0.89381395927396734</v>
      </c>
      <c r="N136" s="128">
        <f t="shared" si="12"/>
        <v>2.511892612780002E-2</v>
      </c>
      <c r="O136" s="128"/>
      <c r="Q136" s="41" t="s">
        <v>289</v>
      </c>
      <c r="R136" s="171">
        <f>J131</f>
        <v>3.6220887134648981E-3</v>
      </c>
      <c r="S136" s="171">
        <f>O131</f>
        <v>3.2272883983876635E-2</v>
      </c>
      <c r="U136" s="184"/>
    </row>
    <row r="137" spans="2:26" ht="19" customHeight="1" thickBot="1">
      <c r="B137" s="74">
        <v>853720</v>
      </c>
      <c r="C137" s="74">
        <v>2017</v>
      </c>
      <c r="D137" s="177">
        <v>163.03768700000001</v>
      </c>
      <c r="E137" s="181">
        <f t="shared" si="13"/>
        <v>140.07702800000001</v>
      </c>
      <c r="F137" s="126">
        <v>22.960659</v>
      </c>
      <c r="G137" s="126">
        <v>1515.8241379999999</v>
      </c>
      <c r="H137" s="117">
        <f>((F137*10^6)/($R$10*10^9))/((G137*10^6)/($S$10*10^9))</f>
        <v>0.19556714999916444</v>
      </c>
      <c r="I137" s="131">
        <f t="shared" si="15"/>
        <v>1.5147310578055987E-2</v>
      </c>
      <c r="J137" s="131"/>
      <c r="K137" s="130">
        <v>6.3017032340000005</v>
      </c>
      <c r="L137" s="117">
        <f t="shared" si="14"/>
        <v>4.7858790960000004</v>
      </c>
      <c r="M137" s="117">
        <f>((E137*10^6)/($R$10*10^9))/((L137*10^9)/($T$10*10^9))</f>
        <v>1.0185988357484179</v>
      </c>
      <c r="N137" s="131">
        <f t="shared" si="12"/>
        <v>2.9268818787560946E-2</v>
      </c>
      <c r="O137" s="131"/>
      <c r="Q137" s="41" t="s">
        <v>292</v>
      </c>
      <c r="R137" s="171">
        <f>J140</f>
        <v>2.66008310751591E-2</v>
      </c>
      <c r="S137" s="171">
        <f>O140</f>
        <v>5.6246687798100985E-2</v>
      </c>
      <c r="U137" s="184"/>
    </row>
    <row r="138" spans="2:26" ht="19" customHeight="1" thickTop="1">
      <c r="B138" s="307">
        <v>854460</v>
      </c>
      <c r="C138" s="307">
        <v>2015</v>
      </c>
      <c r="D138" s="314">
        <v>736.26880700000004</v>
      </c>
      <c r="E138" s="315">
        <f t="shared" si="13"/>
        <v>684.44658700000002</v>
      </c>
      <c r="F138" s="316">
        <v>51.822220000000002</v>
      </c>
      <c r="G138" s="310">
        <v>2172.040473</v>
      </c>
      <c r="H138" s="116">
        <f>((F138*10^6)/($R$8*10^9))/((G138*10^6)/($S$8*10^9))</f>
        <v>0.26800914247640995</v>
      </c>
      <c r="I138" s="311">
        <f t="shared" si="15"/>
        <v>2.3858772727390148E-2</v>
      </c>
      <c r="J138" s="311"/>
      <c r="K138" s="312">
        <v>6.5371591589999998</v>
      </c>
      <c r="L138" s="313">
        <f t="shared" si="14"/>
        <v>4.3651186859999997</v>
      </c>
      <c r="M138" s="116">
        <f>((E138*10^6)/($R$8*10^9))/((L138*10^9)/($T$8*10^9))</f>
        <v>5.1018708879813728</v>
      </c>
      <c r="N138" s="311">
        <f t="shared" si="12"/>
        <v>0.15679907838363871</v>
      </c>
      <c r="O138" s="311"/>
      <c r="Q138" s="41" t="s">
        <v>295</v>
      </c>
      <c r="R138" s="171">
        <f t="shared" ref="R138:S138" si="16">AVERAGE(R$32:R$34)</f>
        <v>2.4541041974336621E-2</v>
      </c>
      <c r="S138" s="171">
        <f t="shared" si="16"/>
        <v>1.0294501368106194E-2</v>
      </c>
      <c r="T138" s="5" t="s">
        <v>477</v>
      </c>
      <c r="U138" s="184"/>
    </row>
    <row r="139" spans="2:26">
      <c r="B139" s="70">
        <v>854460</v>
      </c>
      <c r="C139" s="70">
        <v>2016</v>
      </c>
      <c r="D139" s="178">
        <v>502.40103299999998</v>
      </c>
      <c r="E139" s="182">
        <f t="shared" si="13"/>
        <v>465.64867199999998</v>
      </c>
      <c r="F139" s="127">
        <v>36.752361000000001</v>
      </c>
      <c r="G139" s="125">
        <v>2230.5539679999997</v>
      </c>
      <c r="H139" s="116">
        <f>((F139*10^6)/($R$9*10^9))/((G139*10^6)/($S$9*10^9))</f>
        <v>0.20778412293200352</v>
      </c>
      <c r="I139" s="128">
        <f t="shared" si="15"/>
        <v>1.6476786272494263E-2</v>
      </c>
      <c r="J139" s="128"/>
      <c r="K139" s="129">
        <v>6.0220845980000002</v>
      </c>
      <c r="L139" s="116">
        <f t="shared" si="14"/>
        <v>3.7915306300000005</v>
      </c>
      <c r="M139" s="116">
        <f>((E139*10^6)/($R$9*10^9))/((L139*10^9)/($T$9*10^9))</f>
        <v>4.3700847984811508</v>
      </c>
      <c r="N139" s="128">
        <f t="shared" si="12"/>
        <v>0.12281284722207293</v>
      </c>
      <c r="O139" s="128"/>
      <c r="Q139" s="147" t="s">
        <v>307</v>
      </c>
      <c r="R139" s="171"/>
      <c r="S139" s="171"/>
      <c r="U139" s="184"/>
    </row>
    <row r="140" spans="2:26" ht="15" thickBot="1">
      <c r="B140" s="74">
        <v>854460</v>
      </c>
      <c r="C140" s="74">
        <v>2017</v>
      </c>
      <c r="D140" s="179">
        <v>580.25391200000001</v>
      </c>
      <c r="E140" s="183">
        <f t="shared" si="13"/>
        <v>533.77464900000007</v>
      </c>
      <c r="F140" s="135">
        <v>46.479262999999996</v>
      </c>
      <c r="G140" s="126">
        <v>2293.5370269999999</v>
      </c>
      <c r="H140" s="117">
        <f>((F140*10^6)/($R$10*10^9))/((G140*10^6)/($S$10*10^9))</f>
        <v>0.2616458518814011</v>
      </c>
      <c r="I140" s="131">
        <f t="shared" si="15"/>
        <v>2.0265320530183876E-2</v>
      </c>
      <c r="J140" s="131">
        <f>SUM(F132:F140)/SUM(G132:G140)</f>
        <v>2.66008310751591E-2</v>
      </c>
      <c r="K140" s="130">
        <v>5.9664164740000007</v>
      </c>
      <c r="L140" s="117">
        <f t="shared" si="14"/>
        <v>3.672879447000001</v>
      </c>
      <c r="M140" s="117">
        <f>((E140*10^6)/($R$10*10^9))/((L140*10^9)/($T$10*10^9))</f>
        <v>5.0576555591435204</v>
      </c>
      <c r="N140" s="131">
        <f t="shared" si="12"/>
        <v>0.14532866017042456</v>
      </c>
      <c r="O140" s="131">
        <f>SUM(E132:E140)/SUM(L132:L140)/10^3</f>
        <v>5.6246687798100985E-2</v>
      </c>
      <c r="Q140" s="194"/>
      <c r="R140" s="213"/>
      <c r="S140" s="213"/>
      <c r="T140" s="211"/>
      <c r="U140" s="212"/>
    </row>
    <row r="141" spans="2:26" ht="15" thickTop="1"/>
    <row r="142" spans="2:26">
      <c r="B142" s="71" t="s">
        <v>478</v>
      </c>
      <c r="C142" s="72"/>
      <c r="D142" s="72"/>
      <c r="E142" s="72"/>
      <c r="F142" s="72"/>
      <c r="G142" s="72"/>
      <c r="H142" s="72"/>
      <c r="I142" s="72" t="s">
        <v>479</v>
      </c>
      <c r="J142" s="72"/>
      <c r="K142" s="72"/>
    </row>
    <row r="144" spans="2:26">
      <c r="J144" s="70" t="s">
        <v>452</v>
      </c>
    </row>
    <row r="145" spans="2:12">
      <c r="J145" s="128">
        <f>(SUM(F111:F140))/(SUM(G111:G140))</f>
        <v>2.285194169136236E-2</v>
      </c>
      <c r="K145" s="115"/>
      <c r="L145" s="115"/>
    </row>
    <row r="147" spans="2:12">
      <c r="B147" s="71" t="s">
        <v>480</v>
      </c>
      <c r="C147" s="72"/>
      <c r="D147" s="72"/>
      <c r="E147" s="72"/>
      <c r="F147" s="72"/>
      <c r="G147" s="72"/>
      <c r="H147" s="72"/>
      <c r="I147" s="72" t="s">
        <v>265</v>
      </c>
      <c r="J147" s="72"/>
      <c r="K147" s="72"/>
    </row>
    <row r="149" spans="2:12">
      <c r="J149" s="70" t="s">
        <v>452</v>
      </c>
    </row>
    <row r="150" spans="2:12">
      <c r="J150" s="128">
        <f>(SUM(E111:E140)*10^6)/(SUM(L111:L140)*10^9)</f>
        <v>6.2480963849551714E-2</v>
      </c>
      <c r="K150" s="115"/>
      <c r="L150" s="115"/>
    </row>
  </sheetData>
  <mergeCells count="34">
    <mergeCell ref="S131:U131"/>
    <mergeCell ref="S132:U132"/>
    <mergeCell ref="S126:U126"/>
    <mergeCell ref="S127:U127"/>
    <mergeCell ref="S128:U128"/>
    <mergeCell ref="S129:U129"/>
    <mergeCell ref="S130:U130"/>
    <mergeCell ref="S121:U121"/>
    <mergeCell ref="S122:U122"/>
    <mergeCell ref="S123:U123"/>
    <mergeCell ref="S124:U124"/>
    <mergeCell ref="S125:U125"/>
    <mergeCell ref="D109:F109"/>
    <mergeCell ref="G109:J109"/>
    <mergeCell ref="K109:N109"/>
    <mergeCell ref="S20:U20"/>
    <mergeCell ref="S21:U21"/>
    <mergeCell ref="S22:U22"/>
    <mergeCell ref="D6:F6"/>
    <mergeCell ref="D52:F52"/>
    <mergeCell ref="G52:I52"/>
    <mergeCell ref="S29:U29"/>
    <mergeCell ref="G6:J6"/>
    <mergeCell ref="K6:N6"/>
    <mergeCell ref="J52:L52"/>
    <mergeCell ref="N52:O52"/>
    <mergeCell ref="S23:U23"/>
    <mergeCell ref="S24:U24"/>
    <mergeCell ref="S25:U25"/>
    <mergeCell ref="S27:U27"/>
    <mergeCell ref="S28:U28"/>
    <mergeCell ref="S18:U18"/>
    <mergeCell ref="S19:U19"/>
    <mergeCell ref="S26:U26"/>
  </mergeCells>
  <conditionalFormatting sqref="A1:XFD1">
    <cfRule type="expression" dxfId="88" priority="7">
      <formula>_xlfn.ISFORMULA(A1)</formula>
    </cfRule>
  </conditionalFormatting>
  <conditionalFormatting sqref="Y30">
    <cfRule type="expression" dxfId="87" priority="6">
      <formula>_xlfn.ISFORMULA(Y30)</formula>
    </cfRule>
  </conditionalFormatting>
  <conditionalFormatting sqref="Q38">
    <cfRule type="expression" dxfId="86" priority="5">
      <formula>_xlfn.ISFORMULA(Q38)</formula>
    </cfRule>
  </conditionalFormatting>
  <conditionalFormatting sqref="S85">
    <cfRule type="expression" dxfId="85" priority="4">
      <formula>_xlfn.ISFORMULA(S85)</formula>
    </cfRule>
  </conditionalFormatting>
  <conditionalFormatting sqref="M92">
    <cfRule type="expression" dxfId="84" priority="3">
      <formula>_xlfn.ISFORMULA(M92)</formula>
    </cfRule>
  </conditionalFormatting>
  <conditionalFormatting sqref="M102">
    <cfRule type="expression" dxfId="83" priority="2">
      <formula>_xlfn.ISFORMULA(M102)</formula>
    </cfRule>
  </conditionalFormatting>
  <conditionalFormatting sqref="Y133">
    <cfRule type="expression" dxfId="82" priority="1">
      <formula>_xlfn.ISFORMULA(Y133)</formula>
    </cfRule>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L463"/>
  <sheetViews>
    <sheetView topLeftCell="A69" workbookViewId="0">
      <selection activeCell="H90" sqref="H90"/>
    </sheetView>
  </sheetViews>
  <sheetFormatPr defaultColWidth="11.453125" defaultRowHeight="14.5"/>
  <cols>
    <col min="1" max="1" width="12" bestFit="1" customWidth="1"/>
    <col min="2" max="2" width="11.26953125" bestFit="1" customWidth="1"/>
    <col min="3" max="3" width="11.1796875" bestFit="1" customWidth="1"/>
    <col min="4" max="4" width="25.81640625" bestFit="1" customWidth="1"/>
    <col min="5" max="5" width="10.26953125" bestFit="1" customWidth="1"/>
    <col min="6" max="6" width="25.81640625" bestFit="1" customWidth="1"/>
    <col min="7" max="7" width="5.1796875" customWidth="1"/>
    <col min="8" max="8" width="13.26953125" bestFit="1" customWidth="1"/>
    <col min="9" max="9" width="12.81640625" bestFit="1" customWidth="1"/>
    <col min="10" max="10" width="19.26953125" bestFit="1" customWidth="1"/>
    <col min="11" max="11" width="14.81640625" bestFit="1" customWidth="1"/>
    <col min="12" max="12" width="17.1796875" customWidth="1"/>
  </cols>
  <sheetData>
    <row r="1" spans="1:12" hidden="1"/>
    <row r="2" spans="1:12" hidden="1"/>
    <row r="3" spans="1:12" s="93" customFormat="1" hidden="1">
      <c r="A3" s="93" t="s">
        <v>497</v>
      </c>
      <c r="B3" s="93" t="s">
        <v>498</v>
      </c>
      <c r="C3" s="93" t="s">
        <v>499</v>
      </c>
      <c r="D3" s="93" t="s">
        <v>500</v>
      </c>
      <c r="E3" s="93" t="s">
        <v>501</v>
      </c>
      <c r="F3" s="93" t="s">
        <v>502</v>
      </c>
      <c r="G3" s="93" t="s">
        <v>446</v>
      </c>
      <c r="H3" s="93" t="s">
        <v>503</v>
      </c>
      <c r="I3" s="93" t="s">
        <v>504</v>
      </c>
      <c r="J3" s="93" t="s">
        <v>505</v>
      </c>
      <c r="K3" s="93" t="s">
        <v>506</v>
      </c>
      <c r="L3" s="93" t="s">
        <v>507</v>
      </c>
    </row>
    <row r="4" spans="1:12" hidden="1">
      <c r="A4" t="s">
        <v>508</v>
      </c>
      <c r="B4" t="s">
        <v>381</v>
      </c>
      <c r="C4">
        <v>730820</v>
      </c>
      <c r="D4" t="s">
        <v>509</v>
      </c>
      <c r="E4" t="s">
        <v>510</v>
      </c>
      <c r="F4" t="s">
        <v>483</v>
      </c>
      <c r="G4">
        <v>2015</v>
      </c>
      <c r="H4" t="s">
        <v>511</v>
      </c>
      <c r="I4">
        <v>2</v>
      </c>
      <c r="J4" s="92">
        <v>3135065.59</v>
      </c>
      <c r="K4" s="92">
        <f>J4/1000</f>
        <v>3135.0655899999997</v>
      </c>
      <c r="L4" s="96">
        <f>K4/1000</f>
        <v>3.1350655899999995</v>
      </c>
    </row>
    <row r="5" spans="1:12" hidden="1">
      <c r="A5" t="s">
        <v>508</v>
      </c>
      <c r="B5" t="s">
        <v>381</v>
      </c>
      <c r="C5">
        <v>730820</v>
      </c>
      <c r="D5" t="s">
        <v>509</v>
      </c>
      <c r="E5" t="s">
        <v>510</v>
      </c>
      <c r="F5" t="s">
        <v>483</v>
      </c>
      <c r="G5">
        <v>2016</v>
      </c>
      <c r="H5" t="s">
        <v>511</v>
      </c>
      <c r="I5">
        <v>2</v>
      </c>
      <c r="J5" s="92">
        <v>3069035.537</v>
      </c>
      <c r="K5" s="92">
        <f t="shared" ref="K5:L57" si="0">J5/1000</f>
        <v>3069.0355370000002</v>
      </c>
      <c r="L5" s="96">
        <f t="shared" si="0"/>
        <v>3.0690355370000004</v>
      </c>
    </row>
    <row r="6" spans="1:12" hidden="1">
      <c r="A6" t="s">
        <v>508</v>
      </c>
      <c r="B6" t="s">
        <v>381</v>
      </c>
      <c r="C6">
        <v>730820</v>
      </c>
      <c r="D6" t="s">
        <v>509</v>
      </c>
      <c r="E6" t="s">
        <v>510</v>
      </c>
      <c r="F6" t="s">
        <v>483</v>
      </c>
      <c r="G6">
        <v>2017</v>
      </c>
      <c r="H6" t="s">
        <v>511</v>
      </c>
      <c r="I6">
        <v>2</v>
      </c>
      <c r="J6" s="92">
        <v>2608635.1379999998</v>
      </c>
      <c r="K6" s="92">
        <f t="shared" si="0"/>
        <v>2608.6351379999996</v>
      </c>
      <c r="L6" s="96">
        <f t="shared" si="0"/>
        <v>2.6086351379999995</v>
      </c>
    </row>
    <row r="7" spans="1:12" hidden="1">
      <c r="A7" t="s">
        <v>508</v>
      </c>
      <c r="B7" t="s">
        <v>381</v>
      </c>
      <c r="C7">
        <v>730890</v>
      </c>
      <c r="D7" t="s">
        <v>509</v>
      </c>
      <c r="E7" t="s">
        <v>510</v>
      </c>
      <c r="F7" t="s">
        <v>483</v>
      </c>
      <c r="G7">
        <v>2015</v>
      </c>
      <c r="H7" t="s">
        <v>511</v>
      </c>
      <c r="I7">
        <v>2</v>
      </c>
      <c r="J7" s="92">
        <v>34685515.682999998</v>
      </c>
      <c r="K7" s="92">
        <f t="shared" si="0"/>
        <v>34685.515682999998</v>
      </c>
      <c r="L7" s="96">
        <f t="shared" si="0"/>
        <v>34.685515682999998</v>
      </c>
    </row>
    <row r="8" spans="1:12" hidden="1">
      <c r="A8" t="s">
        <v>508</v>
      </c>
      <c r="B8" t="s">
        <v>381</v>
      </c>
      <c r="C8">
        <v>730890</v>
      </c>
      <c r="D8" t="s">
        <v>509</v>
      </c>
      <c r="E8" t="s">
        <v>510</v>
      </c>
      <c r="F8" t="s">
        <v>483</v>
      </c>
      <c r="G8">
        <v>2016</v>
      </c>
      <c r="H8" t="s">
        <v>511</v>
      </c>
      <c r="I8">
        <v>2</v>
      </c>
      <c r="J8" s="92">
        <v>33696509.362999998</v>
      </c>
      <c r="K8" s="92">
        <f t="shared" si="0"/>
        <v>33696.509362999997</v>
      </c>
      <c r="L8" s="96">
        <f t="shared" si="0"/>
        <v>33.696509362999997</v>
      </c>
    </row>
    <row r="9" spans="1:12" hidden="1">
      <c r="A9" t="s">
        <v>508</v>
      </c>
      <c r="B9" t="s">
        <v>381</v>
      </c>
      <c r="C9">
        <v>730890</v>
      </c>
      <c r="D9" t="s">
        <v>509</v>
      </c>
      <c r="E9" t="s">
        <v>510</v>
      </c>
      <c r="F9" t="s">
        <v>483</v>
      </c>
      <c r="G9">
        <v>2017</v>
      </c>
      <c r="H9" t="s">
        <v>511</v>
      </c>
      <c r="I9">
        <v>2</v>
      </c>
      <c r="J9" s="92">
        <v>34506973.295999996</v>
      </c>
      <c r="K9" s="92">
        <f t="shared" si="0"/>
        <v>34506.973295999996</v>
      </c>
      <c r="L9" s="96">
        <f t="shared" si="0"/>
        <v>34.506973295999998</v>
      </c>
    </row>
    <row r="10" spans="1:12" hidden="1">
      <c r="A10" t="s">
        <v>508</v>
      </c>
      <c r="B10" t="s">
        <v>381</v>
      </c>
      <c r="C10">
        <v>841280</v>
      </c>
      <c r="D10" t="s">
        <v>509</v>
      </c>
      <c r="E10" t="s">
        <v>510</v>
      </c>
      <c r="F10" t="s">
        <v>483</v>
      </c>
      <c r="G10">
        <v>2015</v>
      </c>
      <c r="H10" t="s">
        <v>511</v>
      </c>
      <c r="I10">
        <v>2</v>
      </c>
      <c r="J10" s="92">
        <v>878634.23899999994</v>
      </c>
      <c r="K10" s="92">
        <f t="shared" si="0"/>
        <v>878.63423899999998</v>
      </c>
      <c r="L10" s="96">
        <f t="shared" si="0"/>
        <v>0.87863423899999993</v>
      </c>
    </row>
    <row r="11" spans="1:12" hidden="1">
      <c r="A11" t="s">
        <v>508</v>
      </c>
      <c r="B11" t="s">
        <v>381</v>
      </c>
      <c r="C11">
        <v>841280</v>
      </c>
      <c r="D11" t="s">
        <v>509</v>
      </c>
      <c r="E11" t="s">
        <v>510</v>
      </c>
      <c r="F11" t="s">
        <v>483</v>
      </c>
      <c r="G11">
        <v>2016</v>
      </c>
      <c r="H11" t="s">
        <v>511</v>
      </c>
      <c r="I11">
        <v>2</v>
      </c>
      <c r="J11" s="92">
        <v>765045.228</v>
      </c>
      <c r="K11" s="92">
        <f t="shared" si="0"/>
        <v>765.04522799999995</v>
      </c>
      <c r="L11" s="96">
        <f t="shared" si="0"/>
        <v>0.76504522799999997</v>
      </c>
    </row>
    <row r="12" spans="1:12" hidden="1">
      <c r="A12" t="s">
        <v>508</v>
      </c>
      <c r="B12" t="s">
        <v>381</v>
      </c>
      <c r="C12">
        <v>841280</v>
      </c>
      <c r="D12" t="s">
        <v>509</v>
      </c>
      <c r="E12" t="s">
        <v>510</v>
      </c>
      <c r="F12" t="s">
        <v>483</v>
      </c>
      <c r="G12">
        <v>2017</v>
      </c>
      <c r="H12" t="s">
        <v>511</v>
      </c>
      <c r="I12">
        <v>2</v>
      </c>
      <c r="J12" s="92">
        <v>702782.79200000002</v>
      </c>
      <c r="K12" s="92">
        <f t="shared" si="0"/>
        <v>702.78279199999997</v>
      </c>
      <c r="L12" s="96">
        <f t="shared" si="0"/>
        <v>0.70278279199999993</v>
      </c>
    </row>
    <row r="13" spans="1:12" hidden="1">
      <c r="A13" t="s">
        <v>508</v>
      </c>
      <c r="B13" t="s">
        <v>381</v>
      </c>
      <c r="C13">
        <v>841290</v>
      </c>
      <c r="D13" t="s">
        <v>509</v>
      </c>
      <c r="E13" t="s">
        <v>510</v>
      </c>
      <c r="F13" t="s">
        <v>483</v>
      </c>
      <c r="G13">
        <v>2015</v>
      </c>
      <c r="H13" t="s">
        <v>511</v>
      </c>
      <c r="I13">
        <v>2</v>
      </c>
      <c r="J13" s="92">
        <v>6294096.8799999999</v>
      </c>
      <c r="K13" s="92">
        <f t="shared" si="0"/>
        <v>6294.0968800000001</v>
      </c>
      <c r="L13" s="96">
        <f t="shared" si="0"/>
        <v>6.2940968799999997</v>
      </c>
    </row>
    <row r="14" spans="1:12" hidden="1">
      <c r="A14" t="s">
        <v>508</v>
      </c>
      <c r="B14" t="s">
        <v>381</v>
      </c>
      <c r="C14">
        <v>841290</v>
      </c>
      <c r="D14" t="s">
        <v>509</v>
      </c>
      <c r="E14" t="s">
        <v>510</v>
      </c>
      <c r="F14" t="s">
        <v>483</v>
      </c>
      <c r="G14">
        <v>2016</v>
      </c>
      <c r="H14" t="s">
        <v>511</v>
      </c>
      <c r="I14">
        <v>2</v>
      </c>
      <c r="J14" s="92">
        <v>6267987.9649999999</v>
      </c>
      <c r="K14" s="92">
        <f t="shared" si="0"/>
        <v>6267.9879650000003</v>
      </c>
      <c r="L14" s="96">
        <f t="shared" si="0"/>
        <v>6.2679879650000005</v>
      </c>
    </row>
    <row r="15" spans="1:12" hidden="1">
      <c r="A15" t="s">
        <v>508</v>
      </c>
      <c r="B15" t="s">
        <v>381</v>
      </c>
      <c r="C15">
        <v>841290</v>
      </c>
      <c r="D15" t="s">
        <v>509</v>
      </c>
      <c r="E15" t="s">
        <v>510</v>
      </c>
      <c r="F15" t="s">
        <v>483</v>
      </c>
      <c r="G15">
        <v>2017</v>
      </c>
      <c r="H15" t="s">
        <v>511</v>
      </c>
      <c r="I15">
        <v>2</v>
      </c>
      <c r="J15" s="92">
        <v>6591860.8389999997</v>
      </c>
      <c r="K15" s="92">
        <f t="shared" si="0"/>
        <v>6591.8608389999999</v>
      </c>
      <c r="L15" s="96">
        <f t="shared" si="0"/>
        <v>6.5918608389999997</v>
      </c>
    </row>
    <row r="16" spans="1:12" hidden="1">
      <c r="A16" t="s">
        <v>508</v>
      </c>
      <c r="B16" t="s">
        <v>381</v>
      </c>
      <c r="C16">
        <v>8482</v>
      </c>
      <c r="D16" t="s">
        <v>509</v>
      </c>
      <c r="E16" t="s">
        <v>510</v>
      </c>
      <c r="F16" t="s">
        <v>483</v>
      </c>
      <c r="G16">
        <v>2015</v>
      </c>
      <c r="H16" t="s">
        <v>511</v>
      </c>
      <c r="I16">
        <v>2</v>
      </c>
      <c r="J16" s="92">
        <v>29969770.322999999</v>
      </c>
      <c r="K16" s="92">
        <f t="shared" si="0"/>
        <v>29969.770323000001</v>
      </c>
      <c r="L16" s="96">
        <f t="shared" si="0"/>
        <v>29.969770323000002</v>
      </c>
    </row>
    <row r="17" spans="1:12" hidden="1">
      <c r="A17" t="s">
        <v>508</v>
      </c>
      <c r="B17" t="s">
        <v>381</v>
      </c>
      <c r="C17">
        <v>8482</v>
      </c>
      <c r="D17" t="s">
        <v>509</v>
      </c>
      <c r="E17" t="s">
        <v>510</v>
      </c>
      <c r="F17" t="s">
        <v>483</v>
      </c>
      <c r="G17">
        <v>2016</v>
      </c>
      <c r="H17" t="s">
        <v>511</v>
      </c>
      <c r="I17">
        <v>2</v>
      </c>
      <c r="J17" s="92">
        <v>29174727.767000001</v>
      </c>
      <c r="K17" s="92">
        <f t="shared" si="0"/>
        <v>29174.727767</v>
      </c>
      <c r="L17" s="96">
        <f t="shared" si="0"/>
        <v>29.174727767</v>
      </c>
    </row>
    <row r="18" spans="1:12" hidden="1">
      <c r="A18" t="s">
        <v>508</v>
      </c>
      <c r="B18" t="s">
        <v>381</v>
      </c>
      <c r="C18">
        <v>8482</v>
      </c>
      <c r="D18" t="s">
        <v>509</v>
      </c>
      <c r="E18" t="s">
        <v>510</v>
      </c>
      <c r="F18" t="s">
        <v>483</v>
      </c>
      <c r="G18">
        <v>2017</v>
      </c>
      <c r="H18" t="s">
        <v>511</v>
      </c>
      <c r="I18">
        <v>2</v>
      </c>
      <c r="J18" s="92">
        <v>31260813.247000001</v>
      </c>
      <c r="K18" s="92">
        <f t="shared" si="0"/>
        <v>31260.813247000002</v>
      </c>
      <c r="L18" s="96">
        <f t="shared" si="0"/>
        <v>31.260813247000002</v>
      </c>
    </row>
    <row r="19" spans="1:12" hidden="1">
      <c r="A19" t="s">
        <v>508</v>
      </c>
      <c r="B19" t="s">
        <v>381</v>
      </c>
      <c r="C19">
        <v>850231</v>
      </c>
      <c r="D19" t="s">
        <v>509</v>
      </c>
      <c r="E19" t="s">
        <v>510</v>
      </c>
      <c r="F19" t="s">
        <v>483</v>
      </c>
      <c r="G19">
        <v>2015</v>
      </c>
      <c r="H19" t="s">
        <v>511</v>
      </c>
      <c r="I19">
        <v>2</v>
      </c>
      <c r="J19" s="92">
        <v>7920143.4680000003</v>
      </c>
      <c r="K19" s="92">
        <f t="shared" si="0"/>
        <v>7920.1434680000002</v>
      </c>
      <c r="L19" s="96">
        <f t="shared" si="0"/>
        <v>7.920143468</v>
      </c>
    </row>
    <row r="20" spans="1:12" hidden="1">
      <c r="A20" t="s">
        <v>508</v>
      </c>
      <c r="B20" t="s">
        <v>381</v>
      </c>
      <c r="C20">
        <v>850231</v>
      </c>
      <c r="D20" t="s">
        <v>509</v>
      </c>
      <c r="E20" t="s">
        <v>510</v>
      </c>
      <c r="F20" t="s">
        <v>483</v>
      </c>
      <c r="G20">
        <v>2016</v>
      </c>
      <c r="H20" t="s">
        <v>511</v>
      </c>
      <c r="I20">
        <v>2</v>
      </c>
      <c r="J20" s="92">
        <v>7454164.4890000001</v>
      </c>
      <c r="K20" s="92">
        <f t="shared" si="0"/>
        <v>7454.1644889999998</v>
      </c>
      <c r="L20" s="96">
        <f t="shared" si="0"/>
        <v>7.4541644890000001</v>
      </c>
    </row>
    <row r="21" spans="1:12" hidden="1">
      <c r="A21" t="s">
        <v>508</v>
      </c>
      <c r="B21" t="s">
        <v>381</v>
      </c>
      <c r="C21">
        <v>850231</v>
      </c>
      <c r="D21" t="s">
        <v>509</v>
      </c>
      <c r="E21" t="s">
        <v>510</v>
      </c>
      <c r="F21" t="s">
        <v>483</v>
      </c>
      <c r="G21">
        <v>2017</v>
      </c>
      <c r="H21" t="s">
        <v>511</v>
      </c>
      <c r="I21">
        <v>2</v>
      </c>
      <c r="J21" s="92">
        <v>5422231.3109999998</v>
      </c>
      <c r="K21" s="92">
        <f t="shared" si="0"/>
        <v>5422.2313109999996</v>
      </c>
      <c r="L21" s="96">
        <f t="shared" si="0"/>
        <v>5.4222313109999991</v>
      </c>
    </row>
    <row r="22" spans="1:12" hidden="1">
      <c r="A22" t="s">
        <v>508</v>
      </c>
      <c r="B22" t="s">
        <v>381</v>
      </c>
      <c r="C22">
        <v>850300</v>
      </c>
      <c r="D22" t="s">
        <v>509</v>
      </c>
      <c r="E22" t="s">
        <v>510</v>
      </c>
      <c r="F22" t="s">
        <v>483</v>
      </c>
      <c r="G22">
        <v>2015</v>
      </c>
      <c r="H22" t="s">
        <v>511</v>
      </c>
      <c r="I22">
        <v>2</v>
      </c>
      <c r="J22" s="92">
        <v>16961137.247000001</v>
      </c>
      <c r="K22" s="92">
        <f t="shared" si="0"/>
        <v>16961.137247000002</v>
      </c>
      <c r="L22" s="96">
        <f t="shared" si="0"/>
        <v>16.961137247000003</v>
      </c>
    </row>
    <row r="23" spans="1:12" hidden="1">
      <c r="A23" t="s">
        <v>508</v>
      </c>
      <c r="B23" t="s">
        <v>381</v>
      </c>
      <c r="C23">
        <v>850300</v>
      </c>
      <c r="D23" t="s">
        <v>509</v>
      </c>
      <c r="E23" t="s">
        <v>510</v>
      </c>
      <c r="F23" t="s">
        <v>483</v>
      </c>
      <c r="G23">
        <v>2016</v>
      </c>
      <c r="H23" t="s">
        <v>511</v>
      </c>
      <c r="I23">
        <v>2</v>
      </c>
      <c r="J23" s="92">
        <v>16452620.498</v>
      </c>
      <c r="K23" s="92">
        <f t="shared" si="0"/>
        <v>16452.620498</v>
      </c>
      <c r="L23" s="96">
        <f t="shared" si="0"/>
        <v>16.452620498000002</v>
      </c>
    </row>
    <row r="24" spans="1:12" hidden="1">
      <c r="A24" t="s">
        <v>508</v>
      </c>
      <c r="B24" t="s">
        <v>381</v>
      </c>
      <c r="C24">
        <v>850300</v>
      </c>
      <c r="D24" t="s">
        <v>509</v>
      </c>
      <c r="E24" t="s">
        <v>510</v>
      </c>
      <c r="F24" t="s">
        <v>483</v>
      </c>
      <c r="G24">
        <v>2017</v>
      </c>
      <c r="H24" t="s">
        <v>511</v>
      </c>
      <c r="I24">
        <v>2</v>
      </c>
      <c r="J24" s="92">
        <v>16821573.905000001</v>
      </c>
      <c r="K24" s="92">
        <f t="shared" si="0"/>
        <v>16821.573905000001</v>
      </c>
      <c r="L24" s="96">
        <f t="shared" si="0"/>
        <v>16.821573905000001</v>
      </c>
    </row>
    <row r="25" spans="1:12" hidden="1">
      <c r="A25" t="s">
        <v>508</v>
      </c>
      <c r="B25" t="s">
        <v>381</v>
      </c>
      <c r="C25">
        <v>8504</v>
      </c>
      <c r="D25" t="s">
        <v>509</v>
      </c>
      <c r="E25" t="s">
        <v>510</v>
      </c>
      <c r="F25" t="s">
        <v>483</v>
      </c>
      <c r="G25">
        <v>2015</v>
      </c>
      <c r="H25" t="s">
        <v>511</v>
      </c>
      <c r="I25">
        <v>2</v>
      </c>
      <c r="J25" s="92">
        <v>89306010.615999997</v>
      </c>
      <c r="K25" s="92">
        <f t="shared" si="0"/>
        <v>89306.010616</v>
      </c>
      <c r="L25" s="96">
        <f t="shared" si="0"/>
        <v>89.306010615999995</v>
      </c>
    </row>
    <row r="26" spans="1:12" hidden="1">
      <c r="A26" t="s">
        <v>508</v>
      </c>
      <c r="B26" t="s">
        <v>381</v>
      </c>
      <c r="C26">
        <v>8504</v>
      </c>
      <c r="D26" t="s">
        <v>509</v>
      </c>
      <c r="E26" t="s">
        <v>510</v>
      </c>
      <c r="F26" t="s">
        <v>483</v>
      </c>
      <c r="G26">
        <v>2016</v>
      </c>
      <c r="H26" t="s">
        <v>511</v>
      </c>
      <c r="I26">
        <v>2</v>
      </c>
      <c r="J26" s="92">
        <v>85694506.490999997</v>
      </c>
      <c r="K26" s="92">
        <f t="shared" si="0"/>
        <v>85694.506490999993</v>
      </c>
      <c r="L26" s="96">
        <f t="shared" si="0"/>
        <v>85.694506490999999</v>
      </c>
    </row>
    <row r="27" spans="1:12" hidden="1">
      <c r="A27" t="s">
        <v>508</v>
      </c>
      <c r="B27" t="s">
        <v>381</v>
      </c>
      <c r="C27">
        <v>8504</v>
      </c>
      <c r="D27" t="s">
        <v>509</v>
      </c>
      <c r="E27" t="s">
        <v>510</v>
      </c>
      <c r="F27" t="s">
        <v>483</v>
      </c>
      <c r="G27">
        <v>2017</v>
      </c>
      <c r="H27" t="s">
        <v>511</v>
      </c>
      <c r="I27">
        <v>2</v>
      </c>
      <c r="J27" s="92">
        <v>87768005.658999994</v>
      </c>
      <c r="K27" s="92">
        <f t="shared" si="0"/>
        <v>87768.005658999988</v>
      </c>
      <c r="L27" s="96">
        <f t="shared" si="0"/>
        <v>87.768005658999982</v>
      </c>
    </row>
    <row r="28" spans="1:12" hidden="1">
      <c r="A28" t="s">
        <v>508</v>
      </c>
      <c r="B28" t="s">
        <v>381</v>
      </c>
      <c r="C28">
        <v>853720</v>
      </c>
      <c r="D28" t="s">
        <v>509</v>
      </c>
      <c r="E28" t="s">
        <v>510</v>
      </c>
      <c r="F28" t="s">
        <v>483</v>
      </c>
      <c r="G28">
        <v>2015</v>
      </c>
      <c r="H28" t="s">
        <v>511</v>
      </c>
      <c r="I28">
        <v>2</v>
      </c>
      <c r="J28" s="92">
        <v>6400147.7520000003</v>
      </c>
      <c r="K28" s="92">
        <f t="shared" si="0"/>
        <v>6400.1477520000008</v>
      </c>
      <c r="L28" s="96">
        <f t="shared" si="0"/>
        <v>6.4001477520000005</v>
      </c>
    </row>
    <row r="29" spans="1:12" hidden="1">
      <c r="A29" t="s">
        <v>508</v>
      </c>
      <c r="B29" t="s">
        <v>381</v>
      </c>
      <c r="C29">
        <v>853720</v>
      </c>
      <c r="D29" t="s">
        <v>509</v>
      </c>
      <c r="E29" t="s">
        <v>510</v>
      </c>
      <c r="F29" t="s">
        <v>483</v>
      </c>
      <c r="G29">
        <v>2016</v>
      </c>
      <c r="H29" t="s">
        <v>511</v>
      </c>
      <c r="I29">
        <v>2</v>
      </c>
      <c r="J29" s="92">
        <v>6620478.2970000003</v>
      </c>
      <c r="K29" s="92">
        <f t="shared" si="0"/>
        <v>6620.4782970000006</v>
      </c>
      <c r="L29" s="96">
        <f t="shared" si="0"/>
        <v>6.6204782970000009</v>
      </c>
    </row>
    <row r="30" spans="1:12" hidden="1">
      <c r="A30" t="s">
        <v>508</v>
      </c>
      <c r="B30" t="s">
        <v>381</v>
      </c>
      <c r="C30">
        <v>853720</v>
      </c>
      <c r="D30" t="s">
        <v>509</v>
      </c>
      <c r="E30" t="s">
        <v>510</v>
      </c>
      <c r="F30" t="s">
        <v>483</v>
      </c>
      <c r="G30">
        <v>2017</v>
      </c>
      <c r="H30" t="s">
        <v>511</v>
      </c>
      <c r="I30">
        <v>2</v>
      </c>
      <c r="J30" s="92">
        <v>6309095.0269999998</v>
      </c>
      <c r="K30" s="92">
        <f t="shared" si="0"/>
        <v>6309.0950269999994</v>
      </c>
      <c r="L30" s="96">
        <f t="shared" si="0"/>
        <v>6.3090950269999997</v>
      </c>
    </row>
    <row r="31" spans="1:12" hidden="1">
      <c r="A31" t="s">
        <v>508</v>
      </c>
      <c r="B31" t="s">
        <v>512</v>
      </c>
      <c r="C31">
        <v>730820</v>
      </c>
      <c r="D31" t="s">
        <v>513</v>
      </c>
      <c r="E31" t="s">
        <v>510</v>
      </c>
      <c r="F31" t="s">
        <v>483</v>
      </c>
      <c r="G31">
        <v>2015</v>
      </c>
      <c r="H31" t="s">
        <v>511</v>
      </c>
      <c r="I31">
        <v>2</v>
      </c>
      <c r="J31" s="92">
        <v>17673.5</v>
      </c>
      <c r="K31" s="91">
        <f t="shared" si="0"/>
        <v>17.673500000000001</v>
      </c>
    </row>
    <row r="32" spans="1:12" hidden="1">
      <c r="A32" t="s">
        <v>508</v>
      </c>
      <c r="B32" t="s">
        <v>512</v>
      </c>
      <c r="C32">
        <v>730820</v>
      </c>
      <c r="D32" t="s">
        <v>513</v>
      </c>
      <c r="E32" t="s">
        <v>510</v>
      </c>
      <c r="F32" t="s">
        <v>483</v>
      </c>
      <c r="G32">
        <v>2016</v>
      </c>
      <c r="H32" t="s">
        <v>511</v>
      </c>
      <c r="I32">
        <v>2</v>
      </c>
      <c r="J32" s="92">
        <v>11950.398999999999</v>
      </c>
      <c r="K32" s="91">
        <f t="shared" si="0"/>
        <v>11.950398999999999</v>
      </c>
    </row>
    <row r="33" spans="1:11" hidden="1">
      <c r="A33" t="s">
        <v>508</v>
      </c>
      <c r="B33" t="s">
        <v>512</v>
      </c>
      <c r="C33">
        <v>730820</v>
      </c>
      <c r="D33" t="s">
        <v>513</v>
      </c>
      <c r="E33" t="s">
        <v>510</v>
      </c>
      <c r="F33" t="s">
        <v>483</v>
      </c>
      <c r="G33">
        <v>2017</v>
      </c>
      <c r="H33" t="s">
        <v>511</v>
      </c>
      <c r="I33">
        <v>2</v>
      </c>
      <c r="J33" s="92">
        <v>27080.199000000001</v>
      </c>
      <c r="K33" s="91">
        <f t="shared" si="0"/>
        <v>27.080199</v>
      </c>
    </row>
    <row r="34" spans="1:11" hidden="1">
      <c r="A34" t="s">
        <v>508</v>
      </c>
      <c r="B34" t="s">
        <v>512</v>
      </c>
      <c r="C34">
        <v>730890</v>
      </c>
      <c r="D34" t="s">
        <v>513</v>
      </c>
      <c r="E34" t="s">
        <v>510</v>
      </c>
      <c r="F34" t="s">
        <v>483</v>
      </c>
      <c r="G34">
        <v>2015</v>
      </c>
      <c r="H34" t="s">
        <v>511</v>
      </c>
      <c r="I34">
        <v>2</v>
      </c>
      <c r="J34" s="92">
        <v>499344.06199999998</v>
      </c>
      <c r="K34" s="91">
        <f t="shared" si="0"/>
        <v>499.34406199999995</v>
      </c>
    </row>
    <row r="35" spans="1:11" hidden="1">
      <c r="A35" t="s">
        <v>508</v>
      </c>
      <c r="B35" t="s">
        <v>512</v>
      </c>
      <c r="C35">
        <v>730890</v>
      </c>
      <c r="D35" t="s">
        <v>513</v>
      </c>
      <c r="E35" t="s">
        <v>510</v>
      </c>
      <c r="F35" t="s">
        <v>483</v>
      </c>
      <c r="G35">
        <v>2016</v>
      </c>
      <c r="H35" t="s">
        <v>511</v>
      </c>
      <c r="I35">
        <v>2</v>
      </c>
      <c r="J35" s="92">
        <v>468178.36800000002</v>
      </c>
      <c r="K35" s="91">
        <f t="shared" si="0"/>
        <v>468.17836800000003</v>
      </c>
    </row>
    <row r="36" spans="1:11" hidden="1">
      <c r="A36" t="s">
        <v>508</v>
      </c>
      <c r="B36" t="s">
        <v>512</v>
      </c>
      <c r="C36">
        <v>730890</v>
      </c>
      <c r="D36" t="s">
        <v>513</v>
      </c>
      <c r="E36" t="s">
        <v>510</v>
      </c>
      <c r="F36" t="s">
        <v>483</v>
      </c>
      <c r="G36">
        <v>2017</v>
      </c>
      <c r="H36" t="s">
        <v>511</v>
      </c>
      <c r="I36">
        <v>2</v>
      </c>
      <c r="J36" s="92">
        <v>486008.27399999998</v>
      </c>
      <c r="K36" s="91">
        <f t="shared" si="0"/>
        <v>486.00827399999997</v>
      </c>
    </row>
    <row r="37" spans="1:11" hidden="1">
      <c r="A37" t="s">
        <v>508</v>
      </c>
      <c r="B37" t="s">
        <v>512</v>
      </c>
      <c r="C37">
        <v>841280</v>
      </c>
      <c r="D37" t="s">
        <v>513</v>
      </c>
      <c r="E37" t="s">
        <v>510</v>
      </c>
      <c r="F37" t="s">
        <v>483</v>
      </c>
      <c r="G37">
        <v>2015</v>
      </c>
      <c r="H37" t="s">
        <v>511</v>
      </c>
      <c r="I37">
        <v>2</v>
      </c>
      <c r="J37" s="92">
        <v>7233.0230000000001</v>
      </c>
      <c r="K37" s="91">
        <f t="shared" si="0"/>
        <v>7.2330230000000002</v>
      </c>
    </row>
    <row r="38" spans="1:11" hidden="1">
      <c r="A38" t="s">
        <v>508</v>
      </c>
      <c r="B38" t="s">
        <v>512</v>
      </c>
      <c r="C38">
        <v>841280</v>
      </c>
      <c r="D38" t="s">
        <v>513</v>
      </c>
      <c r="E38" t="s">
        <v>510</v>
      </c>
      <c r="F38" t="s">
        <v>483</v>
      </c>
      <c r="G38">
        <v>2016</v>
      </c>
      <c r="H38" t="s">
        <v>511</v>
      </c>
      <c r="I38">
        <v>2</v>
      </c>
      <c r="J38" s="92">
        <v>11265.15</v>
      </c>
      <c r="K38" s="91">
        <f t="shared" si="0"/>
        <v>11.26515</v>
      </c>
    </row>
    <row r="39" spans="1:11" hidden="1">
      <c r="A39" t="s">
        <v>508</v>
      </c>
      <c r="B39" t="s">
        <v>512</v>
      </c>
      <c r="C39">
        <v>841280</v>
      </c>
      <c r="D39" t="s">
        <v>513</v>
      </c>
      <c r="E39" t="s">
        <v>510</v>
      </c>
      <c r="F39" t="s">
        <v>483</v>
      </c>
      <c r="G39">
        <v>2017</v>
      </c>
      <c r="H39" t="s">
        <v>511</v>
      </c>
      <c r="I39">
        <v>2</v>
      </c>
      <c r="J39" s="92">
        <v>8677.9220000000005</v>
      </c>
      <c r="K39" s="91">
        <f t="shared" si="0"/>
        <v>8.6779220000000006</v>
      </c>
    </row>
    <row r="40" spans="1:11" hidden="1">
      <c r="A40" t="s">
        <v>508</v>
      </c>
      <c r="B40" t="s">
        <v>512</v>
      </c>
      <c r="C40">
        <v>841290</v>
      </c>
      <c r="D40" t="s">
        <v>513</v>
      </c>
      <c r="E40" t="s">
        <v>510</v>
      </c>
      <c r="F40" t="s">
        <v>483</v>
      </c>
      <c r="G40">
        <v>2015</v>
      </c>
      <c r="H40" t="s">
        <v>511</v>
      </c>
      <c r="I40">
        <v>2</v>
      </c>
      <c r="J40" s="92">
        <v>130098.91899999999</v>
      </c>
      <c r="K40" s="91">
        <f t="shared" si="0"/>
        <v>130.098919</v>
      </c>
    </row>
    <row r="41" spans="1:11" hidden="1">
      <c r="A41" t="s">
        <v>508</v>
      </c>
      <c r="B41" t="s">
        <v>512</v>
      </c>
      <c r="C41">
        <v>841290</v>
      </c>
      <c r="D41" t="s">
        <v>513</v>
      </c>
      <c r="E41" t="s">
        <v>510</v>
      </c>
      <c r="F41" t="s">
        <v>483</v>
      </c>
      <c r="G41">
        <v>2016</v>
      </c>
      <c r="H41" t="s">
        <v>511</v>
      </c>
      <c r="I41">
        <v>2</v>
      </c>
      <c r="J41" s="92">
        <v>92198.59</v>
      </c>
      <c r="K41" s="91">
        <f t="shared" si="0"/>
        <v>92.198589999999996</v>
      </c>
    </row>
    <row r="42" spans="1:11" hidden="1">
      <c r="A42" t="s">
        <v>508</v>
      </c>
      <c r="B42" t="s">
        <v>512</v>
      </c>
      <c r="C42">
        <v>841290</v>
      </c>
      <c r="D42" t="s">
        <v>513</v>
      </c>
      <c r="E42" t="s">
        <v>510</v>
      </c>
      <c r="F42" t="s">
        <v>483</v>
      </c>
      <c r="G42">
        <v>2017</v>
      </c>
      <c r="H42" t="s">
        <v>511</v>
      </c>
      <c r="I42">
        <v>2</v>
      </c>
      <c r="J42" s="92">
        <v>103996.99400000001</v>
      </c>
      <c r="K42" s="91">
        <f t="shared" si="0"/>
        <v>103.996994</v>
      </c>
    </row>
    <row r="43" spans="1:11" hidden="1">
      <c r="A43" t="s">
        <v>508</v>
      </c>
      <c r="B43" t="s">
        <v>512</v>
      </c>
      <c r="C43">
        <v>8482</v>
      </c>
      <c r="D43" t="s">
        <v>513</v>
      </c>
      <c r="E43" t="s">
        <v>510</v>
      </c>
      <c r="F43" t="s">
        <v>483</v>
      </c>
      <c r="G43">
        <v>2015</v>
      </c>
      <c r="H43" t="s">
        <v>511</v>
      </c>
      <c r="I43">
        <v>2</v>
      </c>
      <c r="J43" s="92">
        <v>593512.86300000001</v>
      </c>
      <c r="K43" s="91">
        <f t="shared" si="0"/>
        <v>593.51286300000004</v>
      </c>
    </row>
    <row r="44" spans="1:11" hidden="1">
      <c r="A44" t="s">
        <v>508</v>
      </c>
      <c r="B44" t="s">
        <v>512</v>
      </c>
      <c r="C44">
        <v>8482</v>
      </c>
      <c r="D44" t="s">
        <v>513</v>
      </c>
      <c r="E44" t="s">
        <v>510</v>
      </c>
      <c r="F44" t="s">
        <v>483</v>
      </c>
      <c r="G44">
        <v>2016</v>
      </c>
      <c r="H44" t="s">
        <v>511</v>
      </c>
      <c r="I44">
        <v>2</v>
      </c>
      <c r="J44" s="92">
        <v>508653.36900000001</v>
      </c>
      <c r="K44" s="91">
        <f t="shared" si="0"/>
        <v>508.653369</v>
      </c>
    </row>
    <row r="45" spans="1:11" hidden="1">
      <c r="A45" t="s">
        <v>508</v>
      </c>
      <c r="B45" t="s">
        <v>512</v>
      </c>
      <c r="C45">
        <v>8482</v>
      </c>
      <c r="D45" t="s">
        <v>513</v>
      </c>
      <c r="E45" t="s">
        <v>510</v>
      </c>
      <c r="F45" t="s">
        <v>483</v>
      </c>
      <c r="G45">
        <v>2017</v>
      </c>
      <c r="H45" t="s">
        <v>511</v>
      </c>
      <c r="I45">
        <v>2</v>
      </c>
      <c r="J45" s="92">
        <v>549753.58900000004</v>
      </c>
      <c r="K45" s="91">
        <f t="shared" si="0"/>
        <v>549.75358900000003</v>
      </c>
    </row>
    <row r="46" spans="1:11" hidden="1">
      <c r="A46" t="s">
        <v>508</v>
      </c>
      <c r="B46" t="s">
        <v>512</v>
      </c>
      <c r="C46">
        <v>850231</v>
      </c>
      <c r="D46" t="s">
        <v>513</v>
      </c>
      <c r="E46" t="s">
        <v>510</v>
      </c>
      <c r="F46" t="s">
        <v>483</v>
      </c>
      <c r="G46">
        <v>2015</v>
      </c>
      <c r="H46" t="s">
        <v>511</v>
      </c>
      <c r="I46">
        <v>2</v>
      </c>
      <c r="J46" s="92">
        <v>9110.5859999999993</v>
      </c>
      <c r="K46" s="91">
        <f t="shared" si="0"/>
        <v>9.1105859999999996</v>
      </c>
    </row>
    <row r="47" spans="1:11" hidden="1">
      <c r="A47" t="s">
        <v>508</v>
      </c>
      <c r="B47" t="s">
        <v>512</v>
      </c>
      <c r="C47">
        <v>850231</v>
      </c>
      <c r="D47" t="s">
        <v>513</v>
      </c>
      <c r="E47" t="s">
        <v>510</v>
      </c>
      <c r="F47" t="s">
        <v>483</v>
      </c>
      <c r="G47">
        <v>2016</v>
      </c>
      <c r="H47" t="s">
        <v>511</v>
      </c>
      <c r="I47">
        <v>2</v>
      </c>
      <c r="J47" s="92">
        <v>6222.6549999999997</v>
      </c>
      <c r="K47" s="91">
        <f t="shared" si="0"/>
        <v>6.2226549999999996</v>
      </c>
    </row>
    <row r="48" spans="1:11" hidden="1">
      <c r="A48" t="s">
        <v>508</v>
      </c>
      <c r="B48" t="s">
        <v>512</v>
      </c>
      <c r="C48">
        <v>850231</v>
      </c>
      <c r="D48" t="s">
        <v>513</v>
      </c>
      <c r="E48" t="s">
        <v>510</v>
      </c>
      <c r="F48" t="s">
        <v>483</v>
      </c>
      <c r="G48">
        <v>2017</v>
      </c>
      <c r="H48" t="s">
        <v>511</v>
      </c>
      <c r="I48">
        <v>2</v>
      </c>
      <c r="J48" s="92">
        <v>4343.7280000000001</v>
      </c>
      <c r="K48" s="91">
        <f t="shared" si="0"/>
        <v>4.3437280000000005</v>
      </c>
    </row>
    <row r="49" spans="1:12" hidden="1">
      <c r="A49" t="s">
        <v>508</v>
      </c>
      <c r="B49" t="s">
        <v>512</v>
      </c>
      <c r="C49">
        <v>850300</v>
      </c>
      <c r="D49" t="s">
        <v>513</v>
      </c>
      <c r="E49" t="s">
        <v>510</v>
      </c>
      <c r="F49" t="s">
        <v>483</v>
      </c>
      <c r="G49">
        <v>2015</v>
      </c>
      <c r="H49" t="s">
        <v>511</v>
      </c>
      <c r="I49">
        <v>2</v>
      </c>
      <c r="J49" s="92">
        <v>275565.94199999998</v>
      </c>
      <c r="K49" s="91">
        <f t="shared" si="0"/>
        <v>275.56594200000001</v>
      </c>
    </row>
    <row r="50" spans="1:12" hidden="1">
      <c r="A50" t="s">
        <v>508</v>
      </c>
      <c r="B50" t="s">
        <v>512</v>
      </c>
      <c r="C50">
        <v>850300</v>
      </c>
      <c r="D50" t="s">
        <v>513</v>
      </c>
      <c r="E50" t="s">
        <v>510</v>
      </c>
      <c r="F50" t="s">
        <v>483</v>
      </c>
      <c r="G50">
        <v>2016</v>
      </c>
      <c r="H50" t="s">
        <v>511</v>
      </c>
      <c r="I50">
        <v>2</v>
      </c>
      <c r="J50" s="92">
        <v>234789.13699999999</v>
      </c>
      <c r="K50" s="91">
        <f t="shared" si="0"/>
        <v>234.78913699999998</v>
      </c>
    </row>
    <row r="51" spans="1:12" hidden="1">
      <c r="A51" t="s">
        <v>508</v>
      </c>
      <c r="B51" t="s">
        <v>512</v>
      </c>
      <c r="C51">
        <v>850300</v>
      </c>
      <c r="D51" t="s">
        <v>513</v>
      </c>
      <c r="E51" t="s">
        <v>510</v>
      </c>
      <c r="F51" t="s">
        <v>483</v>
      </c>
      <c r="G51">
        <v>2017</v>
      </c>
      <c r="H51" t="s">
        <v>511</v>
      </c>
      <c r="I51">
        <v>2</v>
      </c>
      <c r="J51" s="92">
        <v>258388.15599999999</v>
      </c>
      <c r="K51" s="91">
        <f t="shared" si="0"/>
        <v>258.38815599999998</v>
      </c>
    </row>
    <row r="52" spans="1:12" hidden="1">
      <c r="A52" t="s">
        <v>508</v>
      </c>
      <c r="B52" t="s">
        <v>512</v>
      </c>
      <c r="C52">
        <v>8504</v>
      </c>
      <c r="D52" t="s">
        <v>513</v>
      </c>
      <c r="E52" t="s">
        <v>510</v>
      </c>
      <c r="F52" t="s">
        <v>483</v>
      </c>
      <c r="G52">
        <v>2015</v>
      </c>
      <c r="H52" t="s">
        <v>511</v>
      </c>
      <c r="I52">
        <v>2</v>
      </c>
      <c r="J52" s="92">
        <v>1306254.997</v>
      </c>
      <c r="K52" s="91">
        <f t="shared" si="0"/>
        <v>1306.254997</v>
      </c>
    </row>
    <row r="53" spans="1:12" hidden="1">
      <c r="A53" t="s">
        <v>508</v>
      </c>
      <c r="B53" t="s">
        <v>512</v>
      </c>
      <c r="C53">
        <v>8504</v>
      </c>
      <c r="D53" t="s">
        <v>513</v>
      </c>
      <c r="E53" t="s">
        <v>510</v>
      </c>
      <c r="F53" t="s">
        <v>483</v>
      </c>
      <c r="G53">
        <v>2016</v>
      </c>
      <c r="H53" t="s">
        <v>511</v>
      </c>
      <c r="I53">
        <v>2</v>
      </c>
      <c r="J53" s="92">
        <v>1177418.6640000001</v>
      </c>
      <c r="K53" s="91">
        <f t="shared" si="0"/>
        <v>1177.418664</v>
      </c>
    </row>
    <row r="54" spans="1:12" hidden="1">
      <c r="A54" t="s">
        <v>508</v>
      </c>
      <c r="B54" t="s">
        <v>512</v>
      </c>
      <c r="C54">
        <v>8504</v>
      </c>
      <c r="D54" t="s">
        <v>513</v>
      </c>
      <c r="E54" t="s">
        <v>510</v>
      </c>
      <c r="F54" t="s">
        <v>483</v>
      </c>
      <c r="G54">
        <v>2017</v>
      </c>
      <c r="H54" t="s">
        <v>511</v>
      </c>
      <c r="I54">
        <v>2</v>
      </c>
      <c r="J54" s="92">
        <v>1286236.9990000001</v>
      </c>
      <c r="K54" s="91">
        <f t="shared" si="0"/>
        <v>1286.236999</v>
      </c>
    </row>
    <row r="55" spans="1:12" hidden="1">
      <c r="A55" t="s">
        <v>508</v>
      </c>
      <c r="B55" t="s">
        <v>512</v>
      </c>
      <c r="C55">
        <v>853720</v>
      </c>
      <c r="D55" t="s">
        <v>513</v>
      </c>
      <c r="E55" t="s">
        <v>510</v>
      </c>
      <c r="F55" t="s">
        <v>483</v>
      </c>
      <c r="G55">
        <v>2015</v>
      </c>
      <c r="H55" t="s">
        <v>511</v>
      </c>
      <c r="I55">
        <v>2</v>
      </c>
      <c r="J55" s="92">
        <v>51453.521000000001</v>
      </c>
      <c r="K55" s="91">
        <f t="shared" si="0"/>
        <v>51.453521000000002</v>
      </c>
    </row>
    <row r="56" spans="1:12" hidden="1">
      <c r="A56" t="s">
        <v>508</v>
      </c>
      <c r="B56" t="s">
        <v>512</v>
      </c>
      <c r="C56">
        <v>853720</v>
      </c>
      <c r="D56" t="s">
        <v>513</v>
      </c>
      <c r="E56" t="s">
        <v>510</v>
      </c>
      <c r="F56" t="s">
        <v>483</v>
      </c>
      <c r="G56">
        <v>2016</v>
      </c>
      <c r="H56" t="s">
        <v>511</v>
      </c>
      <c r="I56">
        <v>2</v>
      </c>
      <c r="J56" s="92">
        <v>30347.157999999999</v>
      </c>
      <c r="K56" s="91">
        <f t="shared" si="0"/>
        <v>30.347158</v>
      </c>
    </row>
    <row r="57" spans="1:12" hidden="1">
      <c r="A57" t="s">
        <v>508</v>
      </c>
      <c r="B57" t="s">
        <v>512</v>
      </c>
      <c r="C57">
        <v>853720</v>
      </c>
      <c r="D57" t="s">
        <v>513</v>
      </c>
      <c r="E57" t="s">
        <v>510</v>
      </c>
      <c r="F57" t="s">
        <v>483</v>
      </c>
      <c r="G57">
        <v>2017</v>
      </c>
      <c r="H57" t="s">
        <v>511</v>
      </c>
      <c r="I57">
        <v>2</v>
      </c>
      <c r="J57" s="92">
        <v>32234.019</v>
      </c>
      <c r="K57" s="91">
        <f t="shared" si="0"/>
        <v>32.234019000000004</v>
      </c>
    </row>
    <row r="58" spans="1:12" hidden="1"/>
    <row r="59" spans="1:12" hidden="1"/>
    <row r="60" spans="1:12" hidden="1"/>
    <row r="61" spans="1:12" hidden="1">
      <c r="A61" t="s">
        <v>497</v>
      </c>
      <c r="B61" t="s">
        <v>498</v>
      </c>
      <c r="C61" t="s">
        <v>499</v>
      </c>
      <c r="D61" t="s">
        <v>500</v>
      </c>
      <c r="E61" t="s">
        <v>501</v>
      </c>
      <c r="F61" t="s">
        <v>502</v>
      </c>
      <c r="G61" t="s">
        <v>446</v>
      </c>
      <c r="H61" t="s">
        <v>503</v>
      </c>
      <c r="I61" t="s">
        <v>504</v>
      </c>
      <c r="J61" t="s">
        <v>505</v>
      </c>
      <c r="K61" s="93" t="s">
        <v>506</v>
      </c>
      <c r="L61" s="93" t="s">
        <v>507</v>
      </c>
    </row>
    <row r="62" spans="1:12" hidden="1">
      <c r="A62" t="s">
        <v>508</v>
      </c>
      <c r="B62" t="s">
        <v>381</v>
      </c>
      <c r="C62" t="s">
        <v>514</v>
      </c>
      <c r="D62" t="s">
        <v>509</v>
      </c>
      <c r="E62" t="s">
        <v>510</v>
      </c>
      <c r="F62" t="s">
        <v>483</v>
      </c>
      <c r="G62">
        <v>2015</v>
      </c>
      <c r="H62" t="s">
        <v>511</v>
      </c>
      <c r="I62">
        <v>2</v>
      </c>
      <c r="J62" s="92">
        <v>16016829402.219</v>
      </c>
      <c r="K62" s="92">
        <f>J62/1000</f>
        <v>16016829.402218999</v>
      </c>
      <c r="L62" s="92">
        <f>K62/1000</f>
        <v>16016.829402218998</v>
      </c>
    </row>
    <row r="63" spans="1:12" hidden="1">
      <c r="A63" t="s">
        <v>508</v>
      </c>
      <c r="B63" t="s">
        <v>381</v>
      </c>
      <c r="C63" t="s">
        <v>514</v>
      </c>
      <c r="D63" t="s">
        <v>509</v>
      </c>
      <c r="E63" t="s">
        <v>510</v>
      </c>
      <c r="F63" t="s">
        <v>483</v>
      </c>
      <c r="G63">
        <v>2016</v>
      </c>
      <c r="H63" t="s">
        <v>511</v>
      </c>
      <c r="I63">
        <v>2</v>
      </c>
      <c r="J63" s="92">
        <v>15476719983.139</v>
      </c>
      <c r="K63" s="92">
        <f t="shared" ref="K63:L63" si="1">J63/1000</f>
        <v>15476719.983139001</v>
      </c>
      <c r="L63" s="92">
        <f t="shared" si="1"/>
        <v>15476.719983139001</v>
      </c>
    </row>
    <row r="64" spans="1:12" hidden="1">
      <c r="A64" t="s">
        <v>508</v>
      </c>
      <c r="B64" t="s">
        <v>381</v>
      </c>
      <c r="C64" t="s">
        <v>514</v>
      </c>
      <c r="D64" t="s">
        <v>509</v>
      </c>
      <c r="E64" t="s">
        <v>510</v>
      </c>
      <c r="F64" t="s">
        <v>483</v>
      </c>
      <c r="G64">
        <v>2017</v>
      </c>
      <c r="H64" t="s">
        <v>511</v>
      </c>
      <c r="I64">
        <v>2</v>
      </c>
      <c r="J64" s="92">
        <v>15688599968.076</v>
      </c>
      <c r="K64" s="92">
        <f t="shared" ref="K64:L64" si="2">J64/1000</f>
        <v>15688599.968076</v>
      </c>
      <c r="L64" s="92">
        <f t="shared" si="2"/>
        <v>15688.599968076</v>
      </c>
    </row>
    <row r="65" spans="1:12" hidden="1">
      <c r="A65" t="s">
        <v>508</v>
      </c>
      <c r="B65" t="s">
        <v>512</v>
      </c>
      <c r="C65" t="s">
        <v>514</v>
      </c>
      <c r="D65" t="s">
        <v>513</v>
      </c>
      <c r="E65" t="s">
        <v>510</v>
      </c>
      <c r="F65" t="s">
        <v>483</v>
      </c>
      <c r="G65">
        <v>2015</v>
      </c>
      <c r="H65" t="s">
        <v>511</v>
      </c>
      <c r="I65">
        <v>2</v>
      </c>
      <c r="J65" s="92">
        <v>466295682.75400001</v>
      </c>
      <c r="K65" s="92">
        <f t="shared" ref="K65:L65" si="3">J65/1000</f>
        <v>466295.68275400001</v>
      </c>
      <c r="L65" s="92">
        <f t="shared" si="3"/>
        <v>466.29568275399998</v>
      </c>
    </row>
    <row r="66" spans="1:12" hidden="1">
      <c r="A66" t="s">
        <v>508</v>
      </c>
      <c r="B66" t="s">
        <v>512</v>
      </c>
      <c r="C66" t="s">
        <v>514</v>
      </c>
      <c r="D66" t="s">
        <v>513</v>
      </c>
      <c r="E66" t="s">
        <v>510</v>
      </c>
      <c r="F66" t="s">
        <v>483</v>
      </c>
      <c r="G66">
        <v>2016</v>
      </c>
      <c r="H66" t="s">
        <v>511</v>
      </c>
      <c r="I66">
        <v>2</v>
      </c>
      <c r="J66" s="92">
        <v>411463355.625</v>
      </c>
      <c r="K66" s="92">
        <f t="shared" ref="K66:L66" si="4">J66/1000</f>
        <v>411463.35562500003</v>
      </c>
      <c r="L66" s="92">
        <f t="shared" si="4"/>
        <v>411.46335562500002</v>
      </c>
    </row>
    <row r="67" spans="1:12" hidden="1">
      <c r="A67" t="s">
        <v>508</v>
      </c>
      <c r="B67" t="s">
        <v>512</v>
      </c>
      <c r="C67" t="s">
        <v>514</v>
      </c>
      <c r="D67" t="s">
        <v>513</v>
      </c>
      <c r="E67" t="s">
        <v>510</v>
      </c>
      <c r="F67" t="s">
        <v>483</v>
      </c>
      <c r="G67">
        <v>2017</v>
      </c>
      <c r="H67" t="s">
        <v>511</v>
      </c>
      <c r="I67">
        <v>2</v>
      </c>
      <c r="J67" s="92">
        <v>442065707.22399998</v>
      </c>
      <c r="K67" s="92">
        <f t="shared" ref="K67:L67" si="5">J67/1000</f>
        <v>442065.70722399995</v>
      </c>
      <c r="L67" s="92">
        <f t="shared" si="5"/>
        <v>442.06570722399994</v>
      </c>
    </row>
    <row r="68" spans="1:12" hidden="1"/>
    <row r="71" spans="1:12">
      <c r="A71" t="s">
        <v>497</v>
      </c>
      <c r="B71" t="s">
        <v>498</v>
      </c>
      <c r="C71" t="s">
        <v>499</v>
      </c>
      <c r="D71" t="s">
        <v>500</v>
      </c>
      <c r="E71" t="s">
        <v>501</v>
      </c>
      <c r="F71" t="s">
        <v>502</v>
      </c>
      <c r="G71" t="s">
        <v>446</v>
      </c>
      <c r="H71" t="s">
        <v>503</v>
      </c>
      <c r="I71" t="s">
        <v>504</v>
      </c>
      <c r="J71" t="s">
        <v>505</v>
      </c>
      <c r="K71" s="93" t="s">
        <v>506</v>
      </c>
      <c r="L71" s="93" t="s">
        <v>507</v>
      </c>
    </row>
    <row r="72" spans="1:12">
      <c r="A72" t="s">
        <v>508</v>
      </c>
      <c r="B72" t="s">
        <v>381</v>
      </c>
      <c r="C72">
        <v>730820</v>
      </c>
      <c r="D72" t="s">
        <v>509</v>
      </c>
      <c r="E72" t="s">
        <v>510</v>
      </c>
      <c r="F72" t="s">
        <v>483</v>
      </c>
      <c r="G72">
        <v>2015</v>
      </c>
      <c r="H72" t="s">
        <v>515</v>
      </c>
      <c r="I72">
        <v>6</v>
      </c>
      <c r="J72">
        <v>3068656.09</v>
      </c>
      <c r="K72" s="92">
        <f>J72/1000</f>
        <v>3068.6560899999999</v>
      </c>
      <c r="L72" s="91">
        <f>K72/1000</f>
        <v>3.0686560900000002</v>
      </c>
    </row>
    <row r="73" spans="1:12">
      <c r="A73" t="s">
        <v>508</v>
      </c>
      <c r="B73" t="s">
        <v>381</v>
      </c>
      <c r="C73">
        <v>730820</v>
      </c>
      <c r="D73" t="s">
        <v>509</v>
      </c>
      <c r="E73" t="s">
        <v>510</v>
      </c>
      <c r="F73" t="s">
        <v>483</v>
      </c>
      <c r="G73">
        <v>2016</v>
      </c>
      <c r="H73" t="s">
        <v>515</v>
      </c>
      <c r="I73">
        <v>6</v>
      </c>
      <c r="J73">
        <v>3065322.2949999999</v>
      </c>
      <c r="K73" s="92">
        <f t="shared" ref="K73:K77" si="6">J73/1000</f>
        <v>3065.3222949999999</v>
      </c>
      <c r="L73" s="91">
        <f t="shared" ref="L73:L77" si="7">K73/1000</f>
        <v>3.0653222950000001</v>
      </c>
    </row>
    <row r="74" spans="1:12">
      <c r="A74" t="s">
        <v>508</v>
      </c>
      <c r="B74" t="s">
        <v>381</v>
      </c>
      <c r="C74">
        <v>730820</v>
      </c>
      <c r="D74" t="s">
        <v>509</v>
      </c>
      <c r="E74" t="s">
        <v>510</v>
      </c>
      <c r="F74" t="s">
        <v>483</v>
      </c>
      <c r="G74">
        <v>2017</v>
      </c>
      <c r="H74" t="s">
        <v>515</v>
      </c>
      <c r="I74">
        <v>6</v>
      </c>
      <c r="J74">
        <v>2603758.4240000001</v>
      </c>
      <c r="K74" s="92">
        <f t="shared" si="6"/>
        <v>2603.7584240000001</v>
      </c>
      <c r="L74" s="91">
        <f t="shared" si="7"/>
        <v>2.603758424</v>
      </c>
    </row>
    <row r="75" spans="1:12">
      <c r="A75" t="s">
        <v>508</v>
      </c>
      <c r="B75" t="s">
        <v>381</v>
      </c>
      <c r="C75">
        <v>730890</v>
      </c>
      <c r="D75" t="s">
        <v>509</v>
      </c>
      <c r="E75" t="s">
        <v>510</v>
      </c>
      <c r="F75" t="s">
        <v>483</v>
      </c>
      <c r="G75">
        <v>2015</v>
      </c>
      <c r="H75" t="s">
        <v>515</v>
      </c>
      <c r="I75">
        <v>6</v>
      </c>
      <c r="J75">
        <v>34327265.316</v>
      </c>
      <c r="K75" s="92">
        <f t="shared" si="6"/>
        <v>34327.265315999997</v>
      </c>
      <c r="L75" s="91">
        <f t="shared" si="7"/>
        <v>34.327265315999995</v>
      </c>
    </row>
    <row r="76" spans="1:12">
      <c r="A76" t="s">
        <v>508</v>
      </c>
      <c r="B76" t="s">
        <v>381</v>
      </c>
      <c r="C76">
        <v>730890</v>
      </c>
      <c r="D76" t="s">
        <v>509</v>
      </c>
      <c r="E76" t="s">
        <v>510</v>
      </c>
      <c r="F76" t="s">
        <v>483</v>
      </c>
      <c r="G76">
        <v>2016</v>
      </c>
      <c r="H76" t="s">
        <v>515</v>
      </c>
      <c r="I76">
        <v>6</v>
      </c>
      <c r="J76">
        <v>33508590.081</v>
      </c>
      <c r="K76" s="92">
        <f t="shared" si="6"/>
        <v>33508.590081000002</v>
      </c>
      <c r="L76" s="91">
        <f t="shared" si="7"/>
        <v>33.508590081000001</v>
      </c>
    </row>
    <row r="77" spans="1:12">
      <c r="A77" t="s">
        <v>508</v>
      </c>
      <c r="B77" t="s">
        <v>381</v>
      </c>
      <c r="C77">
        <v>730890</v>
      </c>
      <c r="D77" t="s">
        <v>509</v>
      </c>
      <c r="E77" t="s">
        <v>510</v>
      </c>
      <c r="F77" t="s">
        <v>483</v>
      </c>
      <c r="G77">
        <v>2017</v>
      </c>
      <c r="H77" t="s">
        <v>515</v>
      </c>
      <c r="I77">
        <v>6</v>
      </c>
      <c r="J77">
        <v>34329322.843000002</v>
      </c>
      <c r="K77" s="92">
        <f t="shared" si="6"/>
        <v>34329.322843000002</v>
      </c>
      <c r="L77" s="91">
        <f t="shared" si="7"/>
        <v>34.329322843</v>
      </c>
    </row>
    <row r="78" spans="1:12">
      <c r="A78" t="s">
        <v>508</v>
      </c>
      <c r="B78" t="s">
        <v>381</v>
      </c>
      <c r="C78">
        <v>841280</v>
      </c>
      <c r="D78" t="s">
        <v>509</v>
      </c>
      <c r="E78" t="s">
        <v>510</v>
      </c>
      <c r="F78" t="s">
        <v>483</v>
      </c>
      <c r="G78">
        <v>2015</v>
      </c>
      <c r="H78" t="s">
        <v>515</v>
      </c>
      <c r="I78">
        <v>6</v>
      </c>
      <c r="J78">
        <v>811760.31200000003</v>
      </c>
      <c r="K78" s="92">
        <f t="shared" ref="K78:K131" si="8">J78/1000</f>
        <v>811.760312</v>
      </c>
      <c r="L78" s="91">
        <f t="shared" ref="L78:L101" si="9">K78/1000</f>
        <v>0.81176031199999998</v>
      </c>
    </row>
    <row r="79" spans="1:12">
      <c r="A79" t="s">
        <v>508</v>
      </c>
      <c r="B79" t="s">
        <v>381</v>
      </c>
      <c r="C79">
        <v>841280</v>
      </c>
      <c r="D79" t="s">
        <v>509</v>
      </c>
      <c r="E79" t="s">
        <v>510</v>
      </c>
      <c r="F79" t="s">
        <v>483</v>
      </c>
      <c r="G79">
        <v>2016</v>
      </c>
      <c r="H79" t="s">
        <v>515</v>
      </c>
      <c r="I79">
        <v>6</v>
      </c>
      <c r="J79">
        <v>697116.50699999998</v>
      </c>
      <c r="K79" s="92">
        <f t="shared" si="8"/>
        <v>697.11650699999996</v>
      </c>
      <c r="L79" s="91">
        <f t="shared" si="9"/>
        <v>0.69711650699999994</v>
      </c>
    </row>
    <row r="80" spans="1:12">
      <c r="A80" t="s">
        <v>508</v>
      </c>
      <c r="B80" t="s">
        <v>381</v>
      </c>
      <c r="C80">
        <v>841280</v>
      </c>
      <c r="D80" t="s">
        <v>509</v>
      </c>
      <c r="E80" t="s">
        <v>510</v>
      </c>
      <c r="F80" t="s">
        <v>483</v>
      </c>
      <c r="G80">
        <v>2017</v>
      </c>
      <c r="H80" t="s">
        <v>515</v>
      </c>
      <c r="I80">
        <v>6</v>
      </c>
      <c r="J80">
        <v>634408.16899999999</v>
      </c>
      <c r="K80" s="92">
        <f t="shared" si="8"/>
        <v>634.40816900000004</v>
      </c>
      <c r="L80" s="91">
        <f t="shared" si="9"/>
        <v>0.63440816900000008</v>
      </c>
    </row>
    <row r="81" spans="1:12">
      <c r="A81" t="s">
        <v>508</v>
      </c>
      <c r="B81" t="s">
        <v>381</v>
      </c>
      <c r="C81">
        <v>841290</v>
      </c>
      <c r="D81" t="s">
        <v>509</v>
      </c>
      <c r="E81" t="s">
        <v>510</v>
      </c>
      <c r="F81" t="s">
        <v>483</v>
      </c>
      <c r="G81">
        <v>2015</v>
      </c>
      <c r="H81" t="s">
        <v>515</v>
      </c>
      <c r="I81">
        <v>6</v>
      </c>
      <c r="J81">
        <v>5786243.9460000005</v>
      </c>
      <c r="K81" s="92">
        <f t="shared" si="8"/>
        <v>5786.2439460000005</v>
      </c>
      <c r="L81" s="91">
        <f t="shared" si="9"/>
        <v>5.7862439460000008</v>
      </c>
    </row>
    <row r="82" spans="1:12">
      <c r="A82" t="s">
        <v>508</v>
      </c>
      <c r="B82" t="s">
        <v>381</v>
      </c>
      <c r="C82">
        <v>841290</v>
      </c>
      <c r="D82" t="s">
        <v>509</v>
      </c>
      <c r="E82" t="s">
        <v>510</v>
      </c>
      <c r="F82" t="s">
        <v>483</v>
      </c>
      <c r="G82">
        <v>2016</v>
      </c>
      <c r="H82" t="s">
        <v>515</v>
      </c>
      <c r="I82">
        <v>6</v>
      </c>
      <c r="J82">
        <v>5649140.7170000002</v>
      </c>
      <c r="K82" s="92">
        <f t="shared" si="8"/>
        <v>5649.1407170000002</v>
      </c>
      <c r="L82" s="91">
        <f t="shared" si="9"/>
        <v>5.6491407169999999</v>
      </c>
    </row>
    <row r="83" spans="1:12">
      <c r="A83" t="s">
        <v>508</v>
      </c>
      <c r="B83" t="s">
        <v>381</v>
      </c>
      <c r="C83">
        <v>841290</v>
      </c>
      <c r="D83" t="s">
        <v>509</v>
      </c>
      <c r="E83" t="s">
        <v>510</v>
      </c>
      <c r="F83" t="s">
        <v>483</v>
      </c>
      <c r="G83">
        <v>2017</v>
      </c>
      <c r="H83" t="s">
        <v>515</v>
      </c>
      <c r="I83">
        <v>6</v>
      </c>
      <c r="J83">
        <v>6384987.2419999996</v>
      </c>
      <c r="K83" s="92">
        <f t="shared" si="8"/>
        <v>6384.9872419999992</v>
      </c>
      <c r="L83" s="91">
        <f t="shared" si="9"/>
        <v>6.3849872419999993</v>
      </c>
    </row>
    <row r="84" spans="1:12">
      <c r="A84" t="s">
        <v>508</v>
      </c>
      <c r="B84" t="s">
        <v>381</v>
      </c>
      <c r="C84">
        <v>8482</v>
      </c>
      <c r="D84" t="s">
        <v>509</v>
      </c>
      <c r="E84" t="s">
        <v>510</v>
      </c>
      <c r="F84" t="s">
        <v>483</v>
      </c>
      <c r="G84">
        <v>2015</v>
      </c>
      <c r="H84" t="s">
        <v>515</v>
      </c>
      <c r="I84">
        <v>6</v>
      </c>
      <c r="J84">
        <v>28850655.478999998</v>
      </c>
      <c r="K84" s="92">
        <f t="shared" si="8"/>
        <v>28850.655478999997</v>
      </c>
      <c r="L84" s="91">
        <f t="shared" si="9"/>
        <v>28.850655478999997</v>
      </c>
    </row>
    <row r="85" spans="1:12">
      <c r="A85" t="s">
        <v>508</v>
      </c>
      <c r="B85" t="s">
        <v>381</v>
      </c>
      <c r="C85">
        <v>8482</v>
      </c>
      <c r="D85" t="s">
        <v>509</v>
      </c>
      <c r="E85" t="s">
        <v>510</v>
      </c>
      <c r="F85" t="s">
        <v>483</v>
      </c>
      <c r="G85">
        <v>2016</v>
      </c>
      <c r="H85" t="s">
        <v>515</v>
      </c>
      <c r="I85">
        <v>6</v>
      </c>
      <c r="J85">
        <v>28150490.454</v>
      </c>
      <c r="K85" s="92">
        <f t="shared" si="8"/>
        <v>28150.490453999999</v>
      </c>
      <c r="L85" s="91">
        <f t="shared" si="9"/>
        <v>28.150490454</v>
      </c>
    </row>
    <row r="86" spans="1:12">
      <c r="A86" t="s">
        <v>508</v>
      </c>
      <c r="B86" t="s">
        <v>381</v>
      </c>
      <c r="C86">
        <v>8482</v>
      </c>
      <c r="D86" t="s">
        <v>509</v>
      </c>
      <c r="E86" t="s">
        <v>510</v>
      </c>
      <c r="F86" t="s">
        <v>483</v>
      </c>
      <c r="G86">
        <v>2017</v>
      </c>
      <c r="H86" t="s">
        <v>515</v>
      </c>
      <c r="I86">
        <v>6</v>
      </c>
      <c r="J86">
        <v>30688372.122000001</v>
      </c>
      <c r="K86" s="92">
        <f t="shared" si="8"/>
        <v>30688.372122000001</v>
      </c>
      <c r="L86" s="91">
        <f t="shared" si="9"/>
        <v>30.688372122000001</v>
      </c>
    </row>
    <row r="87" spans="1:12">
      <c r="A87" t="s">
        <v>508</v>
      </c>
      <c r="B87" t="s">
        <v>381</v>
      </c>
      <c r="C87">
        <v>850231</v>
      </c>
      <c r="D87" t="s">
        <v>509</v>
      </c>
      <c r="E87" t="s">
        <v>510</v>
      </c>
      <c r="F87" t="s">
        <v>483</v>
      </c>
      <c r="G87">
        <v>2015</v>
      </c>
      <c r="H87" t="s">
        <v>515</v>
      </c>
      <c r="I87">
        <v>6</v>
      </c>
      <c r="J87">
        <v>7907061.284</v>
      </c>
      <c r="K87" s="92">
        <f t="shared" si="8"/>
        <v>7907.0612840000003</v>
      </c>
      <c r="L87" s="91">
        <f t="shared" si="9"/>
        <v>7.9070612840000001</v>
      </c>
    </row>
    <row r="88" spans="1:12">
      <c r="A88" t="s">
        <v>508</v>
      </c>
      <c r="B88" t="s">
        <v>381</v>
      </c>
      <c r="C88">
        <v>850231</v>
      </c>
      <c r="D88" t="s">
        <v>509</v>
      </c>
      <c r="E88" t="s">
        <v>510</v>
      </c>
      <c r="F88" t="s">
        <v>483</v>
      </c>
      <c r="G88">
        <v>2016</v>
      </c>
      <c r="H88" t="s">
        <v>515</v>
      </c>
      <c r="I88">
        <v>6</v>
      </c>
      <c r="J88">
        <v>7451969.7029999997</v>
      </c>
      <c r="K88" s="92">
        <f t="shared" si="8"/>
        <v>7451.9697029999998</v>
      </c>
      <c r="L88" s="91">
        <f t="shared" si="9"/>
        <v>7.4519697029999996</v>
      </c>
    </row>
    <row r="89" spans="1:12">
      <c r="A89" t="s">
        <v>508</v>
      </c>
      <c r="B89" t="s">
        <v>381</v>
      </c>
      <c r="C89">
        <v>850231</v>
      </c>
      <c r="D89" t="s">
        <v>509</v>
      </c>
      <c r="E89" t="s">
        <v>510</v>
      </c>
      <c r="F89" t="s">
        <v>483</v>
      </c>
      <c r="G89">
        <v>2017</v>
      </c>
      <c r="H89" t="s">
        <v>515</v>
      </c>
      <c r="I89">
        <v>6</v>
      </c>
      <c r="J89">
        <v>5420839.4390000002</v>
      </c>
      <c r="K89" s="92">
        <f t="shared" si="8"/>
        <v>5420.8394390000003</v>
      </c>
      <c r="L89" s="91">
        <f t="shared" si="9"/>
        <v>5.4208394389999999</v>
      </c>
    </row>
    <row r="90" spans="1:12">
      <c r="A90" t="s">
        <v>508</v>
      </c>
      <c r="B90" t="s">
        <v>381</v>
      </c>
      <c r="C90">
        <v>850300</v>
      </c>
      <c r="D90" t="s">
        <v>509</v>
      </c>
      <c r="E90" t="s">
        <v>510</v>
      </c>
      <c r="F90" t="s">
        <v>483</v>
      </c>
      <c r="G90">
        <v>2015</v>
      </c>
      <c r="H90" t="s">
        <v>515</v>
      </c>
      <c r="I90">
        <v>6</v>
      </c>
      <c r="J90">
        <v>16101202.684</v>
      </c>
      <c r="K90" s="92">
        <f t="shared" si="8"/>
        <v>16101.202684</v>
      </c>
      <c r="L90" s="91">
        <f t="shared" si="9"/>
        <v>16.101202684</v>
      </c>
    </row>
    <row r="91" spans="1:12">
      <c r="A91" t="s">
        <v>508</v>
      </c>
      <c r="B91" t="s">
        <v>381</v>
      </c>
      <c r="C91">
        <v>850300</v>
      </c>
      <c r="D91" t="s">
        <v>509</v>
      </c>
      <c r="E91" t="s">
        <v>510</v>
      </c>
      <c r="F91" t="s">
        <v>483</v>
      </c>
      <c r="G91">
        <v>2016</v>
      </c>
      <c r="H91" t="s">
        <v>515</v>
      </c>
      <c r="I91">
        <v>6</v>
      </c>
      <c r="J91">
        <v>15673832.824999999</v>
      </c>
      <c r="K91" s="92">
        <f t="shared" si="8"/>
        <v>15673.832825</v>
      </c>
      <c r="L91" s="91">
        <f t="shared" si="9"/>
        <v>15.673832825</v>
      </c>
    </row>
    <row r="92" spans="1:12">
      <c r="A92" t="s">
        <v>508</v>
      </c>
      <c r="B92" t="s">
        <v>381</v>
      </c>
      <c r="C92">
        <v>850300</v>
      </c>
      <c r="D92" t="s">
        <v>509</v>
      </c>
      <c r="E92" t="s">
        <v>510</v>
      </c>
      <c r="F92" t="s">
        <v>483</v>
      </c>
      <c r="G92">
        <v>2017</v>
      </c>
      <c r="H92" t="s">
        <v>515</v>
      </c>
      <c r="I92">
        <v>6</v>
      </c>
      <c r="J92">
        <v>16547766.591</v>
      </c>
      <c r="K92" s="92">
        <f t="shared" si="8"/>
        <v>16547.766591</v>
      </c>
      <c r="L92" s="91">
        <f t="shared" si="9"/>
        <v>16.547766590999998</v>
      </c>
    </row>
    <row r="93" spans="1:12">
      <c r="A93" t="s">
        <v>508</v>
      </c>
      <c r="B93" t="s">
        <v>381</v>
      </c>
      <c r="C93">
        <v>8504</v>
      </c>
      <c r="D93" t="s">
        <v>509</v>
      </c>
      <c r="E93" t="s">
        <v>510</v>
      </c>
      <c r="F93" t="s">
        <v>483</v>
      </c>
      <c r="G93">
        <v>2015</v>
      </c>
      <c r="H93" t="s">
        <v>515</v>
      </c>
      <c r="I93">
        <v>6</v>
      </c>
      <c r="J93">
        <v>75798304.443000004</v>
      </c>
      <c r="K93" s="92">
        <f t="shared" si="8"/>
        <v>75798.304443000001</v>
      </c>
      <c r="L93" s="91">
        <f t="shared" si="9"/>
        <v>75.798304443000006</v>
      </c>
    </row>
    <row r="94" spans="1:12">
      <c r="A94" t="s">
        <v>508</v>
      </c>
      <c r="B94" t="s">
        <v>381</v>
      </c>
      <c r="C94">
        <v>8504</v>
      </c>
      <c r="D94" t="s">
        <v>509</v>
      </c>
      <c r="E94" t="s">
        <v>510</v>
      </c>
      <c r="F94" t="s">
        <v>483</v>
      </c>
      <c r="G94">
        <v>2016</v>
      </c>
      <c r="H94" t="s">
        <v>515</v>
      </c>
      <c r="I94">
        <v>6</v>
      </c>
      <c r="J94">
        <v>73300972.145999998</v>
      </c>
      <c r="K94" s="92">
        <f t="shared" si="8"/>
        <v>73300.972146</v>
      </c>
      <c r="L94" s="91">
        <f t="shared" si="9"/>
        <v>73.300972146000007</v>
      </c>
    </row>
    <row r="95" spans="1:12">
      <c r="A95" t="s">
        <v>508</v>
      </c>
      <c r="B95" t="s">
        <v>381</v>
      </c>
      <c r="C95">
        <v>8504</v>
      </c>
      <c r="D95" t="s">
        <v>509</v>
      </c>
      <c r="E95" t="s">
        <v>510</v>
      </c>
      <c r="F95" t="s">
        <v>483</v>
      </c>
      <c r="G95">
        <v>2017</v>
      </c>
      <c r="H95" t="s">
        <v>515</v>
      </c>
      <c r="I95">
        <v>6</v>
      </c>
      <c r="J95">
        <v>85168146.149000004</v>
      </c>
      <c r="K95" s="92">
        <f t="shared" si="8"/>
        <v>85168.146149000007</v>
      </c>
      <c r="L95" s="91">
        <f t="shared" si="9"/>
        <v>85.168146149000009</v>
      </c>
    </row>
    <row r="96" spans="1:12">
      <c r="A96" t="s">
        <v>508</v>
      </c>
      <c r="B96" t="s">
        <v>381</v>
      </c>
      <c r="C96">
        <v>853720</v>
      </c>
      <c r="D96" t="s">
        <v>509</v>
      </c>
      <c r="E96" t="s">
        <v>510</v>
      </c>
      <c r="F96" t="s">
        <v>483</v>
      </c>
      <c r="G96">
        <v>2015</v>
      </c>
      <c r="H96" t="s">
        <v>515</v>
      </c>
      <c r="I96">
        <v>6</v>
      </c>
      <c r="J96">
        <v>6349769.6050000004</v>
      </c>
      <c r="K96" s="92">
        <f t="shared" si="8"/>
        <v>6349.7696050000004</v>
      </c>
      <c r="L96" s="91">
        <f t="shared" si="9"/>
        <v>6.3497696050000005</v>
      </c>
    </row>
    <row r="97" spans="1:12">
      <c r="A97" t="s">
        <v>508</v>
      </c>
      <c r="B97" t="s">
        <v>381</v>
      </c>
      <c r="C97">
        <v>853720</v>
      </c>
      <c r="D97" t="s">
        <v>509</v>
      </c>
      <c r="E97" t="s">
        <v>510</v>
      </c>
      <c r="F97" t="s">
        <v>483</v>
      </c>
      <c r="G97">
        <v>2016</v>
      </c>
      <c r="H97" t="s">
        <v>515</v>
      </c>
      <c r="I97">
        <v>6</v>
      </c>
      <c r="J97">
        <v>6595597.2110000001</v>
      </c>
      <c r="K97" s="92">
        <f t="shared" si="8"/>
        <v>6595.5972110000002</v>
      </c>
      <c r="L97" s="91">
        <f t="shared" si="9"/>
        <v>6.5955972110000003</v>
      </c>
    </row>
    <row r="98" spans="1:12">
      <c r="A98" t="s">
        <v>508</v>
      </c>
      <c r="B98" t="s">
        <v>381</v>
      </c>
      <c r="C98">
        <v>853720</v>
      </c>
      <c r="D98" t="s">
        <v>509</v>
      </c>
      <c r="E98" t="s">
        <v>510</v>
      </c>
      <c r="F98" t="s">
        <v>483</v>
      </c>
      <c r="G98">
        <v>2017</v>
      </c>
      <c r="H98" t="s">
        <v>515</v>
      </c>
      <c r="I98">
        <v>6</v>
      </c>
      <c r="J98">
        <v>6301703.2340000002</v>
      </c>
      <c r="K98" s="92">
        <f t="shared" si="8"/>
        <v>6301.7032340000005</v>
      </c>
      <c r="L98" s="91">
        <f t="shared" si="9"/>
        <v>6.3017032340000005</v>
      </c>
    </row>
    <row r="99" spans="1:12">
      <c r="A99" t="s">
        <v>508</v>
      </c>
      <c r="B99" t="s">
        <v>381</v>
      </c>
      <c r="C99">
        <v>854460</v>
      </c>
      <c r="D99" t="s">
        <v>509</v>
      </c>
      <c r="E99" t="s">
        <v>510</v>
      </c>
      <c r="F99" t="s">
        <v>483</v>
      </c>
      <c r="G99">
        <v>2015</v>
      </c>
      <c r="H99" t="s">
        <v>515</v>
      </c>
      <c r="I99">
        <v>6</v>
      </c>
      <c r="J99">
        <v>6537159.159</v>
      </c>
      <c r="K99" s="92">
        <f t="shared" si="8"/>
        <v>6537.1591589999998</v>
      </c>
      <c r="L99" s="91">
        <f t="shared" si="9"/>
        <v>6.5371591589999998</v>
      </c>
    </row>
    <row r="100" spans="1:12">
      <c r="A100" t="s">
        <v>508</v>
      </c>
      <c r="B100" t="s">
        <v>381</v>
      </c>
      <c r="C100">
        <v>854460</v>
      </c>
      <c r="D100" t="s">
        <v>509</v>
      </c>
      <c r="E100" t="s">
        <v>510</v>
      </c>
      <c r="F100" t="s">
        <v>483</v>
      </c>
      <c r="G100">
        <v>2016</v>
      </c>
      <c r="H100" t="s">
        <v>515</v>
      </c>
      <c r="I100">
        <v>6</v>
      </c>
      <c r="J100">
        <v>6022084.5980000002</v>
      </c>
      <c r="K100" s="92">
        <f t="shared" si="8"/>
        <v>6022.0845980000004</v>
      </c>
      <c r="L100" s="91">
        <f t="shared" si="9"/>
        <v>6.0220845980000002</v>
      </c>
    </row>
    <row r="101" spans="1:12">
      <c r="A101" t="s">
        <v>508</v>
      </c>
      <c r="B101" t="s">
        <v>381</v>
      </c>
      <c r="C101">
        <v>854460</v>
      </c>
      <c r="D101" t="s">
        <v>509</v>
      </c>
      <c r="E101" t="s">
        <v>510</v>
      </c>
      <c r="F101" t="s">
        <v>483</v>
      </c>
      <c r="G101">
        <v>2017</v>
      </c>
      <c r="H101" t="s">
        <v>515</v>
      </c>
      <c r="I101">
        <v>6</v>
      </c>
      <c r="J101">
        <v>5966416.4740000004</v>
      </c>
      <c r="K101" s="92">
        <f t="shared" si="8"/>
        <v>5966.4164740000006</v>
      </c>
      <c r="L101" s="91">
        <f t="shared" si="9"/>
        <v>5.9664164740000007</v>
      </c>
    </row>
    <row r="102" spans="1:12">
      <c r="A102" t="s">
        <v>508</v>
      </c>
      <c r="B102" t="s">
        <v>516</v>
      </c>
      <c r="C102">
        <v>730820</v>
      </c>
      <c r="D102" t="s">
        <v>517</v>
      </c>
      <c r="E102" t="s">
        <v>510</v>
      </c>
      <c r="F102" t="s">
        <v>483</v>
      </c>
      <c r="G102">
        <v>2015</v>
      </c>
      <c r="H102" t="s">
        <v>515</v>
      </c>
      <c r="I102">
        <v>6</v>
      </c>
      <c r="J102">
        <v>1126205.483</v>
      </c>
      <c r="K102" s="92">
        <f t="shared" si="8"/>
        <v>1126.205483</v>
      </c>
      <c r="L102" s="92"/>
    </row>
    <row r="103" spans="1:12">
      <c r="A103" t="s">
        <v>508</v>
      </c>
      <c r="B103" t="s">
        <v>516</v>
      </c>
      <c r="C103">
        <v>730820</v>
      </c>
      <c r="D103" t="s">
        <v>517</v>
      </c>
      <c r="E103" t="s">
        <v>510</v>
      </c>
      <c r="F103" t="s">
        <v>483</v>
      </c>
      <c r="G103">
        <v>2016</v>
      </c>
      <c r="H103" t="s">
        <v>515</v>
      </c>
      <c r="I103">
        <v>6</v>
      </c>
      <c r="J103">
        <v>1350492.132</v>
      </c>
      <c r="K103" s="92">
        <f t="shared" si="8"/>
        <v>1350.4921320000001</v>
      </c>
      <c r="L103" s="92"/>
    </row>
    <row r="104" spans="1:12">
      <c r="A104" t="s">
        <v>508</v>
      </c>
      <c r="B104" t="s">
        <v>516</v>
      </c>
      <c r="C104">
        <v>730820</v>
      </c>
      <c r="D104" t="s">
        <v>517</v>
      </c>
      <c r="E104" t="s">
        <v>510</v>
      </c>
      <c r="F104" t="s">
        <v>483</v>
      </c>
      <c r="G104">
        <v>2017</v>
      </c>
      <c r="H104" t="s">
        <v>515</v>
      </c>
      <c r="I104">
        <v>6</v>
      </c>
      <c r="J104">
        <v>1243888.642</v>
      </c>
      <c r="K104" s="92">
        <f t="shared" si="8"/>
        <v>1243.8886419999999</v>
      </c>
      <c r="L104" s="92"/>
    </row>
    <row r="105" spans="1:12">
      <c r="A105" t="s">
        <v>508</v>
      </c>
      <c r="B105" t="s">
        <v>516</v>
      </c>
      <c r="C105">
        <v>730890</v>
      </c>
      <c r="D105" t="s">
        <v>517</v>
      </c>
      <c r="E105" t="s">
        <v>510</v>
      </c>
      <c r="F105" t="s">
        <v>483</v>
      </c>
      <c r="G105">
        <v>2015</v>
      </c>
      <c r="H105" t="s">
        <v>515</v>
      </c>
      <c r="I105">
        <v>6</v>
      </c>
      <c r="J105">
        <v>13605974.75</v>
      </c>
      <c r="K105" s="92">
        <f t="shared" si="8"/>
        <v>13605.974749999999</v>
      </c>
    </row>
    <row r="106" spans="1:12">
      <c r="A106" t="s">
        <v>508</v>
      </c>
      <c r="B106" t="s">
        <v>516</v>
      </c>
      <c r="C106">
        <v>730890</v>
      </c>
      <c r="D106" t="s">
        <v>517</v>
      </c>
      <c r="E106" t="s">
        <v>510</v>
      </c>
      <c r="F106" t="s">
        <v>483</v>
      </c>
      <c r="G106">
        <v>2016</v>
      </c>
      <c r="H106" t="s">
        <v>515</v>
      </c>
      <c r="I106">
        <v>6</v>
      </c>
      <c r="J106">
        <v>14009472.659</v>
      </c>
      <c r="K106" s="92">
        <f t="shared" si="8"/>
        <v>14009.472658999999</v>
      </c>
    </row>
    <row r="107" spans="1:12">
      <c r="A107" t="s">
        <v>508</v>
      </c>
      <c r="B107" t="s">
        <v>516</v>
      </c>
      <c r="C107">
        <v>730890</v>
      </c>
      <c r="D107" t="s">
        <v>517</v>
      </c>
      <c r="E107" t="s">
        <v>510</v>
      </c>
      <c r="F107" t="s">
        <v>483</v>
      </c>
      <c r="G107">
        <v>2017</v>
      </c>
      <c r="H107" t="s">
        <v>515</v>
      </c>
      <c r="I107">
        <v>6</v>
      </c>
      <c r="J107">
        <v>15570326.640000001</v>
      </c>
      <c r="K107" s="92">
        <f t="shared" si="8"/>
        <v>15570.326640000001</v>
      </c>
    </row>
    <row r="108" spans="1:12">
      <c r="A108" t="s">
        <v>508</v>
      </c>
      <c r="B108" t="s">
        <v>516</v>
      </c>
      <c r="C108">
        <v>841280</v>
      </c>
      <c r="D108" t="s">
        <v>517</v>
      </c>
      <c r="E108" t="s">
        <v>510</v>
      </c>
      <c r="F108" t="s">
        <v>483</v>
      </c>
      <c r="G108">
        <v>2015</v>
      </c>
      <c r="H108" t="s">
        <v>515</v>
      </c>
      <c r="I108">
        <v>6</v>
      </c>
      <c r="J108">
        <v>162376.701</v>
      </c>
      <c r="K108" s="92">
        <f t="shared" si="8"/>
        <v>162.376701</v>
      </c>
    </row>
    <row r="109" spans="1:12">
      <c r="A109" t="s">
        <v>508</v>
      </c>
      <c r="B109" t="s">
        <v>516</v>
      </c>
      <c r="C109">
        <v>841280</v>
      </c>
      <c r="D109" t="s">
        <v>517</v>
      </c>
      <c r="E109" t="s">
        <v>510</v>
      </c>
      <c r="F109" t="s">
        <v>483</v>
      </c>
      <c r="G109">
        <v>2016</v>
      </c>
      <c r="H109" t="s">
        <v>515</v>
      </c>
      <c r="I109">
        <v>6</v>
      </c>
      <c r="J109">
        <v>196700.66399999999</v>
      </c>
      <c r="K109" s="92">
        <f t="shared" si="8"/>
        <v>196.70066399999999</v>
      </c>
    </row>
    <row r="110" spans="1:12">
      <c r="A110" t="s">
        <v>508</v>
      </c>
      <c r="B110" t="s">
        <v>516</v>
      </c>
      <c r="C110">
        <v>841280</v>
      </c>
      <c r="D110" t="s">
        <v>517</v>
      </c>
      <c r="E110" t="s">
        <v>510</v>
      </c>
      <c r="F110" t="s">
        <v>483</v>
      </c>
      <c r="G110">
        <v>2017</v>
      </c>
      <c r="H110" t="s">
        <v>515</v>
      </c>
      <c r="I110">
        <v>6</v>
      </c>
      <c r="J110">
        <v>293425.99400000001</v>
      </c>
      <c r="K110" s="92">
        <f t="shared" si="8"/>
        <v>293.425994</v>
      </c>
    </row>
    <row r="111" spans="1:12">
      <c r="A111" t="s">
        <v>508</v>
      </c>
      <c r="B111" t="s">
        <v>516</v>
      </c>
      <c r="C111">
        <v>841290</v>
      </c>
      <c r="D111" t="s">
        <v>517</v>
      </c>
      <c r="E111" t="s">
        <v>510</v>
      </c>
      <c r="F111" t="s">
        <v>483</v>
      </c>
      <c r="G111">
        <v>2015</v>
      </c>
      <c r="H111" t="s">
        <v>515</v>
      </c>
      <c r="I111">
        <v>6</v>
      </c>
      <c r="J111">
        <v>2973793.6519999998</v>
      </c>
      <c r="K111" s="92">
        <f t="shared" si="8"/>
        <v>2973.7936519999998</v>
      </c>
    </row>
    <row r="112" spans="1:12">
      <c r="A112" t="s">
        <v>508</v>
      </c>
      <c r="B112" t="s">
        <v>516</v>
      </c>
      <c r="C112">
        <v>841290</v>
      </c>
      <c r="D112" t="s">
        <v>517</v>
      </c>
      <c r="E112" t="s">
        <v>510</v>
      </c>
      <c r="F112" t="s">
        <v>483</v>
      </c>
      <c r="G112">
        <v>2016</v>
      </c>
      <c r="H112" t="s">
        <v>515</v>
      </c>
      <c r="I112">
        <v>6</v>
      </c>
      <c r="J112">
        <v>2970743.5159999998</v>
      </c>
      <c r="K112" s="92">
        <f t="shared" si="8"/>
        <v>2970.743516</v>
      </c>
    </row>
    <row r="113" spans="1:11">
      <c r="A113" t="s">
        <v>508</v>
      </c>
      <c r="B113" t="s">
        <v>516</v>
      </c>
      <c r="C113">
        <v>841290</v>
      </c>
      <c r="D113" t="s">
        <v>517</v>
      </c>
      <c r="E113" t="s">
        <v>510</v>
      </c>
      <c r="F113" t="s">
        <v>483</v>
      </c>
      <c r="G113">
        <v>2017</v>
      </c>
      <c r="H113" t="s">
        <v>515</v>
      </c>
      <c r="I113">
        <v>6</v>
      </c>
      <c r="J113">
        <v>3749037.7349999999</v>
      </c>
      <c r="K113" s="92">
        <f t="shared" si="8"/>
        <v>3749.0377349999999</v>
      </c>
    </row>
    <row r="114" spans="1:11">
      <c r="A114" t="s">
        <v>508</v>
      </c>
      <c r="B114" t="s">
        <v>516</v>
      </c>
      <c r="C114">
        <v>8482</v>
      </c>
      <c r="D114" t="s">
        <v>517</v>
      </c>
      <c r="E114" t="s">
        <v>510</v>
      </c>
      <c r="F114" t="s">
        <v>483</v>
      </c>
      <c r="G114">
        <v>2015</v>
      </c>
      <c r="H114" t="s">
        <v>515</v>
      </c>
      <c r="I114">
        <v>6</v>
      </c>
      <c r="J114">
        <v>13479672.828</v>
      </c>
      <c r="K114" s="92">
        <f t="shared" si="8"/>
        <v>13479.672827999999</v>
      </c>
    </row>
    <row r="115" spans="1:11">
      <c r="A115" t="s">
        <v>508</v>
      </c>
      <c r="B115" t="s">
        <v>516</v>
      </c>
      <c r="C115">
        <v>8482</v>
      </c>
      <c r="D115" t="s">
        <v>517</v>
      </c>
      <c r="E115" t="s">
        <v>510</v>
      </c>
      <c r="F115" t="s">
        <v>483</v>
      </c>
      <c r="G115">
        <v>2016</v>
      </c>
      <c r="H115" t="s">
        <v>515</v>
      </c>
      <c r="I115">
        <v>6</v>
      </c>
      <c r="J115">
        <v>13015095.352</v>
      </c>
      <c r="K115" s="92">
        <f t="shared" si="8"/>
        <v>13015.095352</v>
      </c>
    </row>
    <row r="116" spans="1:11">
      <c r="A116" t="s">
        <v>508</v>
      </c>
      <c r="B116" t="s">
        <v>516</v>
      </c>
      <c r="C116">
        <v>8482</v>
      </c>
      <c r="D116" t="s">
        <v>517</v>
      </c>
      <c r="E116" t="s">
        <v>510</v>
      </c>
      <c r="F116" t="s">
        <v>483</v>
      </c>
      <c r="G116">
        <v>2017</v>
      </c>
      <c r="H116" t="s">
        <v>515</v>
      </c>
      <c r="I116">
        <v>6</v>
      </c>
      <c r="J116">
        <v>14466638.51</v>
      </c>
      <c r="K116" s="92">
        <f t="shared" si="8"/>
        <v>14466.638510000001</v>
      </c>
    </row>
    <row r="117" spans="1:11">
      <c r="A117" t="s">
        <v>508</v>
      </c>
      <c r="B117" t="s">
        <v>516</v>
      </c>
      <c r="C117">
        <v>850231</v>
      </c>
      <c r="D117" t="s">
        <v>517</v>
      </c>
      <c r="E117" t="s">
        <v>510</v>
      </c>
      <c r="F117" t="s">
        <v>483</v>
      </c>
      <c r="G117">
        <v>2015</v>
      </c>
      <c r="H117" t="s">
        <v>515</v>
      </c>
      <c r="I117">
        <v>6</v>
      </c>
      <c r="J117">
        <v>7367362.7089999998</v>
      </c>
      <c r="K117" s="92">
        <f t="shared" si="8"/>
        <v>7367.362709</v>
      </c>
    </row>
    <row r="118" spans="1:11">
      <c r="A118" t="s">
        <v>508</v>
      </c>
      <c r="B118" t="s">
        <v>516</v>
      </c>
      <c r="C118">
        <v>850231</v>
      </c>
      <c r="D118" t="s">
        <v>517</v>
      </c>
      <c r="E118" t="s">
        <v>510</v>
      </c>
      <c r="F118" t="s">
        <v>483</v>
      </c>
      <c r="G118">
        <v>2016</v>
      </c>
      <c r="H118" t="s">
        <v>515</v>
      </c>
      <c r="I118">
        <v>6</v>
      </c>
      <c r="J118">
        <v>6800841.6440000003</v>
      </c>
      <c r="K118" s="92">
        <f t="shared" si="8"/>
        <v>6800.8416440000001</v>
      </c>
    </row>
    <row r="119" spans="1:11">
      <c r="A119" t="s">
        <v>508</v>
      </c>
      <c r="B119" t="s">
        <v>516</v>
      </c>
      <c r="C119">
        <v>850231</v>
      </c>
      <c r="D119" t="s">
        <v>517</v>
      </c>
      <c r="E119" t="s">
        <v>510</v>
      </c>
      <c r="F119" t="s">
        <v>483</v>
      </c>
      <c r="G119">
        <v>2017</v>
      </c>
      <c r="H119" t="s">
        <v>515</v>
      </c>
      <c r="I119">
        <v>6</v>
      </c>
      <c r="J119">
        <v>4755360.983</v>
      </c>
      <c r="K119" s="92">
        <f t="shared" si="8"/>
        <v>4755.3609829999996</v>
      </c>
    </row>
    <row r="120" spans="1:11">
      <c r="A120" t="s">
        <v>508</v>
      </c>
      <c r="B120" t="s">
        <v>516</v>
      </c>
      <c r="C120">
        <v>850300</v>
      </c>
      <c r="D120" t="s">
        <v>517</v>
      </c>
      <c r="E120" t="s">
        <v>510</v>
      </c>
      <c r="F120" t="s">
        <v>483</v>
      </c>
      <c r="G120">
        <v>2015</v>
      </c>
      <c r="H120" t="s">
        <v>515</v>
      </c>
      <c r="I120">
        <v>6</v>
      </c>
      <c r="J120">
        <v>6714227.1809999999</v>
      </c>
      <c r="K120" s="92">
        <f t="shared" si="8"/>
        <v>6714.2271810000002</v>
      </c>
    </row>
    <row r="121" spans="1:11">
      <c r="A121" t="s">
        <v>508</v>
      </c>
      <c r="B121" t="s">
        <v>516</v>
      </c>
      <c r="C121">
        <v>850300</v>
      </c>
      <c r="D121" t="s">
        <v>517</v>
      </c>
      <c r="E121" t="s">
        <v>510</v>
      </c>
      <c r="F121" t="s">
        <v>483</v>
      </c>
      <c r="G121">
        <v>2016</v>
      </c>
      <c r="H121" t="s">
        <v>515</v>
      </c>
      <c r="I121">
        <v>6</v>
      </c>
      <c r="J121">
        <v>6831823.5140000004</v>
      </c>
      <c r="K121" s="92">
        <f t="shared" si="8"/>
        <v>6831.8235140000006</v>
      </c>
    </row>
    <row r="122" spans="1:11">
      <c r="A122" t="s">
        <v>508</v>
      </c>
      <c r="B122" t="s">
        <v>516</v>
      </c>
      <c r="C122">
        <v>850300</v>
      </c>
      <c r="D122" t="s">
        <v>517</v>
      </c>
      <c r="E122" t="s">
        <v>510</v>
      </c>
      <c r="F122" t="s">
        <v>483</v>
      </c>
      <c r="G122">
        <v>2017</v>
      </c>
      <c r="H122" t="s">
        <v>515</v>
      </c>
      <c r="I122">
        <v>6</v>
      </c>
      <c r="J122">
        <v>7146760.9649999999</v>
      </c>
      <c r="K122" s="92">
        <f t="shared" si="8"/>
        <v>7146.7609649999995</v>
      </c>
    </row>
    <row r="123" spans="1:11">
      <c r="A123" t="s">
        <v>508</v>
      </c>
      <c r="B123" t="s">
        <v>516</v>
      </c>
      <c r="C123">
        <v>8504</v>
      </c>
      <c r="D123" t="s">
        <v>517</v>
      </c>
      <c r="E123" t="s">
        <v>510</v>
      </c>
      <c r="F123" t="s">
        <v>483</v>
      </c>
      <c r="G123">
        <v>2015</v>
      </c>
      <c r="H123" t="s">
        <v>515</v>
      </c>
      <c r="I123">
        <v>6</v>
      </c>
      <c r="J123">
        <v>24406135.190000001</v>
      </c>
      <c r="K123" s="92">
        <f t="shared" si="8"/>
        <v>24406.135190000001</v>
      </c>
    </row>
    <row r="124" spans="1:11">
      <c r="A124" t="s">
        <v>508</v>
      </c>
      <c r="B124" t="s">
        <v>516</v>
      </c>
      <c r="C124">
        <v>8504</v>
      </c>
      <c r="D124" t="s">
        <v>517</v>
      </c>
      <c r="E124" t="s">
        <v>510</v>
      </c>
      <c r="F124" t="s">
        <v>483</v>
      </c>
      <c r="G124">
        <v>2016</v>
      </c>
      <c r="H124" t="s">
        <v>515</v>
      </c>
      <c r="I124">
        <v>6</v>
      </c>
      <c r="J124">
        <v>24326171.515000001</v>
      </c>
      <c r="K124" s="92">
        <f t="shared" si="8"/>
        <v>24326.171515000002</v>
      </c>
    </row>
    <row r="125" spans="1:11">
      <c r="A125" t="s">
        <v>508</v>
      </c>
      <c r="B125" t="s">
        <v>516</v>
      </c>
      <c r="C125">
        <v>8504</v>
      </c>
      <c r="D125" t="s">
        <v>517</v>
      </c>
      <c r="E125" t="s">
        <v>510</v>
      </c>
      <c r="F125" t="s">
        <v>483</v>
      </c>
      <c r="G125">
        <v>2017</v>
      </c>
      <c r="H125" t="s">
        <v>515</v>
      </c>
      <c r="I125">
        <v>6</v>
      </c>
      <c r="J125">
        <v>26838330.079</v>
      </c>
      <c r="K125" s="92">
        <f t="shared" si="8"/>
        <v>26838.330078999999</v>
      </c>
    </row>
    <row r="126" spans="1:11">
      <c r="A126" t="s">
        <v>508</v>
      </c>
      <c r="B126" t="s">
        <v>516</v>
      </c>
      <c r="C126">
        <v>853720</v>
      </c>
      <c r="D126" t="s">
        <v>517</v>
      </c>
      <c r="E126" t="s">
        <v>510</v>
      </c>
      <c r="F126" t="s">
        <v>483</v>
      </c>
      <c r="G126">
        <v>2015</v>
      </c>
      <c r="H126" t="s">
        <v>515</v>
      </c>
      <c r="I126">
        <v>6</v>
      </c>
      <c r="J126">
        <v>2883816.9070000001</v>
      </c>
      <c r="K126" s="92">
        <f t="shared" si="8"/>
        <v>2883.8169069999999</v>
      </c>
    </row>
    <row r="127" spans="1:11">
      <c r="A127" t="s">
        <v>508</v>
      </c>
      <c r="B127" t="s">
        <v>516</v>
      </c>
      <c r="C127">
        <v>853720</v>
      </c>
      <c r="D127" t="s">
        <v>517</v>
      </c>
      <c r="E127" t="s">
        <v>510</v>
      </c>
      <c r="F127" t="s">
        <v>483</v>
      </c>
      <c r="G127">
        <v>2016</v>
      </c>
      <c r="H127" t="s">
        <v>515</v>
      </c>
      <c r="I127">
        <v>6</v>
      </c>
      <c r="J127">
        <v>3107392.406</v>
      </c>
      <c r="K127" s="92">
        <f t="shared" si="8"/>
        <v>3107.3924059999999</v>
      </c>
    </row>
    <row r="128" spans="1:11">
      <c r="A128" t="s">
        <v>508</v>
      </c>
      <c r="B128" t="s">
        <v>516</v>
      </c>
      <c r="C128">
        <v>853720</v>
      </c>
      <c r="D128" t="s">
        <v>517</v>
      </c>
      <c r="E128" t="s">
        <v>510</v>
      </c>
      <c r="F128" t="s">
        <v>483</v>
      </c>
      <c r="G128">
        <v>2017</v>
      </c>
      <c r="H128" t="s">
        <v>515</v>
      </c>
      <c r="I128">
        <v>6</v>
      </c>
      <c r="J128">
        <v>3213568.338</v>
      </c>
      <c r="K128" s="92">
        <f t="shared" si="8"/>
        <v>3213.568338</v>
      </c>
    </row>
    <row r="129" spans="1:11">
      <c r="A129" t="s">
        <v>508</v>
      </c>
      <c r="B129" t="s">
        <v>516</v>
      </c>
      <c r="C129">
        <v>854460</v>
      </c>
      <c r="D129" t="s">
        <v>517</v>
      </c>
      <c r="E129" t="s">
        <v>510</v>
      </c>
      <c r="F129" t="s">
        <v>483</v>
      </c>
      <c r="G129">
        <v>2015</v>
      </c>
      <c r="H129" t="s">
        <v>515</v>
      </c>
      <c r="I129">
        <v>6</v>
      </c>
      <c r="J129">
        <v>2575632.7540000002</v>
      </c>
      <c r="K129" s="92">
        <f t="shared" si="8"/>
        <v>2575.6327540000002</v>
      </c>
    </row>
    <row r="130" spans="1:11">
      <c r="A130" t="s">
        <v>508</v>
      </c>
      <c r="B130" t="s">
        <v>516</v>
      </c>
      <c r="C130">
        <v>854460</v>
      </c>
      <c r="D130" t="s">
        <v>517</v>
      </c>
      <c r="E130" t="s">
        <v>510</v>
      </c>
      <c r="F130" t="s">
        <v>483</v>
      </c>
      <c r="G130">
        <v>2016</v>
      </c>
      <c r="H130" t="s">
        <v>515</v>
      </c>
      <c r="I130">
        <v>6</v>
      </c>
      <c r="J130">
        <v>2471824.554</v>
      </c>
      <c r="K130" s="92">
        <f t="shared" si="8"/>
        <v>2471.8245539999998</v>
      </c>
    </row>
    <row r="131" spans="1:11">
      <c r="A131" t="s">
        <v>508</v>
      </c>
      <c r="B131" t="s">
        <v>516</v>
      </c>
      <c r="C131">
        <v>854460</v>
      </c>
      <c r="D131" t="s">
        <v>517</v>
      </c>
      <c r="E131" t="s">
        <v>510</v>
      </c>
      <c r="F131" t="s">
        <v>483</v>
      </c>
      <c r="G131">
        <v>2017</v>
      </c>
      <c r="H131" t="s">
        <v>515</v>
      </c>
      <c r="I131">
        <v>6</v>
      </c>
      <c r="J131">
        <v>2606134.0839999998</v>
      </c>
      <c r="K131" s="92">
        <f t="shared" si="8"/>
        <v>2606.1340839999998</v>
      </c>
    </row>
    <row r="132" spans="1:11">
      <c r="A132" t="s">
        <v>508</v>
      </c>
      <c r="B132" t="s">
        <v>512</v>
      </c>
      <c r="C132">
        <v>730820</v>
      </c>
      <c r="D132" t="s">
        <v>513</v>
      </c>
      <c r="E132" t="s">
        <v>510</v>
      </c>
      <c r="F132" t="s">
        <v>483</v>
      </c>
      <c r="G132">
        <v>2015</v>
      </c>
      <c r="H132" t="s">
        <v>515</v>
      </c>
      <c r="I132">
        <v>6</v>
      </c>
      <c r="J132">
        <v>17673.5</v>
      </c>
      <c r="K132" s="91">
        <f t="shared" ref="K132:K195" si="10">J132/1000</f>
        <v>17.673500000000001</v>
      </c>
    </row>
    <row r="133" spans="1:11">
      <c r="A133" t="s">
        <v>508</v>
      </c>
      <c r="B133" t="s">
        <v>512</v>
      </c>
      <c r="C133">
        <v>730820</v>
      </c>
      <c r="D133" t="s">
        <v>513</v>
      </c>
      <c r="E133" t="s">
        <v>510</v>
      </c>
      <c r="F133" t="s">
        <v>483</v>
      </c>
      <c r="G133">
        <v>2016</v>
      </c>
      <c r="H133" t="s">
        <v>515</v>
      </c>
      <c r="I133">
        <v>6</v>
      </c>
      <c r="J133">
        <v>11950.398999999999</v>
      </c>
      <c r="K133" s="91">
        <f t="shared" si="10"/>
        <v>11.950398999999999</v>
      </c>
    </row>
    <row r="134" spans="1:11">
      <c r="A134" t="s">
        <v>508</v>
      </c>
      <c r="B134" t="s">
        <v>512</v>
      </c>
      <c r="C134">
        <v>730820</v>
      </c>
      <c r="D134" t="s">
        <v>513</v>
      </c>
      <c r="E134" t="s">
        <v>510</v>
      </c>
      <c r="F134" t="s">
        <v>483</v>
      </c>
      <c r="G134">
        <v>2017</v>
      </c>
      <c r="H134" t="s">
        <v>515</v>
      </c>
      <c r="I134">
        <v>6</v>
      </c>
      <c r="J134">
        <v>27080.199000000001</v>
      </c>
      <c r="K134" s="91">
        <f t="shared" si="10"/>
        <v>27.080199</v>
      </c>
    </row>
    <row r="135" spans="1:11">
      <c r="A135" t="s">
        <v>508</v>
      </c>
      <c r="B135" t="s">
        <v>512</v>
      </c>
      <c r="C135">
        <v>730890</v>
      </c>
      <c r="D135" t="s">
        <v>513</v>
      </c>
      <c r="E135" t="s">
        <v>510</v>
      </c>
      <c r="F135" t="s">
        <v>483</v>
      </c>
      <c r="G135">
        <v>2015</v>
      </c>
      <c r="H135" t="s">
        <v>515</v>
      </c>
      <c r="I135">
        <v>6</v>
      </c>
      <c r="J135">
        <v>499344.06199999998</v>
      </c>
      <c r="K135" s="91">
        <f t="shared" si="10"/>
        <v>499.34406199999995</v>
      </c>
    </row>
    <row r="136" spans="1:11">
      <c r="A136" t="s">
        <v>508</v>
      </c>
      <c r="B136" t="s">
        <v>512</v>
      </c>
      <c r="C136">
        <v>730890</v>
      </c>
      <c r="D136" t="s">
        <v>513</v>
      </c>
      <c r="E136" t="s">
        <v>510</v>
      </c>
      <c r="F136" t="s">
        <v>483</v>
      </c>
      <c r="G136">
        <v>2016</v>
      </c>
      <c r="H136" t="s">
        <v>515</v>
      </c>
      <c r="I136">
        <v>6</v>
      </c>
      <c r="J136">
        <v>468178.36800000002</v>
      </c>
      <c r="K136" s="91">
        <f t="shared" si="10"/>
        <v>468.17836800000003</v>
      </c>
    </row>
    <row r="137" spans="1:11">
      <c r="A137" t="s">
        <v>508</v>
      </c>
      <c r="B137" t="s">
        <v>512</v>
      </c>
      <c r="C137">
        <v>730890</v>
      </c>
      <c r="D137" t="s">
        <v>513</v>
      </c>
      <c r="E137" t="s">
        <v>510</v>
      </c>
      <c r="F137" t="s">
        <v>483</v>
      </c>
      <c r="G137">
        <v>2017</v>
      </c>
      <c r="H137" t="s">
        <v>515</v>
      </c>
      <c r="I137">
        <v>6</v>
      </c>
      <c r="J137">
        <v>486008.27399999998</v>
      </c>
      <c r="K137" s="91">
        <f t="shared" si="10"/>
        <v>486.00827399999997</v>
      </c>
    </row>
    <row r="138" spans="1:11">
      <c r="A138" t="s">
        <v>508</v>
      </c>
      <c r="B138" t="s">
        <v>512</v>
      </c>
      <c r="C138">
        <v>841280</v>
      </c>
      <c r="D138" t="s">
        <v>513</v>
      </c>
      <c r="E138" t="s">
        <v>510</v>
      </c>
      <c r="F138" t="s">
        <v>483</v>
      </c>
      <c r="G138">
        <v>2015</v>
      </c>
      <c r="H138" t="s">
        <v>515</v>
      </c>
      <c r="I138">
        <v>6</v>
      </c>
      <c r="J138">
        <v>7233.0230000000001</v>
      </c>
      <c r="K138" s="91">
        <f t="shared" si="10"/>
        <v>7.2330230000000002</v>
      </c>
    </row>
    <row r="139" spans="1:11">
      <c r="A139" t="s">
        <v>508</v>
      </c>
      <c r="B139" t="s">
        <v>512</v>
      </c>
      <c r="C139">
        <v>841280</v>
      </c>
      <c r="D139" t="s">
        <v>513</v>
      </c>
      <c r="E139" t="s">
        <v>510</v>
      </c>
      <c r="F139" t="s">
        <v>483</v>
      </c>
      <c r="G139">
        <v>2016</v>
      </c>
      <c r="H139" t="s">
        <v>515</v>
      </c>
      <c r="I139">
        <v>6</v>
      </c>
      <c r="J139">
        <v>11265.15</v>
      </c>
      <c r="K139" s="91">
        <f t="shared" si="10"/>
        <v>11.26515</v>
      </c>
    </row>
    <row r="140" spans="1:11">
      <c r="A140" t="s">
        <v>508</v>
      </c>
      <c r="B140" t="s">
        <v>512</v>
      </c>
      <c r="C140">
        <v>841280</v>
      </c>
      <c r="D140" t="s">
        <v>513</v>
      </c>
      <c r="E140" t="s">
        <v>510</v>
      </c>
      <c r="F140" t="s">
        <v>483</v>
      </c>
      <c r="G140">
        <v>2017</v>
      </c>
      <c r="H140" t="s">
        <v>515</v>
      </c>
      <c r="I140">
        <v>6</v>
      </c>
      <c r="J140">
        <v>8677.9220000000005</v>
      </c>
      <c r="K140" s="91">
        <f t="shared" si="10"/>
        <v>8.6779220000000006</v>
      </c>
    </row>
    <row r="141" spans="1:11">
      <c r="A141" t="s">
        <v>508</v>
      </c>
      <c r="B141" t="s">
        <v>512</v>
      </c>
      <c r="C141">
        <v>841290</v>
      </c>
      <c r="D141" t="s">
        <v>513</v>
      </c>
      <c r="E141" t="s">
        <v>510</v>
      </c>
      <c r="F141" t="s">
        <v>483</v>
      </c>
      <c r="G141">
        <v>2015</v>
      </c>
      <c r="H141" t="s">
        <v>515</v>
      </c>
      <c r="I141">
        <v>6</v>
      </c>
      <c r="J141">
        <v>130098.91899999999</v>
      </c>
      <c r="K141" s="91">
        <f t="shared" si="10"/>
        <v>130.098919</v>
      </c>
    </row>
    <row r="142" spans="1:11">
      <c r="A142" t="s">
        <v>508</v>
      </c>
      <c r="B142" t="s">
        <v>512</v>
      </c>
      <c r="C142">
        <v>841290</v>
      </c>
      <c r="D142" t="s">
        <v>513</v>
      </c>
      <c r="E142" t="s">
        <v>510</v>
      </c>
      <c r="F142" t="s">
        <v>483</v>
      </c>
      <c r="G142">
        <v>2016</v>
      </c>
      <c r="H142" t="s">
        <v>515</v>
      </c>
      <c r="I142">
        <v>6</v>
      </c>
      <c r="J142">
        <v>92198.59</v>
      </c>
      <c r="K142" s="91">
        <f t="shared" si="10"/>
        <v>92.198589999999996</v>
      </c>
    </row>
    <row r="143" spans="1:11">
      <c r="A143" t="s">
        <v>508</v>
      </c>
      <c r="B143" t="s">
        <v>512</v>
      </c>
      <c r="C143">
        <v>841290</v>
      </c>
      <c r="D143" t="s">
        <v>513</v>
      </c>
      <c r="E143" t="s">
        <v>510</v>
      </c>
      <c r="F143" t="s">
        <v>483</v>
      </c>
      <c r="G143">
        <v>2017</v>
      </c>
      <c r="H143" t="s">
        <v>515</v>
      </c>
      <c r="I143">
        <v>6</v>
      </c>
      <c r="J143">
        <v>103996.99400000001</v>
      </c>
      <c r="K143" s="91">
        <f t="shared" si="10"/>
        <v>103.996994</v>
      </c>
    </row>
    <row r="144" spans="1:11">
      <c r="A144" t="s">
        <v>508</v>
      </c>
      <c r="B144" t="s">
        <v>512</v>
      </c>
      <c r="C144">
        <v>8482</v>
      </c>
      <c r="D144" t="s">
        <v>513</v>
      </c>
      <c r="E144" t="s">
        <v>510</v>
      </c>
      <c r="F144" t="s">
        <v>483</v>
      </c>
      <c r="G144">
        <v>2015</v>
      </c>
      <c r="H144" t="s">
        <v>515</v>
      </c>
      <c r="I144">
        <v>6</v>
      </c>
      <c r="J144">
        <v>593512.86300000001</v>
      </c>
      <c r="K144" s="91">
        <f t="shared" si="10"/>
        <v>593.51286300000004</v>
      </c>
    </row>
    <row r="145" spans="1:11">
      <c r="A145" t="s">
        <v>508</v>
      </c>
      <c r="B145" t="s">
        <v>512</v>
      </c>
      <c r="C145">
        <v>8482</v>
      </c>
      <c r="D145" t="s">
        <v>513</v>
      </c>
      <c r="E145" t="s">
        <v>510</v>
      </c>
      <c r="F145" t="s">
        <v>483</v>
      </c>
      <c r="G145">
        <v>2016</v>
      </c>
      <c r="H145" t="s">
        <v>515</v>
      </c>
      <c r="I145">
        <v>6</v>
      </c>
      <c r="J145">
        <v>508653.36900000001</v>
      </c>
      <c r="K145" s="91">
        <f t="shared" si="10"/>
        <v>508.653369</v>
      </c>
    </row>
    <row r="146" spans="1:11">
      <c r="A146" t="s">
        <v>508</v>
      </c>
      <c r="B146" t="s">
        <v>512</v>
      </c>
      <c r="C146">
        <v>8482</v>
      </c>
      <c r="D146" t="s">
        <v>513</v>
      </c>
      <c r="E146" t="s">
        <v>510</v>
      </c>
      <c r="F146" t="s">
        <v>483</v>
      </c>
      <c r="G146">
        <v>2017</v>
      </c>
      <c r="H146" t="s">
        <v>515</v>
      </c>
      <c r="I146">
        <v>6</v>
      </c>
      <c r="J146">
        <v>549753.58900000004</v>
      </c>
      <c r="K146" s="91">
        <f t="shared" si="10"/>
        <v>549.75358900000003</v>
      </c>
    </row>
    <row r="147" spans="1:11">
      <c r="A147" t="s">
        <v>508</v>
      </c>
      <c r="B147" t="s">
        <v>512</v>
      </c>
      <c r="C147">
        <v>850231</v>
      </c>
      <c r="D147" t="s">
        <v>513</v>
      </c>
      <c r="E147" t="s">
        <v>510</v>
      </c>
      <c r="F147" t="s">
        <v>483</v>
      </c>
      <c r="G147">
        <v>2015</v>
      </c>
      <c r="H147" t="s">
        <v>515</v>
      </c>
      <c r="I147">
        <v>6</v>
      </c>
      <c r="J147">
        <v>9110.5859999999993</v>
      </c>
      <c r="K147" s="91">
        <f t="shared" si="10"/>
        <v>9.1105859999999996</v>
      </c>
    </row>
    <row r="148" spans="1:11">
      <c r="A148" t="s">
        <v>508</v>
      </c>
      <c r="B148" t="s">
        <v>512</v>
      </c>
      <c r="C148">
        <v>850231</v>
      </c>
      <c r="D148" t="s">
        <v>513</v>
      </c>
      <c r="E148" t="s">
        <v>510</v>
      </c>
      <c r="F148" t="s">
        <v>483</v>
      </c>
      <c r="G148">
        <v>2016</v>
      </c>
      <c r="H148" t="s">
        <v>515</v>
      </c>
      <c r="I148">
        <v>6</v>
      </c>
      <c r="J148">
        <v>6222.6549999999997</v>
      </c>
      <c r="K148" s="91">
        <f t="shared" si="10"/>
        <v>6.2226549999999996</v>
      </c>
    </row>
    <row r="149" spans="1:11">
      <c r="A149" t="s">
        <v>508</v>
      </c>
      <c r="B149" t="s">
        <v>512</v>
      </c>
      <c r="C149">
        <v>850231</v>
      </c>
      <c r="D149" t="s">
        <v>513</v>
      </c>
      <c r="E149" t="s">
        <v>510</v>
      </c>
      <c r="F149" t="s">
        <v>483</v>
      </c>
      <c r="G149">
        <v>2017</v>
      </c>
      <c r="H149" t="s">
        <v>515</v>
      </c>
      <c r="I149">
        <v>6</v>
      </c>
      <c r="J149">
        <v>4343.7280000000001</v>
      </c>
      <c r="K149" s="91">
        <f t="shared" si="10"/>
        <v>4.3437280000000005</v>
      </c>
    </row>
    <row r="150" spans="1:11">
      <c r="A150" t="s">
        <v>508</v>
      </c>
      <c r="B150" t="s">
        <v>512</v>
      </c>
      <c r="C150">
        <v>850300</v>
      </c>
      <c r="D150" t="s">
        <v>513</v>
      </c>
      <c r="E150" t="s">
        <v>510</v>
      </c>
      <c r="F150" t="s">
        <v>483</v>
      </c>
      <c r="G150">
        <v>2015</v>
      </c>
      <c r="H150" t="s">
        <v>515</v>
      </c>
      <c r="I150">
        <v>6</v>
      </c>
      <c r="J150">
        <v>275565.94199999998</v>
      </c>
      <c r="K150" s="91">
        <f t="shared" si="10"/>
        <v>275.56594200000001</v>
      </c>
    </row>
    <row r="151" spans="1:11">
      <c r="A151" t="s">
        <v>508</v>
      </c>
      <c r="B151" t="s">
        <v>512</v>
      </c>
      <c r="C151">
        <v>850300</v>
      </c>
      <c r="D151" t="s">
        <v>513</v>
      </c>
      <c r="E151" t="s">
        <v>510</v>
      </c>
      <c r="F151" t="s">
        <v>483</v>
      </c>
      <c r="G151">
        <v>2016</v>
      </c>
      <c r="H151" t="s">
        <v>515</v>
      </c>
      <c r="I151">
        <v>6</v>
      </c>
      <c r="J151">
        <v>234789.13699999999</v>
      </c>
      <c r="K151" s="91">
        <f t="shared" si="10"/>
        <v>234.78913699999998</v>
      </c>
    </row>
    <row r="152" spans="1:11">
      <c r="A152" t="s">
        <v>508</v>
      </c>
      <c r="B152" t="s">
        <v>512</v>
      </c>
      <c r="C152">
        <v>850300</v>
      </c>
      <c r="D152" t="s">
        <v>513</v>
      </c>
      <c r="E152" t="s">
        <v>510</v>
      </c>
      <c r="F152" t="s">
        <v>483</v>
      </c>
      <c r="G152">
        <v>2017</v>
      </c>
      <c r="H152" t="s">
        <v>515</v>
      </c>
      <c r="I152">
        <v>6</v>
      </c>
      <c r="J152">
        <v>258388.15599999999</v>
      </c>
      <c r="K152" s="91">
        <f t="shared" si="10"/>
        <v>258.38815599999998</v>
      </c>
    </row>
    <row r="153" spans="1:11">
      <c r="A153" t="s">
        <v>508</v>
      </c>
      <c r="B153" t="s">
        <v>512</v>
      </c>
      <c r="C153">
        <v>8504</v>
      </c>
      <c r="D153" t="s">
        <v>513</v>
      </c>
      <c r="E153" t="s">
        <v>510</v>
      </c>
      <c r="F153" t="s">
        <v>483</v>
      </c>
      <c r="G153">
        <v>2015</v>
      </c>
      <c r="H153" t="s">
        <v>515</v>
      </c>
      <c r="I153">
        <v>6</v>
      </c>
      <c r="J153">
        <v>1306254.997</v>
      </c>
      <c r="K153" s="91">
        <f t="shared" si="10"/>
        <v>1306.254997</v>
      </c>
    </row>
    <row r="154" spans="1:11">
      <c r="A154" t="s">
        <v>508</v>
      </c>
      <c r="B154" t="s">
        <v>512</v>
      </c>
      <c r="C154">
        <v>8504</v>
      </c>
      <c r="D154" t="s">
        <v>513</v>
      </c>
      <c r="E154" t="s">
        <v>510</v>
      </c>
      <c r="F154" t="s">
        <v>483</v>
      </c>
      <c r="G154">
        <v>2016</v>
      </c>
      <c r="H154" t="s">
        <v>515</v>
      </c>
      <c r="I154">
        <v>6</v>
      </c>
      <c r="J154">
        <v>1177418.6640000001</v>
      </c>
      <c r="K154" s="91">
        <f t="shared" si="10"/>
        <v>1177.418664</v>
      </c>
    </row>
    <row r="155" spans="1:11">
      <c r="A155" t="s">
        <v>508</v>
      </c>
      <c r="B155" t="s">
        <v>512</v>
      </c>
      <c r="C155">
        <v>8504</v>
      </c>
      <c r="D155" t="s">
        <v>513</v>
      </c>
      <c r="E155" t="s">
        <v>510</v>
      </c>
      <c r="F155" t="s">
        <v>483</v>
      </c>
      <c r="G155">
        <v>2017</v>
      </c>
      <c r="H155" t="s">
        <v>515</v>
      </c>
      <c r="I155">
        <v>6</v>
      </c>
      <c r="J155">
        <v>1286236.9990000001</v>
      </c>
      <c r="K155" s="91">
        <f t="shared" si="10"/>
        <v>1286.236999</v>
      </c>
    </row>
    <row r="156" spans="1:11">
      <c r="A156" t="s">
        <v>508</v>
      </c>
      <c r="B156" t="s">
        <v>512</v>
      </c>
      <c r="C156">
        <v>853720</v>
      </c>
      <c r="D156" t="s">
        <v>513</v>
      </c>
      <c r="E156" t="s">
        <v>510</v>
      </c>
      <c r="F156" t="s">
        <v>483</v>
      </c>
      <c r="G156">
        <v>2015</v>
      </c>
      <c r="H156" t="s">
        <v>515</v>
      </c>
      <c r="I156">
        <v>6</v>
      </c>
      <c r="J156">
        <v>51453.521000000001</v>
      </c>
      <c r="K156" s="91">
        <f t="shared" si="10"/>
        <v>51.453521000000002</v>
      </c>
    </row>
    <row r="157" spans="1:11">
      <c r="A157" t="s">
        <v>508</v>
      </c>
      <c r="B157" t="s">
        <v>512</v>
      </c>
      <c r="C157">
        <v>853720</v>
      </c>
      <c r="D157" t="s">
        <v>513</v>
      </c>
      <c r="E157" t="s">
        <v>510</v>
      </c>
      <c r="F157" t="s">
        <v>483</v>
      </c>
      <c r="G157">
        <v>2016</v>
      </c>
      <c r="H157" t="s">
        <v>515</v>
      </c>
      <c r="I157">
        <v>6</v>
      </c>
      <c r="J157">
        <v>30347.157999999999</v>
      </c>
      <c r="K157" s="91">
        <f t="shared" si="10"/>
        <v>30.347158</v>
      </c>
    </row>
    <row r="158" spans="1:11">
      <c r="A158" t="s">
        <v>508</v>
      </c>
      <c r="B158" t="s">
        <v>512</v>
      </c>
      <c r="C158">
        <v>853720</v>
      </c>
      <c r="D158" t="s">
        <v>513</v>
      </c>
      <c r="E158" t="s">
        <v>510</v>
      </c>
      <c r="F158" t="s">
        <v>483</v>
      </c>
      <c r="G158">
        <v>2017</v>
      </c>
      <c r="H158" t="s">
        <v>515</v>
      </c>
      <c r="I158">
        <v>6</v>
      </c>
      <c r="J158">
        <v>32234.019</v>
      </c>
      <c r="K158" s="91">
        <f t="shared" si="10"/>
        <v>32.234019000000004</v>
      </c>
    </row>
    <row r="159" spans="1:11">
      <c r="A159" t="s">
        <v>508</v>
      </c>
      <c r="B159" t="s">
        <v>512</v>
      </c>
      <c r="C159">
        <v>854460</v>
      </c>
      <c r="D159" t="s">
        <v>513</v>
      </c>
      <c r="E159" t="s">
        <v>510</v>
      </c>
      <c r="F159" t="s">
        <v>483</v>
      </c>
      <c r="G159">
        <v>2015</v>
      </c>
      <c r="H159" t="s">
        <v>515</v>
      </c>
      <c r="I159">
        <v>6</v>
      </c>
      <c r="J159">
        <v>123601.53200000001</v>
      </c>
      <c r="K159" s="91">
        <f t="shared" si="10"/>
        <v>123.60153200000001</v>
      </c>
    </row>
    <row r="160" spans="1:11">
      <c r="A160" t="s">
        <v>508</v>
      </c>
      <c r="B160" t="s">
        <v>512</v>
      </c>
      <c r="C160">
        <v>854460</v>
      </c>
      <c r="D160" t="s">
        <v>513</v>
      </c>
      <c r="E160" t="s">
        <v>510</v>
      </c>
      <c r="F160" t="s">
        <v>483</v>
      </c>
      <c r="G160">
        <v>2016</v>
      </c>
      <c r="H160" t="s">
        <v>515</v>
      </c>
      <c r="I160">
        <v>6</v>
      </c>
      <c r="J160">
        <v>64932.171000000002</v>
      </c>
      <c r="K160" s="91">
        <f t="shared" si="10"/>
        <v>64.932170999999997</v>
      </c>
    </row>
    <row r="161" spans="1:11">
      <c r="A161" t="s">
        <v>508</v>
      </c>
      <c r="B161" t="s">
        <v>512</v>
      </c>
      <c r="C161">
        <v>854460</v>
      </c>
      <c r="D161" t="s">
        <v>513</v>
      </c>
      <c r="E161" t="s">
        <v>510</v>
      </c>
      <c r="F161" t="s">
        <v>483</v>
      </c>
      <c r="G161">
        <v>2017</v>
      </c>
      <c r="H161" t="s">
        <v>515</v>
      </c>
      <c r="I161">
        <v>6</v>
      </c>
      <c r="J161">
        <v>65497.415000000001</v>
      </c>
      <c r="K161" s="91">
        <f t="shared" si="10"/>
        <v>65.497415000000004</v>
      </c>
    </row>
    <row r="162" spans="1:11">
      <c r="K162" s="91">
        <f t="shared" si="10"/>
        <v>0</v>
      </c>
    </row>
    <row r="163" spans="1:11">
      <c r="A163" t="s">
        <v>508</v>
      </c>
      <c r="B163" t="s">
        <v>518</v>
      </c>
      <c r="C163">
        <v>730820</v>
      </c>
      <c r="D163" t="s">
        <v>481</v>
      </c>
      <c r="E163" t="s">
        <v>510</v>
      </c>
      <c r="F163" t="s">
        <v>483</v>
      </c>
      <c r="G163">
        <v>2015</v>
      </c>
      <c r="H163" t="s">
        <v>515</v>
      </c>
      <c r="I163">
        <v>6</v>
      </c>
      <c r="J163">
        <v>222009.08199999999</v>
      </c>
      <c r="K163" s="91">
        <f t="shared" si="10"/>
        <v>222.00908200000001</v>
      </c>
    </row>
    <row r="164" spans="1:11">
      <c r="A164" t="s">
        <v>508</v>
      </c>
      <c r="B164" t="s">
        <v>518</v>
      </c>
      <c r="C164">
        <v>730820</v>
      </c>
      <c r="D164" t="s">
        <v>481</v>
      </c>
      <c r="E164" t="s">
        <v>510</v>
      </c>
      <c r="F164" t="s">
        <v>483</v>
      </c>
      <c r="G164">
        <v>2016</v>
      </c>
      <c r="H164" t="s">
        <v>515</v>
      </c>
      <c r="I164">
        <v>6</v>
      </c>
      <c r="J164">
        <v>338928.66399999999</v>
      </c>
      <c r="K164" s="91">
        <f t="shared" si="10"/>
        <v>338.92866399999997</v>
      </c>
    </row>
    <row r="165" spans="1:11">
      <c r="A165" t="s">
        <v>508</v>
      </c>
      <c r="B165" t="s">
        <v>518</v>
      </c>
      <c r="C165">
        <v>730820</v>
      </c>
      <c r="D165" t="s">
        <v>481</v>
      </c>
      <c r="E165" t="s">
        <v>510</v>
      </c>
      <c r="F165" t="s">
        <v>483</v>
      </c>
      <c r="G165">
        <v>2017</v>
      </c>
      <c r="H165" t="s">
        <v>515</v>
      </c>
      <c r="I165">
        <v>6</v>
      </c>
      <c r="J165">
        <v>207930.43400000001</v>
      </c>
      <c r="K165" s="91">
        <f t="shared" si="10"/>
        <v>207.93043400000002</v>
      </c>
    </row>
    <row r="166" spans="1:11">
      <c r="A166" t="s">
        <v>508</v>
      </c>
      <c r="B166" t="s">
        <v>518</v>
      </c>
      <c r="C166">
        <v>730890</v>
      </c>
      <c r="D166" t="s">
        <v>481</v>
      </c>
      <c r="E166" t="s">
        <v>510</v>
      </c>
      <c r="F166" t="s">
        <v>483</v>
      </c>
      <c r="G166">
        <v>2015</v>
      </c>
      <c r="H166" t="s">
        <v>515</v>
      </c>
      <c r="I166">
        <v>6</v>
      </c>
      <c r="J166">
        <v>2763372.0249999999</v>
      </c>
      <c r="K166" s="91">
        <f t="shared" si="10"/>
        <v>2763.3720250000001</v>
      </c>
    </row>
    <row r="167" spans="1:11">
      <c r="A167" t="s">
        <v>508</v>
      </c>
      <c r="B167" t="s">
        <v>518</v>
      </c>
      <c r="C167">
        <v>730890</v>
      </c>
      <c r="D167" t="s">
        <v>481</v>
      </c>
      <c r="E167" t="s">
        <v>510</v>
      </c>
      <c r="F167" t="s">
        <v>483</v>
      </c>
      <c r="G167">
        <v>2016</v>
      </c>
      <c r="H167" t="s">
        <v>515</v>
      </c>
      <c r="I167">
        <v>6</v>
      </c>
      <c r="J167">
        <v>2566636.4619999998</v>
      </c>
      <c r="K167" s="91">
        <f t="shared" si="10"/>
        <v>2566.6364619999999</v>
      </c>
    </row>
    <row r="168" spans="1:11">
      <c r="A168" t="s">
        <v>508</v>
      </c>
      <c r="B168" t="s">
        <v>518</v>
      </c>
      <c r="C168">
        <v>730890</v>
      </c>
      <c r="D168" t="s">
        <v>481</v>
      </c>
      <c r="E168" t="s">
        <v>510</v>
      </c>
      <c r="F168" t="s">
        <v>483</v>
      </c>
      <c r="G168">
        <v>2017</v>
      </c>
      <c r="H168" t="s">
        <v>515</v>
      </c>
      <c r="I168">
        <v>6</v>
      </c>
      <c r="J168">
        <v>2836147.9789999998</v>
      </c>
      <c r="K168" s="91">
        <f t="shared" si="10"/>
        <v>2836.1479789999999</v>
      </c>
    </row>
    <row r="169" spans="1:11">
      <c r="A169" t="s">
        <v>508</v>
      </c>
      <c r="B169" t="s">
        <v>518</v>
      </c>
      <c r="C169">
        <v>841280</v>
      </c>
      <c r="D169" t="s">
        <v>481</v>
      </c>
      <c r="E169" t="s">
        <v>510</v>
      </c>
      <c r="F169" t="s">
        <v>483</v>
      </c>
      <c r="G169">
        <v>2015</v>
      </c>
      <c r="H169" t="s">
        <v>515</v>
      </c>
      <c r="I169">
        <v>6</v>
      </c>
      <c r="J169">
        <v>40032.491999999998</v>
      </c>
      <c r="K169" s="91">
        <f t="shared" si="10"/>
        <v>40.032491999999998</v>
      </c>
    </row>
    <row r="170" spans="1:11">
      <c r="A170" t="s">
        <v>508</v>
      </c>
      <c r="B170" t="s">
        <v>518</v>
      </c>
      <c r="C170">
        <v>841280</v>
      </c>
      <c r="D170" t="s">
        <v>481</v>
      </c>
      <c r="E170" t="s">
        <v>510</v>
      </c>
      <c r="F170" t="s">
        <v>483</v>
      </c>
      <c r="G170">
        <v>2016</v>
      </c>
      <c r="H170" t="s">
        <v>515</v>
      </c>
      <c r="I170">
        <v>6</v>
      </c>
      <c r="J170">
        <v>84430.59</v>
      </c>
      <c r="K170" s="91">
        <f t="shared" si="10"/>
        <v>84.430589999999995</v>
      </c>
    </row>
    <row r="171" spans="1:11">
      <c r="A171" t="s">
        <v>508</v>
      </c>
      <c r="B171" t="s">
        <v>518</v>
      </c>
      <c r="C171">
        <v>841280</v>
      </c>
      <c r="D171" t="s">
        <v>481</v>
      </c>
      <c r="E171" t="s">
        <v>510</v>
      </c>
      <c r="F171" t="s">
        <v>483</v>
      </c>
      <c r="G171">
        <v>2017</v>
      </c>
      <c r="H171" t="s">
        <v>515</v>
      </c>
      <c r="I171">
        <v>6</v>
      </c>
      <c r="J171">
        <v>165806.84599999999</v>
      </c>
      <c r="K171" s="91">
        <f t="shared" si="10"/>
        <v>165.80684599999998</v>
      </c>
    </row>
    <row r="172" spans="1:11">
      <c r="A172" t="s">
        <v>508</v>
      </c>
      <c r="B172" t="s">
        <v>518</v>
      </c>
      <c r="C172">
        <v>841290</v>
      </c>
      <c r="D172" t="s">
        <v>481</v>
      </c>
      <c r="E172" t="s">
        <v>510</v>
      </c>
      <c r="F172" t="s">
        <v>483</v>
      </c>
      <c r="G172">
        <v>2015</v>
      </c>
      <c r="H172" t="s">
        <v>515</v>
      </c>
      <c r="I172">
        <v>6</v>
      </c>
      <c r="J172">
        <v>768334.93500000006</v>
      </c>
      <c r="K172" s="91">
        <f t="shared" si="10"/>
        <v>768.33493500000009</v>
      </c>
    </row>
    <row r="173" spans="1:11">
      <c r="A173" t="s">
        <v>508</v>
      </c>
      <c r="B173" t="s">
        <v>518</v>
      </c>
      <c r="C173">
        <v>841290</v>
      </c>
      <c r="D173" t="s">
        <v>481</v>
      </c>
      <c r="E173" t="s">
        <v>510</v>
      </c>
      <c r="F173" t="s">
        <v>483</v>
      </c>
      <c r="G173">
        <v>2016</v>
      </c>
      <c r="H173" t="s">
        <v>515</v>
      </c>
      <c r="I173">
        <v>6</v>
      </c>
      <c r="J173">
        <v>774632.42099999997</v>
      </c>
      <c r="K173" s="91">
        <f t="shared" si="10"/>
        <v>774.63242100000002</v>
      </c>
    </row>
    <row r="174" spans="1:11">
      <c r="A174" t="s">
        <v>508</v>
      </c>
      <c r="B174" t="s">
        <v>518</v>
      </c>
      <c r="C174">
        <v>841290</v>
      </c>
      <c r="D174" t="s">
        <v>481</v>
      </c>
      <c r="E174" t="s">
        <v>510</v>
      </c>
      <c r="F174" t="s">
        <v>483</v>
      </c>
      <c r="G174">
        <v>2017</v>
      </c>
      <c r="H174" t="s">
        <v>515</v>
      </c>
      <c r="I174">
        <v>6</v>
      </c>
      <c r="J174">
        <v>686867.80099999998</v>
      </c>
      <c r="K174" s="91">
        <f t="shared" si="10"/>
        <v>686.86780099999999</v>
      </c>
    </row>
    <row r="175" spans="1:11">
      <c r="A175" t="s">
        <v>508</v>
      </c>
      <c r="B175" t="s">
        <v>518</v>
      </c>
      <c r="C175">
        <v>8482</v>
      </c>
      <c r="D175" t="s">
        <v>481</v>
      </c>
      <c r="E175" t="s">
        <v>510</v>
      </c>
      <c r="F175" t="s">
        <v>483</v>
      </c>
      <c r="G175">
        <v>2015</v>
      </c>
      <c r="H175" t="s">
        <v>515</v>
      </c>
      <c r="I175">
        <v>6</v>
      </c>
      <c r="J175">
        <v>4445458.8099999996</v>
      </c>
      <c r="K175" s="91">
        <f t="shared" si="10"/>
        <v>4445.4588099999992</v>
      </c>
    </row>
    <row r="176" spans="1:11">
      <c r="A176" t="s">
        <v>508</v>
      </c>
      <c r="B176" t="s">
        <v>518</v>
      </c>
      <c r="C176">
        <v>8482</v>
      </c>
      <c r="D176" t="s">
        <v>481</v>
      </c>
      <c r="E176" t="s">
        <v>510</v>
      </c>
      <c r="F176" t="s">
        <v>483</v>
      </c>
      <c r="G176">
        <v>2016</v>
      </c>
      <c r="H176" t="s">
        <v>515</v>
      </c>
      <c r="I176">
        <v>6</v>
      </c>
      <c r="J176">
        <v>4399552.8959999997</v>
      </c>
      <c r="K176" s="91">
        <f t="shared" si="10"/>
        <v>4399.5528960000001</v>
      </c>
    </row>
    <row r="177" spans="1:11">
      <c r="A177" t="s">
        <v>508</v>
      </c>
      <c r="B177" t="s">
        <v>518</v>
      </c>
      <c r="C177">
        <v>8482</v>
      </c>
      <c r="D177" t="s">
        <v>481</v>
      </c>
      <c r="E177" t="s">
        <v>510</v>
      </c>
      <c r="F177" t="s">
        <v>483</v>
      </c>
      <c r="G177">
        <v>2017</v>
      </c>
      <c r="H177" t="s">
        <v>515</v>
      </c>
      <c r="I177">
        <v>6</v>
      </c>
      <c r="J177">
        <v>5120300.0769999996</v>
      </c>
      <c r="K177" s="91">
        <f t="shared" si="10"/>
        <v>5120.3000769999999</v>
      </c>
    </row>
    <row r="178" spans="1:11">
      <c r="A178" t="s">
        <v>508</v>
      </c>
      <c r="B178" t="s">
        <v>518</v>
      </c>
      <c r="C178">
        <v>850231</v>
      </c>
      <c r="D178" t="s">
        <v>481</v>
      </c>
      <c r="E178" t="s">
        <v>510</v>
      </c>
      <c r="F178" t="s">
        <v>483</v>
      </c>
      <c r="G178">
        <v>2015</v>
      </c>
      <c r="H178" t="s">
        <v>515</v>
      </c>
      <c r="I178">
        <v>6</v>
      </c>
      <c r="J178">
        <v>2393762.9330000002</v>
      </c>
      <c r="K178" s="91">
        <f t="shared" si="10"/>
        <v>2393.762933</v>
      </c>
    </row>
    <row r="179" spans="1:11">
      <c r="A179" t="s">
        <v>508</v>
      </c>
      <c r="B179" t="s">
        <v>518</v>
      </c>
      <c r="C179">
        <v>850231</v>
      </c>
      <c r="D179" t="s">
        <v>481</v>
      </c>
      <c r="E179" t="s">
        <v>510</v>
      </c>
      <c r="F179" t="s">
        <v>483</v>
      </c>
      <c r="G179">
        <v>2016</v>
      </c>
      <c r="H179" t="s">
        <v>515</v>
      </c>
      <c r="I179">
        <v>6</v>
      </c>
      <c r="J179">
        <v>2186058.2919999999</v>
      </c>
      <c r="K179" s="91">
        <f t="shared" si="10"/>
        <v>2186.0582919999997</v>
      </c>
    </row>
    <row r="180" spans="1:11">
      <c r="A180" t="s">
        <v>508</v>
      </c>
      <c r="B180" t="s">
        <v>518</v>
      </c>
      <c r="C180">
        <v>850231</v>
      </c>
      <c r="D180" t="s">
        <v>481</v>
      </c>
      <c r="E180" t="s">
        <v>510</v>
      </c>
      <c r="F180" t="s">
        <v>483</v>
      </c>
      <c r="G180">
        <v>2017</v>
      </c>
      <c r="H180" t="s">
        <v>515</v>
      </c>
      <c r="I180">
        <v>6</v>
      </c>
      <c r="J180">
        <v>1214455.2279999999</v>
      </c>
      <c r="K180" s="91">
        <f t="shared" si="10"/>
        <v>1214.4552279999998</v>
      </c>
    </row>
    <row r="181" spans="1:11">
      <c r="A181" t="s">
        <v>508</v>
      </c>
      <c r="B181" t="s">
        <v>518</v>
      </c>
      <c r="C181">
        <v>850300</v>
      </c>
      <c r="D181" t="s">
        <v>481</v>
      </c>
      <c r="E181" t="s">
        <v>510</v>
      </c>
      <c r="F181" t="s">
        <v>483</v>
      </c>
      <c r="G181">
        <v>2015</v>
      </c>
      <c r="H181" t="s">
        <v>515</v>
      </c>
      <c r="I181">
        <v>6</v>
      </c>
      <c r="J181">
        <v>1580147.652</v>
      </c>
      <c r="K181" s="91">
        <f t="shared" si="10"/>
        <v>1580.1476520000001</v>
      </c>
    </row>
    <row r="182" spans="1:11">
      <c r="A182" t="s">
        <v>508</v>
      </c>
      <c r="B182" t="s">
        <v>518</v>
      </c>
      <c r="C182">
        <v>850300</v>
      </c>
      <c r="D182" t="s">
        <v>481</v>
      </c>
      <c r="E182" t="s">
        <v>510</v>
      </c>
      <c r="F182" t="s">
        <v>483</v>
      </c>
      <c r="G182">
        <v>2016</v>
      </c>
      <c r="H182" t="s">
        <v>515</v>
      </c>
      <c r="I182">
        <v>6</v>
      </c>
      <c r="J182">
        <v>1579643.1810000001</v>
      </c>
      <c r="K182" s="91">
        <f t="shared" si="10"/>
        <v>1579.6431810000001</v>
      </c>
    </row>
    <row r="183" spans="1:11">
      <c r="A183" t="s">
        <v>508</v>
      </c>
      <c r="B183" t="s">
        <v>518</v>
      </c>
      <c r="C183">
        <v>850300</v>
      </c>
      <c r="D183" t="s">
        <v>481</v>
      </c>
      <c r="E183" t="s">
        <v>510</v>
      </c>
      <c r="F183" t="s">
        <v>483</v>
      </c>
      <c r="G183">
        <v>2017</v>
      </c>
      <c r="H183" t="s">
        <v>515</v>
      </c>
      <c r="I183">
        <v>6</v>
      </c>
      <c r="J183">
        <v>1539122.9909999999</v>
      </c>
      <c r="K183" s="91">
        <f t="shared" si="10"/>
        <v>1539.122991</v>
      </c>
    </row>
    <row r="184" spans="1:11">
      <c r="A184" t="s">
        <v>508</v>
      </c>
      <c r="B184" t="s">
        <v>518</v>
      </c>
      <c r="C184">
        <v>8504</v>
      </c>
      <c r="D184" t="s">
        <v>481</v>
      </c>
      <c r="E184" t="s">
        <v>510</v>
      </c>
      <c r="F184" t="s">
        <v>483</v>
      </c>
      <c r="G184">
        <v>2015</v>
      </c>
      <c r="H184" t="s">
        <v>515</v>
      </c>
      <c r="I184">
        <v>6</v>
      </c>
      <c r="J184">
        <v>7650380.4309999999</v>
      </c>
      <c r="K184" s="91">
        <f t="shared" si="10"/>
        <v>7650.3804309999996</v>
      </c>
    </row>
    <row r="185" spans="1:11">
      <c r="A185" t="s">
        <v>508</v>
      </c>
      <c r="B185" t="s">
        <v>518</v>
      </c>
      <c r="C185">
        <v>8504</v>
      </c>
      <c r="D185" t="s">
        <v>481</v>
      </c>
      <c r="E185" t="s">
        <v>510</v>
      </c>
      <c r="F185" t="s">
        <v>483</v>
      </c>
      <c r="G185">
        <v>2016</v>
      </c>
      <c r="H185" t="s">
        <v>515</v>
      </c>
      <c r="I185">
        <v>6</v>
      </c>
      <c r="J185">
        <v>7701507.4910000004</v>
      </c>
      <c r="K185" s="91">
        <f t="shared" si="10"/>
        <v>7701.5074910000003</v>
      </c>
    </row>
    <row r="186" spans="1:11">
      <c r="A186" t="s">
        <v>508</v>
      </c>
      <c r="B186" t="s">
        <v>518</v>
      </c>
      <c r="C186">
        <v>8504</v>
      </c>
      <c r="D186" t="s">
        <v>481</v>
      </c>
      <c r="E186" t="s">
        <v>510</v>
      </c>
      <c r="F186" t="s">
        <v>483</v>
      </c>
      <c r="G186">
        <v>2017</v>
      </c>
      <c r="H186" t="s">
        <v>515</v>
      </c>
      <c r="I186">
        <v>6</v>
      </c>
      <c r="J186">
        <v>8663638.375</v>
      </c>
      <c r="K186" s="91">
        <f t="shared" si="10"/>
        <v>8663.6383750000005</v>
      </c>
    </row>
    <row r="187" spans="1:11">
      <c r="A187" t="s">
        <v>508</v>
      </c>
      <c r="B187" t="s">
        <v>518</v>
      </c>
      <c r="C187">
        <v>853720</v>
      </c>
      <c r="D187" t="s">
        <v>481</v>
      </c>
      <c r="E187" t="s">
        <v>510</v>
      </c>
      <c r="F187" t="s">
        <v>483</v>
      </c>
      <c r="G187">
        <v>2015</v>
      </c>
      <c r="H187" t="s">
        <v>515</v>
      </c>
      <c r="I187">
        <v>6</v>
      </c>
      <c r="J187">
        <v>1121660.8899999999</v>
      </c>
      <c r="K187" s="91">
        <f t="shared" si="10"/>
        <v>1121.6608899999999</v>
      </c>
    </row>
    <row r="188" spans="1:11">
      <c r="A188" t="s">
        <v>508</v>
      </c>
      <c r="B188" t="s">
        <v>518</v>
      </c>
      <c r="C188">
        <v>853720</v>
      </c>
      <c r="D188" t="s">
        <v>481</v>
      </c>
      <c r="E188" t="s">
        <v>510</v>
      </c>
      <c r="F188" t="s">
        <v>483</v>
      </c>
      <c r="G188">
        <v>2016</v>
      </c>
      <c r="H188" t="s">
        <v>515</v>
      </c>
      <c r="I188">
        <v>6</v>
      </c>
      <c r="J188">
        <v>1311661.7069999999</v>
      </c>
      <c r="K188" s="91">
        <f t="shared" si="10"/>
        <v>1311.661707</v>
      </c>
    </row>
    <row r="189" spans="1:11">
      <c r="A189" t="s">
        <v>508</v>
      </c>
      <c r="B189" t="s">
        <v>518</v>
      </c>
      <c r="C189">
        <v>853720</v>
      </c>
      <c r="D189" t="s">
        <v>481</v>
      </c>
      <c r="E189" t="s">
        <v>510</v>
      </c>
      <c r="F189" t="s">
        <v>483</v>
      </c>
      <c r="G189">
        <v>2017</v>
      </c>
      <c r="H189" t="s">
        <v>515</v>
      </c>
      <c r="I189">
        <v>6</v>
      </c>
      <c r="J189">
        <v>1153461.5060000001</v>
      </c>
      <c r="K189" s="91">
        <f t="shared" si="10"/>
        <v>1153.4615060000001</v>
      </c>
    </row>
    <row r="190" spans="1:11">
      <c r="A190" t="s">
        <v>508</v>
      </c>
      <c r="B190" t="s">
        <v>518</v>
      </c>
      <c r="C190">
        <v>854460</v>
      </c>
      <c r="D190" t="s">
        <v>481</v>
      </c>
      <c r="E190" t="s">
        <v>510</v>
      </c>
      <c r="F190" t="s">
        <v>483</v>
      </c>
      <c r="G190">
        <v>2015</v>
      </c>
      <c r="H190" t="s">
        <v>515</v>
      </c>
      <c r="I190">
        <v>6</v>
      </c>
      <c r="J190">
        <v>575765.82499999995</v>
      </c>
      <c r="K190" s="91">
        <f t="shared" si="10"/>
        <v>575.76582499999995</v>
      </c>
    </row>
    <row r="191" spans="1:11">
      <c r="A191" t="s">
        <v>508</v>
      </c>
      <c r="B191" t="s">
        <v>518</v>
      </c>
      <c r="C191">
        <v>854460</v>
      </c>
      <c r="D191" t="s">
        <v>481</v>
      </c>
      <c r="E191" t="s">
        <v>510</v>
      </c>
      <c r="F191" t="s">
        <v>483</v>
      </c>
      <c r="G191">
        <v>2016</v>
      </c>
      <c r="H191" t="s">
        <v>515</v>
      </c>
      <c r="I191">
        <v>6</v>
      </c>
      <c r="J191">
        <v>458178.69699999999</v>
      </c>
      <c r="K191" s="91">
        <f t="shared" si="10"/>
        <v>458.178697</v>
      </c>
    </row>
    <row r="192" spans="1:11">
      <c r="A192" t="s">
        <v>508</v>
      </c>
      <c r="B192" t="s">
        <v>518</v>
      </c>
      <c r="C192">
        <v>854460</v>
      </c>
      <c r="D192" t="s">
        <v>481</v>
      </c>
      <c r="E192" t="s">
        <v>510</v>
      </c>
      <c r="F192" t="s">
        <v>483</v>
      </c>
      <c r="G192">
        <v>2017</v>
      </c>
      <c r="H192" t="s">
        <v>515</v>
      </c>
      <c r="I192">
        <v>6</v>
      </c>
      <c r="J192">
        <v>424291.09600000002</v>
      </c>
      <c r="K192" s="91">
        <f t="shared" si="10"/>
        <v>424.29109600000004</v>
      </c>
    </row>
    <row r="193" spans="1:11">
      <c r="K193" s="91"/>
    </row>
    <row r="194" spans="1:11" ht="16" customHeight="1">
      <c r="A194" t="s">
        <v>508</v>
      </c>
      <c r="B194" t="s">
        <v>519</v>
      </c>
      <c r="C194">
        <v>730820</v>
      </c>
      <c r="D194" t="s">
        <v>482</v>
      </c>
      <c r="E194" t="s">
        <v>510</v>
      </c>
      <c r="F194" t="s">
        <v>483</v>
      </c>
      <c r="G194">
        <v>2015</v>
      </c>
      <c r="H194" t="s">
        <v>515</v>
      </c>
      <c r="I194">
        <v>6</v>
      </c>
      <c r="J194">
        <v>273547.16899999999</v>
      </c>
      <c r="K194" s="91">
        <f t="shared" si="10"/>
        <v>273.547169</v>
      </c>
    </row>
    <row r="195" spans="1:11">
      <c r="A195" t="s">
        <v>508</v>
      </c>
      <c r="B195" t="s">
        <v>519</v>
      </c>
      <c r="C195">
        <v>730820</v>
      </c>
      <c r="D195" t="s">
        <v>482</v>
      </c>
      <c r="E195" t="s">
        <v>510</v>
      </c>
      <c r="F195" t="s">
        <v>483</v>
      </c>
      <c r="G195">
        <v>2016</v>
      </c>
      <c r="H195" t="s">
        <v>515</v>
      </c>
      <c r="I195">
        <v>6</v>
      </c>
      <c r="J195">
        <v>368000.196</v>
      </c>
      <c r="K195" s="91">
        <f t="shared" si="10"/>
        <v>368.00019600000002</v>
      </c>
    </row>
    <row r="196" spans="1:11">
      <c r="A196" t="s">
        <v>508</v>
      </c>
      <c r="B196" t="s">
        <v>519</v>
      </c>
      <c r="C196">
        <v>730820</v>
      </c>
      <c r="D196" t="s">
        <v>482</v>
      </c>
      <c r="E196" t="s">
        <v>510</v>
      </c>
      <c r="F196" t="s">
        <v>483</v>
      </c>
      <c r="G196">
        <v>2017</v>
      </c>
      <c r="H196" t="s">
        <v>515</v>
      </c>
      <c r="I196">
        <v>6</v>
      </c>
      <c r="J196">
        <v>479946.467</v>
      </c>
      <c r="K196" s="91">
        <f t="shared" ref="K196:K223" si="11">J196/1000</f>
        <v>479.94646699999998</v>
      </c>
    </row>
    <row r="197" spans="1:11">
      <c r="A197" t="s">
        <v>508</v>
      </c>
      <c r="B197" t="s">
        <v>519</v>
      </c>
      <c r="C197">
        <v>730890</v>
      </c>
      <c r="D197" t="s">
        <v>482</v>
      </c>
      <c r="E197" t="s">
        <v>510</v>
      </c>
      <c r="F197" t="s">
        <v>483</v>
      </c>
      <c r="G197">
        <v>2015</v>
      </c>
      <c r="H197" t="s">
        <v>515</v>
      </c>
      <c r="I197">
        <v>6</v>
      </c>
      <c r="J197">
        <v>395373.77299999999</v>
      </c>
      <c r="K197" s="91">
        <f t="shared" si="11"/>
        <v>395.37377299999997</v>
      </c>
    </row>
    <row r="198" spans="1:11">
      <c r="A198" t="s">
        <v>508</v>
      </c>
      <c r="B198" t="s">
        <v>519</v>
      </c>
      <c r="C198">
        <v>730890</v>
      </c>
      <c r="D198" t="s">
        <v>482</v>
      </c>
      <c r="E198" t="s">
        <v>510</v>
      </c>
      <c r="F198" t="s">
        <v>483</v>
      </c>
      <c r="G198">
        <v>2016</v>
      </c>
      <c r="H198" t="s">
        <v>515</v>
      </c>
      <c r="I198">
        <v>6</v>
      </c>
      <c r="J198">
        <v>352403.255</v>
      </c>
      <c r="K198" s="91">
        <f t="shared" si="11"/>
        <v>352.403255</v>
      </c>
    </row>
    <row r="199" spans="1:11">
      <c r="A199" t="s">
        <v>508</v>
      </c>
      <c r="B199" t="s">
        <v>519</v>
      </c>
      <c r="C199">
        <v>730890</v>
      </c>
      <c r="D199" t="s">
        <v>482</v>
      </c>
      <c r="E199" t="s">
        <v>510</v>
      </c>
      <c r="F199" t="s">
        <v>483</v>
      </c>
      <c r="G199">
        <v>2017</v>
      </c>
      <c r="H199" t="s">
        <v>515</v>
      </c>
      <c r="I199">
        <v>6</v>
      </c>
      <c r="J199">
        <v>517632.99300000002</v>
      </c>
      <c r="K199" s="91">
        <f t="shared" si="11"/>
        <v>517.63299300000006</v>
      </c>
    </row>
    <row r="200" spans="1:11">
      <c r="A200" t="s">
        <v>508</v>
      </c>
      <c r="B200" t="s">
        <v>519</v>
      </c>
      <c r="C200">
        <v>841280</v>
      </c>
      <c r="D200" t="s">
        <v>482</v>
      </c>
      <c r="E200" t="s">
        <v>510</v>
      </c>
      <c r="F200" t="s">
        <v>483</v>
      </c>
      <c r="G200">
        <v>2015</v>
      </c>
      <c r="H200" t="s">
        <v>515</v>
      </c>
      <c r="I200">
        <v>6</v>
      </c>
      <c r="J200">
        <v>11404.781999999999</v>
      </c>
      <c r="K200" s="91">
        <f t="shared" si="11"/>
        <v>11.404781999999999</v>
      </c>
    </row>
    <row r="201" spans="1:11">
      <c r="A201" t="s">
        <v>508</v>
      </c>
      <c r="B201" t="s">
        <v>519</v>
      </c>
      <c r="C201">
        <v>841280</v>
      </c>
      <c r="D201" t="s">
        <v>482</v>
      </c>
      <c r="E201" t="s">
        <v>510</v>
      </c>
      <c r="F201" t="s">
        <v>483</v>
      </c>
      <c r="G201">
        <v>2016</v>
      </c>
      <c r="H201" t="s">
        <v>515</v>
      </c>
      <c r="I201">
        <v>6</v>
      </c>
      <c r="J201">
        <v>7086.49</v>
      </c>
      <c r="K201" s="91">
        <f t="shared" si="11"/>
        <v>7.0864899999999995</v>
      </c>
    </row>
    <row r="202" spans="1:11">
      <c r="A202" t="s">
        <v>508</v>
      </c>
      <c r="B202" t="s">
        <v>519</v>
      </c>
      <c r="C202">
        <v>841280</v>
      </c>
      <c r="D202" t="s">
        <v>482</v>
      </c>
      <c r="E202" t="s">
        <v>510</v>
      </c>
      <c r="F202" t="s">
        <v>483</v>
      </c>
      <c r="G202">
        <v>2017</v>
      </c>
      <c r="H202" t="s">
        <v>515</v>
      </c>
      <c r="I202">
        <v>6</v>
      </c>
      <c r="J202">
        <v>1928.471</v>
      </c>
      <c r="K202" s="91">
        <f t="shared" si="11"/>
        <v>1.928471</v>
      </c>
    </row>
    <row r="203" spans="1:11">
      <c r="A203" t="s">
        <v>508</v>
      </c>
      <c r="B203" t="s">
        <v>519</v>
      </c>
      <c r="C203">
        <v>841290</v>
      </c>
      <c r="D203" t="s">
        <v>482</v>
      </c>
      <c r="E203" t="s">
        <v>510</v>
      </c>
      <c r="F203" t="s">
        <v>483</v>
      </c>
      <c r="G203">
        <v>2015</v>
      </c>
      <c r="H203" t="s">
        <v>515</v>
      </c>
      <c r="I203">
        <v>6</v>
      </c>
      <c r="J203">
        <v>790779.09400000004</v>
      </c>
      <c r="K203" s="91">
        <f t="shared" si="11"/>
        <v>790.77909399999999</v>
      </c>
    </row>
    <row r="204" spans="1:11">
      <c r="A204" t="s">
        <v>508</v>
      </c>
      <c r="B204" t="s">
        <v>519</v>
      </c>
      <c r="C204">
        <v>841290</v>
      </c>
      <c r="D204" t="s">
        <v>482</v>
      </c>
      <c r="E204" t="s">
        <v>510</v>
      </c>
      <c r="F204" t="s">
        <v>483</v>
      </c>
      <c r="G204">
        <v>2016</v>
      </c>
      <c r="H204" t="s">
        <v>515</v>
      </c>
      <c r="I204">
        <v>6</v>
      </c>
      <c r="J204">
        <v>891078.40399999998</v>
      </c>
      <c r="K204" s="91">
        <f t="shared" si="11"/>
        <v>891.07840399999998</v>
      </c>
    </row>
    <row r="205" spans="1:11">
      <c r="A205" t="s">
        <v>508</v>
      </c>
      <c r="B205" t="s">
        <v>519</v>
      </c>
      <c r="C205">
        <v>841290</v>
      </c>
      <c r="D205" t="s">
        <v>482</v>
      </c>
      <c r="E205" t="s">
        <v>510</v>
      </c>
      <c r="F205" t="s">
        <v>483</v>
      </c>
      <c r="G205">
        <v>2017</v>
      </c>
      <c r="H205" t="s">
        <v>515</v>
      </c>
      <c r="I205">
        <v>6</v>
      </c>
      <c r="J205">
        <v>1458153.183</v>
      </c>
      <c r="K205" s="91">
        <f t="shared" si="11"/>
        <v>1458.1531829999999</v>
      </c>
    </row>
    <row r="206" spans="1:11">
      <c r="A206" t="s">
        <v>508</v>
      </c>
      <c r="B206" t="s">
        <v>519</v>
      </c>
      <c r="C206">
        <v>8482</v>
      </c>
      <c r="D206" t="s">
        <v>482</v>
      </c>
      <c r="E206" t="s">
        <v>510</v>
      </c>
      <c r="F206" t="s">
        <v>483</v>
      </c>
      <c r="G206">
        <v>2015</v>
      </c>
      <c r="H206" t="s">
        <v>515</v>
      </c>
      <c r="I206">
        <v>6</v>
      </c>
      <c r="J206">
        <v>26537.777999999998</v>
      </c>
      <c r="K206" s="91">
        <f t="shared" si="11"/>
        <v>26.537777999999999</v>
      </c>
    </row>
    <row r="207" spans="1:11">
      <c r="A207" t="s">
        <v>508</v>
      </c>
      <c r="B207" t="s">
        <v>519</v>
      </c>
      <c r="C207">
        <v>8482</v>
      </c>
      <c r="D207" t="s">
        <v>482</v>
      </c>
      <c r="E207" t="s">
        <v>510</v>
      </c>
      <c r="F207" t="s">
        <v>483</v>
      </c>
      <c r="G207">
        <v>2016</v>
      </c>
      <c r="H207" t="s">
        <v>515</v>
      </c>
      <c r="I207">
        <v>6</v>
      </c>
      <c r="J207">
        <v>26396.169000000002</v>
      </c>
      <c r="K207" s="91">
        <f t="shared" si="11"/>
        <v>26.396169</v>
      </c>
    </row>
    <row r="208" spans="1:11">
      <c r="A208" t="s">
        <v>508</v>
      </c>
      <c r="B208" t="s">
        <v>519</v>
      </c>
      <c r="C208">
        <v>8482</v>
      </c>
      <c r="D208" t="s">
        <v>482</v>
      </c>
      <c r="E208" t="s">
        <v>510</v>
      </c>
      <c r="F208" t="s">
        <v>483</v>
      </c>
      <c r="G208">
        <v>2017</v>
      </c>
      <c r="H208" t="s">
        <v>515</v>
      </c>
      <c r="I208">
        <v>6</v>
      </c>
      <c r="J208">
        <v>30534.096000000001</v>
      </c>
      <c r="K208" s="91">
        <f t="shared" si="11"/>
        <v>30.534096000000002</v>
      </c>
    </row>
    <row r="209" spans="1:11">
      <c r="A209" t="s">
        <v>508</v>
      </c>
      <c r="B209" t="s">
        <v>519</v>
      </c>
      <c r="C209">
        <v>850231</v>
      </c>
      <c r="D209" t="s">
        <v>482</v>
      </c>
      <c r="E209" t="s">
        <v>510</v>
      </c>
      <c r="F209" t="s">
        <v>483</v>
      </c>
      <c r="G209">
        <v>2015</v>
      </c>
      <c r="H209" t="s">
        <v>515</v>
      </c>
      <c r="I209">
        <v>6</v>
      </c>
      <c r="J209">
        <v>3303414.1120000002</v>
      </c>
      <c r="K209" s="91">
        <f t="shared" si="11"/>
        <v>3303.4141120000004</v>
      </c>
    </row>
    <row r="210" spans="1:11">
      <c r="A210" t="s">
        <v>508</v>
      </c>
      <c r="B210" t="s">
        <v>519</v>
      </c>
      <c r="C210">
        <v>850231</v>
      </c>
      <c r="D210" t="s">
        <v>482</v>
      </c>
      <c r="E210" t="s">
        <v>510</v>
      </c>
      <c r="F210" t="s">
        <v>483</v>
      </c>
      <c r="G210">
        <v>2016</v>
      </c>
      <c r="H210" t="s">
        <v>515</v>
      </c>
      <c r="I210">
        <v>6</v>
      </c>
      <c r="J210">
        <v>3116706.9369999999</v>
      </c>
      <c r="K210" s="91">
        <f t="shared" si="11"/>
        <v>3116.7069369999999</v>
      </c>
    </row>
    <row r="211" spans="1:11">
      <c r="A211" t="s">
        <v>508</v>
      </c>
      <c r="B211" t="s">
        <v>519</v>
      </c>
      <c r="C211">
        <v>850231</v>
      </c>
      <c r="D211" t="s">
        <v>482</v>
      </c>
      <c r="E211" t="s">
        <v>510</v>
      </c>
      <c r="F211" t="s">
        <v>483</v>
      </c>
      <c r="G211">
        <v>2017</v>
      </c>
      <c r="H211" t="s">
        <v>515</v>
      </c>
      <c r="I211">
        <v>6</v>
      </c>
      <c r="J211">
        <v>2057271.5919999999</v>
      </c>
      <c r="K211" s="91">
        <f t="shared" si="11"/>
        <v>2057.2715920000001</v>
      </c>
    </row>
    <row r="212" spans="1:11">
      <c r="A212" t="s">
        <v>508</v>
      </c>
      <c r="B212" t="s">
        <v>519</v>
      </c>
      <c r="C212">
        <v>850300</v>
      </c>
      <c r="D212" t="s">
        <v>482</v>
      </c>
      <c r="E212" t="s">
        <v>510</v>
      </c>
      <c r="F212" t="s">
        <v>483</v>
      </c>
      <c r="G212">
        <v>2015</v>
      </c>
      <c r="H212" t="s">
        <v>515</v>
      </c>
      <c r="I212">
        <v>6</v>
      </c>
      <c r="J212">
        <v>247902.57699999999</v>
      </c>
      <c r="K212" s="91">
        <f t="shared" si="11"/>
        <v>247.90257699999998</v>
      </c>
    </row>
    <row r="213" spans="1:11">
      <c r="A213" t="s">
        <v>508</v>
      </c>
      <c r="B213" t="s">
        <v>519</v>
      </c>
      <c r="C213">
        <v>850300</v>
      </c>
      <c r="D213" t="s">
        <v>482</v>
      </c>
      <c r="E213" t="s">
        <v>510</v>
      </c>
      <c r="F213" t="s">
        <v>483</v>
      </c>
      <c r="G213">
        <v>2016</v>
      </c>
      <c r="H213" t="s">
        <v>515</v>
      </c>
      <c r="I213">
        <v>6</v>
      </c>
      <c r="J213">
        <v>243116.54800000001</v>
      </c>
      <c r="K213" s="91">
        <f t="shared" si="11"/>
        <v>243.11654800000002</v>
      </c>
    </row>
    <row r="214" spans="1:11">
      <c r="A214" t="s">
        <v>508</v>
      </c>
      <c r="B214" t="s">
        <v>519</v>
      </c>
      <c r="C214">
        <v>850300</v>
      </c>
      <c r="D214" t="s">
        <v>482</v>
      </c>
      <c r="E214" t="s">
        <v>510</v>
      </c>
      <c r="F214" t="s">
        <v>483</v>
      </c>
      <c r="G214">
        <v>2017</v>
      </c>
      <c r="H214" t="s">
        <v>515</v>
      </c>
      <c r="I214">
        <v>6</v>
      </c>
      <c r="J214">
        <v>262218.53999999998</v>
      </c>
      <c r="K214" s="91">
        <f t="shared" si="11"/>
        <v>262.21853999999996</v>
      </c>
    </row>
    <row r="215" spans="1:11">
      <c r="A215" t="s">
        <v>508</v>
      </c>
      <c r="B215" t="s">
        <v>519</v>
      </c>
      <c r="C215">
        <v>8504</v>
      </c>
      <c r="D215" t="s">
        <v>482</v>
      </c>
      <c r="E215" t="s">
        <v>510</v>
      </c>
      <c r="F215" t="s">
        <v>483</v>
      </c>
      <c r="G215">
        <v>2015</v>
      </c>
      <c r="H215" t="s">
        <v>515</v>
      </c>
      <c r="I215">
        <v>6</v>
      </c>
      <c r="J215">
        <v>750661.70299999998</v>
      </c>
      <c r="K215" s="91">
        <f t="shared" si="11"/>
        <v>750.66170299999999</v>
      </c>
    </row>
    <row r="216" spans="1:11">
      <c r="A216" t="s">
        <v>508</v>
      </c>
      <c r="B216" t="s">
        <v>519</v>
      </c>
      <c r="C216">
        <v>8504</v>
      </c>
      <c r="D216" t="s">
        <v>482</v>
      </c>
      <c r="E216" t="s">
        <v>510</v>
      </c>
      <c r="F216" t="s">
        <v>483</v>
      </c>
      <c r="G216">
        <v>2016</v>
      </c>
      <c r="H216" t="s">
        <v>515</v>
      </c>
      <c r="I216">
        <v>6</v>
      </c>
      <c r="J216">
        <v>1005465.802</v>
      </c>
      <c r="K216" s="91">
        <f t="shared" si="11"/>
        <v>1005.4658020000001</v>
      </c>
    </row>
    <row r="217" spans="1:11">
      <c r="A217" t="s">
        <v>508</v>
      </c>
      <c r="B217" t="s">
        <v>519</v>
      </c>
      <c r="C217">
        <v>8504</v>
      </c>
      <c r="D217" t="s">
        <v>482</v>
      </c>
      <c r="E217" t="s">
        <v>510</v>
      </c>
      <c r="F217" t="s">
        <v>483</v>
      </c>
      <c r="G217">
        <v>2017</v>
      </c>
      <c r="H217" t="s">
        <v>515</v>
      </c>
      <c r="I217">
        <v>6</v>
      </c>
      <c r="J217">
        <v>917319.41799999995</v>
      </c>
      <c r="K217" s="91">
        <f t="shared" si="11"/>
        <v>917.31941799999993</v>
      </c>
    </row>
    <row r="218" spans="1:11">
      <c r="A218" t="s">
        <v>508</v>
      </c>
      <c r="B218" t="s">
        <v>519</v>
      </c>
      <c r="C218">
        <v>853720</v>
      </c>
      <c r="D218" t="s">
        <v>482</v>
      </c>
      <c r="E218" t="s">
        <v>510</v>
      </c>
      <c r="F218" t="s">
        <v>483</v>
      </c>
      <c r="G218">
        <v>2015</v>
      </c>
      <c r="H218" t="s">
        <v>515</v>
      </c>
      <c r="I218">
        <v>6</v>
      </c>
      <c r="J218">
        <v>7994.7640000000001</v>
      </c>
      <c r="K218" s="91">
        <f t="shared" si="11"/>
        <v>7.994764</v>
      </c>
    </row>
    <row r="219" spans="1:11">
      <c r="A219" t="s">
        <v>508</v>
      </c>
      <c r="B219" t="s">
        <v>519</v>
      </c>
      <c r="C219">
        <v>853720</v>
      </c>
      <c r="D219" t="s">
        <v>482</v>
      </c>
      <c r="E219" t="s">
        <v>510</v>
      </c>
      <c r="F219" t="s">
        <v>483</v>
      </c>
      <c r="G219">
        <v>2016</v>
      </c>
      <c r="H219" t="s">
        <v>515</v>
      </c>
      <c r="I219">
        <v>6</v>
      </c>
      <c r="J219">
        <v>12325.421</v>
      </c>
      <c r="K219" s="91">
        <f t="shared" si="11"/>
        <v>12.325421</v>
      </c>
    </row>
    <row r="220" spans="1:11">
      <c r="A220" t="s">
        <v>508</v>
      </c>
      <c r="B220" t="s">
        <v>519</v>
      </c>
      <c r="C220">
        <v>853720</v>
      </c>
      <c r="D220" t="s">
        <v>482</v>
      </c>
      <c r="E220" t="s">
        <v>510</v>
      </c>
      <c r="F220" t="s">
        <v>483</v>
      </c>
      <c r="G220">
        <v>2017</v>
      </c>
      <c r="H220" t="s">
        <v>515</v>
      </c>
      <c r="I220">
        <v>6</v>
      </c>
      <c r="J220">
        <v>58080.529000000002</v>
      </c>
      <c r="K220" s="91">
        <f t="shared" si="11"/>
        <v>58.080529000000006</v>
      </c>
    </row>
    <row r="221" spans="1:11">
      <c r="A221" t="s">
        <v>508</v>
      </c>
      <c r="B221" t="s">
        <v>519</v>
      </c>
      <c r="C221">
        <v>854460</v>
      </c>
      <c r="D221" t="s">
        <v>482</v>
      </c>
      <c r="E221" t="s">
        <v>510</v>
      </c>
      <c r="F221" t="s">
        <v>483</v>
      </c>
      <c r="G221">
        <v>2015</v>
      </c>
      <c r="H221" t="s">
        <v>515</v>
      </c>
      <c r="I221">
        <v>6</v>
      </c>
      <c r="J221">
        <v>28568.808000000001</v>
      </c>
      <c r="K221" s="91">
        <f t="shared" si="11"/>
        <v>28.568808000000001</v>
      </c>
    </row>
    <row r="222" spans="1:11">
      <c r="A222" t="s">
        <v>508</v>
      </c>
      <c r="B222" t="s">
        <v>519</v>
      </c>
      <c r="C222">
        <v>854460</v>
      </c>
      <c r="D222" t="s">
        <v>482</v>
      </c>
      <c r="E222" t="s">
        <v>510</v>
      </c>
      <c r="F222" t="s">
        <v>483</v>
      </c>
      <c r="G222">
        <v>2016</v>
      </c>
      <c r="H222" t="s">
        <v>515</v>
      </c>
      <c r="I222">
        <v>6</v>
      </c>
      <c r="J222">
        <v>27632.918000000001</v>
      </c>
      <c r="K222" s="91">
        <f t="shared" si="11"/>
        <v>27.632918</v>
      </c>
    </row>
    <row r="223" spans="1:11">
      <c r="A223" t="s">
        <v>508</v>
      </c>
      <c r="B223" t="s">
        <v>519</v>
      </c>
      <c r="C223">
        <v>854460</v>
      </c>
      <c r="D223" t="s">
        <v>482</v>
      </c>
      <c r="E223" t="s">
        <v>510</v>
      </c>
      <c r="F223" t="s">
        <v>483</v>
      </c>
      <c r="G223">
        <v>2017</v>
      </c>
      <c r="H223" t="s">
        <v>515</v>
      </c>
      <c r="I223">
        <v>6</v>
      </c>
      <c r="J223">
        <v>44158.938000000002</v>
      </c>
      <c r="K223" s="91">
        <f t="shared" si="11"/>
        <v>44.158937999999999</v>
      </c>
    </row>
    <row r="227" spans="1:12">
      <c r="A227" t="s">
        <v>497</v>
      </c>
      <c r="B227" t="s">
        <v>498</v>
      </c>
      <c r="C227" t="s">
        <v>499</v>
      </c>
      <c r="D227" t="s">
        <v>500</v>
      </c>
      <c r="E227" t="s">
        <v>501</v>
      </c>
      <c r="F227" t="s">
        <v>502</v>
      </c>
      <c r="G227" t="s">
        <v>446</v>
      </c>
      <c r="H227" t="s">
        <v>503</v>
      </c>
      <c r="I227" t="s">
        <v>504</v>
      </c>
      <c r="J227" t="s">
        <v>505</v>
      </c>
      <c r="K227" s="93" t="s">
        <v>506</v>
      </c>
      <c r="L227" s="93" t="s">
        <v>507</v>
      </c>
    </row>
    <row r="228" spans="1:12">
      <c r="A228" t="s">
        <v>508</v>
      </c>
      <c r="B228" t="s">
        <v>381</v>
      </c>
      <c r="C228" t="s">
        <v>514</v>
      </c>
      <c r="D228" t="s">
        <v>509</v>
      </c>
      <c r="E228" t="s">
        <v>510</v>
      </c>
      <c r="F228" t="s">
        <v>483</v>
      </c>
      <c r="G228">
        <v>2015</v>
      </c>
      <c r="H228" t="s">
        <v>515</v>
      </c>
      <c r="I228">
        <v>6</v>
      </c>
      <c r="J228">
        <v>15172157856.778999</v>
      </c>
      <c r="K228" s="92">
        <f>J228/1000</f>
        <v>15172157.856779</v>
      </c>
      <c r="L228" s="92">
        <f>K228/1000</f>
        <v>15172.157856779</v>
      </c>
    </row>
    <row r="229" spans="1:12">
      <c r="A229" t="s">
        <v>508</v>
      </c>
      <c r="B229" t="s">
        <v>381</v>
      </c>
      <c r="C229" t="s">
        <v>514</v>
      </c>
      <c r="D229" t="s">
        <v>509</v>
      </c>
      <c r="E229" t="s">
        <v>510</v>
      </c>
      <c r="F229" t="s">
        <v>483</v>
      </c>
      <c r="G229">
        <v>2016</v>
      </c>
      <c r="H229" t="s">
        <v>515</v>
      </c>
      <c r="I229">
        <v>6</v>
      </c>
      <c r="J229">
        <v>14641218701.635</v>
      </c>
      <c r="K229" s="92">
        <f t="shared" ref="K229:K230" si="12">J229/1000</f>
        <v>14641218.701634999</v>
      </c>
      <c r="L229" s="92">
        <f t="shared" ref="L229:L230" si="13">K229/1000</f>
        <v>14641.218701635</v>
      </c>
    </row>
    <row r="230" spans="1:12">
      <c r="A230" t="s">
        <v>508</v>
      </c>
      <c r="B230" t="s">
        <v>381</v>
      </c>
      <c r="C230" t="s">
        <v>514</v>
      </c>
      <c r="D230" t="s">
        <v>509</v>
      </c>
      <c r="E230" t="s">
        <v>510</v>
      </c>
      <c r="F230" t="s">
        <v>483</v>
      </c>
      <c r="G230">
        <v>2017</v>
      </c>
      <c r="H230" t="s">
        <v>515</v>
      </c>
      <c r="I230">
        <v>6</v>
      </c>
      <c r="J230">
        <v>15384550294.665001</v>
      </c>
      <c r="K230" s="92">
        <f t="shared" si="12"/>
        <v>15384550.294665001</v>
      </c>
      <c r="L230" s="92">
        <f t="shared" si="13"/>
        <v>15384.550294665001</v>
      </c>
    </row>
    <row r="231" spans="1:12">
      <c r="A231" t="s">
        <v>508</v>
      </c>
      <c r="B231" t="s">
        <v>516</v>
      </c>
      <c r="C231" t="s">
        <v>514</v>
      </c>
      <c r="D231" t="s">
        <v>517</v>
      </c>
      <c r="E231" t="s">
        <v>510</v>
      </c>
      <c r="F231" t="s">
        <v>483</v>
      </c>
      <c r="G231">
        <v>2015</v>
      </c>
      <c r="H231" t="s">
        <v>515</v>
      </c>
      <c r="I231">
        <v>6</v>
      </c>
      <c r="J231">
        <v>5237968754.8590002</v>
      </c>
      <c r="K231" s="92">
        <f t="shared" ref="K231:K236" si="14">J231/1000</f>
        <v>5237968.7548590004</v>
      </c>
      <c r="L231" s="92">
        <f t="shared" ref="L231:L236" si="15">K231/1000</f>
        <v>5237.968754859</v>
      </c>
    </row>
    <row r="232" spans="1:12">
      <c r="A232" t="s">
        <v>508</v>
      </c>
      <c r="B232" t="s">
        <v>516</v>
      </c>
      <c r="C232" t="s">
        <v>514</v>
      </c>
      <c r="D232" t="s">
        <v>517</v>
      </c>
      <c r="E232" t="s">
        <v>510</v>
      </c>
      <c r="F232" t="s">
        <v>483</v>
      </c>
      <c r="G232">
        <v>2016</v>
      </c>
      <c r="H232" t="s">
        <v>515</v>
      </c>
      <c r="I232">
        <v>6</v>
      </c>
      <c r="J232">
        <v>5188848787.2130003</v>
      </c>
      <c r="K232" s="92">
        <f t="shared" si="14"/>
        <v>5188848.7872130005</v>
      </c>
      <c r="L232" s="92">
        <f t="shared" si="15"/>
        <v>5188.8487872130008</v>
      </c>
    </row>
    <row r="233" spans="1:12">
      <c r="A233" t="s">
        <v>508</v>
      </c>
      <c r="B233" t="s">
        <v>516</v>
      </c>
      <c r="C233" t="s">
        <v>514</v>
      </c>
      <c r="D233" t="s">
        <v>517</v>
      </c>
      <c r="E233" t="s">
        <v>510</v>
      </c>
      <c r="F233" t="s">
        <v>483</v>
      </c>
      <c r="G233">
        <v>2017</v>
      </c>
      <c r="H233" t="s">
        <v>515</v>
      </c>
      <c r="I233">
        <v>6</v>
      </c>
      <c r="J233">
        <v>5707516857.7720003</v>
      </c>
      <c r="K233" s="92">
        <f t="shared" si="14"/>
        <v>5707516.8577720001</v>
      </c>
      <c r="L233" s="92">
        <f t="shared" si="15"/>
        <v>5707.5168577720005</v>
      </c>
    </row>
    <row r="234" spans="1:12">
      <c r="A234" t="s">
        <v>508</v>
      </c>
      <c r="B234" t="s">
        <v>512</v>
      </c>
      <c r="C234" t="s">
        <v>514</v>
      </c>
      <c r="D234" t="s">
        <v>513</v>
      </c>
      <c r="E234" t="s">
        <v>510</v>
      </c>
      <c r="F234" t="s">
        <v>483</v>
      </c>
      <c r="G234">
        <v>2015</v>
      </c>
      <c r="H234" t="s">
        <v>515</v>
      </c>
      <c r="I234">
        <v>6</v>
      </c>
      <c r="J234">
        <v>466295682.75400001</v>
      </c>
      <c r="K234" s="92">
        <f t="shared" si="14"/>
        <v>466295.68275400001</v>
      </c>
      <c r="L234" s="92">
        <f t="shared" si="15"/>
        <v>466.29568275399998</v>
      </c>
    </row>
    <row r="235" spans="1:12">
      <c r="A235" t="s">
        <v>508</v>
      </c>
      <c r="B235" t="s">
        <v>512</v>
      </c>
      <c r="C235" t="s">
        <v>514</v>
      </c>
      <c r="D235" t="s">
        <v>513</v>
      </c>
      <c r="E235" t="s">
        <v>510</v>
      </c>
      <c r="F235" t="s">
        <v>483</v>
      </c>
      <c r="G235">
        <v>2016</v>
      </c>
      <c r="H235" t="s">
        <v>515</v>
      </c>
      <c r="I235">
        <v>6</v>
      </c>
      <c r="J235">
        <v>411463355.625</v>
      </c>
      <c r="K235" s="92">
        <f t="shared" si="14"/>
        <v>411463.35562500003</v>
      </c>
      <c r="L235" s="92">
        <f t="shared" si="15"/>
        <v>411.46335562500002</v>
      </c>
    </row>
    <row r="236" spans="1:12">
      <c r="A236" t="s">
        <v>508</v>
      </c>
      <c r="B236" t="s">
        <v>512</v>
      </c>
      <c r="C236" t="s">
        <v>514</v>
      </c>
      <c r="D236" t="s">
        <v>513</v>
      </c>
      <c r="E236" t="s">
        <v>510</v>
      </c>
      <c r="F236" t="s">
        <v>483</v>
      </c>
      <c r="G236">
        <v>2017</v>
      </c>
      <c r="H236" t="s">
        <v>515</v>
      </c>
      <c r="I236">
        <v>6</v>
      </c>
      <c r="J236">
        <v>442065707.22399998</v>
      </c>
      <c r="K236" s="92">
        <f t="shared" si="14"/>
        <v>442065.70722399995</v>
      </c>
      <c r="L236" s="92">
        <f t="shared" si="15"/>
        <v>442.06570722399994</v>
      </c>
    </row>
    <row r="237" spans="1:12">
      <c r="K237" s="92">
        <f>J237/1000</f>
        <v>0</v>
      </c>
      <c r="L237" s="92">
        <f>K237/1000</f>
        <v>0</v>
      </c>
    </row>
    <row r="238" spans="1:12">
      <c r="A238" t="s">
        <v>508</v>
      </c>
      <c r="B238" t="s">
        <v>518</v>
      </c>
      <c r="C238" t="s">
        <v>514</v>
      </c>
      <c r="D238" t="s">
        <v>481</v>
      </c>
      <c r="E238" t="s">
        <v>510</v>
      </c>
      <c r="F238" t="s">
        <v>483</v>
      </c>
      <c r="G238">
        <v>2015</v>
      </c>
      <c r="H238" t="s">
        <v>515</v>
      </c>
      <c r="I238">
        <v>6</v>
      </c>
      <c r="J238">
        <v>1328549134.4649999</v>
      </c>
      <c r="K238" s="92">
        <f t="shared" ref="K238:K243" si="16">J238/1000</f>
        <v>1328549.1344649999</v>
      </c>
      <c r="L238" s="92">
        <f t="shared" ref="L238:L243" si="17">K238/1000</f>
        <v>1328.549134465</v>
      </c>
    </row>
    <row r="239" spans="1:12">
      <c r="A239" t="s">
        <v>508</v>
      </c>
      <c r="B239" t="s">
        <v>518</v>
      </c>
      <c r="C239" t="s">
        <v>514</v>
      </c>
      <c r="D239" t="s">
        <v>481</v>
      </c>
      <c r="E239" t="s">
        <v>510</v>
      </c>
      <c r="F239" t="s">
        <v>483</v>
      </c>
      <c r="G239">
        <v>2016</v>
      </c>
      <c r="H239" t="s">
        <v>515</v>
      </c>
      <c r="I239">
        <v>6</v>
      </c>
      <c r="J239">
        <v>1340752046.1700001</v>
      </c>
      <c r="K239" s="92">
        <f t="shared" si="16"/>
        <v>1340752.04617</v>
      </c>
      <c r="L239" s="92">
        <f t="shared" si="17"/>
        <v>1340.7520461700001</v>
      </c>
    </row>
    <row r="240" spans="1:12">
      <c r="A240" t="s">
        <v>508</v>
      </c>
      <c r="B240" t="s">
        <v>518</v>
      </c>
      <c r="C240" t="s">
        <v>514</v>
      </c>
      <c r="D240" t="s">
        <v>481</v>
      </c>
      <c r="E240" t="s">
        <v>510</v>
      </c>
      <c r="F240" t="s">
        <v>483</v>
      </c>
      <c r="G240">
        <v>2017</v>
      </c>
      <c r="H240" t="s">
        <v>515</v>
      </c>
      <c r="I240">
        <v>6</v>
      </c>
      <c r="J240">
        <v>1450214838.493</v>
      </c>
      <c r="K240" s="92">
        <f t="shared" si="16"/>
        <v>1450214.838493</v>
      </c>
      <c r="L240" s="92">
        <f t="shared" si="17"/>
        <v>1450.2148384930001</v>
      </c>
    </row>
    <row r="241" spans="1:12">
      <c r="A241" t="s">
        <v>508</v>
      </c>
      <c r="B241" t="s">
        <v>519</v>
      </c>
      <c r="C241" t="s">
        <v>514</v>
      </c>
      <c r="D241" t="s">
        <v>482</v>
      </c>
      <c r="E241" t="s">
        <v>510</v>
      </c>
      <c r="F241" t="s">
        <v>483</v>
      </c>
      <c r="G241">
        <v>2015</v>
      </c>
      <c r="H241" t="s">
        <v>515</v>
      </c>
      <c r="I241">
        <v>6</v>
      </c>
      <c r="J241">
        <v>94618816.681999996</v>
      </c>
      <c r="K241" s="92">
        <f t="shared" si="16"/>
        <v>94618.81668199999</v>
      </c>
      <c r="L241" s="92">
        <f t="shared" si="17"/>
        <v>94.618816681999988</v>
      </c>
    </row>
    <row r="242" spans="1:12">
      <c r="A242" t="s">
        <v>508</v>
      </c>
      <c r="B242" t="s">
        <v>519</v>
      </c>
      <c r="C242" t="s">
        <v>514</v>
      </c>
      <c r="D242" t="s">
        <v>482</v>
      </c>
      <c r="E242" t="s">
        <v>510</v>
      </c>
      <c r="F242" t="s">
        <v>483</v>
      </c>
      <c r="G242">
        <v>2016</v>
      </c>
      <c r="H242" t="s">
        <v>515</v>
      </c>
      <c r="I242">
        <v>6</v>
      </c>
      <c r="J242">
        <v>94354776.728</v>
      </c>
      <c r="K242" s="92">
        <f t="shared" si="16"/>
        <v>94354.776727999997</v>
      </c>
      <c r="L242" s="92">
        <f t="shared" si="17"/>
        <v>94.35477672799999</v>
      </c>
    </row>
    <row r="243" spans="1:12">
      <c r="A243" t="s">
        <v>508</v>
      </c>
      <c r="B243" t="s">
        <v>519</v>
      </c>
      <c r="C243" t="s">
        <v>514</v>
      </c>
      <c r="D243" t="s">
        <v>482</v>
      </c>
      <c r="E243" t="s">
        <v>510</v>
      </c>
      <c r="F243" t="s">
        <v>483</v>
      </c>
      <c r="G243">
        <v>2017</v>
      </c>
      <c r="H243" t="s">
        <v>515</v>
      </c>
      <c r="I243">
        <v>6</v>
      </c>
      <c r="J243">
        <v>101646381.771</v>
      </c>
      <c r="K243" s="92">
        <f t="shared" si="16"/>
        <v>101646.381771</v>
      </c>
      <c r="L243" s="92">
        <f t="shared" si="17"/>
        <v>101.64638177099999</v>
      </c>
    </row>
    <row r="247" spans="1:12">
      <c r="A247" t="s">
        <v>497</v>
      </c>
      <c r="B247" t="s">
        <v>498</v>
      </c>
      <c r="C247" t="s">
        <v>499</v>
      </c>
      <c r="D247" t="s">
        <v>500</v>
      </c>
      <c r="E247" t="s">
        <v>501</v>
      </c>
      <c r="F247" t="s">
        <v>502</v>
      </c>
      <c r="G247" t="s">
        <v>446</v>
      </c>
      <c r="H247" t="s">
        <v>503</v>
      </c>
      <c r="I247" t="s">
        <v>504</v>
      </c>
      <c r="J247" t="s">
        <v>505</v>
      </c>
      <c r="K247" s="93" t="s">
        <v>506</v>
      </c>
      <c r="L247" s="93"/>
    </row>
    <row r="248" spans="1:12">
      <c r="A248" t="s">
        <v>508</v>
      </c>
      <c r="B248" t="s">
        <v>381</v>
      </c>
      <c r="C248">
        <v>730820</v>
      </c>
      <c r="D248" t="s">
        <v>509</v>
      </c>
      <c r="E248" t="s">
        <v>516</v>
      </c>
      <c r="F248" t="s">
        <v>517</v>
      </c>
      <c r="G248">
        <v>2015</v>
      </c>
      <c r="H248" t="s">
        <v>515</v>
      </c>
      <c r="I248">
        <v>6</v>
      </c>
      <c r="J248">
        <v>933601.85800000001</v>
      </c>
      <c r="K248" s="92">
        <f>J248/1000</f>
        <v>933.60185799999999</v>
      </c>
      <c r="L248" s="92"/>
    </row>
    <row r="249" spans="1:12">
      <c r="A249" t="s">
        <v>508</v>
      </c>
      <c r="B249" t="s">
        <v>381</v>
      </c>
      <c r="C249">
        <v>730820</v>
      </c>
      <c r="D249" t="s">
        <v>509</v>
      </c>
      <c r="E249" t="s">
        <v>516</v>
      </c>
      <c r="F249" t="s">
        <v>517</v>
      </c>
      <c r="G249">
        <v>2016</v>
      </c>
      <c r="H249" t="s">
        <v>515</v>
      </c>
      <c r="I249">
        <v>6</v>
      </c>
      <c r="J249">
        <v>1181014.5649999999</v>
      </c>
      <c r="K249" s="92">
        <f t="shared" ref="K249:K277" si="18">J249/1000</f>
        <v>1181.0145649999999</v>
      </c>
      <c r="L249" s="92"/>
    </row>
    <row r="250" spans="1:12">
      <c r="A250" t="s">
        <v>508</v>
      </c>
      <c r="B250" t="s">
        <v>381</v>
      </c>
      <c r="C250">
        <v>730820</v>
      </c>
      <c r="D250" t="s">
        <v>509</v>
      </c>
      <c r="E250" t="s">
        <v>516</v>
      </c>
      <c r="F250" t="s">
        <v>517</v>
      </c>
      <c r="G250">
        <v>2017</v>
      </c>
      <c r="H250" t="s">
        <v>515</v>
      </c>
      <c r="I250">
        <v>6</v>
      </c>
      <c r="J250">
        <v>1031304.211</v>
      </c>
      <c r="K250" s="92">
        <f t="shared" si="18"/>
        <v>1031.3042110000001</v>
      </c>
      <c r="L250" s="92"/>
    </row>
    <row r="251" spans="1:12">
      <c r="A251" t="s">
        <v>508</v>
      </c>
      <c r="B251" t="s">
        <v>381</v>
      </c>
      <c r="C251">
        <v>730890</v>
      </c>
      <c r="D251" t="s">
        <v>509</v>
      </c>
      <c r="E251" t="s">
        <v>516</v>
      </c>
      <c r="F251" t="s">
        <v>517</v>
      </c>
      <c r="G251">
        <v>2015</v>
      </c>
      <c r="H251" t="s">
        <v>515</v>
      </c>
      <c r="I251">
        <v>6</v>
      </c>
      <c r="J251">
        <v>10248866.879000001</v>
      </c>
      <c r="K251" s="92">
        <f t="shared" si="18"/>
        <v>10248.866879000001</v>
      </c>
    </row>
    <row r="252" spans="1:12">
      <c r="A252" t="s">
        <v>508</v>
      </c>
      <c r="B252" t="s">
        <v>381</v>
      </c>
      <c r="C252">
        <v>730890</v>
      </c>
      <c r="D252" t="s">
        <v>509</v>
      </c>
      <c r="E252" t="s">
        <v>516</v>
      </c>
      <c r="F252" t="s">
        <v>517</v>
      </c>
      <c r="G252">
        <v>2016</v>
      </c>
      <c r="H252" t="s">
        <v>515</v>
      </c>
      <c r="I252">
        <v>6</v>
      </c>
      <c r="J252">
        <v>11622600.488</v>
      </c>
      <c r="K252" s="92">
        <f t="shared" si="18"/>
        <v>11622.600488</v>
      </c>
    </row>
    <row r="253" spans="1:12">
      <c r="A253" t="s">
        <v>508</v>
      </c>
      <c r="B253" t="s">
        <v>381</v>
      </c>
      <c r="C253">
        <v>730890</v>
      </c>
      <c r="D253" t="s">
        <v>509</v>
      </c>
      <c r="E253" t="s">
        <v>516</v>
      </c>
      <c r="F253" t="s">
        <v>517</v>
      </c>
      <c r="G253">
        <v>2017</v>
      </c>
      <c r="H253" t="s">
        <v>515</v>
      </c>
      <c r="I253">
        <v>6</v>
      </c>
      <c r="J253">
        <v>12263913.563999999</v>
      </c>
      <c r="K253" s="92">
        <f t="shared" si="18"/>
        <v>12263.913563999999</v>
      </c>
    </row>
    <row r="254" spans="1:12">
      <c r="A254" t="s">
        <v>508</v>
      </c>
      <c r="B254" t="s">
        <v>381</v>
      </c>
      <c r="C254">
        <v>841280</v>
      </c>
      <c r="D254" t="s">
        <v>509</v>
      </c>
      <c r="E254" t="s">
        <v>516</v>
      </c>
      <c r="F254" t="s">
        <v>517</v>
      </c>
      <c r="G254">
        <v>2015</v>
      </c>
      <c r="H254" t="s">
        <v>515</v>
      </c>
      <c r="I254">
        <v>6</v>
      </c>
      <c r="J254">
        <v>243037.875</v>
      </c>
      <c r="K254" s="92">
        <f t="shared" si="18"/>
        <v>243.03787500000001</v>
      </c>
    </row>
    <row r="255" spans="1:12">
      <c r="A255" t="s">
        <v>508</v>
      </c>
      <c r="B255" t="s">
        <v>381</v>
      </c>
      <c r="C255">
        <v>841280</v>
      </c>
      <c r="D255" t="s">
        <v>509</v>
      </c>
      <c r="E255" t="s">
        <v>516</v>
      </c>
      <c r="F255" t="s">
        <v>517</v>
      </c>
      <c r="G255">
        <v>2016</v>
      </c>
      <c r="H255" t="s">
        <v>515</v>
      </c>
      <c r="I255">
        <v>6</v>
      </c>
      <c r="J255">
        <v>223998.51800000001</v>
      </c>
      <c r="K255" s="92">
        <f t="shared" si="18"/>
        <v>223.99851800000002</v>
      </c>
    </row>
    <row r="256" spans="1:12">
      <c r="A256" t="s">
        <v>508</v>
      </c>
      <c r="B256" t="s">
        <v>381</v>
      </c>
      <c r="C256">
        <v>841280</v>
      </c>
      <c r="D256" t="s">
        <v>509</v>
      </c>
      <c r="E256" t="s">
        <v>516</v>
      </c>
      <c r="F256" t="s">
        <v>517</v>
      </c>
      <c r="G256">
        <v>2017</v>
      </c>
      <c r="H256" t="s">
        <v>515</v>
      </c>
      <c r="I256">
        <v>6</v>
      </c>
      <c r="J256">
        <v>237364.33199999999</v>
      </c>
      <c r="K256" s="92">
        <f t="shared" si="18"/>
        <v>237.36433199999999</v>
      </c>
    </row>
    <row r="257" spans="1:11">
      <c r="A257" t="s">
        <v>508</v>
      </c>
      <c r="B257" t="s">
        <v>381</v>
      </c>
      <c r="C257">
        <v>841290</v>
      </c>
      <c r="D257" t="s">
        <v>509</v>
      </c>
      <c r="E257" t="s">
        <v>516</v>
      </c>
      <c r="F257" t="s">
        <v>517</v>
      </c>
      <c r="G257">
        <v>2015</v>
      </c>
      <c r="H257" t="s">
        <v>515</v>
      </c>
      <c r="I257">
        <v>6</v>
      </c>
      <c r="J257">
        <v>2467438.6359999999</v>
      </c>
      <c r="K257" s="92">
        <f t="shared" si="18"/>
        <v>2467.4386359999999</v>
      </c>
    </row>
    <row r="258" spans="1:11">
      <c r="A258" t="s">
        <v>508</v>
      </c>
      <c r="B258" t="s">
        <v>381</v>
      </c>
      <c r="C258">
        <v>841290</v>
      </c>
      <c r="D258" t="s">
        <v>509</v>
      </c>
      <c r="E258" t="s">
        <v>516</v>
      </c>
      <c r="F258" t="s">
        <v>517</v>
      </c>
      <c r="G258">
        <v>2016</v>
      </c>
      <c r="H258" t="s">
        <v>515</v>
      </c>
      <c r="I258">
        <v>6</v>
      </c>
      <c r="J258">
        <v>2428272.6400000001</v>
      </c>
      <c r="K258" s="92">
        <f t="shared" si="18"/>
        <v>2428.2726400000001</v>
      </c>
    </row>
    <row r="259" spans="1:11">
      <c r="A259" t="s">
        <v>508</v>
      </c>
      <c r="B259" t="s">
        <v>381</v>
      </c>
      <c r="C259">
        <v>841290</v>
      </c>
      <c r="D259" t="s">
        <v>509</v>
      </c>
      <c r="E259" t="s">
        <v>516</v>
      </c>
      <c r="F259" t="s">
        <v>517</v>
      </c>
      <c r="G259">
        <v>2017</v>
      </c>
      <c r="H259" t="s">
        <v>515</v>
      </c>
      <c r="I259">
        <v>6</v>
      </c>
      <c r="J259">
        <v>2923132.139</v>
      </c>
      <c r="K259" s="92">
        <f t="shared" si="18"/>
        <v>2923.1321389999998</v>
      </c>
    </row>
    <row r="260" spans="1:11">
      <c r="A260" t="s">
        <v>508</v>
      </c>
      <c r="B260" t="s">
        <v>381</v>
      </c>
      <c r="C260">
        <v>8482</v>
      </c>
      <c r="D260" t="s">
        <v>509</v>
      </c>
      <c r="E260" t="s">
        <v>516</v>
      </c>
      <c r="F260" t="s">
        <v>517</v>
      </c>
      <c r="G260">
        <v>2015</v>
      </c>
      <c r="H260" t="s">
        <v>515</v>
      </c>
      <c r="I260">
        <v>6</v>
      </c>
      <c r="J260">
        <v>12204154.449999999</v>
      </c>
      <c r="K260" s="92">
        <f t="shared" si="18"/>
        <v>12204.15445</v>
      </c>
    </row>
    <row r="261" spans="1:11">
      <c r="A261" t="s">
        <v>508</v>
      </c>
      <c r="B261" t="s">
        <v>381</v>
      </c>
      <c r="C261">
        <v>8482</v>
      </c>
      <c r="D261" t="s">
        <v>509</v>
      </c>
      <c r="E261" t="s">
        <v>516</v>
      </c>
      <c r="F261" t="s">
        <v>517</v>
      </c>
      <c r="G261">
        <v>2016</v>
      </c>
      <c r="H261" t="s">
        <v>515</v>
      </c>
      <c r="I261">
        <v>6</v>
      </c>
      <c r="J261">
        <v>12039923.862</v>
      </c>
      <c r="K261" s="92">
        <f t="shared" si="18"/>
        <v>12039.923862</v>
      </c>
    </row>
    <row r="262" spans="1:11">
      <c r="A262" t="s">
        <v>508</v>
      </c>
      <c r="B262" t="s">
        <v>381</v>
      </c>
      <c r="C262">
        <v>8482</v>
      </c>
      <c r="D262" t="s">
        <v>509</v>
      </c>
      <c r="E262" t="s">
        <v>516</v>
      </c>
      <c r="F262" t="s">
        <v>517</v>
      </c>
      <c r="G262">
        <v>2017</v>
      </c>
      <c r="H262" t="s">
        <v>515</v>
      </c>
      <c r="I262">
        <v>6</v>
      </c>
      <c r="J262">
        <v>13188849.598999999</v>
      </c>
      <c r="K262" s="92">
        <f t="shared" si="18"/>
        <v>13188.849598999999</v>
      </c>
    </row>
    <row r="263" spans="1:11">
      <c r="A263" t="s">
        <v>508</v>
      </c>
      <c r="B263" t="s">
        <v>381</v>
      </c>
      <c r="C263">
        <v>850231</v>
      </c>
      <c r="D263" t="s">
        <v>509</v>
      </c>
      <c r="E263" t="s">
        <v>516</v>
      </c>
      <c r="F263" t="s">
        <v>517</v>
      </c>
      <c r="G263">
        <v>2015</v>
      </c>
      <c r="H263" t="s">
        <v>515</v>
      </c>
      <c r="I263">
        <v>6</v>
      </c>
      <c r="J263">
        <v>5408295.0039999997</v>
      </c>
      <c r="K263" s="92">
        <f t="shared" si="18"/>
        <v>5408.2950039999996</v>
      </c>
    </row>
    <row r="264" spans="1:11">
      <c r="A264" t="s">
        <v>508</v>
      </c>
      <c r="B264" t="s">
        <v>381</v>
      </c>
      <c r="C264">
        <v>850231</v>
      </c>
      <c r="D264" t="s">
        <v>509</v>
      </c>
      <c r="E264" t="s">
        <v>516</v>
      </c>
      <c r="F264" t="s">
        <v>517</v>
      </c>
      <c r="G264">
        <v>2016</v>
      </c>
      <c r="H264" t="s">
        <v>515</v>
      </c>
      <c r="I264">
        <v>6</v>
      </c>
      <c r="J264">
        <v>4694658.1409999998</v>
      </c>
      <c r="K264" s="92">
        <f t="shared" si="18"/>
        <v>4694.6581409999999</v>
      </c>
    </row>
    <row r="265" spans="1:11">
      <c r="A265" t="s">
        <v>508</v>
      </c>
      <c r="B265" t="s">
        <v>381</v>
      </c>
      <c r="C265">
        <v>850231</v>
      </c>
      <c r="D265" t="s">
        <v>509</v>
      </c>
      <c r="E265" t="s">
        <v>516</v>
      </c>
      <c r="F265" t="s">
        <v>517</v>
      </c>
      <c r="G265">
        <v>2017</v>
      </c>
      <c r="H265" t="s">
        <v>515</v>
      </c>
      <c r="I265">
        <v>6</v>
      </c>
      <c r="J265">
        <v>2919717.676</v>
      </c>
      <c r="K265" s="92">
        <f t="shared" si="18"/>
        <v>2919.7176759999998</v>
      </c>
    </row>
    <row r="266" spans="1:11">
      <c r="A266" t="s">
        <v>508</v>
      </c>
      <c r="B266" t="s">
        <v>381</v>
      </c>
      <c r="C266">
        <v>850300</v>
      </c>
      <c r="D266" t="s">
        <v>509</v>
      </c>
      <c r="E266" t="s">
        <v>516</v>
      </c>
      <c r="F266" t="s">
        <v>517</v>
      </c>
      <c r="G266">
        <v>2015</v>
      </c>
      <c r="H266" t="s">
        <v>515</v>
      </c>
      <c r="I266">
        <v>6</v>
      </c>
      <c r="J266">
        <v>5699541.1619999995</v>
      </c>
      <c r="K266" s="92">
        <f t="shared" si="18"/>
        <v>5699.5411619999995</v>
      </c>
    </row>
    <row r="267" spans="1:11">
      <c r="A267" t="s">
        <v>508</v>
      </c>
      <c r="B267" t="s">
        <v>381</v>
      </c>
      <c r="C267">
        <v>850300</v>
      </c>
      <c r="D267" t="s">
        <v>509</v>
      </c>
      <c r="E267" t="s">
        <v>516</v>
      </c>
      <c r="F267" t="s">
        <v>517</v>
      </c>
      <c r="G267">
        <v>2016</v>
      </c>
      <c r="H267" t="s">
        <v>515</v>
      </c>
      <c r="I267">
        <v>6</v>
      </c>
      <c r="J267">
        <v>5943104.9469999997</v>
      </c>
      <c r="K267" s="92">
        <f t="shared" si="18"/>
        <v>5943.1049469999998</v>
      </c>
    </row>
    <row r="268" spans="1:11">
      <c r="A268" t="s">
        <v>508</v>
      </c>
      <c r="B268" t="s">
        <v>381</v>
      </c>
      <c r="C268">
        <v>850300</v>
      </c>
      <c r="D268" t="s">
        <v>509</v>
      </c>
      <c r="E268" t="s">
        <v>516</v>
      </c>
      <c r="F268" t="s">
        <v>517</v>
      </c>
      <c r="G268">
        <v>2017</v>
      </c>
      <c r="H268" t="s">
        <v>515</v>
      </c>
      <c r="I268">
        <v>6</v>
      </c>
      <c r="J268">
        <v>6322216.5690000001</v>
      </c>
      <c r="K268" s="92">
        <f t="shared" si="18"/>
        <v>6322.2165690000002</v>
      </c>
    </row>
    <row r="269" spans="1:11">
      <c r="A269" t="s">
        <v>508</v>
      </c>
      <c r="B269" t="s">
        <v>381</v>
      </c>
      <c r="C269">
        <v>8504</v>
      </c>
      <c r="D269" t="s">
        <v>509</v>
      </c>
      <c r="E269" t="s">
        <v>516</v>
      </c>
      <c r="F269" t="s">
        <v>517</v>
      </c>
      <c r="G269">
        <v>2015</v>
      </c>
      <c r="H269" t="s">
        <v>515</v>
      </c>
      <c r="I269">
        <v>6</v>
      </c>
      <c r="J269">
        <v>21097312.798</v>
      </c>
      <c r="K269" s="92">
        <f t="shared" si="18"/>
        <v>21097.312797999999</v>
      </c>
    </row>
    <row r="270" spans="1:11">
      <c r="A270" t="s">
        <v>508</v>
      </c>
      <c r="B270" t="s">
        <v>381</v>
      </c>
      <c r="C270">
        <v>8504</v>
      </c>
      <c r="D270" t="s">
        <v>509</v>
      </c>
      <c r="E270" t="s">
        <v>516</v>
      </c>
      <c r="F270" t="s">
        <v>517</v>
      </c>
      <c r="G270">
        <v>2016</v>
      </c>
      <c r="H270" t="s">
        <v>515</v>
      </c>
      <c r="I270">
        <v>6</v>
      </c>
      <c r="J270">
        <v>21274311.317000002</v>
      </c>
      <c r="K270" s="92">
        <f t="shared" si="18"/>
        <v>21274.311317000003</v>
      </c>
    </row>
    <row r="271" spans="1:11">
      <c r="A271" t="s">
        <v>508</v>
      </c>
      <c r="B271" t="s">
        <v>381</v>
      </c>
      <c r="C271">
        <v>8504</v>
      </c>
      <c r="D271" t="s">
        <v>509</v>
      </c>
      <c r="E271" t="s">
        <v>516</v>
      </c>
      <c r="F271" t="s">
        <v>517</v>
      </c>
      <c r="G271">
        <v>2017</v>
      </c>
      <c r="H271" t="s">
        <v>515</v>
      </c>
      <c r="I271">
        <v>6</v>
      </c>
      <c r="J271">
        <v>23989619.754000001</v>
      </c>
      <c r="K271" s="92">
        <f t="shared" si="18"/>
        <v>23989.619753999999</v>
      </c>
    </row>
    <row r="272" spans="1:11">
      <c r="A272" t="s">
        <v>508</v>
      </c>
      <c r="B272" t="s">
        <v>381</v>
      </c>
      <c r="C272">
        <v>853720</v>
      </c>
      <c r="D272" t="s">
        <v>509</v>
      </c>
      <c r="E272" t="s">
        <v>516</v>
      </c>
      <c r="F272" t="s">
        <v>517</v>
      </c>
      <c r="G272">
        <v>2015</v>
      </c>
      <c r="H272" t="s">
        <v>515</v>
      </c>
      <c r="I272">
        <v>6</v>
      </c>
      <c r="J272">
        <v>1182643.2379999999</v>
      </c>
      <c r="K272" s="92">
        <f t="shared" si="18"/>
        <v>1182.6432379999999</v>
      </c>
    </row>
    <row r="273" spans="1:12">
      <c r="A273" t="s">
        <v>508</v>
      </c>
      <c r="B273" t="s">
        <v>381</v>
      </c>
      <c r="C273">
        <v>853720</v>
      </c>
      <c r="D273" t="s">
        <v>509</v>
      </c>
      <c r="E273" t="s">
        <v>516</v>
      </c>
      <c r="F273" t="s">
        <v>517</v>
      </c>
      <c r="G273">
        <v>2016</v>
      </c>
      <c r="H273" t="s">
        <v>515</v>
      </c>
      <c r="I273">
        <v>6</v>
      </c>
      <c r="J273">
        <v>1244937.4210000001</v>
      </c>
      <c r="K273" s="92">
        <f t="shared" si="18"/>
        <v>1244.9374210000001</v>
      </c>
    </row>
    <row r="274" spans="1:12">
      <c r="A274" t="s">
        <v>508</v>
      </c>
      <c r="B274" t="s">
        <v>381</v>
      </c>
      <c r="C274">
        <v>853720</v>
      </c>
      <c r="D274" t="s">
        <v>509</v>
      </c>
      <c r="E274" t="s">
        <v>516</v>
      </c>
      <c r="F274" t="s">
        <v>517</v>
      </c>
      <c r="G274">
        <v>2017</v>
      </c>
      <c r="H274" t="s">
        <v>515</v>
      </c>
      <c r="I274">
        <v>6</v>
      </c>
      <c r="J274">
        <v>1515824.138</v>
      </c>
      <c r="K274" s="92">
        <f t="shared" si="18"/>
        <v>1515.8241379999999</v>
      </c>
    </row>
    <row r="275" spans="1:12">
      <c r="A275" t="s">
        <v>508</v>
      </c>
      <c r="B275" t="s">
        <v>381</v>
      </c>
      <c r="C275">
        <v>854460</v>
      </c>
      <c r="D275" t="s">
        <v>509</v>
      </c>
      <c r="E275" t="s">
        <v>516</v>
      </c>
      <c r="F275" t="s">
        <v>517</v>
      </c>
      <c r="G275">
        <v>2015</v>
      </c>
      <c r="H275" t="s">
        <v>515</v>
      </c>
      <c r="I275">
        <v>6</v>
      </c>
      <c r="J275">
        <v>2172040.4730000002</v>
      </c>
      <c r="K275" s="92">
        <f t="shared" si="18"/>
        <v>2172.040473</v>
      </c>
    </row>
    <row r="276" spans="1:12">
      <c r="A276" t="s">
        <v>508</v>
      </c>
      <c r="B276" t="s">
        <v>381</v>
      </c>
      <c r="C276">
        <v>854460</v>
      </c>
      <c r="D276" t="s">
        <v>509</v>
      </c>
      <c r="E276" t="s">
        <v>516</v>
      </c>
      <c r="F276" t="s">
        <v>517</v>
      </c>
      <c r="G276">
        <v>2016</v>
      </c>
      <c r="H276" t="s">
        <v>515</v>
      </c>
      <c r="I276">
        <v>6</v>
      </c>
      <c r="J276">
        <v>2230553.9679999999</v>
      </c>
      <c r="K276" s="92">
        <f t="shared" si="18"/>
        <v>2230.5539679999997</v>
      </c>
    </row>
    <row r="277" spans="1:12">
      <c r="A277" t="s">
        <v>508</v>
      </c>
      <c r="B277" t="s">
        <v>381</v>
      </c>
      <c r="C277">
        <v>854460</v>
      </c>
      <c r="D277" t="s">
        <v>509</v>
      </c>
      <c r="E277" t="s">
        <v>516</v>
      </c>
      <c r="F277" t="s">
        <v>517</v>
      </c>
      <c r="G277">
        <v>2017</v>
      </c>
      <c r="H277" t="s">
        <v>515</v>
      </c>
      <c r="I277">
        <v>6</v>
      </c>
      <c r="J277">
        <v>2293537.0269999998</v>
      </c>
      <c r="K277" s="92">
        <f t="shared" si="18"/>
        <v>2293.5370269999999</v>
      </c>
    </row>
    <row r="279" spans="1:12">
      <c r="A279" t="s">
        <v>508</v>
      </c>
      <c r="B279" t="s">
        <v>512</v>
      </c>
      <c r="C279">
        <v>730820</v>
      </c>
      <c r="D279" t="s">
        <v>513</v>
      </c>
      <c r="E279" t="s">
        <v>516</v>
      </c>
      <c r="F279" t="s">
        <v>517</v>
      </c>
      <c r="G279">
        <v>2015</v>
      </c>
      <c r="H279" t="s">
        <v>515</v>
      </c>
      <c r="I279">
        <v>6</v>
      </c>
      <c r="J279">
        <v>4590.1850000000004</v>
      </c>
      <c r="K279" s="92">
        <f t="shared" ref="K279" si="19">J279/1000</f>
        <v>4.590185</v>
      </c>
      <c r="L279" s="91"/>
    </row>
    <row r="280" spans="1:12">
      <c r="A280" t="s">
        <v>508</v>
      </c>
      <c r="B280" t="s">
        <v>512</v>
      </c>
      <c r="C280">
        <v>730820</v>
      </c>
      <c r="D280" t="s">
        <v>513</v>
      </c>
      <c r="E280" t="s">
        <v>516</v>
      </c>
      <c r="F280" t="s">
        <v>517</v>
      </c>
      <c r="G280">
        <v>2016</v>
      </c>
      <c r="H280" t="s">
        <v>515</v>
      </c>
      <c r="I280">
        <v>6</v>
      </c>
      <c r="J280">
        <v>3280.5990000000002</v>
      </c>
      <c r="K280" s="92">
        <f t="shared" ref="K280" si="20">J280/1000</f>
        <v>3.280599</v>
      </c>
      <c r="L280" s="91"/>
    </row>
    <row r="281" spans="1:12">
      <c r="A281" t="s">
        <v>508</v>
      </c>
      <c r="B281" t="s">
        <v>512</v>
      </c>
      <c r="C281">
        <v>730820</v>
      </c>
      <c r="D281" t="s">
        <v>513</v>
      </c>
      <c r="E281" t="s">
        <v>516</v>
      </c>
      <c r="F281" t="s">
        <v>517</v>
      </c>
      <c r="G281">
        <v>2017</v>
      </c>
      <c r="H281" t="s">
        <v>515</v>
      </c>
      <c r="I281">
        <v>6</v>
      </c>
      <c r="J281">
        <v>12246.909</v>
      </c>
      <c r="K281" s="92">
        <f t="shared" ref="K281" si="21">J281/1000</f>
        <v>12.246909</v>
      </c>
      <c r="L281" s="91"/>
    </row>
    <row r="282" spans="1:12">
      <c r="A282" t="s">
        <v>508</v>
      </c>
      <c r="B282" t="s">
        <v>512</v>
      </c>
      <c r="C282">
        <v>730890</v>
      </c>
      <c r="D282" t="s">
        <v>513</v>
      </c>
      <c r="E282" t="s">
        <v>516</v>
      </c>
      <c r="F282" t="s">
        <v>517</v>
      </c>
      <c r="G282">
        <v>2015</v>
      </c>
      <c r="H282" t="s">
        <v>515</v>
      </c>
      <c r="I282">
        <v>6</v>
      </c>
      <c r="J282">
        <v>257354.15900000001</v>
      </c>
      <c r="K282" s="92">
        <f t="shared" ref="K282" si="22">J282/1000</f>
        <v>257.35415900000004</v>
      </c>
      <c r="L282" s="91"/>
    </row>
    <row r="283" spans="1:12">
      <c r="A283" t="s">
        <v>508</v>
      </c>
      <c r="B283" t="s">
        <v>512</v>
      </c>
      <c r="C283">
        <v>730890</v>
      </c>
      <c r="D283" t="s">
        <v>513</v>
      </c>
      <c r="E283" t="s">
        <v>516</v>
      </c>
      <c r="F283" t="s">
        <v>517</v>
      </c>
      <c r="G283">
        <v>2016</v>
      </c>
      <c r="H283" t="s">
        <v>515</v>
      </c>
      <c r="I283">
        <v>6</v>
      </c>
      <c r="J283">
        <v>286890.962</v>
      </c>
      <c r="K283" s="92">
        <f t="shared" ref="K283" si="23">J283/1000</f>
        <v>286.890962</v>
      </c>
      <c r="L283" s="91"/>
    </row>
    <row r="284" spans="1:12">
      <c r="A284" t="s">
        <v>508</v>
      </c>
      <c r="B284" t="s">
        <v>512</v>
      </c>
      <c r="C284">
        <v>730890</v>
      </c>
      <c r="D284" t="s">
        <v>513</v>
      </c>
      <c r="E284" t="s">
        <v>516</v>
      </c>
      <c r="F284" t="s">
        <v>517</v>
      </c>
      <c r="G284">
        <v>2017</v>
      </c>
      <c r="H284" t="s">
        <v>515</v>
      </c>
      <c r="I284">
        <v>6</v>
      </c>
      <c r="J284">
        <v>308008.109</v>
      </c>
      <c r="K284" s="92">
        <f t="shared" ref="K284" si="24">J284/1000</f>
        <v>308.00810899999999</v>
      </c>
      <c r="L284" s="91"/>
    </row>
    <row r="285" spans="1:12">
      <c r="A285" t="s">
        <v>508</v>
      </c>
      <c r="B285" t="s">
        <v>512</v>
      </c>
      <c r="C285">
        <v>841280</v>
      </c>
      <c r="D285" t="s">
        <v>513</v>
      </c>
      <c r="E285" t="s">
        <v>516</v>
      </c>
      <c r="F285" t="s">
        <v>517</v>
      </c>
      <c r="G285">
        <v>2015</v>
      </c>
      <c r="H285" t="s">
        <v>515</v>
      </c>
      <c r="I285">
        <v>6</v>
      </c>
      <c r="J285">
        <v>368.678</v>
      </c>
      <c r="K285" s="92">
        <f t="shared" ref="K285" si="25">J285/1000</f>
        <v>0.36867800000000001</v>
      </c>
      <c r="L285" s="91"/>
    </row>
    <row r="286" spans="1:12">
      <c r="A286" t="s">
        <v>508</v>
      </c>
      <c r="B286" t="s">
        <v>512</v>
      </c>
      <c r="C286">
        <v>841280</v>
      </c>
      <c r="D286" t="s">
        <v>513</v>
      </c>
      <c r="E286" t="s">
        <v>516</v>
      </c>
      <c r="F286" t="s">
        <v>517</v>
      </c>
      <c r="G286">
        <v>2016</v>
      </c>
      <c r="H286" t="s">
        <v>515</v>
      </c>
      <c r="I286">
        <v>6</v>
      </c>
      <c r="J286">
        <v>764.73500000000001</v>
      </c>
      <c r="K286" s="92">
        <f t="shared" ref="K286" si="26">J286/1000</f>
        <v>0.76473500000000005</v>
      </c>
      <c r="L286" s="91"/>
    </row>
    <row r="287" spans="1:12">
      <c r="A287" t="s">
        <v>508</v>
      </c>
      <c r="B287" t="s">
        <v>512</v>
      </c>
      <c r="C287">
        <v>841280</v>
      </c>
      <c r="D287" t="s">
        <v>513</v>
      </c>
      <c r="E287" t="s">
        <v>516</v>
      </c>
      <c r="F287" t="s">
        <v>517</v>
      </c>
      <c r="G287">
        <v>2017</v>
      </c>
      <c r="H287" t="s">
        <v>515</v>
      </c>
      <c r="I287">
        <v>6</v>
      </c>
      <c r="J287">
        <v>720.37800000000004</v>
      </c>
      <c r="K287" s="92">
        <f t="shared" ref="K287" si="27">J287/1000</f>
        <v>0.72037800000000007</v>
      </c>
      <c r="L287" s="91"/>
    </row>
    <row r="288" spans="1:12">
      <c r="A288" t="s">
        <v>508</v>
      </c>
      <c r="B288" t="s">
        <v>512</v>
      </c>
      <c r="C288">
        <v>841290</v>
      </c>
      <c r="D288" t="s">
        <v>513</v>
      </c>
      <c r="E288" t="s">
        <v>516</v>
      </c>
      <c r="F288" t="s">
        <v>517</v>
      </c>
      <c r="G288">
        <v>2015</v>
      </c>
      <c r="H288" t="s">
        <v>515</v>
      </c>
      <c r="I288">
        <v>6</v>
      </c>
      <c r="J288">
        <v>29473.778999999999</v>
      </c>
      <c r="K288" s="92">
        <f t="shared" ref="K288" si="28">J288/1000</f>
        <v>29.473779</v>
      </c>
      <c r="L288" s="91"/>
    </row>
    <row r="289" spans="1:12">
      <c r="A289" t="s">
        <v>508</v>
      </c>
      <c r="B289" t="s">
        <v>512</v>
      </c>
      <c r="C289">
        <v>841290</v>
      </c>
      <c r="D289" t="s">
        <v>513</v>
      </c>
      <c r="E289" t="s">
        <v>516</v>
      </c>
      <c r="F289" t="s">
        <v>517</v>
      </c>
      <c r="G289">
        <v>2016</v>
      </c>
      <c r="H289" t="s">
        <v>515</v>
      </c>
      <c r="I289">
        <v>6</v>
      </c>
      <c r="J289">
        <v>31307.116000000002</v>
      </c>
      <c r="K289" s="92">
        <f t="shared" ref="K289" si="29">J289/1000</f>
        <v>31.307116000000001</v>
      </c>
      <c r="L289" s="91"/>
    </row>
    <row r="290" spans="1:12">
      <c r="A290" t="s">
        <v>508</v>
      </c>
      <c r="B290" t="s">
        <v>512</v>
      </c>
      <c r="C290">
        <v>841290</v>
      </c>
      <c r="D290" t="s">
        <v>513</v>
      </c>
      <c r="E290" t="s">
        <v>516</v>
      </c>
      <c r="F290" t="s">
        <v>517</v>
      </c>
      <c r="G290">
        <v>2017</v>
      </c>
      <c r="H290" t="s">
        <v>515</v>
      </c>
      <c r="I290">
        <v>6</v>
      </c>
      <c r="J290">
        <v>37380.595000000001</v>
      </c>
      <c r="K290" s="92">
        <f t="shared" ref="K290" si="30">J290/1000</f>
        <v>37.380595</v>
      </c>
      <c r="L290" s="91"/>
    </row>
    <row r="291" spans="1:12">
      <c r="A291" t="s">
        <v>508</v>
      </c>
      <c r="B291" t="s">
        <v>512</v>
      </c>
      <c r="C291">
        <v>8482</v>
      </c>
      <c r="D291" t="s">
        <v>513</v>
      </c>
      <c r="E291" t="s">
        <v>516</v>
      </c>
      <c r="F291" t="s">
        <v>517</v>
      </c>
      <c r="G291">
        <v>2015</v>
      </c>
      <c r="H291" t="s">
        <v>515</v>
      </c>
      <c r="I291">
        <v>6</v>
      </c>
      <c r="J291">
        <v>400524.78899999999</v>
      </c>
      <c r="K291" s="92">
        <f t="shared" ref="K291" si="31">J291/1000</f>
        <v>400.524789</v>
      </c>
      <c r="L291" s="91"/>
    </row>
    <row r="292" spans="1:12">
      <c r="A292" t="s">
        <v>508</v>
      </c>
      <c r="B292" t="s">
        <v>512</v>
      </c>
      <c r="C292">
        <v>8482</v>
      </c>
      <c r="D292" t="s">
        <v>513</v>
      </c>
      <c r="E292" t="s">
        <v>516</v>
      </c>
      <c r="F292" t="s">
        <v>517</v>
      </c>
      <c r="G292">
        <v>2016</v>
      </c>
      <c r="H292" t="s">
        <v>515</v>
      </c>
      <c r="I292">
        <v>6</v>
      </c>
      <c r="J292">
        <v>360000.902</v>
      </c>
      <c r="K292" s="92">
        <f t="shared" ref="K292" si="32">J292/1000</f>
        <v>360.000902</v>
      </c>
      <c r="L292" s="91"/>
    </row>
    <row r="293" spans="1:12">
      <c r="A293" t="s">
        <v>508</v>
      </c>
      <c r="B293" t="s">
        <v>512</v>
      </c>
      <c r="C293">
        <v>8482</v>
      </c>
      <c r="D293" t="s">
        <v>513</v>
      </c>
      <c r="E293" t="s">
        <v>516</v>
      </c>
      <c r="F293" t="s">
        <v>517</v>
      </c>
      <c r="G293">
        <v>2017</v>
      </c>
      <c r="H293" t="s">
        <v>515</v>
      </c>
      <c r="I293">
        <v>6</v>
      </c>
      <c r="J293">
        <v>395000.76299999998</v>
      </c>
      <c r="K293" s="92">
        <f t="shared" ref="K293" si="33">J293/1000</f>
        <v>395.00076299999995</v>
      </c>
      <c r="L293" s="91"/>
    </row>
    <row r="294" spans="1:12">
      <c r="A294" t="s">
        <v>508</v>
      </c>
      <c r="B294" t="s">
        <v>512</v>
      </c>
      <c r="C294">
        <v>850231</v>
      </c>
      <c r="D294" t="s">
        <v>513</v>
      </c>
      <c r="E294" t="s">
        <v>516</v>
      </c>
      <c r="F294" t="s">
        <v>517</v>
      </c>
      <c r="G294">
        <v>2015</v>
      </c>
      <c r="H294" t="s">
        <v>515</v>
      </c>
      <c r="I294">
        <v>6</v>
      </c>
      <c r="J294">
        <v>6998.4219999999996</v>
      </c>
      <c r="K294" s="92">
        <f t="shared" ref="K294" si="34">J294/1000</f>
        <v>6.9984219999999997</v>
      </c>
      <c r="L294" s="91"/>
    </row>
    <row r="295" spans="1:12">
      <c r="A295" t="s">
        <v>508</v>
      </c>
      <c r="B295" t="s">
        <v>512</v>
      </c>
      <c r="C295">
        <v>850231</v>
      </c>
      <c r="D295" t="s">
        <v>513</v>
      </c>
      <c r="E295" t="s">
        <v>516</v>
      </c>
      <c r="F295" t="s">
        <v>517</v>
      </c>
      <c r="G295">
        <v>2016</v>
      </c>
      <c r="H295" t="s">
        <v>515</v>
      </c>
      <c r="I295">
        <v>6</v>
      </c>
      <c r="J295">
        <v>4383.7370000000001</v>
      </c>
      <c r="K295" s="92">
        <f t="shared" ref="K295" si="35">J295/1000</f>
        <v>4.383737</v>
      </c>
      <c r="L295" s="91"/>
    </row>
    <row r="296" spans="1:12">
      <c r="A296" t="s">
        <v>508</v>
      </c>
      <c r="B296" t="s">
        <v>512</v>
      </c>
      <c r="C296">
        <v>850231</v>
      </c>
      <c r="D296" t="s">
        <v>513</v>
      </c>
      <c r="E296" t="s">
        <v>516</v>
      </c>
      <c r="F296" t="s">
        <v>517</v>
      </c>
      <c r="G296">
        <v>2017</v>
      </c>
      <c r="H296" t="s">
        <v>515</v>
      </c>
      <c r="I296">
        <v>6</v>
      </c>
      <c r="J296">
        <v>2201.86</v>
      </c>
      <c r="K296" s="92">
        <f t="shared" ref="K296" si="36">J296/1000</f>
        <v>2.2018599999999999</v>
      </c>
      <c r="L296" s="91"/>
    </row>
    <row r="297" spans="1:12">
      <c r="A297" t="s">
        <v>508</v>
      </c>
      <c r="B297" t="s">
        <v>512</v>
      </c>
      <c r="C297">
        <v>850300</v>
      </c>
      <c r="D297" t="s">
        <v>513</v>
      </c>
      <c r="E297" t="s">
        <v>516</v>
      </c>
      <c r="F297" t="s">
        <v>517</v>
      </c>
      <c r="G297">
        <v>2015</v>
      </c>
      <c r="H297" t="s">
        <v>515</v>
      </c>
      <c r="I297">
        <v>6</v>
      </c>
      <c r="J297">
        <v>81043.112999999998</v>
      </c>
      <c r="K297" s="92">
        <f t="shared" ref="K297" si="37">J297/1000</f>
        <v>81.043112999999991</v>
      </c>
      <c r="L297" s="91"/>
    </row>
    <row r="298" spans="1:12">
      <c r="A298" t="s">
        <v>508</v>
      </c>
      <c r="B298" t="s">
        <v>512</v>
      </c>
      <c r="C298">
        <v>850300</v>
      </c>
      <c r="D298" t="s">
        <v>513</v>
      </c>
      <c r="E298" t="s">
        <v>516</v>
      </c>
      <c r="F298" t="s">
        <v>517</v>
      </c>
      <c r="G298">
        <v>2016</v>
      </c>
      <c r="H298" t="s">
        <v>515</v>
      </c>
      <c r="I298">
        <v>6</v>
      </c>
      <c r="J298">
        <v>83280.066999999995</v>
      </c>
      <c r="K298" s="92">
        <f t="shared" ref="K298" si="38">J298/1000</f>
        <v>83.280067000000003</v>
      </c>
      <c r="L298" s="91"/>
    </row>
    <row r="299" spans="1:12">
      <c r="A299" t="s">
        <v>508</v>
      </c>
      <c r="B299" t="s">
        <v>512</v>
      </c>
      <c r="C299">
        <v>850300</v>
      </c>
      <c r="D299" t="s">
        <v>513</v>
      </c>
      <c r="E299" t="s">
        <v>516</v>
      </c>
      <c r="F299" t="s">
        <v>517</v>
      </c>
      <c r="G299">
        <v>2017</v>
      </c>
      <c r="H299" t="s">
        <v>515</v>
      </c>
      <c r="I299">
        <v>6</v>
      </c>
      <c r="J299">
        <v>83432.494999999995</v>
      </c>
      <c r="K299" s="92">
        <f t="shared" ref="K299" si="39">J299/1000</f>
        <v>83.432494999999989</v>
      </c>
      <c r="L299" s="91"/>
    </row>
    <row r="300" spans="1:12">
      <c r="A300" t="s">
        <v>508</v>
      </c>
      <c r="B300" t="s">
        <v>512</v>
      </c>
      <c r="C300">
        <v>8504</v>
      </c>
      <c r="D300" t="s">
        <v>513</v>
      </c>
      <c r="E300" t="s">
        <v>516</v>
      </c>
      <c r="F300" t="s">
        <v>517</v>
      </c>
      <c r="G300">
        <v>2015</v>
      </c>
      <c r="H300" t="s">
        <v>515</v>
      </c>
      <c r="I300">
        <v>6</v>
      </c>
      <c r="J300">
        <v>768768.23800000001</v>
      </c>
      <c r="K300" s="92">
        <f t="shared" ref="K300" si="40">J300/1000</f>
        <v>768.768238</v>
      </c>
      <c r="L300" s="91"/>
    </row>
    <row r="301" spans="1:12">
      <c r="A301" t="s">
        <v>508</v>
      </c>
      <c r="B301" t="s">
        <v>512</v>
      </c>
      <c r="C301">
        <v>8504</v>
      </c>
      <c r="D301" t="s">
        <v>513</v>
      </c>
      <c r="E301" t="s">
        <v>516</v>
      </c>
      <c r="F301" t="s">
        <v>517</v>
      </c>
      <c r="G301">
        <v>2016</v>
      </c>
      <c r="H301" t="s">
        <v>515</v>
      </c>
      <c r="I301">
        <v>6</v>
      </c>
      <c r="J301">
        <v>676243.35</v>
      </c>
      <c r="K301" s="92">
        <f t="shared" ref="K301" si="41">J301/1000</f>
        <v>676.24334999999996</v>
      </c>
      <c r="L301" s="91"/>
    </row>
    <row r="302" spans="1:12">
      <c r="A302" t="s">
        <v>508</v>
      </c>
      <c r="B302" t="s">
        <v>512</v>
      </c>
      <c r="C302">
        <v>8504</v>
      </c>
      <c r="D302" t="s">
        <v>513</v>
      </c>
      <c r="E302" t="s">
        <v>516</v>
      </c>
      <c r="F302" t="s">
        <v>517</v>
      </c>
      <c r="G302">
        <v>2017</v>
      </c>
      <c r="H302" t="s">
        <v>515</v>
      </c>
      <c r="I302">
        <v>6</v>
      </c>
      <c r="J302">
        <v>737581.78799999994</v>
      </c>
      <c r="K302" s="92">
        <f t="shared" ref="K302" si="42">J302/1000</f>
        <v>737.58178799999996</v>
      </c>
      <c r="L302" s="91"/>
    </row>
    <row r="303" spans="1:12">
      <c r="A303" t="s">
        <v>508</v>
      </c>
      <c r="B303" t="s">
        <v>512</v>
      </c>
      <c r="C303">
        <v>853720</v>
      </c>
      <c r="D303" t="s">
        <v>513</v>
      </c>
      <c r="E303" t="s">
        <v>516</v>
      </c>
      <c r="F303" t="s">
        <v>517</v>
      </c>
      <c r="G303">
        <v>2015</v>
      </c>
      <c r="H303" t="s">
        <v>515</v>
      </c>
      <c r="I303">
        <v>6</v>
      </c>
      <c r="J303">
        <v>2062.7370000000001</v>
      </c>
      <c r="K303" s="92">
        <f t="shared" ref="K303" si="43">J303/1000</f>
        <v>2.0627370000000003</v>
      </c>
      <c r="L303" s="91"/>
    </row>
    <row r="304" spans="1:12">
      <c r="A304" t="s">
        <v>508</v>
      </c>
      <c r="B304" t="s">
        <v>512</v>
      </c>
      <c r="C304">
        <v>853720</v>
      </c>
      <c r="D304" t="s">
        <v>513</v>
      </c>
      <c r="E304" t="s">
        <v>516</v>
      </c>
      <c r="F304" t="s">
        <v>517</v>
      </c>
      <c r="G304">
        <v>2016</v>
      </c>
      <c r="H304" t="s">
        <v>515</v>
      </c>
      <c r="I304">
        <v>6</v>
      </c>
      <c r="J304">
        <v>8739.3070000000007</v>
      </c>
      <c r="K304" s="92">
        <f t="shared" ref="K304" si="44">J304/1000</f>
        <v>8.7393070000000002</v>
      </c>
      <c r="L304" s="91"/>
    </row>
    <row r="305" spans="1:12">
      <c r="A305" t="s">
        <v>508</v>
      </c>
      <c r="B305" t="s">
        <v>512</v>
      </c>
      <c r="C305">
        <v>853720</v>
      </c>
      <c r="D305" t="s">
        <v>513</v>
      </c>
      <c r="E305" t="s">
        <v>516</v>
      </c>
      <c r="F305" t="s">
        <v>517</v>
      </c>
      <c r="G305">
        <v>2017</v>
      </c>
      <c r="H305" t="s">
        <v>515</v>
      </c>
      <c r="I305">
        <v>6</v>
      </c>
      <c r="J305">
        <v>10201.888000000001</v>
      </c>
      <c r="K305" s="92">
        <f t="shared" ref="K305" si="45">J305/1000</f>
        <v>10.201888</v>
      </c>
      <c r="L305" s="91"/>
    </row>
    <row r="306" spans="1:12">
      <c r="A306" t="s">
        <v>508</v>
      </c>
      <c r="B306" t="s">
        <v>512</v>
      </c>
      <c r="C306">
        <v>854460</v>
      </c>
      <c r="D306" t="s">
        <v>513</v>
      </c>
      <c r="E306" t="s">
        <v>516</v>
      </c>
      <c r="F306" t="s">
        <v>517</v>
      </c>
      <c r="G306">
        <v>2015</v>
      </c>
      <c r="H306" t="s">
        <v>515</v>
      </c>
      <c r="I306">
        <v>6</v>
      </c>
      <c r="J306">
        <v>28530.507000000001</v>
      </c>
      <c r="K306" s="92">
        <f t="shared" ref="K306" si="46">J306/1000</f>
        <v>28.530507</v>
      </c>
      <c r="L306" s="91"/>
    </row>
    <row r="307" spans="1:12">
      <c r="A307" t="s">
        <v>508</v>
      </c>
      <c r="B307" t="s">
        <v>512</v>
      </c>
      <c r="C307">
        <v>854460</v>
      </c>
      <c r="D307" t="s">
        <v>513</v>
      </c>
      <c r="E307" t="s">
        <v>516</v>
      </c>
      <c r="F307" t="s">
        <v>517</v>
      </c>
      <c r="G307">
        <v>2016</v>
      </c>
      <c r="H307" t="s">
        <v>515</v>
      </c>
      <c r="I307">
        <v>6</v>
      </c>
      <c r="J307">
        <v>16185.76</v>
      </c>
      <c r="K307" s="92">
        <f t="shared" ref="K307" si="47">J307/1000</f>
        <v>16.185760000000002</v>
      </c>
      <c r="L307" s="91"/>
    </row>
    <row r="308" spans="1:12">
      <c r="A308" t="s">
        <v>508</v>
      </c>
      <c r="B308" t="s">
        <v>512</v>
      </c>
      <c r="C308">
        <v>854460</v>
      </c>
      <c r="D308" t="s">
        <v>513</v>
      </c>
      <c r="E308" t="s">
        <v>516</v>
      </c>
      <c r="F308" t="s">
        <v>517</v>
      </c>
      <c r="G308">
        <v>2017</v>
      </c>
      <c r="H308" t="s">
        <v>515</v>
      </c>
      <c r="I308">
        <v>6</v>
      </c>
      <c r="J308">
        <v>20535.852999999999</v>
      </c>
      <c r="K308" s="92">
        <f t="shared" ref="K308" si="48">J308/1000</f>
        <v>20.535852999999999</v>
      </c>
      <c r="L308" s="91"/>
    </row>
    <row r="310" spans="1:12">
      <c r="A310" t="s">
        <v>508</v>
      </c>
      <c r="B310" t="s">
        <v>518</v>
      </c>
      <c r="C310">
        <v>730820</v>
      </c>
      <c r="D310" t="s">
        <v>481</v>
      </c>
      <c r="E310" t="s">
        <v>516</v>
      </c>
      <c r="F310" t="s">
        <v>517</v>
      </c>
      <c r="G310">
        <v>2015</v>
      </c>
      <c r="H310" t="s">
        <v>515</v>
      </c>
      <c r="I310">
        <v>6</v>
      </c>
      <c r="J310">
        <v>215306.13</v>
      </c>
      <c r="K310" s="92">
        <f>J310/1000</f>
        <v>215.30613</v>
      </c>
      <c r="L310" s="91"/>
    </row>
    <row r="311" spans="1:12">
      <c r="A311" t="s">
        <v>508</v>
      </c>
      <c r="B311" t="s">
        <v>518</v>
      </c>
      <c r="C311">
        <v>730820</v>
      </c>
      <c r="D311" t="s">
        <v>481</v>
      </c>
      <c r="E311" t="s">
        <v>516</v>
      </c>
      <c r="F311" t="s">
        <v>517</v>
      </c>
      <c r="G311">
        <v>2016</v>
      </c>
      <c r="H311" t="s">
        <v>515</v>
      </c>
      <c r="I311">
        <v>6</v>
      </c>
      <c r="J311">
        <v>309090.359</v>
      </c>
      <c r="K311" s="92">
        <f t="shared" ref="K311" si="49">J311/1000</f>
        <v>309.09035899999998</v>
      </c>
      <c r="L311" s="91"/>
    </row>
    <row r="312" spans="1:12">
      <c r="A312" t="s">
        <v>508</v>
      </c>
      <c r="B312" t="s">
        <v>518</v>
      </c>
      <c r="C312">
        <v>730820</v>
      </c>
      <c r="D312" t="s">
        <v>481</v>
      </c>
      <c r="E312" t="s">
        <v>516</v>
      </c>
      <c r="F312" t="s">
        <v>517</v>
      </c>
      <c r="G312">
        <v>2017</v>
      </c>
      <c r="H312" t="s">
        <v>515</v>
      </c>
      <c r="I312">
        <v>6</v>
      </c>
      <c r="J312">
        <v>146228.943</v>
      </c>
      <c r="K312" s="92">
        <f t="shared" ref="K312" si="50">J312/1000</f>
        <v>146.22894299999999</v>
      </c>
      <c r="L312" s="91"/>
    </row>
    <row r="313" spans="1:12">
      <c r="A313" t="s">
        <v>508</v>
      </c>
      <c r="B313" t="s">
        <v>518</v>
      </c>
      <c r="C313">
        <v>730890</v>
      </c>
      <c r="D313" t="s">
        <v>481</v>
      </c>
      <c r="E313" t="s">
        <v>516</v>
      </c>
      <c r="F313" t="s">
        <v>517</v>
      </c>
      <c r="G313">
        <v>2015</v>
      </c>
      <c r="H313" t="s">
        <v>515</v>
      </c>
      <c r="I313">
        <v>6</v>
      </c>
      <c r="J313">
        <v>1670324.8540000001</v>
      </c>
      <c r="K313" s="92">
        <f t="shared" ref="K313" si="51">J313/1000</f>
        <v>1670.324854</v>
      </c>
      <c r="L313" s="91"/>
    </row>
    <row r="314" spans="1:12">
      <c r="A314" t="s">
        <v>508</v>
      </c>
      <c r="B314" t="s">
        <v>518</v>
      </c>
      <c r="C314">
        <v>730890</v>
      </c>
      <c r="D314" t="s">
        <v>481</v>
      </c>
      <c r="E314" t="s">
        <v>516</v>
      </c>
      <c r="F314" t="s">
        <v>517</v>
      </c>
      <c r="G314">
        <v>2016</v>
      </c>
      <c r="H314" t="s">
        <v>515</v>
      </c>
      <c r="I314">
        <v>6</v>
      </c>
      <c r="J314">
        <v>1633287.993</v>
      </c>
      <c r="K314" s="92">
        <f t="shared" ref="K314" si="52">J314/1000</f>
        <v>1633.2879929999999</v>
      </c>
      <c r="L314" s="91"/>
    </row>
    <row r="315" spans="1:12">
      <c r="A315" t="s">
        <v>508</v>
      </c>
      <c r="B315" t="s">
        <v>518</v>
      </c>
      <c r="C315">
        <v>730890</v>
      </c>
      <c r="D315" t="s">
        <v>481</v>
      </c>
      <c r="E315" t="s">
        <v>516</v>
      </c>
      <c r="F315" t="s">
        <v>517</v>
      </c>
      <c r="G315">
        <v>2017</v>
      </c>
      <c r="H315" t="s">
        <v>515</v>
      </c>
      <c r="I315">
        <v>6</v>
      </c>
      <c r="J315">
        <v>1846806.3740000001</v>
      </c>
      <c r="K315" s="92">
        <f t="shared" ref="K315" si="53">J315/1000</f>
        <v>1846.806374</v>
      </c>
      <c r="L315" s="91"/>
    </row>
    <row r="316" spans="1:12">
      <c r="A316" t="s">
        <v>508</v>
      </c>
      <c r="B316" t="s">
        <v>518</v>
      </c>
      <c r="C316">
        <v>841280</v>
      </c>
      <c r="D316" t="s">
        <v>481</v>
      </c>
      <c r="E316" t="s">
        <v>516</v>
      </c>
      <c r="F316" t="s">
        <v>517</v>
      </c>
      <c r="G316">
        <v>2015</v>
      </c>
      <c r="H316" t="s">
        <v>515</v>
      </c>
      <c r="I316">
        <v>6</v>
      </c>
      <c r="J316">
        <v>12666.183000000001</v>
      </c>
      <c r="K316" s="92">
        <f t="shared" ref="K316" si="54">J316/1000</f>
        <v>12.666183</v>
      </c>
      <c r="L316" s="91"/>
    </row>
    <row r="317" spans="1:12">
      <c r="A317" t="s">
        <v>508</v>
      </c>
      <c r="B317" t="s">
        <v>518</v>
      </c>
      <c r="C317">
        <v>841280</v>
      </c>
      <c r="D317" t="s">
        <v>481</v>
      </c>
      <c r="E317" t="s">
        <v>516</v>
      </c>
      <c r="F317" t="s">
        <v>517</v>
      </c>
      <c r="G317">
        <v>2016</v>
      </c>
      <c r="H317" t="s">
        <v>515</v>
      </c>
      <c r="I317">
        <v>6</v>
      </c>
      <c r="J317">
        <v>30204.945</v>
      </c>
      <c r="K317" s="92">
        <f t="shared" ref="K317" si="55">J317/1000</f>
        <v>30.204944999999999</v>
      </c>
      <c r="L317" s="91"/>
    </row>
    <row r="318" spans="1:12">
      <c r="A318" t="s">
        <v>508</v>
      </c>
      <c r="B318" t="s">
        <v>518</v>
      </c>
      <c r="C318">
        <v>841280</v>
      </c>
      <c r="D318" t="s">
        <v>481</v>
      </c>
      <c r="E318" t="s">
        <v>516</v>
      </c>
      <c r="F318" t="s">
        <v>517</v>
      </c>
      <c r="G318">
        <v>2017</v>
      </c>
      <c r="H318" t="s">
        <v>515</v>
      </c>
      <c r="I318">
        <v>6</v>
      </c>
      <c r="J318">
        <v>53562.654000000002</v>
      </c>
      <c r="K318" s="92">
        <f t="shared" ref="K318" si="56">J318/1000</f>
        <v>53.562654000000002</v>
      </c>
      <c r="L318" s="91"/>
    </row>
    <row r="319" spans="1:12">
      <c r="A319" t="s">
        <v>508</v>
      </c>
      <c r="B319" t="s">
        <v>518</v>
      </c>
      <c r="C319">
        <v>841290</v>
      </c>
      <c r="D319" t="s">
        <v>481</v>
      </c>
      <c r="E319" t="s">
        <v>516</v>
      </c>
      <c r="F319" t="s">
        <v>517</v>
      </c>
      <c r="G319">
        <v>2015</v>
      </c>
      <c r="H319" t="s">
        <v>515</v>
      </c>
      <c r="I319">
        <v>6</v>
      </c>
      <c r="J319">
        <v>469619.93400000001</v>
      </c>
      <c r="K319" s="92">
        <f t="shared" ref="K319" si="57">J319/1000</f>
        <v>469.619934</v>
      </c>
      <c r="L319" s="91"/>
    </row>
    <row r="320" spans="1:12">
      <c r="A320" t="s">
        <v>508</v>
      </c>
      <c r="B320" t="s">
        <v>518</v>
      </c>
      <c r="C320">
        <v>841290</v>
      </c>
      <c r="D320" t="s">
        <v>481</v>
      </c>
      <c r="E320" t="s">
        <v>516</v>
      </c>
      <c r="F320" t="s">
        <v>517</v>
      </c>
      <c r="G320">
        <v>2016</v>
      </c>
      <c r="H320" t="s">
        <v>515</v>
      </c>
      <c r="I320">
        <v>6</v>
      </c>
      <c r="J320">
        <v>538752.25800000003</v>
      </c>
      <c r="K320" s="92">
        <f t="shared" ref="K320" si="58">J320/1000</f>
        <v>538.75225799999998</v>
      </c>
      <c r="L320" s="91"/>
    </row>
    <row r="321" spans="1:12">
      <c r="A321" t="s">
        <v>508</v>
      </c>
      <c r="B321" t="s">
        <v>518</v>
      </c>
      <c r="C321">
        <v>841290</v>
      </c>
      <c r="D321" t="s">
        <v>481</v>
      </c>
      <c r="E321" t="s">
        <v>516</v>
      </c>
      <c r="F321" t="s">
        <v>517</v>
      </c>
      <c r="G321">
        <v>2017</v>
      </c>
      <c r="H321" t="s">
        <v>515</v>
      </c>
      <c r="I321">
        <v>6</v>
      </c>
      <c r="J321">
        <v>403352.36800000002</v>
      </c>
      <c r="K321" s="92">
        <f t="shared" ref="K321" si="59">J321/1000</f>
        <v>403.35236800000001</v>
      </c>
      <c r="L321" s="91"/>
    </row>
    <row r="322" spans="1:12">
      <c r="A322" t="s">
        <v>508</v>
      </c>
      <c r="B322" t="s">
        <v>518</v>
      </c>
      <c r="C322">
        <v>8482</v>
      </c>
      <c r="D322" t="s">
        <v>481</v>
      </c>
      <c r="E322" t="s">
        <v>516</v>
      </c>
      <c r="F322" t="s">
        <v>517</v>
      </c>
      <c r="G322">
        <v>2015</v>
      </c>
      <c r="H322" t="s">
        <v>515</v>
      </c>
      <c r="I322">
        <v>6</v>
      </c>
      <c r="J322">
        <v>2295170.699</v>
      </c>
      <c r="K322" s="92">
        <f t="shared" ref="K322" si="60">J322/1000</f>
        <v>2295.1706990000002</v>
      </c>
      <c r="L322" s="91"/>
    </row>
    <row r="323" spans="1:12">
      <c r="A323" t="s">
        <v>508</v>
      </c>
      <c r="B323" t="s">
        <v>518</v>
      </c>
      <c r="C323">
        <v>8482</v>
      </c>
      <c r="D323" t="s">
        <v>481</v>
      </c>
      <c r="E323" t="s">
        <v>516</v>
      </c>
      <c r="F323" t="s">
        <v>517</v>
      </c>
      <c r="G323">
        <v>2016</v>
      </c>
      <c r="H323" t="s">
        <v>515</v>
      </c>
      <c r="I323">
        <v>6</v>
      </c>
      <c r="J323">
        <v>2366051.986</v>
      </c>
      <c r="K323" s="92">
        <f t="shared" ref="K323" si="61">J323/1000</f>
        <v>2366.0519859999999</v>
      </c>
      <c r="L323" s="91"/>
    </row>
    <row r="324" spans="1:12" ht="16" customHeight="1">
      <c r="A324" t="s">
        <v>508</v>
      </c>
      <c r="B324" t="s">
        <v>518</v>
      </c>
      <c r="C324">
        <v>8482</v>
      </c>
      <c r="D324" t="s">
        <v>481</v>
      </c>
      <c r="E324" t="s">
        <v>516</v>
      </c>
      <c r="F324" t="s">
        <v>517</v>
      </c>
      <c r="G324">
        <v>2017</v>
      </c>
      <c r="H324" t="s">
        <v>515</v>
      </c>
      <c r="I324">
        <v>6</v>
      </c>
      <c r="J324">
        <v>2622788.8629999999</v>
      </c>
      <c r="K324" s="92">
        <f t="shared" ref="K324" si="62">J324/1000</f>
        <v>2622.7888629999998</v>
      </c>
      <c r="L324" s="91"/>
    </row>
    <row r="325" spans="1:12">
      <c r="A325" t="s">
        <v>508</v>
      </c>
      <c r="B325" t="s">
        <v>518</v>
      </c>
      <c r="C325">
        <v>850231</v>
      </c>
      <c r="D325" t="s">
        <v>481</v>
      </c>
      <c r="E325" t="s">
        <v>516</v>
      </c>
      <c r="F325" t="s">
        <v>517</v>
      </c>
      <c r="G325">
        <v>2015</v>
      </c>
      <c r="H325" t="s">
        <v>515</v>
      </c>
      <c r="I325">
        <v>6</v>
      </c>
      <c r="J325">
        <v>1446313.581</v>
      </c>
      <c r="K325" s="92">
        <f t="shared" ref="K325" si="63">J325/1000</f>
        <v>1446.3135810000001</v>
      </c>
      <c r="L325" s="91"/>
    </row>
    <row r="326" spans="1:12">
      <c r="A326" t="s">
        <v>508</v>
      </c>
      <c r="B326" t="s">
        <v>518</v>
      </c>
      <c r="C326">
        <v>850231</v>
      </c>
      <c r="D326" t="s">
        <v>481</v>
      </c>
      <c r="E326" t="s">
        <v>516</v>
      </c>
      <c r="F326" t="s">
        <v>517</v>
      </c>
      <c r="G326">
        <v>2016</v>
      </c>
      <c r="H326" t="s">
        <v>515</v>
      </c>
      <c r="I326">
        <v>6</v>
      </c>
      <c r="J326">
        <v>1259633.932</v>
      </c>
      <c r="K326" s="92">
        <f t="shared" ref="K326" si="64">J326/1000</f>
        <v>1259.633932</v>
      </c>
      <c r="L326" s="91"/>
    </row>
    <row r="327" spans="1:12">
      <c r="A327" t="s">
        <v>508</v>
      </c>
      <c r="B327" t="s">
        <v>518</v>
      </c>
      <c r="C327">
        <v>850231</v>
      </c>
      <c r="D327" t="s">
        <v>481</v>
      </c>
      <c r="E327" t="s">
        <v>516</v>
      </c>
      <c r="F327" t="s">
        <v>517</v>
      </c>
      <c r="G327">
        <v>2017</v>
      </c>
      <c r="H327" t="s">
        <v>515</v>
      </c>
      <c r="I327">
        <v>6</v>
      </c>
      <c r="J327">
        <v>753042.34299999999</v>
      </c>
      <c r="K327" s="92">
        <f t="shared" ref="K327" si="65">J327/1000</f>
        <v>753.04234299999996</v>
      </c>
      <c r="L327" s="91"/>
    </row>
    <row r="328" spans="1:12">
      <c r="A328" t="s">
        <v>508</v>
      </c>
      <c r="B328" t="s">
        <v>518</v>
      </c>
      <c r="C328">
        <v>850300</v>
      </c>
      <c r="D328" t="s">
        <v>481</v>
      </c>
      <c r="E328" t="s">
        <v>516</v>
      </c>
      <c r="F328" t="s">
        <v>517</v>
      </c>
      <c r="G328">
        <v>2015</v>
      </c>
      <c r="H328" t="s">
        <v>515</v>
      </c>
      <c r="I328">
        <v>6</v>
      </c>
      <c r="J328">
        <v>769347.94499999995</v>
      </c>
      <c r="K328" s="92">
        <f t="shared" ref="K328" si="66">J328/1000</f>
        <v>769.34794499999998</v>
      </c>
      <c r="L328" s="91"/>
    </row>
    <row r="329" spans="1:12">
      <c r="A329" t="s">
        <v>508</v>
      </c>
      <c r="B329" t="s">
        <v>518</v>
      </c>
      <c r="C329">
        <v>850300</v>
      </c>
      <c r="D329" t="s">
        <v>481</v>
      </c>
      <c r="E329" t="s">
        <v>516</v>
      </c>
      <c r="F329" t="s">
        <v>517</v>
      </c>
      <c r="G329">
        <v>2016</v>
      </c>
      <c r="H329" t="s">
        <v>515</v>
      </c>
      <c r="I329">
        <v>6</v>
      </c>
      <c r="J329">
        <v>831848.01300000004</v>
      </c>
      <c r="K329" s="92">
        <f t="shared" ref="K329" si="67">J329/1000</f>
        <v>831.84801300000004</v>
      </c>
      <c r="L329" s="91"/>
    </row>
    <row r="330" spans="1:12">
      <c r="A330" t="s">
        <v>508</v>
      </c>
      <c r="B330" t="s">
        <v>518</v>
      </c>
      <c r="C330">
        <v>850300</v>
      </c>
      <c r="D330" t="s">
        <v>481</v>
      </c>
      <c r="E330" t="s">
        <v>516</v>
      </c>
      <c r="F330" t="s">
        <v>517</v>
      </c>
      <c r="G330">
        <v>2017</v>
      </c>
      <c r="H330" t="s">
        <v>515</v>
      </c>
      <c r="I330">
        <v>6</v>
      </c>
      <c r="J330">
        <v>861266.49300000002</v>
      </c>
      <c r="K330" s="92">
        <f t="shared" ref="K330" si="68">J330/1000</f>
        <v>861.26649299999997</v>
      </c>
      <c r="L330" s="91"/>
    </row>
    <row r="331" spans="1:12">
      <c r="A331" t="s">
        <v>508</v>
      </c>
      <c r="B331" t="s">
        <v>518</v>
      </c>
      <c r="C331">
        <v>8504</v>
      </c>
      <c r="D331" t="s">
        <v>481</v>
      </c>
      <c r="E331" t="s">
        <v>516</v>
      </c>
      <c r="F331" t="s">
        <v>517</v>
      </c>
      <c r="G331">
        <v>2015</v>
      </c>
      <c r="H331" t="s">
        <v>515</v>
      </c>
      <c r="I331">
        <v>6</v>
      </c>
      <c r="J331">
        <v>3702529.4569999999</v>
      </c>
      <c r="K331" s="92">
        <f t="shared" ref="K331" si="69">J331/1000</f>
        <v>3702.5294570000001</v>
      </c>
      <c r="L331" s="91"/>
    </row>
    <row r="332" spans="1:12">
      <c r="A332" t="s">
        <v>508</v>
      </c>
      <c r="B332" t="s">
        <v>518</v>
      </c>
      <c r="C332">
        <v>8504</v>
      </c>
      <c r="D332" t="s">
        <v>481</v>
      </c>
      <c r="E332" t="s">
        <v>516</v>
      </c>
      <c r="F332" t="s">
        <v>517</v>
      </c>
      <c r="G332">
        <v>2016</v>
      </c>
      <c r="H332" t="s">
        <v>515</v>
      </c>
      <c r="I332">
        <v>6</v>
      </c>
      <c r="J332">
        <v>3809518.068</v>
      </c>
      <c r="K332" s="92">
        <f t="shared" ref="K332" si="70">J332/1000</f>
        <v>3809.5180679999999</v>
      </c>
      <c r="L332" s="91"/>
    </row>
    <row r="333" spans="1:12">
      <c r="A333" t="s">
        <v>508</v>
      </c>
      <c r="B333" t="s">
        <v>518</v>
      </c>
      <c r="C333">
        <v>8504</v>
      </c>
      <c r="D333" t="s">
        <v>481</v>
      </c>
      <c r="E333" t="s">
        <v>516</v>
      </c>
      <c r="F333" t="s">
        <v>517</v>
      </c>
      <c r="G333">
        <v>2017</v>
      </c>
      <c r="H333" t="s">
        <v>515</v>
      </c>
      <c r="I333">
        <v>6</v>
      </c>
      <c r="J333">
        <v>4428277.2060000002</v>
      </c>
      <c r="K333" s="92">
        <f t="shared" ref="K333" si="71">J333/1000</f>
        <v>4428.2772060000007</v>
      </c>
      <c r="L333" s="91"/>
    </row>
    <row r="334" spans="1:12">
      <c r="A334" t="s">
        <v>508</v>
      </c>
      <c r="B334" t="s">
        <v>518</v>
      </c>
      <c r="C334">
        <v>853720</v>
      </c>
      <c r="D334" t="s">
        <v>481</v>
      </c>
      <c r="E334" t="s">
        <v>516</v>
      </c>
      <c r="F334" t="s">
        <v>517</v>
      </c>
      <c r="G334">
        <v>2015</v>
      </c>
      <c r="H334" t="s">
        <v>515</v>
      </c>
      <c r="I334">
        <v>6</v>
      </c>
      <c r="J334">
        <v>350669.11900000001</v>
      </c>
      <c r="K334" s="92">
        <f t="shared" ref="K334" si="72">J334/1000</f>
        <v>350.66911900000002</v>
      </c>
      <c r="L334" s="91"/>
    </row>
    <row r="335" spans="1:12">
      <c r="A335" t="s">
        <v>508</v>
      </c>
      <c r="B335" t="s">
        <v>518</v>
      </c>
      <c r="C335">
        <v>853720</v>
      </c>
      <c r="D335" t="s">
        <v>481</v>
      </c>
      <c r="E335" t="s">
        <v>516</v>
      </c>
      <c r="F335" t="s">
        <v>517</v>
      </c>
      <c r="G335">
        <v>2016</v>
      </c>
      <c r="H335" t="s">
        <v>515</v>
      </c>
      <c r="I335">
        <v>6</v>
      </c>
      <c r="J335">
        <v>327723.23100000003</v>
      </c>
      <c r="K335" s="92">
        <f t="shared" ref="K335" si="73">J335/1000</f>
        <v>327.72323100000006</v>
      </c>
      <c r="L335" s="91"/>
    </row>
    <row r="336" spans="1:12">
      <c r="A336" t="s">
        <v>508</v>
      </c>
      <c r="B336" t="s">
        <v>518</v>
      </c>
      <c r="C336">
        <v>853720</v>
      </c>
      <c r="D336" t="s">
        <v>481</v>
      </c>
      <c r="E336" t="s">
        <v>516</v>
      </c>
      <c r="F336" t="s">
        <v>517</v>
      </c>
      <c r="G336">
        <v>2017</v>
      </c>
      <c r="H336" t="s">
        <v>515</v>
      </c>
      <c r="I336">
        <v>6</v>
      </c>
      <c r="J336">
        <v>408995.56199999998</v>
      </c>
      <c r="K336" s="92">
        <f t="shared" ref="K336" si="74">J336/1000</f>
        <v>408.99556199999995</v>
      </c>
      <c r="L336" s="91"/>
    </row>
    <row r="337" spans="1:12">
      <c r="A337" t="s">
        <v>508</v>
      </c>
      <c r="B337" t="s">
        <v>518</v>
      </c>
      <c r="C337">
        <v>854460</v>
      </c>
      <c r="D337" t="s">
        <v>481</v>
      </c>
      <c r="E337" t="s">
        <v>516</v>
      </c>
      <c r="F337" t="s">
        <v>517</v>
      </c>
      <c r="G337">
        <v>2015</v>
      </c>
      <c r="H337" t="s">
        <v>515</v>
      </c>
      <c r="I337">
        <v>6</v>
      </c>
      <c r="J337">
        <v>402870.31699999998</v>
      </c>
      <c r="K337" s="92">
        <f t="shared" ref="K337" si="75">J337/1000</f>
        <v>402.870317</v>
      </c>
      <c r="L337" s="91"/>
    </row>
    <row r="338" spans="1:12">
      <c r="A338" t="s">
        <v>508</v>
      </c>
      <c r="B338" t="s">
        <v>518</v>
      </c>
      <c r="C338">
        <v>854460</v>
      </c>
      <c r="D338" t="s">
        <v>481</v>
      </c>
      <c r="E338" t="s">
        <v>516</v>
      </c>
      <c r="F338" t="s">
        <v>517</v>
      </c>
      <c r="G338">
        <v>2016</v>
      </c>
      <c r="H338" t="s">
        <v>515</v>
      </c>
      <c r="I338">
        <v>6</v>
      </c>
      <c r="J338">
        <v>282778.71000000002</v>
      </c>
      <c r="K338" s="92">
        <f t="shared" ref="K338" si="76">J338/1000</f>
        <v>282.77871000000005</v>
      </c>
      <c r="L338" s="91"/>
    </row>
    <row r="339" spans="1:12">
      <c r="A339" t="s">
        <v>508</v>
      </c>
      <c r="B339" t="s">
        <v>518</v>
      </c>
      <c r="C339">
        <v>854460</v>
      </c>
      <c r="D339" t="s">
        <v>481</v>
      </c>
      <c r="E339" t="s">
        <v>516</v>
      </c>
      <c r="F339" t="s">
        <v>517</v>
      </c>
      <c r="G339">
        <v>2017</v>
      </c>
      <c r="H339" t="s">
        <v>515</v>
      </c>
      <c r="I339">
        <v>6</v>
      </c>
      <c r="J339">
        <v>270780.13299999997</v>
      </c>
      <c r="K339" s="92">
        <f t="shared" ref="K339" si="77">J339/1000</f>
        <v>270.78013299999998</v>
      </c>
      <c r="L339" s="91"/>
    </row>
    <row r="340" spans="1:12">
      <c r="K340" s="92"/>
      <c r="L340" s="91"/>
    </row>
    <row r="341" spans="1:12">
      <c r="A341" t="s">
        <v>508</v>
      </c>
      <c r="B341" t="s">
        <v>519</v>
      </c>
      <c r="C341">
        <v>730820</v>
      </c>
      <c r="D341" t="s">
        <v>482</v>
      </c>
      <c r="E341" t="s">
        <v>516</v>
      </c>
      <c r="F341" t="s">
        <v>517</v>
      </c>
      <c r="G341">
        <v>2015</v>
      </c>
      <c r="H341" t="s">
        <v>515</v>
      </c>
      <c r="I341">
        <v>6</v>
      </c>
      <c r="J341">
        <v>267849.73700000002</v>
      </c>
      <c r="K341" s="92">
        <f t="shared" ref="K341" si="78">J341/1000</f>
        <v>267.849737</v>
      </c>
      <c r="L341" s="91"/>
    </row>
    <row r="342" spans="1:12">
      <c r="A342" t="s">
        <v>508</v>
      </c>
      <c r="B342" t="s">
        <v>519</v>
      </c>
      <c r="C342">
        <v>730820</v>
      </c>
      <c r="D342" t="s">
        <v>482</v>
      </c>
      <c r="E342" t="s">
        <v>516</v>
      </c>
      <c r="F342" t="s">
        <v>517</v>
      </c>
      <c r="G342">
        <v>2016</v>
      </c>
      <c r="H342" t="s">
        <v>515</v>
      </c>
      <c r="I342">
        <v>6</v>
      </c>
      <c r="J342">
        <v>365709.31900000002</v>
      </c>
      <c r="K342" s="92">
        <f t="shared" ref="K342" si="79">J342/1000</f>
        <v>365.70931899999999</v>
      </c>
      <c r="L342" s="91"/>
    </row>
    <row r="343" spans="1:12">
      <c r="A343" t="s">
        <v>508</v>
      </c>
      <c r="B343" t="s">
        <v>519</v>
      </c>
      <c r="C343">
        <v>730820</v>
      </c>
      <c r="D343" t="s">
        <v>482</v>
      </c>
      <c r="E343" t="s">
        <v>516</v>
      </c>
      <c r="F343" t="s">
        <v>517</v>
      </c>
      <c r="G343">
        <v>2017</v>
      </c>
      <c r="H343" t="s">
        <v>515</v>
      </c>
      <c r="I343">
        <v>6</v>
      </c>
      <c r="J343">
        <v>448140.45899999997</v>
      </c>
      <c r="K343" s="92">
        <f t="shared" ref="K343" si="80">J343/1000</f>
        <v>448.14045899999996</v>
      </c>
      <c r="L343" s="91"/>
    </row>
    <row r="344" spans="1:12">
      <c r="A344" t="s">
        <v>508</v>
      </c>
      <c r="B344" t="s">
        <v>519</v>
      </c>
      <c r="C344">
        <v>730890</v>
      </c>
      <c r="D344" t="s">
        <v>482</v>
      </c>
      <c r="E344" t="s">
        <v>516</v>
      </c>
      <c r="F344" t="s">
        <v>517</v>
      </c>
      <c r="G344">
        <v>2015</v>
      </c>
      <c r="H344" t="s">
        <v>515</v>
      </c>
      <c r="I344">
        <v>6</v>
      </c>
      <c r="J344">
        <v>289077.37800000003</v>
      </c>
      <c r="K344" s="92">
        <f t="shared" ref="K344" si="81">J344/1000</f>
        <v>289.07737800000001</v>
      </c>
      <c r="L344" s="91"/>
    </row>
    <row r="345" spans="1:12">
      <c r="A345" t="s">
        <v>508</v>
      </c>
      <c r="B345" t="s">
        <v>519</v>
      </c>
      <c r="C345">
        <v>730890</v>
      </c>
      <c r="D345" t="s">
        <v>482</v>
      </c>
      <c r="E345" t="s">
        <v>516</v>
      </c>
      <c r="F345" t="s">
        <v>517</v>
      </c>
      <c r="G345">
        <v>2016</v>
      </c>
      <c r="H345" t="s">
        <v>515</v>
      </c>
      <c r="I345">
        <v>6</v>
      </c>
      <c r="J345">
        <v>260379.05900000001</v>
      </c>
      <c r="K345" s="92">
        <f t="shared" ref="K345" si="82">J345/1000</f>
        <v>260.37905899999998</v>
      </c>
      <c r="L345" s="91"/>
    </row>
    <row r="346" spans="1:12">
      <c r="A346" t="s">
        <v>508</v>
      </c>
      <c r="B346" t="s">
        <v>519</v>
      </c>
      <c r="C346">
        <v>730890</v>
      </c>
      <c r="D346" t="s">
        <v>482</v>
      </c>
      <c r="E346" t="s">
        <v>516</v>
      </c>
      <c r="F346" t="s">
        <v>517</v>
      </c>
      <c r="G346">
        <v>2017</v>
      </c>
      <c r="H346" t="s">
        <v>515</v>
      </c>
      <c r="I346">
        <v>6</v>
      </c>
      <c r="J346">
        <v>375961.62099999998</v>
      </c>
      <c r="K346" s="92">
        <f t="shared" ref="K346" si="83">J346/1000</f>
        <v>375.96162099999998</v>
      </c>
      <c r="L346" s="91"/>
    </row>
    <row r="347" spans="1:12">
      <c r="A347" t="s">
        <v>508</v>
      </c>
      <c r="B347" t="s">
        <v>519</v>
      </c>
      <c r="C347">
        <v>841280</v>
      </c>
      <c r="D347" t="s">
        <v>482</v>
      </c>
      <c r="E347" t="s">
        <v>516</v>
      </c>
      <c r="F347" t="s">
        <v>517</v>
      </c>
      <c r="G347">
        <v>2015</v>
      </c>
      <c r="H347" t="s">
        <v>515</v>
      </c>
      <c r="I347">
        <v>6</v>
      </c>
      <c r="J347">
        <v>8399.2900000000009</v>
      </c>
      <c r="K347" s="92">
        <f t="shared" ref="K347" si="84">J347/1000</f>
        <v>8.3992900000000006</v>
      </c>
      <c r="L347" s="91"/>
    </row>
    <row r="348" spans="1:12">
      <c r="A348" t="s">
        <v>508</v>
      </c>
      <c r="B348" t="s">
        <v>519</v>
      </c>
      <c r="C348">
        <v>841280</v>
      </c>
      <c r="D348" t="s">
        <v>482</v>
      </c>
      <c r="E348" t="s">
        <v>516</v>
      </c>
      <c r="F348" t="s">
        <v>517</v>
      </c>
      <c r="G348">
        <v>2016</v>
      </c>
      <c r="H348" t="s">
        <v>515</v>
      </c>
      <c r="I348">
        <v>6</v>
      </c>
      <c r="J348">
        <v>3323.4050000000002</v>
      </c>
      <c r="K348" s="92">
        <f t="shared" ref="K348" si="85">J348/1000</f>
        <v>3.3234050000000002</v>
      </c>
      <c r="L348" s="91"/>
    </row>
    <row r="349" spans="1:12">
      <c r="A349" t="s">
        <v>508</v>
      </c>
      <c r="B349" t="s">
        <v>519</v>
      </c>
      <c r="C349">
        <v>841280</v>
      </c>
      <c r="D349" t="s">
        <v>482</v>
      </c>
      <c r="E349" t="s">
        <v>516</v>
      </c>
      <c r="F349" t="s">
        <v>517</v>
      </c>
      <c r="G349">
        <v>2017</v>
      </c>
      <c r="H349" t="s">
        <v>515</v>
      </c>
      <c r="I349">
        <v>6</v>
      </c>
      <c r="J349">
        <v>24.847000000000001</v>
      </c>
      <c r="K349" s="92">
        <f t="shared" ref="K349" si="86">J349/1000</f>
        <v>2.4847000000000001E-2</v>
      </c>
      <c r="L349" s="91"/>
    </row>
    <row r="350" spans="1:12">
      <c r="A350" t="s">
        <v>508</v>
      </c>
      <c r="B350" t="s">
        <v>519</v>
      </c>
      <c r="C350">
        <v>841290</v>
      </c>
      <c r="D350" t="s">
        <v>482</v>
      </c>
      <c r="E350" t="s">
        <v>516</v>
      </c>
      <c r="F350" t="s">
        <v>517</v>
      </c>
      <c r="G350">
        <v>2015</v>
      </c>
      <c r="H350" t="s">
        <v>515</v>
      </c>
      <c r="I350">
        <v>6</v>
      </c>
      <c r="J350">
        <v>573147.32900000003</v>
      </c>
      <c r="K350" s="92">
        <f t="shared" ref="K350" si="87">J350/1000</f>
        <v>573.14732900000001</v>
      </c>
      <c r="L350" s="91"/>
    </row>
    <row r="351" spans="1:12">
      <c r="A351" t="s">
        <v>508</v>
      </c>
      <c r="B351" t="s">
        <v>519</v>
      </c>
      <c r="C351">
        <v>841290</v>
      </c>
      <c r="D351" t="s">
        <v>482</v>
      </c>
      <c r="E351" t="s">
        <v>516</v>
      </c>
      <c r="F351" t="s">
        <v>517</v>
      </c>
      <c r="G351">
        <v>2016</v>
      </c>
      <c r="H351" t="s">
        <v>515</v>
      </c>
      <c r="I351">
        <v>6</v>
      </c>
      <c r="J351">
        <v>570727.86</v>
      </c>
      <c r="K351" s="92">
        <f t="shared" ref="K351" si="88">J351/1000</f>
        <v>570.72785999999996</v>
      </c>
      <c r="L351" s="91"/>
    </row>
    <row r="352" spans="1:12">
      <c r="A352" t="s">
        <v>508</v>
      </c>
      <c r="B352" t="s">
        <v>519</v>
      </c>
      <c r="C352">
        <v>841290</v>
      </c>
      <c r="D352" t="s">
        <v>482</v>
      </c>
      <c r="E352" t="s">
        <v>516</v>
      </c>
      <c r="F352" t="s">
        <v>517</v>
      </c>
      <c r="G352">
        <v>2017</v>
      </c>
      <c r="H352" t="s">
        <v>515</v>
      </c>
      <c r="I352">
        <v>6</v>
      </c>
      <c r="J352">
        <v>1100167.4550000001</v>
      </c>
      <c r="K352" s="92">
        <f t="shared" ref="K352" si="89">J352/1000</f>
        <v>1100.167455</v>
      </c>
      <c r="L352" s="91"/>
    </row>
    <row r="353" spans="1:12">
      <c r="A353" t="s">
        <v>508</v>
      </c>
      <c r="B353" t="s">
        <v>519</v>
      </c>
      <c r="C353">
        <v>8482</v>
      </c>
      <c r="D353" t="s">
        <v>482</v>
      </c>
      <c r="E353" t="s">
        <v>516</v>
      </c>
      <c r="F353" t="s">
        <v>517</v>
      </c>
      <c r="G353">
        <v>2015</v>
      </c>
      <c r="H353" t="s">
        <v>515</v>
      </c>
      <c r="I353">
        <v>6</v>
      </c>
      <c r="J353">
        <v>18163.239000000001</v>
      </c>
      <c r="K353" s="92">
        <f t="shared" ref="K353" si="90">J353/1000</f>
        <v>18.163239000000001</v>
      </c>
      <c r="L353" s="91"/>
    </row>
    <row r="354" spans="1:12">
      <c r="A354" t="s">
        <v>508</v>
      </c>
      <c r="B354" t="s">
        <v>519</v>
      </c>
      <c r="C354">
        <v>8482</v>
      </c>
      <c r="D354" t="s">
        <v>482</v>
      </c>
      <c r="E354" t="s">
        <v>516</v>
      </c>
      <c r="F354" t="s">
        <v>517</v>
      </c>
      <c r="G354">
        <v>2016</v>
      </c>
      <c r="H354" t="s">
        <v>515</v>
      </c>
      <c r="I354">
        <v>6</v>
      </c>
      <c r="J354">
        <v>17069.324000000001</v>
      </c>
      <c r="K354" s="92">
        <f t="shared" ref="K354" si="91">J354/1000</f>
        <v>17.069324000000002</v>
      </c>
      <c r="L354" s="91"/>
    </row>
    <row r="355" spans="1:12">
      <c r="A355" t="s">
        <v>508</v>
      </c>
      <c r="B355" t="s">
        <v>519</v>
      </c>
      <c r="C355">
        <v>8482</v>
      </c>
      <c r="D355" t="s">
        <v>482</v>
      </c>
      <c r="E355" t="s">
        <v>516</v>
      </c>
      <c r="F355" t="s">
        <v>517</v>
      </c>
      <c r="G355">
        <v>2017</v>
      </c>
      <c r="H355" t="s">
        <v>515</v>
      </c>
      <c r="I355">
        <v>6</v>
      </c>
      <c r="J355">
        <v>18963.79</v>
      </c>
      <c r="K355" s="92">
        <f t="shared" ref="K355" si="92">J355/1000</f>
        <v>18.963789999999999</v>
      </c>
      <c r="L355" s="91"/>
    </row>
    <row r="356" spans="1:12">
      <c r="A356" t="s">
        <v>508</v>
      </c>
      <c r="B356" t="s">
        <v>519</v>
      </c>
      <c r="C356">
        <v>850231</v>
      </c>
      <c r="D356" t="s">
        <v>482</v>
      </c>
      <c r="E356" t="s">
        <v>516</v>
      </c>
      <c r="F356" t="s">
        <v>517</v>
      </c>
      <c r="G356">
        <v>2015</v>
      </c>
      <c r="H356" t="s">
        <v>515</v>
      </c>
      <c r="I356">
        <v>6</v>
      </c>
      <c r="J356">
        <v>2919199.0460000001</v>
      </c>
      <c r="K356" s="92">
        <f t="shared" ref="K356" si="93">J356/1000</f>
        <v>2919.1990460000002</v>
      </c>
      <c r="L356" s="91"/>
    </row>
    <row r="357" spans="1:12">
      <c r="A357" t="s">
        <v>508</v>
      </c>
      <c r="B357" t="s">
        <v>519</v>
      </c>
      <c r="C357">
        <v>850231</v>
      </c>
      <c r="D357" t="s">
        <v>482</v>
      </c>
      <c r="E357" t="s">
        <v>516</v>
      </c>
      <c r="F357" t="s">
        <v>517</v>
      </c>
      <c r="G357">
        <v>2016</v>
      </c>
      <c r="H357" t="s">
        <v>515</v>
      </c>
      <c r="I357">
        <v>6</v>
      </c>
      <c r="J357">
        <v>2702449.8620000002</v>
      </c>
      <c r="K357" s="92">
        <f t="shared" ref="K357" si="94">J357/1000</f>
        <v>2702.4498620000004</v>
      </c>
      <c r="L357" s="91"/>
    </row>
    <row r="358" spans="1:12">
      <c r="A358" t="s">
        <v>508</v>
      </c>
      <c r="B358" t="s">
        <v>519</v>
      </c>
      <c r="C358">
        <v>850231</v>
      </c>
      <c r="D358" t="s">
        <v>482</v>
      </c>
      <c r="E358" t="s">
        <v>516</v>
      </c>
      <c r="F358" t="s">
        <v>517</v>
      </c>
      <c r="G358">
        <v>2017</v>
      </c>
      <c r="H358" t="s">
        <v>515</v>
      </c>
      <c r="I358">
        <v>6</v>
      </c>
      <c r="J358">
        <v>1487051.848</v>
      </c>
      <c r="K358" s="92">
        <f t="shared" ref="K358" si="95">J358/1000</f>
        <v>1487.0518480000001</v>
      </c>
      <c r="L358" s="91"/>
    </row>
    <row r="359" spans="1:12">
      <c r="A359" t="s">
        <v>508</v>
      </c>
      <c r="B359" t="s">
        <v>519</v>
      </c>
      <c r="C359">
        <v>850300</v>
      </c>
      <c r="D359" t="s">
        <v>482</v>
      </c>
      <c r="E359" t="s">
        <v>516</v>
      </c>
      <c r="F359" t="s">
        <v>517</v>
      </c>
      <c r="G359">
        <v>2015</v>
      </c>
      <c r="H359" t="s">
        <v>515</v>
      </c>
      <c r="I359">
        <v>6</v>
      </c>
      <c r="J359">
        <v>98637.058999999994</v>
      </c>
      <c r="K359" s="92">
        <f t="shared" ref="K359" si="96">J359/1000</f>
        <v>98.637058999999994</v>
      </c>
      <c r="L359" s="91"/>
    </row>
    <row r="360" spans="1:12">
      <c r="A360" t="s">
        <v>508</v>
      </c>
      <c r="B360" t="s">
        <v>519</v>
      </c>
      <c r="C360">
        <v>850300</v>
      </c>
      <c r="D360" t="s">
        <v>482</v>
      </c>
      <c r="E360" t="s">
        <v>516</v>
      </c>
      <c r="F360" t="s">
        <v>517</v>
      </c>
      <c r="G360">
        <v>2016</v>
      </c>
      <c r="H360" t="s">
        <v>515</v>
      </c>
      <c r="I360">
        <v>6</v>
      </c>
      <c r="J360">
        <v>105463.117</v>
      </c>
      <c r="K360" s="92">
        <f t="shared" ref="K360" si="97">J360/1000</f>
        <v>105.463117</v>
      </c>
      <c r="L360" s="91"/>
    </row>
    <row r="361" spans="1:12">
      <c r="A361" t="s">
        <v>508</v>
      </c>
      <c r="B361" t="s">
        <v>519</v>
      </c>
      <c r="C361">
        <v>850300</v>
      </c>
      <c r="D361" t="s">
        <v>482</v>
      </c>
      <c r="E361" t="s">
        <v>516</v>
      </c>
      <c r="F361" t="s">
        <v>517</v>
      </c>
      <c r="G361">
        <v>2017</v>
      </c>
      <c r="H361" t="s">
        <v>515</v>
      </c>
      <c r="I361">
        <v>6</v>
      </c>
      <c r="J361">
        <v>115609.96400000001</v>
      </c>
      <c r="K361" s="92">
        <f t="shared" ref="K361" si="98">J361/1000</f>
        <v>115.60996400000001</v>
      </c>
      <c r="L361" s="91"/>
    </row>
    <row r="362" spans="1:12">
      <c r="A362" t="s">
        <v>508</v>
      </c>
      <c r="B362" t="s">
        <v>519</v>
      </c>
      <c r="C362">
        <v>8504</v>
      </c>
      <c r="D362" t="s">
        <v>482</v>
      </c>
      <c r="E362" t="s">
        <v>516</v>
      </c>
      <c r="F362" t="s">
        <v>517</v>
      </c>
      <c r="G362">
        <v>2015</v>
      </c>
      <c r="H362" t="s">
        <v>515</v>
      </c>
      <c r="I362">
        <v>6</v>
      </c>
      <c r="J362">
        <v>405056.30599999998</v>
      </c>
      <c r="K362" s="92">
        <f t="shared" ref="K362" si="99">J362/1000</f>
        <v>405.05630600000001</v>
      </c>
      <c r="L362" s="91"/>
    </row>
    <row r="363" spans="1:12">
      <c r="A363" t="s">
        <v>508</v>
      </c>
      <c r="B363" t="s">
        <v>519</v>
      </c>
      <c r="C363">
        <v>8504</v>
      </c>
      <c r="D363" t="s">
        <v>482</v>
      </c>
      <c r="E363" t="s">
        <v>516</v>
      </c>
      <c r="F363" t="s">
        <v>517</v>
      </c>
      <c r="G363">
        <v>2016</v>
      </c>
      <c r="H363" t="s">
        <v>515</v>
      </c>
      <c r="I363">
        <v>6</v>
      </c>
      <c r="J363">
        <v>667241.73600000003</v>
      </c>
      <c r="K363" s="92">
        <f t="shared" ref="K363" si="100">J363/1000</f>
        <v>667.24173600000006</v>
      </c>
      <c r="L363" s="91"/>
    </row>
    <row r="364" spans="1:12">
      <c r="A364" t="s">
        <v>508</v>
      </c>
      <c r="B364" t="s">
        <v>519</v>
      </c>
      <c r="C364">
        <v>8504</v>
      </c>
      <c r="D364" t="s">
        <v>482</v>
      </c>
      <c r="E364" t="s">
        <v>516</v>
      </c>
      <c r="F364" t="s">
        <v>517</v>
      </c>
      <c r="G364">
        <v>2017</v>
      </c>
      <c r="H364" t="s">
        <v>515</v>
      </c>
      <c r="I364">
        <v>6</v>
      </c>
      <c r="J364">
        <v>511663.61900000001</v>
      </c>
      <c r="K364" s="92">
        <f t="shared" ref="K364" si="101">J364/1000</f>
        <v>511.66361899999998</v>
      </c>
      <c r="L364" s="91"/>
    </row>
    <row r="365" spans="1:12">
      <c r="A365" t="s">
        <v>508</v>
      </c>
      <c r="B365" t="s">
        <v>519</v>
      </c>
      <c r="C365">
        <v>853720</v>
      </c>
      <c r="D365" t="s">
        <v>482</v>
      </c>
      <c r="E365" t="s">
        <v>516</v>
      </c>
      <c r="F365" t="s">
        <v>517</v>
      </c>
      <c r="G365">
        <v>2015</v>
      </c>
      <c r="H365" t="s">
        <v>515</v>
      </c>
      <c r="I365">
        <v>6</v>
      </c>
      <c r="J365">
        <v>4630.0990000000002</v>
      </c>
      <c r="K365" s="92">
        <f t="shared" ref="K365" si="102">J365/1000</f>
        <v>4.6300990000000004</v>
      </c>
      <c r="L365" s="91"/>
    </row>
    <row r="366" spans="1:12">
      <c r="A366" t="s">
        <v>508</v>
      </c>
      <c r="B366" t="s">
        <v>519</v>
      </c>
      <c r="C366">
        <v>853720</v>
      </c>
      <c r="D366" t="s">
        <v>482</v>
      </c>
      <c r="E366" t="s">
        <v>516</v>
      </c>
      <c r="F366" t="s">
        <v>517</v>
      </c>
      <c r="G366">
        <v>2016</v>
      </c>
      <c r="H366" t="s">
        <v>515</v>
      </c>
      <c r="I366">
        <v>6</v>
      </c>
      <c r="J366">
        <v>9265.0470000000005</v>
      </c>
      <c r="K366" s="92">
        <f t="shared" ref="K366" si="103">J366/1000</f>
        <v>9.2650470000000009</v>
      </c>
      <c r="L366" s="91"/>
    </row>
    <row r="367" spans="1:12">
      <c r="A367" t="s">
        <v>508</v>
      </c>
      <c r="B367" t="s">
        <v>519</v>
      </c>
      <c r="C367">
        <v>853720</v>
      </c>
      <c r="D367" t="s">
        <v>482</v>
      </c>
      <c r="E367" t="s">
        <v>516</v>
      </c>
      <c r="F367" t="s">
        <v>517</v>
      </c>
      <c r="G367">
        <v>2017</v>
      </c>
      <c r="H367" t="s">
        <v>515</v>
      </c>
      <c r="I367">
        <v>6</v>
      </c>
      <c r="J367">
        <v>45120.582999999999</v>
      </c>
      <c r="K367" s="92">
        <f t="shared" ref="K367" si="104">J367/1000</f>
        <v>45.120582999999996</v>
      </c>
      <c r="L367" s="91"/>
    </row>
    <row r="368" spans="1:12">
      <c r="A368" t="s">
        <v>508</v>
      </c>
      <c r="B368" t="s">
        <v>519</v>
      </c>
      <c r="C368">
        <v>854460</v>
      </c>
      <c r="D368" t="s">
        <v>482</v>
      </c>
      <c r="E368" t="s">
        <v>516</v>
      </c>
      <c r="F368" t="s">
        <v>517</v>
      </c>
      <c r="G368">
        <v>2015</v>
      </c>
      <c r="H368" t="s">
        <v>515</v>
      </c>
      <c r="I368">
        <v>6</v>
      </c>
      <c r="J368">
        <v>22245.331999999999</v>
      </c>
      <c r="K368" s="92">
        <f t="shared" ref="K368" si="105">J368/1000</f>
        <v>22.245331999999998</v>
      </c>
      <c r="L368" s="91"/>
    </row>
    <row r="369" spans="1:12">
      <c r="A369" t="s">
        <v>508</v>
      </c>
      <c r="B369" t="s">
        <v>519</v>
      </c>
      <c r="C369">
        <v>854460</v>
      </c>
      <c r="D369" t="s">
        <v>482</v>
      </c>
      <c r="E369" t="s">
        <v>516</v>
      </c>
      <c r="F369" t="s">
        <v>517</v>
      </c>
      <c r="G369">
        <v>2016</v>
      </c>
      <c r="H369" t="s">
        <v>515</v>
      </c>
      <c r="I369">
        <v>6</v>
      </c>
      <c r="J369">
        <v>18314.446</v>
      </c>
      <c r="K369" s="92">
        <f t="shared" ref="K369" si="106">J369/1000</f>
        <v>18.314446</v>
      </c>
      <c r="L369" s="91"/>
    </row>
    <row r="370" spans="1:12">
      <c r="A370" t="s">
        <v>508</v>
      </c>
      <c r="B370" t="s">
        <v>519</v>
      </c>
      <c r="C370">
        <v>854460</v>
      </c>
      <c r="D370" t="s">
        <v>482</v>
      </c>
      <c r="E370" t="s">
        <v>516</v>
      </c>
      <c r="F370" t="s">
        <v>517</v>
      </c>
      <c r="G370">
        <v>2017</v>
      </c>
      <c r="H370" t="s">
        <v>515</v>
      </c>
      <c r="I370">
        <v>6</v>
      </c>
      <c r="J370">
        <v>31962.815999999999</v>
      </c>
      <c r="K370" s="92">
        <f t="shared" ref="K370" si="107">J370/1000</f>
        <v>31.962816</v>
      </c>
      <c r="L370" s="91"/>
    </row>
    <row r="371" spans="1:12">
      <c r="K371" s="92"/>
      <c r="L371" s="91"/>
    </row>
    <row r="372" spans="1:12">
      <c r="A372" t="s">
        <v>508</v>
      </c>
      <c r="B372" t="s">
        <v>516</v>
      </c>
      <c r="C372">
        <v>730820</v>
      </c>
      <c r="D372" t="s">
        <v>517</v>
      </c>
      <c r="E372" t="s">
        <v>516</v>
      </c>
      <c r="F372" t="s">
        <v>517</v>
      </c>
      <c r="G372">
        <v>2015</v>
      </c>
      <c r="H372" t="s">
        <v>515</v>
      </c>
      <c r="I372">
        <v>6</v>
      </c>
      <c r="J372">
        <v>874302.47499999998</v>
      </c>
      <c r="K372" s="92">
        <f t="shared" ref="K372" si="108">J372/1000</f>
        <v>874.30247499999996</v>
      </c>
      <c r="L372" s="91"/>
    </row>
    <row r="373" spans="1:12">
      <c r="A373" t="s">
        <v>508</v>
      </c>
      <c r="B373" t="s">
        <v>516</v>
      </c>
      <c r="C373">
        <v>730820</v>
      </c>
      <c r="D373" t="s">
        <v>517</v>
      </c>
      <c r="E373" t="s">
        <v>516</v>
      </c>
      <c r="F373" t="s">
        <v>517</v>
      </c>
      <c r="G373">
        <v>2016</v>
      </c>
      <c r="H373" t="s">
        <v>515</v>
      </c>
      <c r="I373">
        <v>6</v>
      </c>
      <c r="J373">
        <v>1097571.341</v>
      </c>
      <c r="K373" s="92">
        <f t="shared" ref="K373" si="109">J373/1000</f>
        <v>1097.5713410000001</v>
      </c>
      <c r="L373" s="91"/>
    </row>
    <row r="374" spans="1:12">
      <c r="A374" t="s">
        <v>508</v>
      </c>
      <c r="B374" t="s">
        <v>516</v>
      </c>
      <c r="C374">
        <v>730820</v>
      </c>
      <c r="D374" t="s">
        <v>517</v>
      </c>
      <c r="E374" t="s">
        <v>516</v>
      </c>
      <c r="F374" t="s">
        <v>517</v>
      </c>
      <c r="G374">
        <v>2017</v>
      </c>
      <c r="H374" t="s">
        <v>515</v>
      </c>
      <c r="I374">
        <v>6</v>
      </c>
      <c r="J374">
        <v>972626.03300000005</v>
      </c>
      <c r="K374" s="92">
        <f t="shared" ref="K374" si="110">J374/1000</f>
        <v>972.62603300000001</v>
      </c>
      <c r="L374" s="91"/>
    </row>
    <row r="375" spans="1:12">
      <c r="A375" t="s">
        <v>508</v>
      </c>
      <c r="B375" t="s">
        <v>516</v>
      </c>
      <c r="C375">
        <v>730890</v>
      </c>
      <c r="D375" t="s">
        <v>517</v>
      </c>
      <c r="E375" t="s">
        <v>516</v>
      </c>
      <c r="F375" t="s">
        <v>517</v>
      </c>
      <c r="G375">
        <v>2015</v>
      </c>
      <c r="H375" t="s">
        <v>515</v>
      </c>
      <c r="I375">
        <v>6</v>
      </c>
      <c r="J375">
        <v>8831607.9670000002</v>
      </c>
      <c r="K375" s="92">
        <f t="shared" ref="K375" si="111">J375/1000</f>
        <v>8831.6079669999999</v>
      </c>
      <c r="L375" s="91"/>
    </row>
    <row r="376" spans="1:12">
      <c r="A376" t="s">
        <v>508</v>
      </c>
      <c r="B376" t="s">
        <v>516</v>
      </c>
      <c r="C376">
        <v>730890</v>
      </c>
      <c r="D376" t="s">
        <v>517</v>
      </c>
      <c r="E376" t="s">
        <v>516</v>
      </c>
      <c r="F376" t="s">
        <v>517</v>
      </c>
      <c r="G376">
        <v>2016</v>
      </c>
      <c r="H376" t="s">
        <v>515</v>
      </c>
      <c r="I376">
        <v>6</v>
      </c>
      <c r="J376">
        <v>9291795.7609999999</v>
      </c>
      <c r="K376" s="92">
        <f t="shared" ref="K376" si="112">J376/1000</f>
        <v>9291.7957609999994</v>
      </c>
      <c r="L376" s="91"/>
    </row>
    <row r="377" spans="1:12">
      <c r="A377" t="s">
        <v>508</v>
      </c>
      <c r="B377" t="s">
        <v>516</v>
      </c>
      <c r="C377">
        <v>730890</v>
      </c>
      <c r="D377" t="s">
        <v>517</v>
      </c>
      <c r="E377" t="s">
        <v>516</v>
      </c>
      <c r="F377" t="s">
        <v>517</v>
      </c>
      <c r="G377">
        <v>2017</v>
      </c>
      <c r="H377" t="s">
        <v>515</v>
      </c>
      <c r="I377">
        <v>6</v>
      </c>
      <c r="J377">
        <v>10796711.639</v>
      </c>
      <c r="K377" s="92">
        <f t="shared" ref="K377" si="113">J377/1000</f>
        <v>10796.711639000001</v>
      </c>
      <c r="L377" s="91"/>
    </row>
    <row r="378" spans="1:12">
      <c r="A378" t="s">
        <v>508</v>
      </c>
      <c r="B378" t="s">
        <v>516</v>
      </c>
      <c r="C378">
        <v>841280</v>
      </c>
      <c r="D378" t="s">
        <v>517</v>
      </c>
      <c r="E378" t="s">
        <v>516</v>
      </c>
      <c r="F378" t="s">
        <v>517</v>
      </c>
      <c r="G378">
        <v>2015</v>
      </c>
      <c r="H378" t="s">
        <v>515</v>
      </c>
      <c r="I378">
        <v>6</v>
      </c>
      <c r="J378">
        <v>97348.225999999995</v>
      </c>
      <c r="K378" s="92">
        <f t="shared" ref="K378" si="114">J378/1000</f>
        <v>97.348225999999997</v>
      </c>
      <c r="L378" s="91"/>
    </row>
    <row r="379" spans="1:12" ht="16" customHeight="1">
      <c r="A379" t="s">
        <v>508</v>
      </c>
      <c r="B379" t="s">
        <v>516</v>
      </c>
      <c r="C379">
        <v>841280</v>
      </c>
      <c r="D379" t="s">
        <v>517</v>
      </c>
      <c r="E379" t="s">
        <v>516</v>
      </c>
      <c r="F379" t="s">
        <v>517</v>
      </c>
      <c r="G379">
        <v>2016</v>
      </c>
      <c r="H379" t="s">
        <v>515</v>
      </c>
      <c r="I379">
        <v>6</v>
      </c>
      <c r="J379">
        <v>100656.891</v>
      </c>
      <c r="K379" s="92">
        <f t="shared" ref="K379" si="115">J379/1000</f>
        <v>100.656891</v>
      </c>
      <c r="L379" s="91"/>
    </row>
    <row r="380" spans="1:12">
      <c r="A380" t="s">
        <v>508</v>
      </c>
      <c r="B380" t="s">
        <v>516</v>
      </c>
      <c r="C380">
        <v>841280</v>
      </c>
      <c r="D380" t="s">
        <v>517</v>
      </c>
      <c r="E380" t="s">
        <v>516</v>
      </c>
      <c r="F380" t="s">
        <v>517</v>
      </c>
      <c r="G380">
        <v>2017</v>
      </c>
      <c r="H380" t="s">
        <v>515</v>
      </c>
      <c r="I380">
        <v>6</v>
      </c>
      <c r="J380">
        <v>141199.47200000001</v>
      </c>
      <c r="K380" s="92">
        <f t="shared" ref="K380" si="116">J380/1000</f>
        <v>141.19947200000001</v>
      </c>
      <c r="L380" s="91"/>
    </row>
    <row r="381" spans="1:12">
      <c r="A381" t="s">
        <v>508</v>
      </c>
      <c r="B381" t="s">
        <v>516</v>
      </c>
      <c r="C381">
        <v>841290</v>
      </c>
      <c r="D381" t="s">
        <v>517</v>
      </c>
      <c r="E381" t="s">
        <v>516</v>
      </c>
      <c r="F381" t="s">
        <v>517</v>
      </c>
      <c r="G381">
        <v>2015</v>
      </c>
      <c r="H381" t="s">
        <v>515</v>
      </c>
      <c r="I381">
        <v>6</v>
      </c>
      <c r="J381">
        <v>1919807.0649999999</v>
      </c>
      <c r="K381" s="92">
        <f t="shared" ref="K381" si="117">J381/1000</f>
        <v>1919.807065</v>
      </c>
      <c r="L381" s="91"/>
    </row>
    <row r="382" spans="1:12">
      <c r="A382" t="s">
        <v>508</v>
      </c>
      <c r="B382" t="s">
        <v>516</v>
      </c>
      <c r="C382">
        <v>841290</v>
      </c>
      <c r="D382" t="s">
        <v>517</v>
      </c>
      <c r="E382" t="s">
        <v>516</v>
      </c>
      <c r="F382" t="s">
        <v>517</v>
      </c>
      <c r="G382">
        <v>2016</v>
      </c>
      <c r="H382" t="s">
        <v>515</v>
      </c>
      <c r="I382">
        <v>6</v>
      </c>
      <c r="J382">
        <v>1953294.1769999999</v>
      </c>
      <c r="K382" s="92">
        <f t="shared" ref="K382" si="118">J382/1000</f>
        <v>1953.294177</v>
      </c>
      <c r="L382" s="91"/>
    </row>
    <row r="383" spans="1:12">
      <c r="A383" t="s">
        <v>508</v>
      </c>
      <c r="B383" t="s">
        <v>516</v>
      </c>
      <c r="C383">
        <v>841290</v>
      </c>
      <c r="D383" t="s">
        <v>517</v>
      </c>
      <c r="E383" t="s">
        <v>516</v>
      </c>
      <c r="F383" t="s">
        <v>517</v>
      </c>
      <c r="G383">
        <v>2017</v>
      </c>
      <c r="H383" t="s">
        <v>515</v>
      </c>
      <c r="I383">
        <v>6</v>
      </c>
      <c r="J383">
        <v>2448846.4810000001</v>
      </c>
      <c r="K383" s="92">
        <f t="shared" ref="K383" si="119">J383/1000</f>
        <v>2448.846481</v>
      </c>
      <c r="L383" s="91"/>
    </row>
    <row r="384" spans="1:12">
      <c r="A384" t="s">
        <v>508</v>
      </c>
      <c r="B384" t="s">
        <v>516</v>
      </c>
      <c r="C384">
        <v>8482</v>
      </c>
      <c r="D384" t="s">
        <v>517</v>
      </c>
      <c r="E384" t="s">
        <v>516</v>
      </c>
      <c r="F384" t="s">
        <v>517</v>
      </c>
      <c r="G384">
        <v>2015</v>
      </c>
      <c r="H384" t="s">
        <v>515</v>
      </c>
      <c r="I384">
        <v>6</v>
      </c>
      <c r="J384">
        <v>9089429.7709999997</v>
      </c>
      <c r="K384" s="92">
        <f t="shared" ref="K384" si="120">J384/1000</f>
        <v>9089.4297709999992</v>
      </c>
      <c r="L384" s="91"/>
    </row>
    <row r="385" spans="1:12">
      <c r="A385" t="s">
        <v>508</v>
      </c>
      <c r="B385" t="s">
        <v>516</v>
      </c>
      <c r="C385">
        <v>8482</v>
      </c>
      <c r="D385" t="s">
        <v>517</v>
      </c>
      <c r="E385" t="s">
        <v>516</v>
      </c>
      <c r="F385" t="s">
        <v>517</v>
      </c>
      <c r="G385">
        <v>2016</v>
      </c>
      <c r="H385" t="s">
        <v>515</v>
      </c>
      <c r="I385">
        <v>6</v>
      </c>
      <c r="J385">
        <v>8907291.4169999994</v>
      </c>
      <c r="K385" s="92">
        <f t="shared" ref="K385" si="121">J385/1000</f>
        <v>8907.2914169999985</v>
      </c>
      <c r="L385" s="91"/>
    </row>
    <row r="386" spans="1:12">
      <c r="A386" t="s">
        <v>508</v>
      </c>
      <c r="B386" t="s">
        <v>516</v>
      </c>
      <c r="C386">
        <v>8482</v>
      </c>
      <c r="D386" t="s">
        <v>517</v>
      </c>
      <c r="E386" t="s">
        <v>516</v>
      </c>
      <c r="F386" t="s">
        <v>517</v>
      </c>
      <c r="G386">
        <v>2017</v>
      </c>
      <c r="H386" t="s">
        <v>515</v>
      </c>
      <c r="I386">
        <v>6</v>
      </c>
      <c r="J386">
        <v>9808472.4079999998</v>
      </c>
      <c r="K386" s="92">
        <f t="shared" ref="K386" si="122">J386/1000</f>
        <v>9808.4724079999996</v>
      </c>
      <c r="L386" s="91"/>
    </row>
    <row r="387" spans="1:12">
      <c r="A387" t="s">
        <v>508</v>
      </c>
      <c r="B387" t="s">
        <v>516</v>
      </c>
      <c r="C387">
        <v>850231</v>
      </c>
      <c r="D387" t="s">
        <v>517</v>
      </c>
      <c r="E387" t="s">
        <v>516</v>
      </c>
      <c r="F387" t="s">
        <v>517</v>
      </c>
      <c r="G387">
        <v>2015</v>
      </c>
      <c r="H387" t="s">
        <v>515</v>
      </c>
      <c r="I387">
        <v>6</v>
      </c>
      <c r="J387">
        <v>5344387.2630000003</v>
      </c>
      <c r="K387" s="92">
        <f t="shared" ref="K387" si="123">J387/1000</f>
        <v>5344.3872630000005</v>
      </c>
      <c r="L387" s="91"/>
    </row>
    <row r="388" spans="1:12">
      <c r="A388" t="s">
        <v>508</v>
      </c>
      <c r="B388" t="s">
        <v>516</v>
      </c>
      <c r="C388">
        <v>850231</v>
      </c>
      <c r="D388" t="s">
        <v>517</v>
      </c>
      <c r="E388" t="s">
        <v>516</v>
      </c>
      <c r="F388" t="s">
        <v>517</v>
      </c>
      <c r="G388">
        <v>2016</v>
      </c>
      <c r="H388" t="s">
        <v>515</v>
      </c>
      <c r="I388">
        <v>6</v>
      </c>
      <c r="J388">
        <v>4656914.6639999999</v>
      </c>
      <c r="K388" s="92">
        <f t="shared" ref="K388" si="124">J388/1000</f>
        <v>4656.9146639999999</v>
      </c>
      <c r="L388" s="91"/>
    </row>
    <row r="389" spans="1:12">
      <c r="A389" t="s">
        <v>508</v>
      </c>
      <c r="B389" t="s">
        <v>516</v>
      </c>
      <c r="C389">
        <v>850231</v>
      </c>
      <c r="D389" t="s">
        <v>517</v>
      </c>
      <c r="E389" t="s">
        <v>516</v>
      </c>
      <c r="F389" t="s">
        <v>517</v>
      </c>
      <c r="G389">
        <v>2017</v>
      </c>
      <c r="H389" t="s">
        <v>515</v>
      </c>
      <c r="I389">
        <v>6</v>
      </c>
      <c r="J389">
        <v>2704044.4479999999</v>
      </c>
      <c r="K389" s="92">
        <f t="shared" ref="K389" si="125">J389/1000</f>
        <v>2704.0444479999996</v>
      </c>
      <c r="L389" s="91"/>
    </row>
    <row r="390" spans="1:12">
      <c r="A390" t="s">
        <v>508</v>
      </c>
      <c r="B390" t="s">
        <v>516</v>
      </c>
      <c r="C390">
        <v>850300</v>
      </c>
      <c r="D390" t="s">
        <v>517</v>
      </c>
      <c r="E390" t="s">
        <v>516</v>
      </c>
      <c r="F390" t="s">
        <v>517</v>
      </c>
      <c r="G390">
        <v>2015</v>
      </c>
      <c r="H390" t="s">
        <v>515</v>
      </c>
      <c r="I390">
        <v>6</v>
      </c>
      <c r="J390">
        <v>3660505.0580000002</v>
      </c>
      <c r="K390" s="92">
        <f t="shared" ref="K390" si="126">J390/1000</f>
        <v>3660.5050580000002</v>
      </c>
      <c r="L390" s="91"/>
    </row>
    <row r="391" spans="1:12">
      <c r="A391" t="s">
        <v>508</v>
      </c>
      <c r="B391" t="s">
        <v>516</v>
      </c>
      <c r="C391">
        <v>850300</v>
      </c>
      <c r="D391" t="s">
        <v>517</v>
      </c>
      <c r="E391" t="s">
        <v>516</v>
      </c>
      <c r="F391" t="s">
        <v>517</v>
      </c>
      <c r="G391">
        <v>2016</v>
      </c>
      <c r="H391" t="s">
        <v>515</v>
      </c>
      <c r="I391">
        <v>6</v>
      </c>
      <c r="J391">
        <v>3905791.8620000002</v>
      </c>
      <c r="K391" s="92">
        <f t="shared" ref="K391" si="127">J391/1000</f>
        <v>3905.791862</v>
      </c>
      <c r="L391" s="91"/>
    </row>
    <row r="392" spans="1:12">
      <c r="A392" t="s">
        <v>508</v>
      </c>
      <c r="B392" t="s">
        <v>516</v>
      </c>
      <c r="C392">
        <v>850300</v>
      </c>
      <c r="D392" t="s">
        <v>517</v>
      </c>
      <c r="E392" t="s">
        <v>516</v>
      </c>
      <c r="F392" t="s">
        <v>517</v>
      </c>
      <c r="G392">
        <v>2017</v>
      </c>
      <c r="H392" t="s">
        <v>515</v>
      </c>
      <c r="I392">
        <v>6</v>
      </c>
      <c r="J392">
        <v>4178704.92</v>
      </c>
      <c r="K392" s="92">
        <f t="shared" ref="K392" si="128">J392/1000</f>
        <v>4178.7049200000001</v>
      </c>
      <c r="L392" s="91"/>
    </row>
    <row r="393" spans="1:12">
      <c r="A393" t="s">
        <v>508</v>
      </c>
      <c r="B393" t="s">
        <v>516</v>
      </c>
      <c r="C393">
        <v>8504</v>
      </c>
      <c r="D393" t="s">
        <v>517</v>
      </c>
      <c r="E393" t="s">
        <v>516</v>
      </c>
      <c r="F393" t="s">
        <v>517</v>
      </c>
      <c r="G393">
        <v>2015</v>
      </c>
      <c r="H393" t="s">
        <v>515</v>
      </c>
      <c r="I393">
        <v>6</v>
      </c>
      <c r="J393">
        <v>13529748.98</v>
      </c>
      <c r="K393" s="92">
        <f t="shared" ref="K393" si="129">J393/1000</f>
        <v>13529.74898</v>
      </c>
      <c r="L393" s="91"/>
    </row>
    <row r="394" spans="1:12">
      <c r="A394" t="s">
        <v>508</v>
      </c>
      <c r="B394" t="s">
        <v>516</v>
      </c>
      <c r="C394">
        <v>8504</v>
      </c>
      <c r="D394" t="s">
        <v>517</v>
      </c>
      <c r="E394" t="s">
        <v>516</v>
      </c>
      <c r="F394" t="s">
        <v>517</v>
      </c>
      <c r="G394">
        <v>2016</v>
      </c>
      <c r="H394" t="s">
        <v>515</v>
      </c>
      <c r="I394">
        <v>6</v>
      </c>
      <c r="J394">
        <v>13747302.898</v>
      </c>
      <c r="K394" s="92">
        <f t="shared" ref="K394" si="130">J394/1000</f>
        <v>13747.302898</v>
      </c>
      <c r="L394" s="91"/>
    </row>
    <row r="395" spans="1:12">
      <c r="A395" t="s">
        <v>508</v>
      </c>
      <c r="B395" t="s">
        <v>516</v>
      </c>
      <c r="C395">
        <v>8504</v>
      </c>
      <c r="D395" t="s">
        <v>517</v>
      </c>
      <c r="E395" t="s">
        <v>516</v>
      </c>
      <c r="F395" t="s">
        <v>517</v>
      </c>
      <c r="G395">
        <v>2017</v>
      </c>
      <c r="H395" t="s">
        <v>515</v>
      </c>
      <c r="I395">
        <v>6</v>
      </c>
      <c r="J395">
        <v>15160391.551999999</v>
      </c>
      <c r="K395" s="92">
        <f t="shared" ref="K395" si="131">J395/1000</f>
        <v>15160.391551999999</v>
      </c>
      <c r="L395" s="91"/>
    </row>
    <row r="396" spans="1:12">
      <c r="A396" t="s">
        <v>508</v>
      </c>
      <c r="B396" t="s">
        <v>516</v>
      </c>
      <c r="C396">
        <v>853720</v>
      </c>
      <c r="D396" t="s">
        <v>517</v>
      </c>
      <c r="E396" t="s">
        <v>516</v>
      </c>
      <c r="F396" t="s">
        <v>517</v>
      </c>
      <c r="G396">
        <v>2015</v>
      </c>
      <c r="H396" t="s">
        <v>515</v>
      </c>
      <c r="I396">
        <v>6</v>
      </c>
      <c r="J396">
        <v>926603.56099999999</v>
      </c>
      <c r="K396" s="92">
        <f t="shared" ref="K396" si="132">J396/1000</f>
        <v>926.60356100000001</v>
      </c>
      <c r="L396" s="91"/>
    </row>
    <row r="397" spans="1:12">
      <c r="A397" t="s">
        <v>508</v>
      </c>
      <c r="B397" t="s">
        <v>516</v>
      </c>
      <c r="C397">
        <v>853720</v>
      </c>
      <c r="D397" t="s">
        <v>517</v>
      </c>
      <c r="E397" t="s">
        <v>516</v>
      </c>
      <c r="F397" t="s">
        <v>517</v>
      </c>
      <c r="G397">
        <v>2016</v>
      </c>
      <c r="H397" t="s">
        <v>515</v>
      </c>
      <c r="I397">
        <v>6</v>
      </c>
      <c r="J397">
        <v>969916.86199999996</v>
      </c>
      <c r="K397" s="92">
        <f t="shared" ref="K397" si="133">J397/1000</f>
        <v>969.91686199999992</v>
      </c>
      <c r="L397" s="91"/>
    </row>
    <row r="398" spans="1:12">
      <c r="A398" t="s">
        <v>508</v>
      </c>
      <c r="B398" t="s">
        <v>516</v>
      </c>
      <c r="C398">
        <v>853720</v>
      </c>
      <c r="D398" t="s">
        <v>517</v>
      </c>
      <c r="E398" t="s">
        <v>516</v>
      </c>
      <c r="F398" t="s">
        <v>517</v>
      </c>
      <c r="G398">
        <v>2017</v>
      </c>
      <c r="H398" t="s">
        <v>515</v>
      </c>
      <c r="I398">
        <v>6</v>
      </c>
      <c r="J398">
        <v>1217423.1270000001</v>
      </c>
      <c r="K398" s="92">
        <f t="shared" ref="K398" si="134">J398/1000</f>
        <v>1217.423127</v>
      </c>
      <c r="L398" s="91"/>
    </row>
    <row r="399" spans="1:12">
      <c r="A399" t="s">
        <v>508</v>
      </c>
      <c r="B399" t="s">
        <v>516</v>
      </c>
      <c r="C399">
        <v>854460</v>
      </c>
      <c r="D399" t="s">
        <v>517</v>
      </c>
      <c r="E399" t="s">
        <v>516</v>
      </c>
      <c r="F399" t="s">
        <v>517</v>
      </c>
      <c r="G399">
        <v>2015</v>
      </c>
      <c r="H399" t="s">
        <v>515</v>
      </c>
      <c r="I399">
        <v>6</v>
      </c>
      <c r="J399">
        <v>1663309.0449999999</v>
      </c>
      <c r="K399" s="92">
        <f t="shared" ref="K399" si="135">J399/1000</f>
        <v>1663.309045</v>
      </c>
      <c r="L399" s="91"/>
    </row>
    <row r="400" spans="1:12">
      <c r="A400" t="s">
        <v>508</v>
      </c>
      <c r="B400" t="s">
        <v>516</v>
      </c>
      <c r="C400">
        <v>854460</v>
      </c>
      <c r="D400" t="s">
        <v>517</v>
      </c>
      <c r="E400" t="s">
        <v>516</v>
      </c>
      <c r="F400" t="s">
        <v>517</v>
      </c>
      <c r="G400">
        <v>2016</v>
      </c>
      <c r="H400" t="s">
        <v>515</v>
      </c>
      <c r="I400">
        <v>6</v>
      </c>
      <c r="J400">
        <v>1704805.2209999999</v>
      </c>
      <c r="K400" s="92">
        <f t="shared" ref="K400" si="136">J400/1000</f>
        <v>1704.8052209999998</v>
      </c>
      <c r="L400" s="91"/>
    </row>
    <row r="401" spans="1:12">
      <c r="A401" t="s">
        <v>508</v>
      </c>
      <c r="B401" t="s">
        <v>516</v>
      </c>
      <c r="C401">
        <v>854460</v>
      </c>
      <c r="D401" t="s">
        <v>517</v>
      </c>
      <c r="E401" t="s">
        <v>516</v>
      </c>
      <c r="F401" t="s">
        <v>517</v>
      </c>
      <c r="G401">
        <v>2017</v>
      </c>
      <c r="H401" t="s">
        <v>515</v>
      </c>
      <c r="I401">
        <v>6</v>
      </c>
      <c r="J401">
        <v>1783060.4140000001</v>
      </c>
      <c r="K401" s="92">
        <f t="shared" ref="K401" si="137">J401/1000</f>
        <v>1783.060414</v>
      </c>
      <c r="L401" s="91"/>
    </row>
    <row r="402" spans="1:12">
      <c r="K402" s="92"/>
      <c r="L402" s="91"/>
    </row>
    <row r="404" spans="1:12">
      <c r="A404" t="s">
        <v>508</v>
      </c>
      <c r="B404" t="s">
        <v>386</v>
      </c>
      <c r="C404">
        <v>730820</v>
      </c>
      <c r="D404" t="s">
        <v>520</v>
      </c>
      <c r="E404" t="s">
        <v>516</v>
      </c>
      <c r="F404" t="s">
        <v>517</v>
      </c>
      <c r="G404">
        <v>2015</v>
      </c>
      <c r="H404" t="s">
        <v>515</v>
      </c>
      <c r="I404">
        <v>6</v>
      </c>
      <c r="J404">
        <v>822.41099999999994</v>
      </c>
      <c r="K404" s="92">
        <f>J404/1000</f>
        <v>0.82241099999999989</v>
      </c>
    </row>
    <row r="405" spans="1:12">
      <c r="A405" t="s">
        <v>508</v>
      </c>
      <c r="B405" t="s">
        <v>386</v>
      </c>
      <c r="C405">
        <v>730820</v>
      </c>
      <c r="D405" t="s">
        <v>520</v>
      </c>
      <c r="E405" t="s">
        <v>516</v>
      </c>
      <c r="F405" t="s">
        <v>517</v>
      </c>
      <c r="G405">
        <v>2016</v>
      </c>
      <c r="H405" t="s">
        <v>515</v>
      </c>
      <c r="I405">
        <v>6</v>
      </c>
      <c r="J405">
        <v>1356.1590000000001</v>
      </c>
      <c r="K405" s="92">
        <f t="shared" ref="K405:K463" si="138">J405/1000</f>
        <v>1.3561590000000001</v>
      </c>
    </row>
    <row r="406" spans="1:12">
      <c r="A406" t="s">
        <v>508</v>
      </c>
      <c r="B406" t="s">
        <v>386</v>
      </c>
      <c r="C406">
        <v>730820</v>
      </c>
      <c r="D406" t="s">
        <v>520</v>
      </c>
      <c r="E406" t="s">
        <v>516</v>
      </c>
      <c r="F406" t="s">
        <v>517</v>
      </c>
      <c r="G406">
        <v>2017</v>
      </c>
      <c r="H406" t="s">
        <v>515</v>
      </c>
      <c r="I406">
        <v>6</v>
      </c>
      <c r="J406">
        <v>1546.4749999999999</v>
      </c>
      <c r="K406" s="92">
        <f t="shared" si="138"/>
        <v>1.5464749999999998</v>
      </c>
    </row>
    <row r="407" spans="1:12">
      <c r="A407" t="s">
        <v>508</v>
      </c>
      <c r="B407" t="s">
        <v>386</v>
      </c>
      <c r="C407">
        <v>730890</v>
      </c>
      <c r="D407" t="s">
        <v>520</v>
      </c>
      <c r="E407" t="s">
        <v>516</v>
      </c>
      <c r="F407" t="s">
        <v>517</v>
      </c>
      <c r="G407">
        <v>2015</v>
      </c>
      <c r="H407" t="s">
        <v>515</v>
      </c>
      <c r="I407">
        <v>6</v>
      </c>
      <c r="J407">
        <v>45867.762999999999</v>
      </c>
      <c r="K407" s="92">
        <f t="shared" si="138"/>
        <v>45.867762999999997</v>
      </c>
    </row>
    <row r="408" spans="1:12">
      <c r="A408" t="s">
        <v>508</v>
      </c>
      <c r="B408" t="s">
        <v>386</v>
      </c>
      <c r="C408">
        <v>730890</v>
      </c>
      <c r="D408" t="s">
        <v>520</v>
      </c>
      <c r="E408" t="s">
        <v>516</v>
      </c>
      <c r="F408" t="s">
        <v>517</v>
      </c>
      <c r="G408">
        <v>2016</v>
      </c>
      <c r="H408" t="s">
        <v>515</v>
      </c>
      <c r="I408">
        <v>6</v>
      </c>
      <c r="J408">
        <v>37601.129000000001</v>
      </c>
      <c r="K408" s="92">
        <f t="shared" si="138"/>
        <v>37.601129</v>
      </c>
    </row>
    <row r="409" spans="1:12">
      <c r="A409" t="s">
        <v>508</v>
      </c>
      <c r="B409" t="s">
        <v>386</v>
      </c>
      <c r="C409">
        <v>730890</v>
      </c>
      <c r="D409" t="s">
        <v>520</v>
      </c>
      <c r="E409" t="s">
        <v>516</v>
      </c>
      <c r="F409" t="s">
        <v>517</v>
      </c>
      <c r="G409">
        <v>2017</v>
      </c>
      <c r="H409" t="s">
        <v>515</v>
      </c>
      <c r="I409">
        <v>6</v>
      </c>
      <c r="J409">
        <v>40172.485999999997</v>
      </c>
      <c r="K409" s="92">
        <f t="shared" si="138"/>
        <v>40.172485999999999</v>
      </c>
    </row>
    <row r="410" spans="1:12">
      <c r="A410" t="s">
        <v>508</v>
      </c>
      <c r="B410" t="s">
        <v>386</v>
      </c>
      <c r="C410">
        <v>841280</v>
      </c>
      <c r="D410" t="s">
        <v>520</v>
      </c>
      <c r="E410" t="s">
        <v>516</v>
      </c>
      <c r="F410" t="s">
        <v>517</v>
      </c>
      <c r="G410">
        <v>2015</v>
      </c>
      <c r="H410" t="s">
        <v>515</v>
      </c>
      <c r="I410">
        <v>6</v>
      </c>
      <c r="J410">
        <v>56776.902999999998</v>
      </c>
      <c r="K410" s="92">
        <f t="shared" si="138"/>
        <v>56.776902999999997</v>
      </c>
    </row>
    <row r="411" spans="1:12">
      <c r="A411" t="s">
        <v>508</v>
      </c>
      <c r="B411" t="s">
        <v>386</v>
      </c>
      <c r="C411">
        <v>841280</v>
      </c>
      <c r="D411" t="s">
        <v>520</v>
      </c>
      <c r="E411" t="s">
        <v>516</v>
      </c>
      <c r="F411" t="s">
        <v>517</v>
      </c>
      <c r="G411">
        <v>2016</v>
      </c>
      <c r="H411" t="s">
        <v>515</v>
      </c>
      <c r="I411">
        <v>6</v>
      </c>
      <c r="J411">
        <v>53026.214999999997</v>
      </c>
      <c r="K411" s="92">
        <f t="shared" si="138"/>
        <v>53.026214999999993</v>
      </c>
    </row>
    <row r="412" spans="1:12">
      <c r="A412" t="s">
        <v>508</v>
      </c>
      <c r="B412" t="s">
        <v>386</v>
      </c>
      <c r="C412">
        <v>841280</v>
      </c>
      <c r="D412" t="s">
        <v>520</v>
      </c>
      <c r="E412" t="s">
        <v>516</v>
      </c>
      <c r="F412" t="s">
        <v>517</v>
      </c>
      <c r="G412">
        <v>2017</v>
      </c>
      <c r="H412" t="s">
        <v>515</v>
      </c>
      <c r="I412">
        <v>6</v>
      </c>
      <c r="J412">
        <v>51054.296000000002</v>
      </c>
      <c r="K412" s="92">
        <f t="shared" si="138"/>
        <v>51.054296000000001</v>
      </c>
    </row>
    <row r="413" spans="1:12">
      <c r="A413" t="s">
        <v>508</v>
      </c>
      <c r="B413" t="s">
        <v>386</v>
      </c>
      <c r="C413">
        <v>841290</v>
      </c>
      <c r="D413" t="s">
        <v>520</v>
      </c>
      <c r="E413" t="s">
        <v>516</v>
      </c>
      <c r="F413" t="s">
        <v>517</v>
      </c>
      <c r="G413">
        <v>2015</v>
      </c>
      <c r="H413" t="s">
        <v>515</v>
      </c>
      <c r="I413">
        <v>6</v>
      </c>
      <c r="J413">
        <v>151993.122</v>
      </c>
      <c r="K413" s="92">
        <f t="shared" si="138"/>
        <v>151.993122</v>
      </c>
    </row>
    <row r="414" spans="1:12">
      <c r="A414" t="s">
        <v>508</v>
      </c>
      <c r="B414" t="s">
        <v>386</v>
      </c>
      <c r="C414">
        <v>841290</v>
      </c>
      <c r="D414" t="s">
        <v>520</v>
      </c>
      <c r="E414" t="s">
        <v>516</v>
      </c>
      <c r="F414" t="s">
        <v>517</v>
      </c>
      <c r="G414">
        <v>2016</v>
      </c>
      <c r="H414" t="s">
        <v>515</v>
      </c>
      <c r="I414">
        <v>6</v>
      </c>
      <c r="J414">
        <v>117607.67200000001</v>
      </c>
      <c r="K414" s="92">
        <f t="shared" si="138"/>
        <v>117.60767200000001</v>
      </c>
    </row>
    <row r="415" spans="1:12">
      <c r="A415" t="s">
        <v>508</v>
      </c>
      <c r="B415" t="s">
        <v>386</v>
      </c>
      <c r="C415">
        <v>841290</v>
      </c>
      <c r="D415" t="s">
        <v>520</v>
      </c>
      <c r="E415" t="s">
        <v>516</v>
      </c>
      <c r="F415" t="s">
        <v>517</v>
      </c>
      <c r="G415">
        <v>2017</v>
      </c>
      <c r="H415" t="s">
        <v>515</v>
      </c>
      <c r="I415">
        <v>6</v>
      </c>
      <c r="J415">
        <v>121158.648</v>
      </c>
      <c r="K415" s="92">
        <f t="shared" si="138"/>
        <v>121.158648</v>
      </c>
    </row>
    <row r="416" spans="1:12">
      <c r="A416" t="s">
        <v>508</v>
      </c>
      <c r="B416" t="s">
        <v>386</v>
      </c>
      <c r="C416">
        <v>8482</v>
      </c>
      <c r="D416" t="s">
        <v>520</v>
      </c>
      <c r="E416" t="s">
        <v>516</v>
      </c>
      <c r="F416" t="s">
        <v>517</v>
      </c>
      <c r="G416">
        <v>2015</v>
      </c>
      <c r="H416" t="s">
        <v>515</v>
      </c>
      <c r="I416">
        <v>6</v>
      </c>
      <c r="J416">
        <v>351557.28200000001</v>
      </c>
      <c r="K416" s="92">
        <f t="shared" si="138"/>
        <v>351.55728199999999</v>
      </c>
    </row>
    <row r="417" spans="1:11">
      <c r="A417" t="s">
        <v>508</v>
      </c>
      <c r="B417" t="s">
        <v>386</v>
      </c>
      <c r="C417">
        <v>8482</v>
      </c>
      <c r="D417" t="s">
        <v>520</v>
      </c>
      <c r="E417" t="s">
        <v>516</v>
      </c>
      <c r="F417" t="s">
        <v>517</v>
      </c>
      <c r="G417">
        <v>2016</v>
      </c>
      <c r="H417" t="s">
        <v>515</v>
      </c>
      <c r="I417">
        <v>6</v>
      </c>
      <c r="J417">
        <v>325490.34999999998</v>
      </c>
      <c r="K417" s="92">
        <f t="shared" si="138"/>
        <v>325.49034999999998</v>
      </c>
    </row>
    <row r="418" spans="1:11">
      <c r="A418" t="s">
        <v>508</v>
      </c>
      <c r="B418" t="s">
        <v>386</v>
      </c>
      <c r="C418">
        <v>8482</v>
      </c>
      <c r="D418" t="s">
        <v>520</v>
      </c>
      <c r="E418" t="s">
        <v>516</v>
      </c>
      <c r="F418" t="s">
        <v>517</v>
      </c>
      <c r="G418">
        <v>2017</v>
      </c>
      <c r="H418" t="s">
        <v>515</v>
      </c>
      <c r="I418">
        <v>6</v>
      </c>
      <c r="J418">
        <v>354241.04800000001</v>
      </c>
      <c r="K418" s="92">
        <f t="shared" si="138"/>
        <v>354.24104800000003</v>
      </c>
    </row>
    <row r="419" spans="1:11">
      <c r="A419" t="s">
        <v>508</v>
      </c>
      <c r="B419" t="s">
        <v>386</v>
      </c>
      <c r="C419">
        <v>850231</v>
      </c>
      <c r="D419" t="s">
        <v>520</v>
      </c>
      <c r="E419" t="s">
        <v>516</v>
      </c>
      <c r="F419" t="s">
        <v>517</v>
      </c>
      <c r="G419">
        <v>2015</v>
      </c>
      <c r="H419" t="s">
        <v>515</v>
      </c>
      <c r="I419">
        <v>6</v>
      </c>
      <c r="J419">
        <v>12325.464</v>
      </c>
      <c r="K419" s="92">
        <f t="shared" si="138"/>
        <v>12.325464</v>
      </c>
    </row>
    <row r="420" spans="1:11">
      <c r="A420" t="s">
        <v>508</v>
      </c>
      <c r="B420" t="s">
        <v>386</v>
      </c>
      <c r="C420">
        <v>850231</v>
      </c>
      <c r="D420" t="s">
        <v>520</v>
      </c>
      <c r="E420" t="s">
        <v>516</v>
      </c>
      <c r="F420" t="s">
        <v>517</v>
      </c>
      <c r="G420">
        <v>2017</v>
      </c>
      <c r="H420" t="s">
        <v>515</v>
      </c>
      <c r="I420">
        <v>6</v>
      </c>
      <c r="J420">
        <v>5719.98</v>
      </c>
      <c r="K420" s="92">
        <f t="shared" si="138"/>
        <v>5.7199799999999996</v>
      </c>
    </row>
    <row r="421" spans="1:11">
      <c r="A421" t="s">
        <v>508</v>
      </c>
      <c r="B421" t="s">
        <v>386</v>
      </c>
      <c r="C421">
        <v>850300</v>
      </c>
      <c r="D421" t="s">
        <v>520</v>
      </c>
      <c r="E421" t="s">
        <v>516</v>
      </c>
      <c r="F421" t="s">
        <v>517</v>
      </c>
      <c r="G421">
        <v>2015</v>
      </c>
      <c r="H421" t="s">
        <v>515</v>
      </c>
      <c r="I421">
        <v>6</v>
      </c>
      <c r="J421">
        <v>175799.99600000001</v>
      </c>
      <c r="K421" s="92">
        <f t="shared" si="138"/>
        <v>175.79999600000002</v>
      </c>
    </row>
    <row r="422" spans="1:11">
      <c r="A422" t="s">
        <v>508</v>
      </c>
      <c r="B422" t="s">
        <v>386</v>
      </c>
      <c r="C422">
        <v>850300</v>
      </c>
      <c r="D422" t="s">
        <v>520</v>
      </c>
      <c r="E422" t="s">
        <v>516</v>
      </c>
      <c r="F422" t="s">
        <v>517</v>
      </c>
      <c r="G422">
        <v>2016</v>
      </c>
      <c r="H422" t="s">
        <v>515</v>
      </c>
      <c r="I422">
        <v>6</v>
      </c>
      <c r="J422">
        <v>151776.51199999999</v>
      </c>
      <c r="K422" s="92">
        <f t="shared" si="138"/>
        <v>151.776512</v>
      </c>
    </row>
    <row r="423" spans="1:11">
      <c r="A423" t="s">
        <v>508</v>
      </c>
      <c r="B423" t="s">
        <v>386</v>
      </c>
      <c r="C423">
        <v>850300</v>
      </c>
      <c r="D423" t="s">
        <v>520</v>
      </c>
      <c r="E423" t="s">
        <v>516</v>
      </c>
      <c r="F423" t="s">
        <v>517</v>
      </c>
      <c r="G423">
        <v>2017</v>
      </c>
      <c r="H423" t="s">
        <v>515</v>
      </c>
      <c r="I423">
        <v>6</v>
      </c>
      <c r="J423">
        <v>158419.82999999999</v>
      </c>
      <c r="K423" s="92">
        <f t="shared" si="138"/>
        <v>158.41982999999999</v>
      </c>
    </row>
    <row r="424" spans="1:11">
      <c r="A424" t="s">
        <v>508</v>
      </c>
      <c r="B424" t="s">
        <v>386</v>
      </c>
      <c r="C424">
        <v>8504</v>
      </c>
      <c r="D424" t="s">
        <v>520</v>
      </c>
      <c r="E424" t="s">
        <v>516</v>
      </c>
      <c r="F424" t="s">
        <v>517</v>
      </c>
      <c r="G424">
        <v>2015</v>
      </c>
      <c r="H424" t="s">
        <v>515</v>
      </c>
      <c r="I424">
        <v>6</v>
      </c>
      <c r="J424">
        <v>581728.027</v>
      </c>
      <c r="K424" s="92">
        <f t="shared" si="138"/>
        <v>581.728027</v>
      </c>
    </row>
    <row r="425" spans="1:11">
      <c r="A425" t="s">
        <v>508</v>
      </c>
      <c r="B425" t="s">
        <v>386</v>
      </c>
      <c r="C425">
        <v>8504</v>
      </c>
      <c r="D425" t="s">
        <v>520</v>
      </c>
      <c r="E425" t="s">
        <v>516</v>
      </c>
      <c r="F425" t="s">
        <v>517</v>
      </c>
      <c r="G425">
        <v>2016</v>
      </c>
      <c r="H425" t="s">
        <v>515</v>
      </c>
      <c r="I425">
        <v>6</v>
      </c>
      <c r="J425">
        <v>605194.27</v>
      </c>
      <c r="K425" s="92">
        <f t="shared" si="138"/>
        <v>605.19427000000007</v>
      </c>
    </row>
    <row r="426" spans="1:11">
      <c r="A426" t="s">
        <v>508</v>
      </c>
      <c r="B426" t="s">
        <v>386</v>
      </c>
      <c r="C426">
        <v>8504</v>
      </c>
      <c r="D426" t="s">
        <v>520</v>
      </c>
      <c r="E426" t="s">
        <v>516</v>
      </c>
      <c r="F426" t="s">
        <v>517</v>
      </c>
      <c r="G426">
        <v>2017</v>
      </c>
      <c r="H426" t="s">
        <v>515</v>
      </c>
      <c r="I426">
        <v>6</v>
      </c>
      <c r="J426">
        <v>681342.67299999995</v>
      </c>
      <c r="K426" s="92">
        <f t="shared" si="138"/>
        <v>681.34267299999999</v>
      </c>
    </row>
    <row r="427" spans="1:11">
      <c r="A427" t="s">
        <v>508</v>
      </c>
      <c r="B427" t="s">
        <v>386</v>
      </c>
      <c r="C427">
        <v>853720</v>
      </c>
      <c r="D427" t="s">
        <v>520</v>
      </c>
      <c r="E427" t="s">
        <v>516</v>
      </c>
      <c r="F427" t="s">
        <v>517</v>
      </c>
      <c r="G427">
        <v>2015</v>
      </c>
      <c r="H427" t="s">
        <v>515</v>
      </c>
      <c r="I427">
        <v>6</v>
      </c>
      <c r="J427">
        <v>7983.3789999999999</v>
      </c>
      <c r="K427" s="92">
        <f t="shared" si="138"/>
        <v>7.9833790000000002</v>
      </c>
    </row>
    <row r="428" spans="1:11">
      <c r="A428" t="s">
        <v>508</v>
      </c>
      <c r="B428" t="s">
        <v>386</v>
      </c>
      <c r="C428">
        <v>853720</v>
      </c>
      <c r="D428" t="s">
        <v>520</v>
      </c>
      <c r="E428" t="s">
        <v>516</v>
      </c>
      <c r="F428" t="s">
        <v>517</v>
      </c>
      <c r="G428">
        <v>2016</v>
      </c>
      <c r="H428" t="s">
        <v>515</v>
      </c>
      <c r="I428">
        <v>6</v>
      </c>
      <c r="J428">
        <v>14021.893</v>
      </c>
      <c r="K428" s="92">
        <f t="shared" si="138"/>
        <v>14.021893</v>
      </c>
    </row>
    <row r="429" spans="1:11">
      <c r="A429" t="s">
        <v>508</v>
      </c>
      <c r="B429" t="s">
        <v>386</v>
      </c>
      <c r="C429">
        <v>853720</v>
      </c>
      <c r="D429" t="s">
        <v>520</v>
      </c>
      <c r="E429" t="s">
        <v>516</v>
      </c>
      <c r="F429" t="s">
        <v>517</v>
      </c>
      <c r="G429">
        <v>2017</v>
      </c>
      <c r="H429" t="s">
        <v>515</v>
      </c>
      <c r="I429">
        <v>6</v>
      </c>
      <c r="J429">
        <v>22960.659</v>
      </c>
      <c r="K429" s="92">
        <f t="shared" si="138"/>
        <v>22.960659</v>
      </c>
    </row>
    <row r="430" spans="1:11">
      <c r="A430" t="s">
        <v>508</v>
      </c>
      <c r="B430" t="s">
        <v>386</v>
      </c>
      <c r="C430">
        <v>854460</v>
      </c>
      <c r="D430" t="s">
        <v>520</v>
      </c>
      <c r="E430" t="s">
        <v>516</v>
      </c>
      <c r="F430" t="s">
        <v>517</v>
      </c>
      <c r="G430">
        <v>2015</v>
      </c>
      <c r="H430" t="s">
        <v>515</v>
      </c>
      <c r="I430">
        <v>6</v>
      </c>
      <c r="J430">
        <v>51822.22</v>
      </c>
      <c r="K430" s="92">
        <f t="shared" si="138"/>
        <v>51.822220000000002</v>
      </c>
    </row>
    <row r="431" spans="1:11">
      <c r="A431" t="s">
        <v>508</v>
      </c>
      <c r="B431" t="s">
        <v>386</v>
      </c>
      <c r="C431">
        <v>854460</v>
      </c>
      <c r="D431" t="s">
        <v>520</v>
      </c>
      <c r="E431" t="s">
        <v>516</v>
      </c>
      <c r="F431" t="s">
        <v>517</v>
      </c>
      <c r="G431">
        <v>2016</v>
      </c>
      <c r="H431" t="s">
        <v>515</v>
      </c>
      <c r="I431">
        <v>6</v>
      </c>
      <c r="J431">
        <v>36752.360999999997</v>
      </c>
      <c r="K431" s="92">
        <f t="shared" si="138"/>
        <v>36.752361000000001</v>
      </c>
    </row>
    <row r="432" spans="1:11">
      <c r="A432" t="s">
        <v>508</v>
      </c>
      <c r="B432" t="s">
        <v>386</v>
      </c>
      <c r="C432">
        <v>854460</v>
      </c>
      <c r="D432" t="s">
        <v>520</v>
      </c>
      <c r="E432" t="s">
        <v>516</v>
      </c>
      <c r="F432" t="s">
        <v>517</v>
      </c>
      <c r="G432">
        <v>2017</v>
      </c>
      <c r="H432" t="s">
        <v>515</v>
      </c>
      <c r="I432">
        <v>6</v>
      </c>
      <c r="J432">
        <v>46479.262999999999</v>
      </c>
      <c r="K432" s="92">
        <f t="shared" si="138"/>
        <v>46.479262999999996</v>
      </c>
    </row>
    <row r="434" spans="1:11">
      <c r="A434" t="s">
        <v>508</v>
      </c>
      <c r="B434" t="s">
        <v>386</v>
      </c>
      <c r="C434">
        <v>730820</v>
      </c>
      <c r="D434" t="s">
        <v>520</v>
      </c>
      <c r="E434" t="s">
        <v>510</v>
      </c>
      <c r="F434" t="s">
        <v>483</v>
      </c>
      <c r="G434">
        <v>2015</v>
      </c>
      <c r="H434" t="s">
        <v>515</v>
      </c>
      <c r="I434">
        <v>6</v>
      </c>
      <c r="J434">
        <v>59655.48</v>
      </c>
      <c r="K434" s="92">
        <f t="shared" si="138"/>
        <v>59.655480000000004</v>
      </c>
    </row>
    <row r="435" spans="1:11">
      <c r="A435" t="s">
        <v>508</v>
      </c>
      <c r="B435" t="s">
        <v>386</v>
      </c>
      <c r="C435">
        <v>730820</v>
      </c>
      <c r="D435" t="s">
        <v>520</v>
      </c>
      <c r="E435" t="s">
        <v>510</v>
      </c>
      <c r="F435" t="s">
        <v>483</v>
      </c>
      <c r="G435">
        <v>2016</v>
      </c>
      <c r="H435" t="s">
        <v>515</v>
      </c>
      <c r="I435">
        <v>6</v>
      </c>
      <c r="J435">
        <v>44856.749000000003</v>
      </c>
      <c r="K435" s="92">
        <f t="shared" si="138"/>
        <v>44.856749000000001</v>
      </c>
    </row>
    <row r="436" spans="1:11">
      <c r="A436" t="s">
        <v>508</v>
      </c>
      <c r="B436" t="s">
        <v>386</v>
      </c>
      <c r="C436">
        <v>730820</v>
      </c>
      <c r="D436" t="s">
        <v>520</v>
      </c>
      <c r="E436" t="s">
        <v>510</v>
      </c>
      <c r="F436" t="s">
        <v>483</v>
      </c>
      <c r="G436">
        <v>2017</v>
      </c>
      <c r="H436" t="s">
        <v>515</v>
      </c>
      <c r="I436">
        <v>6</v>
      </c>
      <c r="J436">
        <v>37069.709000000003</v>
      </c>
      <c r="K436" s="92">
        <f t="shared" si="138"/>
        <v>37.069709000000003</v>
      </c>
    </row>
    <row r="437" spans="1:11">
      <c r="A437" t="s">
        <v>508</v>
      </c>
      <c r="B437" t="s">
        <v>386</v>
      </c>
      <c r="C437">
        <v>730890</v>
      </c>
      <c r="D437" t="s">
        <v>520</v>
      </c>
      <c r="E437" t="s">
        <v>510</v>
      </c>
      <c r="F437" t="s">
        <v>483</v>
      </c>
      <c r="G437">
        <v>2015</v>
      </c>
      <c r="H437" t="s">
        <v>515</v>
      </c>
      <c r="I437">
        <v>6</v>
      </c>
      <c r="J437">
        <v>903232.09199999995</v>
      </c>
      <c r="K437" s="92">
        <f t="shared" si="138"/>
        <v>903.23209199999997</v>
      </c>
    </row>
    <row r="438" spans="1:11">
      <c r="A438" t="s">
        <v>508</v>
      </c>
      <c r="B438" t="s">
        <v>386</v>
      </c>
      <c r="C438">
        <v>730890</v>
      </c>
      <c r="D438" t="s">
        <v>520</v>
      </c>
      <c r="E438" t="s">
        <v>510</v>
      </c>
      <c r="F438" t="s">
        <v>483</v>
      </c>
      <c r="G438">
        <v>2016</v>
      </c>
      <c r="H438" t="s">
        <v>515</v>
      </c>
      <c r="I438">
        <v>6</v>
      </c>
      <c r="J438">
        <v>722413.99899999995</v>
      </c>
      <c r="K438" s="92">
        <f t="shared" si="138"/>
        <v>722.41399899999999</v>
      </c>
    </row>
    <row r="439" spans="1:11">
      <c r="A439" t="s">
        <v>508</v>
      </c>
      <c r="B439" t="s">
        <v>386</v>
      </c>
      <c r="C439">
        <v>730890</v>
      </c>
      <c r="D439" t="s">
        <v>520</v>
      </c>
      <c r="E439" t="s">
        <v>510</v>
      </c>
      <c r="F439" t="s">
        <v>483</v>
      </c>
      <c r="G439">
        <v>2017</v>
      </c>
      <c r="H439" t="s">
        <v>515</v>
      </c>
      <c r="I439">
        <v>6</v>
      </c>
      <c r="J439">
        <v>693513.04299999995</v>
      </c>
      <c r="K439" s="92">
        <f t="shared" si="138"/>
        <v>693.51304299999993</v>
      </c>
    </row>
    <row r="440" spans="1:11">
      <c r="A440" t="s">
        <v>508</v>
      </c>
      <c r="B440" t="s">
        <v>386</v>
      </c>
      <c r="C440">
        <v>841280</v>
      </c>
      <c r="D440" t="s">
        <v>520</v>
      </c>
      <c r="E440" t="s">
        <v>510</v>
      </c>
      <c r="F440" t="s">
        <v>483</v>
      </c>
      <c r="G440">
        <v>2015</v>
      </c>
      <c r="H440" t="s">
        <v>515</v>
      </c>
      <c r="I440">
        <v>6</v>
      </c>
      <c r="J440">
        <v>371753.10399999999</v>
      </c>
      <c r="K440" s="92">
        <f t="shared" si="138"/>
        <v>371.75310400000001</v>
      </c>
    </row>
    <row r="441" spans="1:11">
      <c r="A441" t="s">
        <v>508</v>
      </c>
      <c r="B441" t="s">
        <v>386</v>
      </c>
      <c r="C441">
        <v>841280</v>
      </c>
      <c r="D441" t="s">
        <v>520</v>
      </c>
      <c r="E441" t="s">
        <v>510</v>
      </c>
      <c r="F441" t="s">
        <v>483</v>
      </c>
      <c r="G441">
        <v>2016</v>
      </c>
      <c r="H441" t="s">
        <v>515</v>
      </c>
      <c r="I441">
        <v>6</v>
      </c>
      <c r="J441">
        <v>250149.84</v>
      </c>
      <c r="K441" s="92">
        <f t="shared" si="138"/>
        <v>250.14983999999998</v>
      </c>
    </row>
    <row r="442" spans="1:11">
      <c r="A442" t="s">
        <v>508</v>
      </c>
      <c r="B442" t="s">
        <v>386</v>
      </c>
      <c r="C442">
        <v>841280</v>
      </c>
      <c r="D442" t="s">
        <v>520</v>
      </c>
      <c r="E442" t="s">
        <v>510</v>
      </c>
      <c r="F442" t="s">
        <v>483</v>
      </c>
      <c r="G442">
        <v>2017</v>
      </c>
      <c r="H442" t="s">
        <v>515</v>
      </c>
      <c r="I442">
        <v>6</v>
      </c>
      <c r="J442">
        <v>193921.519</v>
      </c>
      <c r="K442" s="92">
        <f t="shared" si="138"/>
        <v>193.92151899999999</v>
      </c>
    </row>
    <row r="443" spans="1:11">
      <c r="A443" t="s">
        <v>508</v>
      </c>
      <c r="B443" t="s">
        <v>386</v>
      </c>
      <c r="C443">
        <v>841290</v>
      </c>
      <c r="D443" t="s">
        <v>520</v>
      </c>
      <c r="E443" t="s">
        <v>510</v>
      </c>
      <c r="F443" t="s">
        <v>483</v>
      </c>
      <c r="G443">
        <v>2015</v>
      </c>
      <c r="H443" t="s">
        <v>515</v>
      </c>
      <c r="I443">
        <v>6</v>
      </c>
      <c r="J443">
        <v>818533.43500000006</v>
      </c>
      <c r="K443" s="92">
        <f t="shared" si="138"/>
        <v>818.53343500000005</v>
      </c>
    </row>
    <row r="444" spans="1:11">
      <c r="A444" t="s">
        <v>508</v>
      </c>
      <c r="B444" t="s">
        <v>386</v>
      </c>
      <c r="C444">
        <v>841290</v>
      </c>
      <c r="D444" t="s">
        <v>520</v>
      </c>
      <c r="E444" t="s">
        <v>510</v>
      </c>
      <c r="F444" t="s">
        <v>483</v>
      </c>
      <c r="G444">
        <v>2016</v>
      </c>
      <c r="H444" t="s">
        <v>515</v>
      </c>
      <c r="I444">
        <v>6</v>
      </c>
      <c r="J444">
        <v>700611.47100000002</v>
      </c>
      <c r="K444" s="92">
        <f t="shared" si="138"/>
        <v>700.61147100000005</v>
      </c>
    </row>
    <row r="445" spans="1:11">
      <c r="A445" t="s">
        <v>508</v>
      </c>
      <c r="B445" t="s">
        <v>386</v>
      </c>
      <c r="C445">
        <v>841290</v>
      </c>
      <c r="D445" t="s">
        <v>520</v>
      </c>
      <c r="E445" t="s">
        <v>510</v>
      </c>
      <c r="F445" t="s">
        <v>483</v>
      </c>
      <c r="G445">
        <v>2017</v>
      </c>
      <c r="H445" t="s">
        <v>515</v>
      </c>
      <c r="I445">
        <v>6</v>
      </c>
      <c r="J445">
        <v>626182.16500000004</v>
      </c>
      <c r="K445" s="92">
        <f t="shared" si="138"/>
        <v>626.18216500000005</v>
      </c>
    </row>
    <row r="446" spans="1:11">
      <c r="A446" t="s">
        <v>508</v>
      </c>
      <c r="B446" t="s">
        <v>386</v>
      </c>
      <c r="C446">
        <v>8482</v>
      </c>
      <c r="D446" t="s">
        <v>520</v>
      </c>
      <c r="E446" t="s">
        <v>510</v>
      </c>
      <c r="F446" t="s">
        <v>483</v>
      </c>
      <c r="G446">
        <v>2015</v>
      </c>
      <c r="H446" t="s">
        <v>515</v>
      </c>
      <c r="I446">
        <v>6</v>
      </c>
      <c r="J446">
        <v>1889954.686</v>
      </c>
      <c r="K446" s="92">
        <f t="shared" si="138"/>
        <v>1889.954686</v>
      </c>
    </row>
    <row r="447" spans="1:11">
      <c r="A447" t="s">
        <v>508</v>
      </c>
      <c r="B447" t="s">
        <v>386</v>
      </c>
      <c r="C447">
        <v>8482</v>
      </c>
      <c r="D447" t="s">
        <v>520</v>
      </c>
      <c r="E447" t="s">
        <v>510</v>
      </c>
      <c r="F447" t="s">
        <v>483</v>
      </c>
      <c r="G447">
        <v>2016</v>
      </c>
      <c r="H447" t="s">
        <v>515</v>
      </c>
      <c r="I447">
        <v>6</v>
      </c>
      <c r="J447">
        <v>1783030</v>
      </c>
      <c r="K447" s="92">
        <f t="shared" si="138"/>
        <v>1783.03</v>
      </c>
    </row>
    <row r="448" spans="1:11">
      <c r="A448" t="s">
        <v>508</v>
      </c>
      <c r="B448" t="s">
        <v>386</v>
      </c>
      <c r="C448">
        <v>8482</v>
      </c>
      <c r="D448" t="s">
        <v>520</v>
      </c>
      <c r="E448" t="s">
        <v>510</v>
      </c>
      <c r="F448" t="s">
        <v>483</v>
      </c>
      <c r="G448">
        <v>2017</v>
      </c>
      <c r="H448" t="s">
        <v>515</v>
      </c>
      <c r="I448">
        <v>6</v>
      </c>
      <c r="J448">
        <v>1864650.8160000001</v>
      </c>
      <c r="K448" s="92">
        <f t="shared" si="138"/>
        <v>1864.6508160000001</v>
      </c>
    </row>
    <row r="449" spans="1:11">
      <c r="A449" t="s">
        <v>508</v>
      </c>
      <c r="B449" t="s">
        <v>386</v>
      </c>
      <c r="C449">
        <v>850231</v>
      </c>
      <c r="D449" t="s">
        <v>520</v>
      </c>
      <c r="E449" t="s">
        <v>510</v>
      </c>
      <c r="F449" t="s">
        <v>483</v>
      </c>
      <c r="G449">
        <v>2015</v>
      </c>
      <c r="H449" t="s">
        <v>515</v>
      </c>
      <c r="I449">
        <v>6</v>
      </c>
      <c r="J449">
        <v>138911.68299999999</v>
      </c>
      <c r="K449" s="92">
        <f t="shared" si="138"/>
        <v>138.91168299999998</v>
      </c>
    </row>
    <row r="450" spans="1:11">
      <c r="A450" t="s">
        <v>508</v>
      </c>
      <c r="B450" t="s">
        <v>386</v>
      </c>
      <c r="C450">
        <v>850231</v>
      </c>
      <c r="D450" t="s">
        <v>520</v>
      </c>
      <c r="E450" t="s">
        <v>510</v>
      </c>
      <c r="F450" t="s">
        <v>483</v>
      </c>
      <c r="G450">
        <v>2016</v>
      </c>
      <c r="H450" t="s">
        <v>515</v>
      </c>
      <c r="I450">
        <v>6</v>
      </c>
      <c r="J450">
        <v>16517.87</v>
      </c>
      <c r="K450" s="92">
        <f t="shared" si="138"/>
        <v>16.517869999999998</v>
      </c>
    </row>
    <row r="451" spans="1:11">
      <c r="A451" t="s">
        <v>508</v>
      </c>
      <c r="B451" t="s">
        <v>386</v>
      </c>
      <c r="C451">
        <v>850231</v>
      </c>
      <c r="D451" t="s">
        <v>520</v>
      </c>
      <c r="E451" t="s">
        <v>510</v>
      </c>
      <c r="F451" t="s">
        <v>483</v>
      </c>
      <c r="G451">
        <v>2017</v>
      </c>
      <c r="H451" t="s">
        <v>515</v>
      </c>
      <c r="I451">
        <v>6</v>
      </c>
      <c r="J451">
        <v>18806.636999999999</v>
      </c>
      <c r="K451" s="92">
        <f t="shared" si="138"/>
        <v>18.806636999999998</v>
      </c>
    </row>
    <row r="452" spans="1:11">
      <c r="A452" t="s">
        <v>508</v>
      </c>
      <c r="B452" t="s">
        <v>386</v>
      </c>
      <c r="C452">
        <v>850300</v>
      </c>
      <c r="D452" t="s">
        <v>520</v>
      </c>
      <c r="E452" t="s">
        <v>510</v>
      </c>
      <c r="F452" t="s">
        <v>483</v>
      </c>
      <c r="G452">
        <v>2015</v>
      </c>
      <c r="H452" t="s">
        <v>515</v>
      </c>
      <c r="I452">
        <v>6</v>
      </c>
      <c r="J452">
        <v>1323754.94</v>
      </c>
      <c r="K452" s="92">
        <f t="shared" si="138"/>
        <v>1323.75494</v>
      </c>
    </row>
    <row r="453" spans="1:11">
      <c r="A453" t="s">
        <v>508</v>
      </c>
      <c r="B453" t="s">
        <v>386</v>
      </c>
      <c r="C453">
        <v>850300</v>
      </c>
      <c r="D453" t="s">
        <v>520</v>
      </c>
      <c r="E453" t="s">
        <v>510</v>
      </c>
      <c r="F453" t="s">
        <v>483</v>
      </c>
      <c r="G453">
        <v>2016</v>
      </c>
      <c r="H453" t="s">
        <v>515</v>
      </c>
      <c r="I453">
        <v>6</v>
      </c>
      <c r="J453">
        <v>1073626.8999999999</v>
      </c>
      <c r="K453" s="92">
        <f t="shared" si="138"/>
        <v>1073.6269</v>
      </c>
    </row>
    <row r="454" spans="1:11">
      <c r="A454" t="s">
        <v>508</v>
      </c>
      <c r="B454" t="s">
        <v>386</v>
      </c>
      <c r="C454">
        <v>850300</v>
      </c>
      <c r="D454" t="s">
        <v>520</v>
      </c>
      <c r="E454" t="s">
        <v>510</v>
      </c>
      <c r="F454" t="s">
        <v>483</v>
      </c>
      <c r="G454">
        <v>2017</v>
      </c>
      <c r="H454" t="s">
        <v>515</v>
      </c>
      <c r="I454">
        <v>6</v>
      </c>
      <c r="J454">
        <v>1028731.862</v>
      </c>
      <c r="K454" s="92">
        <f t="shared" si="138"/>
        <v>1028.7318619999999</v>
      </c>
    </row>
    <row r="455" spans="1:11">
      <c r="A455" t="s">
        <v>508</v>
      </c>
      <c r="B455" t="s">
        <v>386</v>
      </c>
      <c r="C455">
        <v>8504</v>
      </c>
      <c r="D455" t="s">
        <v>520</v>
      </c>
      <c r="E455" t="s">
        <v>510</v>
      </c>
      <c r="F455" t="s">
        <v>483</v>
      </c>
      <c r="G455">
        <v>2015</v>
      </c>
      <c r="H455" t="s">
        <v>515</v>
      </c>
      <c r="I455">
        <v>6</v>
      </c>
      <c r="J455">
        <v>3689453.3760000002</v>
      </c>
      <c r="K455" s="92">
        <f t="shared" si="138"/>
        <v>3689.4533760000004</v>
      </c>
    </row>
    <row r="456" spans="1:11">
      <c r="A456" t="s">
        <v>508</v>
      </c>
      <c r="B456" t="s">
        <v>386</v>
      </c>
      <c r="C456">
        <v>8504</v>
      </c>
      <c r="D456" t="s">
        <v>520</v>
      </c>
      <c r="E456" t="s">
        <v>510</v>
      </c>
      <c r="F456" t="s">
        <v>483</v>
      </c>
      <c r="G456">
        <v>2016</v>
      </c>
      <c r="H456" t="s">
        <v>515</v>
      </c>
      <c r="I456">
        <v>6</v>
      </c>
      <c r="J456">
        <v>3409595.1669999999</v>
      </c>
      <c r="K456" s="92">
        <f t="shared" si="138"/>
        <v>3409.5951669999999</v>
      </c>
    </row>
    <row r="457" spans="1:11">
      <c r="A457" t="s">
        <v>508</v>
      </c>
      <c r="B457" t="s">
        <v>386</v>
      </c>
      <c r="C457">
        <v>8504</v>
      </c>
      <c r="D457" t="s">
        <v>520</v>
      </c>
      <c r="E457" t="s">
        <v>510</v>
      </c>
      <c r="F457" t="s">
        <v>483</v>
      </c>
      <c r="G457">
        <v>2017</v>
      </c>
      <c r="H457" t="s">
        <v>515</v>
      </c>
      <c r="I457">
        <v>6</v>
      </c>
      <c r="J457">
        <v>3581829.085</v>
      </c>
      <c r="K457" s="92">
        <f t="shared" si="138"/>
        <v>3581.8290849999998</v>
      </c>
    </row>
    <row r="458" spans="1:11">
      <c r="A458" t="s">
        <v>508</v>
      </c>
      <c r="B458" t="s">
        <v>386</v>
      </c>
      <c r="C458">
        <v>853720</v>
      </c>
      <c r="D458" t="s">
        <v>520</v>
      </c>
      <c r="E458" t="s">
        <v>510</v>
      </c>
      <c r="F458" t="s">
        <v>483</v>
      </c>
      <c r="G458">
        <v>2015</v>
      </c>
      <c r="H458" t="s">
        <v>515</v>
      </c>
      <c r="I458">
        <v>6</v>
      </c>
      <c r="J458">
        <v>207339.67199999999</v>
      </c>
      <c r="K458" s="92">
        <f t="shared" si="138"/>
        <v>207.33967199999998</v>
      </c>
    </row>
    <row r="459" spans="1:11">
      <c r="A459" t="s">
        <v>508</v>
      </c>
      <c r="B459" t="s">
        <v>386</v>
      </c>
      <c r="C459">
        <v>853720</v>
      </c>
      <c r="D459" t="s">
        <v>520</v>
      </c>
      <c r="E459" t="s">
        <v>510</v>
      </c>
      <c r="F459" t="s">
        <v>483</v>
      </c>
      <c r="G459">
        <v>2016</v>
      </c>
      <c r="H459" t="s">
        <v>515</v>
      </c>
      <c r="I459">
        <v>6</v>
      </c>
      <c r="J459">
        <v>148424.72099999999</v>
      </c>
      <c r="K459" s="92">
        <f t="shared" si="138"/>
        <v>148.42472099999998</v>
      </c>
    </row>
    <row r="460" spans="1:11">
      <c r="A460" t="s">
        <v>508</v>
      </c>
      <c r="B460" t="s">
        <v>386</v>
      </c>
      <c r="C460">
        <v>853720</v>
      </c>
      <c r="D460" t="s">
        <v>520</v>
      </c>
      <c r="E460" t="s">
        <v>510</v>
      </c>
      <c r="F460" t="s">
        <v>483</v>
      </c>
      <c r="G460">
        <v>2017</v>
      </c>
      <c r="H460" t="s">
        <v>515</v>
      </c>
      <c r="I460">
        <v>6</v>
      </c>
      <c r="J460">
        <v>163037.68700000001</v>
      </c>
      <c r="K460" s="92">
        <f t="shared" si="138"/>
        <v>163.03768700000001</v>
      </c>
    </row>
    <row r="461" spans="1:11">
      <c r="A461" t="s">
        <v>508</v>
      </c>
      <c r="B461" t="s">
        <v>386</v>
      </c>
      <c r="C461">
        <v>854460</v>
      </c>
      <c r="D461" t="s">
        <v>520</v>
      </c>
      <c r="E461" t="s">
        <v>510</v>
      </c>
      <c r="F461" t="s">
        <v>483</v>
      </c>
      <c r="G461">
        <v>2015</v>
      </c>
      <c r="H461" t="s">
        <v>515</v>
      </c>
      <c r="I461">
        <v>6</v>
      </c>
      <c r="J461">
        <v>736268.80700000003</v>
      </c>
      <c r="K461" s="92">
        <f t="shared" si="138"/>
        <v>736.26880700000004</v>
      </c>
    </row>
    <row r="462" spans="1:11">
      <c r="A462" t="s">
        <v>508</v>
      </c>
      <c r="B462" t="s">
        <v>386</v>
      </c>
      <c r="C462">
        <v>854460</v>
      </c>
      <c r="D462" t="s">
        <v>520</v>
      </c>
      <c r="E462" t="s">
        <v>510</v>
      </c>
      <c r="F462" t="s">
        <v>483</v>
      </c>
      <c r="G462">
        <v>2016</v>
      </c>
      <c r="H462" t="s">
        <v>515</v>
      </c>
      <c r="I462">
        <v>6</v>
      </c>
      <c r="J462">
        <v>502401.033</v>
      </c>
      <c r="K462" s="92">
        <f t="shared" si="138"/>
        <v>502.40103299999998</v>
      </c>
    </row>
    <row r="463" spans="1:11">
      <c r="A463" t="s">
        <v>508</v>
      </c>
      <c r="B463" t="s">
        <v>386</v>
      </c>
      <c r="C463">
        <v>854460</v>
      </c>
      <c r="D463" t="s">
        <v>520</v>
      </c>
      <c r="E463" t="s">
        <v>510</v>
      </c>
      <c r="F463" t="s">
        <v>483</v>
      </c>
      <c r="G463">
        <v>2017</v>
      </c>
      <c r="H463" t="s">
        <v>515</v>
      </c>
      <c r="I463">
        <v>6</v>
      </c>
      <c r="J463">
        <v>580253.91200000001</v>
      </c>
      <c r="K463" s="92">
        <f t="shared" si="138"/>
        <v>580.25391200000001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3C104-238A-4E79-AA18-A5E80F89F2D9}">
  <sheetPr>
    <tabColor theme="8"/>
  </sheetPr>
  <dimension ref="A1"/>
  <sheetViews>
    <sheetView workbookViewId="0">
      <selection activeCell="G42" sqref="G42"/>
    </sheetView>
  </sheetViews>
  <sheetFormatPr defaultColWidth="8.81640625" defaultRowHeight="14.5"/>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6413B-617C-4741-9DC4-55B4DF97588D}">
  <sheetPr>
    <tabColor theme="9" tint="0.39997558519241921"/>
  </sheetPr>
  <dimension ref="B1:AZ65"/>
  <sheetViews>
    <sheetView zoomScale="55" zoomScaleNormal="55" workbookViewId="0">
      <selection activeCell="I27" sqref="I27:P27"/>
    </sheetView>
  </sheetViews>
  <sheetFormatPr defaultColWidth="8.81640625" defaultRowHeight="14"/>
  <cols>
    <col min="1" max="1" width="8.453125" style="1" customWidth="1"/>
    <col min="2" max="2" width="7.453125" style="1" customWidth="1"/>
    <col min="3" max="4" width="19.453125" style="1" customWidth="1"/>
    <col min="5" max="6" width="29.453125" style="1" customWidth="1"/>
    <col min="7" max="7" width="28.453125" style="1" customWidth="1"/>
    <col min="8" max="8" width="25.453125" style="1" customWidth="1"/>
    <col min="9" max="16" width="8.81640625" style="1"/>
    <col min="17" max="17" width="9.453125" style="1" bestFit="1" customWidth="1"/>
    <col min="18" max="18" width="8.81640625" style="1"/>
    <col min="19" max="19" width="24.26953125" style="1" customWidth="1"/>
    <col min="20" max="20" width="28.7265625" style="1" customWidth="1"/>
    <col min="21" max="21" width="27.453125" style="1" customWidth="1"/>
    <col min="22" max="22" width="33.81640625" style="1" customWidth="1"/>
    <col min="23" max="23" width="39.26953125" style="1" customWidth="1"/>
    <col min="24" max="24" width="32.453125" style="1" customWidth="1"/>
    <col min="25" max="26" width="16.26953125" style="1" bestFit="1" customWidth="1"/>
    <col min="27" max="27" width="16.453125" style="1" bestFit="1" customWidth="1"/>
    <col min="28" max="28" width="17.453125" style="1" customWidth="1"/>
    <col min="29" max="29" width="16.453125" style="1" bestFit="1" customWidth="1"/>
    <col min="30" max="30" width="16.7265625" style="1" bestFit="1" customWidth="1"/>
    <col min="31" max="31" width="18" style="1" bestFit="1" customWidth="1"/>
    <col min="32" max="32" width="17.453125" style="1" bestFit="1" customWidth="1"/>
    <col min="33" max="33" width="8.81640625" style="1"/>
    <col min="34" max="34" width="11.453125" style="1" bestFit="1" customWidth="1"/>
    <col min="35" max="16384" width="8.81640625" style="1"/>
  </cols>
  <sheetData>
    <row r="1" spans="2:44" s="3" customFormat="1" ht="49.5" customHeight="1">
      <c r="B1" s="304" t="s">
        <v>47</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row>
    <row r="3" spans="2:44">
      <c r="U3" s="1" t="s">
        <v>521</v>
      </c>
      <c r="V3" s="1">
        <v>1</v>
      </c>
    </row>
    <row r="5" spans="2:44">
      <c r="U5" s="1" t="s">
        <v>522</v>
      </c>
      <c r="V5" s="269">
        <v>1</v>
      </c>
      <c r="W5" s="269" t="s">
        <v>523</v>
      </c>
    </row>
    <row r="6" spans="2:44">
      <c r="K6" s="46"/>
      <c r="L6" s="46"/>
      <c r="M6" s="46"/>
      <c r="N6" s="46"/>
      <c r="O6" s="46"/>
      <c r="P6" s="46"/>
      <c r="Q6" s="46"/>
      <c r="R6" s="46"/>
      <c r="S6" s="46"/>
      <c r="T6" s="46"/>
      <c r="U6" s="46"/>
      <c r="V6" s="41">
        <v>2</v>
      </c>
      <c r="W6" s="41" t="s">
        <v>524</v>
      </c>
      <c r="X6" s="46"/>
      <c r="Y6" s="46"/>
      <c r="Z6" s="46"/>
      <c r="AA6" s="46"/>
      <c r="AB6" s="46"/>
      <c r="AC6" s="46"/>
      <c r="AD6" s="46"/>
      <c r="AE6" s="46"/>
      <c r="AF6" s="46"/>
      <c r="AG6" s="46"/>
      <c r="AH6" s="46"/>
      <c r="AI6" s="46"/>
      <c r="AJ6" s="46"/>
      <c r="AK6" s="46"/>
      <c r="AL6" s="46"/>
      <c r="AM6" s="46"/>
      <c r="AN6" s="46"/>
      <c r="AO6" s="46"/>
      <c r="AP6" s="46"/>
      <c r="AQ6" s="46"/>
      <c r="AR6" s="46"/>
    </row>
    <row r="7" spans="2:44">
      <c r="V7" s="41">
        <v>3</v>
      </c>
      <c r="W7" s="255" t="s">
        <v>525</v>
      </c>
      <c r="AI7" s="2"/>
    </row>
    <row r="17" spans="3:52">
      <c r="AI17" s="47" t="s">
        <v>234</v>
      </c>
      <c r="AJ17" s="47" t="s">
        <v>235</v>
      </c>
    </row>
    <row r="18" spans="3:52">
      <c r="AI18" s="41" t="s">
        <v>526</v>
      </c>
      <c r="AJ18" s="41" t="s">
        <v>237</v>
      </c>
    </row>
    <row r="23" spans="3:52" ht="14.5">
      <c r="C23" s="56" t="s">
        <v>238</v>
      </c>
      <c r="D23" s="57"/>
      <c r="E23" s="57"/>
      <c r="S23" s="56" t="s">
        <v>527</v>
      </c>
      <c r="T23" s="57"/>
      <c r="U23" s="57"/>
      <c r="V23" s="57"/>
      <c r="W23" s="57"/>
      <c r="AI23" s="98" t="s">
        <v>528</v>
      </c>
      <c r="AJ23" s="99"/>
      <c r="AK23" s="99"/>
      <c r="AL23" s="99"/>
      <c r="AM23" s="99"/>
      <c r="AN23" s="99"/>
      <c r="AO23" s="99"/>
      <c r="AP23" s="99"/>
      <c r="AQ23" s="99"/>
      <c r="AR23" s="99"/>
      <c r="AS23" s="99"/>
      <c r="AT23" s="99"/>
    </row>
    <row r="24" spans="3:52">
      <c r="C24" s="2" t="s">
        <v>529</v>
      </c>
      <c r="D24" s="2"/>
      <c r="E24" s="2"/>
      <c r="F24" s="2"/>
      <c r="G24" s="2"/>
      <c r="H24" s="2"/>
      <c r="S24" s="2" t="s">
        <v>530</v>
      </c>
      <c r="T24" s="2"/>
      <c r="U24" s="2"/>
      <c r="V24" s="2"/>
      <c r="W24" s="2"/>
      <c r="X24" s="2"/>
      <c r="AU24" s="2" t="s">
        <v>259</v>
      </c>
    </row>
    <row r="25" spans="3:52" ht="14.5">
      <c r="C25" s="45" t="s">
        <v>243</v>
      </c>
      <c r="J25" s="67"/>
      <c r="K25" s="157"/>
      <c r="M25" s="75"/>
      <c r="S25" s="45" t="s">
        <v>243</v>
      </c>
      <c r="AU25" s="1" t="s">
        <v>260</v>
      </c>
    </row>
    <row r="26" spans="3:52">
      <c r="C26" s="47" t="s">
        <v>137</v>
      </c>
      <c r="D26" s="47" t="s">
        <v>24</v>
      </c>
      <c r="E26" s="47" t="s">
        <v>18</v>
      </c>
      <c r="F26" s="47" t="s">
        <v>8</v>
      </c>
      <c r="G26" s="47" t="s">
        <v>234</v>
      </c>
      <c r="H26" s="47" t="s">
        <v>235</v>
      </c>
      <c r="I26" s="47">
        <v>2015</v>
      </c>
      <c r="J26" s="47">
        <v>2020</v>
      </c>
      <c r="K26" s="47">
        <v>2025</v>
      </c>
      <c r="L26" s="47">
        <v>2030</v>
      </c>
      <c r="M26" s="47">
        <v>2035</v>
      </c>
      <c r="N26" s="47">
        <v>2040</v>
      </c>
      <c r="O26" s="47">
        <v>2045</v>
      </c>
      <c r="P26" s="47">
        <v>2050</v>
      </c>
      <c r="S26" s="47" t="s">
        <v>137</v>
      </c>
      <c r="T26" s="47" t="s">
        <v>24</v>
      </c>
      <c r="U26" s="47" t="s">
        <v>18</v>
      </c>
      <c r="V26" s="47" t="s">
        <v>8</v>
      </c>
      <c r="W26" s="47" t="s">
        <v>234</v>
      </c>
      <c r="X26" s="47" t="s">
        <v>235</v>
      </c>
      <c r="Y26" s="47">
        <v>2015</v>
      </c>
      <c r="Z26" s="47">
        <v>2020</v>
      </c>
      <c r="AA26" s="47">
        <v>2025</v>
      </c>
      <c r="AB26" s="47">
        <v>2030</v>
      </c>
      <c r="AC26" s="47">
        <v>2035</v>
      </c>
      <c r="AD26" s="47">
        <v>2040</v>
      </c>
      <c r="AE26" s="47">
        <v>2045</v>
      </c>
      <c r="AF26" s="47">
        <v>2050</v>
      </c>
      <c r="AI26" s="47">
        <v>2005</v>
      </c>
      <c r="AJ26" s="47">
        <v>2010</v>
      </c>
      <c r="AK26" s="47">
        <v>2015</v>
      </c>
      <c r="AL26" s="47">
        <v>2020</v>
      </c>
      <c r="AM26" s="47">
        <v>2025</v>
      </c>
      <c r="AN26" s="47">
        <v>2030</v>
      </c>
      <c r="AO26" s="47">
        <v>2035</v>
      </c>
      <c r="AP26" s="47">
        <v>2040</v>
      </c>
      <c r="AQ26" s="47">
        <v>2045</v>
      </c>
      <c r="AR26" s="47">
        <v>2050</v>
      </c>
      <c r="AU26" s="47">
        <v>2005</v>
      </c>
      <c r="AV26" s="47">
        <v>2010</v>
      </c>
      <c r="AW26" s="47">
        <v>2015</v>
      </c>
      <c r="AX26" s="47">
        <v>2020</v>
      </c>
      <c r="AY26" s="47">
        <v>2025</v>
      </c>
      <c r="AZ26" s="47">
        <v>2030</v>
      </c>
    </row>
    <row r="27" spans="3:52" ht="28">
      <c r="C27" s="48" t="s">
        <v>148</v>
      </c>
      <c r="D27" s="41" t="s">
        <v>244</v>
      </c>
      <c r="E27" s="48" t="s">
        <v>329</v>
      </c>
      <c r="F27" s="49" t="s">
        <v>246</v>
      </c>
      <c r="G27" s="49" t="s">
        <v>247</v>
      </c>
      <c r="H27" s="270" t="s">
        <v>248</v>
      </c>
      <c r="I27" s="188">
        <f t="shared" ref="I27:P27" si="0">(Y28)/5+AK27/5</f>
        <v>2.9059085856969378</v>
      </c>
      <c r="J27" s="188">
        <f t="shared" si="0"/>
        <v>3.4885609768195947</v>
      </c>
      <c r="K27" s="188">
        <f t="shared" si="0"/>
        <v>5.6938723089259975</v>
      </c>
      <c r="L27" s="188">
        <f t="shared" si="0"/>
        <v>11.338293399224646</v>
      </c>
      <c r="M27" s="188">
        <f t="shared" si="0"/>
        <v>8.6296158111279855</v>
      </c>
      <c r="N27" s="188">
        <f t="shared" si="0"/>
        <v>10.578465942212432</v>
      </c>
      <c r="O27" s="188">
        <f>(AE28)/5+AQ27/5</f>
        <v>14.391422417751169</v>
      </c>
      <c r="P27" s="188">
        <f t="shared" si="0"/>
        <v>21.256123081577709</v>
      </c>
      <c r="S27" s="48" t="s">
        <v>148</v>
      </c>
      <c r="T27" s="41" t="s">
        <v>244</v>
      </c>
      <c r="U27" s="48" t="s">
        <v>329</v>
      </c>
      <c r="V27" s="49" t="s">
        <v>250</v>
      </c>
      <c r="W27" s="49" t="s">
        <v>357</v>
      </c>
      <c r="X27" s="270" t="s">
        <v>357</v>
      </c>
      <c r="Y27" s="251">
        <f t="shared" ref="Y27:AF27" si="1">Y34</f>
        <v>14.529542928484689</v>
      </c>
      <c r="Z27" s="251">
        <f t="shared" si="1"/>
        <v>31.972347812582662</v>
      </c>
      <c r="AA27" s="251">
        <f t="shared" si="1"/>
        <v>58.951499826086014</v>
      </c>
      <c r="AB27" s="251">
        <f t="shared" si="1"/>
        <v>112.66254775995597</v>
      </c>
      <c r="AC27" s="251">
        <f t="shared" si="1"/>
        <v>141.28108388711121</v>
      </c>
      <c r="AD27" s="251">
        <f t="shared" si="1"/>
        <v>176.7306087140754</v>
      </c>
      <c r="AE27" s="251">
        <f>AE34</f>
        <v>221.7085687893279</v>
      </c>
      <c r="AF27" s="251">
        <f t="shared" si="1"/>
        <v>274.27813626334648</v>
      </c>
      <c r="AI27" s="41"/>
      <c r="AJ27" s="41"/>
      <c r="AK27" s="41"/>
      <c r="AL27" s="41"/>
      <c r="AM27" s="141">
        <f>(AU27/AW27)*Y27</f>
        <v>1.4902095311266348</v>
      </c>
      <c r="AN27" s="141">
        <f>(AV27/AW27)*Y27</f>
        <v>2.9804190622532696</v>
      </c>
      <c r="AO27" s="141">
        <f>Y28</f>
        <v>14.529542928484689</v>
      </c>
      <c r="AP27" s="141">
        <f>Z28</f>
        <v>17.442804884097974</v>
      </c>
      <c r="AQ27" s="141">
        <f>AA28</f>
        <v>26.979152013503352</v>
      </c>
      <c r="AR27" s="141">
        <f>AB28</f>
        <v>53.711047933869956</v>
      </c>
      <c r="AU27" s="41">
        <v>4</v>
      </c>
      <c r="AV27" s="41">
        <v>8</v>
      </c>
      <c r="AW27" s="41">
        <v>39</v>
      </c>
      <c r="AX27" s="41">
        <v>92</v>
      </c>
      <c r="AY27" s="41">
        <v>274</v>
      </c>
      <c r="AZ27" s="41">
        <v>549</v>
      </c>
    </row>
    <row r="28" spans="3:52">
      <c r="X28" s="41"/>
      <c r="Y28" s="255">
        <f>Y27</f>
        <v>14.529542928484689</v>
      </c>
      <c r="Z28" s="255">
        <f>Z27-Y27</f>
        <v>17.442804884097974</v>
      </c>
      <c r="AA28" s="255">
        <f t="shared" ref="AA28:AF28" si="2">AA27-Z27</f>
        <v>26.979152013503352</v>
      </c>
      <c r="AB28" s="255">
        <f t="shared" si="2"/>
        <v>53.711047933869956</v>
      </c>
      <c r="AC28" s="255">
        <f t="shared" si="2"/>
        <v>28.618536127155238</v>
      </c>
      <c r="AD28" s="255">
        <f t="shared" si="2"/>
        <v>35.449524826964193</v>
      </c>
      <c r="AE28" s="255">
        <f>AE27-AD27</f>
        <v>44.977960075252497</v>
      </c>
      <c r="AF28" s="255">
        <f t="shared" si="2"/>
        <v>52.569567474018584</v>
      </c>
      <c r="AN28" s="2"/>
    </row>
    <row r="29" spans="3:52" ht="14.5">
      <c r="S29" s="5"/>
      <c r="T29" s="5"/>
      <c r="U29" s="5"/>
      <c r="V29" s="5"/>
      <c r="W29" s="5"/>
      <c r="X29" s="5"/>
      <c r="Y29" s="5"/>
      <c r="Z29" s="5"/>
      <c r="AA29" s="5"/>
      <c r="AB29" s="5"/>
      <c r="AC29" s="5"/>
      <c r="AD29" s="5"/>
      <c r="AE29" s="5"/>
      <c r="AF29" s="5"/>
    </row>
    <row r="30" spans="3:52" ht="14.5">
      <c r="S30" s="249" t="s">
        <v>531</v>
      </c>
      <c r="T30" s="5"/>
      <c r="U30" s="5"/>
      <c r="V30" s="5"/>
      <c r="W30" s="5"/>
      <c r="X30" s="5"/>
      <c r="Y30" s="5"/>
      <c r="Z30" s="5"/>
      <c r="AA30" s="5"/>
      <c r="AB30" s="5"/>
      <c r="AC30" s="5"/>
      <c r="AD30" s="5"/>
      <c r="AE30" s="5"/>
      <c r="AF30" s="5"/>
    </row>
    <row r="31" spans="3:52" ht="14.5">
      <c r="S31" s="2" t="s">
        <v>532</v>
      </c>
      <c r="T31" s="5"/>
      <c r="U31" s="5"/>
      <c r="V31" s="5"/>
      <c r="W31" s="5"/>
      <c r="X31" s="5"/>
      <c r="Y31" s="5"/>
      <c r="Z31" s="5"/>
      <c r="AA31" s="5"/>
      <c r="AB31" s="5"/>
      <c r="AC31" s="5"/>
      <c r="AD31" s="5"/>
      <c r="AE31" s="5"/>
      <c r="AF31" s="5"/>
    </row>
    <row r="32" spans="3:52">
      <c r="S32" s="47" t="s">
        <v>137</v>
      </c>
      <c r="T32" s="47" t="s">
        <v>24</v>
      </c>
      <c r="U32" s="47" t="s">
        <v>18</v>
      </c>
      <c r="V32" s="47" t="s">
        <v>8</v>
      </c>
      <c r="W32" s="47" t="s">
        <v>234</v>
      </c>
      <c r="X32" s="47" t="s">
        <v>235</v>
      </c>
      <c r="Y32" s="47">
        <v>2015</v>
      </c>
      <c r="Z32" s="47">
        <v>2020</v>
      </c>
      <c r="AA32" s="47">
        <v>2025</v>
      </c>
      <c r="AB32" s="47">
        <v>2030</v>
      </c>
      <c r="AC32" s="47">
        <v>2035</v>
      </c>
      <c r="AD32" s="47">
        <v>2040</v>
      </c>
      <c r="AE32" s="47">
        <v>2045</v>
      </c>
      <c r="AF32" s="47">
        <v>2050</v>
      </c>
    </row>
    <row r="33" spans="19:32">
      <c r="S33" s="48" t="s">
        <v>148</v>
      </c>
      <c r="T33" s="41" t="s">
        <v>261</v>
      </c>
      <c r="U33" s="48" t="s">
        <v>329</v>
      </c>
      <c r="V33" s="49" t="s">
        <v>250</v>
      </c>
      <c r="W33" s="49" t="s">
        <v>357</v>
      </c>
      <c r="X33" s="270" t="s">
        <v>357</v>
      </c>
      <c r="Y33" s="253">
        <f t="shared" ref="Y33:AF33" si="3">IF($V$3=$V$5,Y45/10^6,IF($V$6=$V$3,Y49/10^6,IF($V$3=$V$7,SUM(Y53:Y54)/10^6)))</f>
        <v>5.0930000000015383</v>
      </c>
      <c r="Z33" s="253">
        <f t="shared" si="3"/>
        <v>9.1979180465361328</v>
      </c>
      <c r="AA33" s="253">
        <f t="shared" si="3"/>
        <v>16.611367836396948</v>
      </c>
      <c r="AB33" s="253">
        <f t="shared" si="3"/>
        <v>30</v>
      </c>
      <c r="AC33" s="253">
        <f t="shared" si="3"/>
        <v>36.59942741661272</v>
      </c>
      <c r="AD33" s="253">
        <f t="shared" si="3"/>
        <v>44.650602907463643</v>
      </c>
      <c r="AE33" s="253">
        <f t="shared" si="3"/>
        <v>54.472883340657205</v>
      </c>
      <c r="AF33" s="253">
        <f t="shared" si="3"/>
        <v>66.455877999999998</v>
      </c>
    </row>
    <row r="34" spans="19:32">
      <c r="S34" s="48" t="s">
        <v>148</v>
      </c>
      <c r="T34" s="41" t="s">
        <v>244</v>
      </c>
      <c r="U34" s="48" t="s">
        <v>329</v>
      </c>
      <c r="V34" s="49" t="s">
        <v>250</v>
      </c>
      <c r="W34" s="49" t="s">
        <v>357</v>
      </c>
      <c r="X34" s="270" t="s">
        <v>357</v>
      </c>
      <c r="Y34" s="251">
        <f t="shared" ref="Y34:AF34" si="4">Y63/Y64*Y33</f>
        <v>14.529542928484689</v>
      </c>
      <c r="Z34" s="251">
        <f t="shared" si="4"/>
        <v>31.972347812582662</v>
      </c>
      <c r="AA34" s="251">
        <f t="shared" si="4"/>
        <v>58.951499826086014</v>
      </c>
      <c r="AB34" s="251">
        <f t="shared" si="4"/>
        <v>112.66254775995597</v>
      </c>
      <c r="AC34" s="251">
        <f t="shared" si="4"/>
        <v>141.28108388711121</v>
      </c>
      <c r="AD34" s="251">
        <f t="shared" si="4"/>
        <v>176.7306087140754</v>
      </c>
      <c r="AE34" s="251">
        <f>AE63/AE64*AE33</f>
        <v>221.7085687893279</v>
      </c>
      <c r="AF34" s="251">
        <f t="shared" si="4"/>
        <v>274.27813626334648</v>
      </c>
    </row>
    <row r="35" spans="19:32">
      <c r="S35" s="52"/>
      <c r="U35" s="52"/>
      <c r="V35" s="214"/>
      <c r="W35" s="214"/>
      <c r="X35" s="215"/>
      <c r="Y35" s="250"/>
      <c r="Z35" s="250"/>
      <c r="AA35" s="250"/>
      <c r="AB35" s="250"/>
      <c r="AC35" s="250"/>
      <c r="AD35" s="250"/>
      <c r="AE35" s="250"/>
      <c r="AF35" s="250"/>
    </row>
    <row r="36" spans="19:32" ht="14.5">
      <c r="S36" s="5"/>
      <c r="T36" s="5"/>
      <c r="U36" s="5"/>
      <c r="V36" s="5"/>
      <c r="W36" s="5"/>
      <c r="X36" s="5"/>
      <c r="Y36" s="5"/>
      <c r="Z36" s="5"/>
      <c r="AA36" s="5"/>
      <c r="AB36" s="5"/>
      <c r="AC36" s="5"/>
      <c r="AD36" s="5"/>
      <c r="AE36" s="5"/>
      <c r="AF36" s="5"/>
    </row>
    <row r="42" spans="19:32">
      <c r="Z42" s="67"/>
      <c r="AA42" s="157"/>
      <c r="AC42" s="75"/>
    </row>
    <row r="43" spans="19:32">
      <c r="S43" s="2" t="s">
        <v>533</v>
      </c>
    </row>
    <row r="44" spans="19:32">
      <c r="S44" s="47" t="s">
        <v>137</v>
      </c>
      <c r="T44" s="47" t="s">
        <v>24</v>
      </c>
      <c r="U44" s="47" t="s">
        <v>18</v>
      </c>
      <c r="V44" s="47" t="s">
        <v>8</v>
      </c>
      <c r="W44" s="47" t="s">
        <v>234</v>
      </c>
      <c r="X44" s="47" t="s">
        <v>235</v>
      </c>
      <c r="Y44" s="47">
        <v>2015</v>
      </c>
      <c r="Z44" s="47">
        <v>2020</v>
      </c>
      <c r="AA44" s="47">
        <v>2025</v>
      </c>
      <c r="AB44" s="47">
        <v>2030</v>
      </c>
      <c r="AC44" s="47">
        <v>2035</v>
      </c>
      <c r="AD44" s="47">
        <v>2040</v>
      </c>
      <c r="AE44" s="47">
        <v>2045</v>
      </c>
      <c r="AF44" s="47">
        <v>2050</v>
      </c>
    </row>
    <row r="45" spans="19:32">
      <c r="S45" s="48" t="s">
        <v>93</v>
      </c>
      <c r="T45" s="41" t="s">
        <v>534</v>
      </c>
      <c r="U45" s="48" t="s">
        <v>329</v>
      </c>
      <c r="V45" s="49" t="s">
        <v>535</v>
      </c>
      <c r="W45" s="49" t="s">
        <v>357</v>
      </c>
      <c r="X45" s="270" t="s">
        <v>357</v>
      </c>
      <c r="Y45" s="254">
        <v>5093000.0000015385</v>
      </c>
      <c r="Z45" s="254">
        <f>Y45^(2/3)*AB45^(1/3)</f>
        <v>9197918.0465361327</v>
      </c>
      <c r="AA45" s="254">
        <f>AB45^(2/3)*Y45^(1/3)</f>
        <v>16611367.836396948</v>
      </c>
      <c r="AB45" s="256">
        <v>30000000</v>
      </c>
      <c r="AC45" s="254">
        <f>$AB$45^(($AF$32-AC32)/20)*$AF$45^((AC32-$AB$32)/20)</f>
        <v>36599427.416612722</v>
      </c>
      <c r="AD45" s="254">
        <f>$AB$45^(($AF$32-AD32)/20)*$AF$45^((AD32-$AB$32)/20)</f>
        <v>44650602.90746364</v>
      </c>
      <c r="AE45" s="254">
        <f>$AB$45^(($AF$32-AE32)/20)*$AF$45^((AE32-$AB$32)/20)</f>
        <v>54472883.340657204</v>
      </c>
      <c r="AF45" s="256">
        <f>SUM(AF53:AF54)</f>
        <v>66455878</v>
      </c>
    </row>
    <row r="46" spans="19:32">
      <c r="S46" s="52"/>
      <c r="U46" s="52"/>
      <c r="V46" s="214"/>
      <c r="W46" s="214"/>
      <c r="X46" s="215"/>
      <c r="Y46" s="283"/>
      <c r="Z46" s="283"/>
      <c r="AA46" s="283"/>
      <c r="AB46" s="284"/>
      <c r="AC46" s="283"/>
      <c r="AD46" s="283"/>
      <c r="AE46" s="283"/>
      <c r="AF46" s="284"/>
    </row>
    <row r="47" spans="19:32">
      <c r="S47" s="2" t="s">
        <v>536</v>
      </c>
      <c r="AF47" s="2"/>
    </row>
    <row r="48" spans="19:32">
      <c r="S48" s="47" t="s">
        <v>137</v>
      </c>
      <c r="T48" s="47" t="s">
        <v>24</v>
      </c>
      <c r="U48" s="47" t="s">
        <v>18</v>
      </c>
      <c r="V48" s="47" t="s">
        <v>8</v>
      </c>
      <c r="W48" s="47" t="s">
        <v>234</v>
      </c>
      <c r="X48" s="47" t="s">
        <v>235</v>
      </c>
      <c r="Y48" s="47">
        <v>2015</v>
      </c>
      <c r="Z48" s="47">
        <v>2020</v>
      </c>
      <c r="AA48" s="47">
        <v>2025</v>
      </c>
      <c r="AB48" s="47">
        <v>2030</v>
      </c>
      <c r="AC48" s="47">
        <v>2035</v>
      </c>
      <c r="AD48" s="47">
        <v>2040</v>
      </c>
      <c r="AE48" s="47">
        <v>2045</v>
      </c>
      <c r="AF48" s="47">
        <v>2050</v>
      </c>
    </row>
    <row r="49" spans="19:32">
      <c r="S49" s="48" t="s">
        <v>93</v>
      </c>
      <c r="T49" s="41" t="s">
        <v>534</v>
      </c>
      <c r="U49" s="48" t="s">
        <v>329</v>
      </c>
      <c r="V49" s="49" t="s">
        <v>535</v>
      </c>
      <c r="W49" s="49" t="s">
        <v>357</v>
      </c>
      <c r="X49" s="270" t="s">
        <v>357</v>
      </c>
      <c r="Y49" s="254">
        <v>5093000.0000015385</v>
      </c>
      <c r="Z49" s="254">
        <f>Y49^(2/3)*AB49^(1/3)</f>
        <v>9197918.0465361327</v>
      </c>
      <c r="AA49" s="254">
        <f>AB49^(2/3)*Y49^(1/3)</f>
        <v>16611367.836396948</v>
      </c>
      <c r="AB49" s="254">
        <v>30000000</v>
      </c>
      <c r="AC49" s="254">
        <f>$AB$49^(($AF$32-AC32)/20)*$AF$49^((AC32-$AB$32)/20)</f>
        <v>37723002.890487976</v>
      </c>
      <c r="AD49" s="254">
        <f>$AB$49^(($AF$32-AD32)/20)*$AF$49^((AD32-$AB$32)/20)</f>
        <v>47434164.902525693</v>
      </c>
      <c r="AE49" s="254">
        <f>$AB$49^(($AF$32-AE32)/20)*$AF$49^((AE32-$AB$32)/20)</f>
        <v>59645304.657528684</v>
      </c>
      <c r="AF49" s="254">
        <f>75*10^6</f>
        <v>75000000</v>
      </c>
    </row>
    <row r="50" spans="19:32">
      <c r="S50" s="52"/>
      <c r="U50" s="52"/>
      <c r="V50" s="214"/>
      <c r="W50" s="214"/>
      <c r="X50" s="215"/>
      <c r="Y50" s="283"/>
      <c r="Z50" s="283"/>
      <c r="AA50" s="283"/>
      <c r="AB50" s="283"/>
      <c r="AC50" s="283"/>
      <c r="AD50" s="283"/>
      <c r="AE50" s="283"/>
      <c r="AF50" s="283"/>
    </row>
    <row r="51" spans="19:32">
      <c r="S51" s="2" t="s">
        <v>537</v>
      </c>
    </row>
    <row r="52" spans="19:32">
      <c r="S52" s="47" t="s">
        <v>137</v>
      </c>
      <c r="T52" s="47" t="s">
        <v>24</v>
      </c>
      <c r="U52" s="47" t="s">
        <v>18</v>
      </c>
      <c r="V52" s="47" t="s">
        <v>8</v>
      </c>
      <c r="W52" s="47" t="s">
        <v>234</v>
      </c>
      <c r="X52" s="47" t="s">
        <v>235</v>
      </c>
      <c r="Y52" s="47">
        <v>2015</v>
      </c>
      <c r="Z52" s="47">
        <v>2020</v>
      </c>
      <c r="AA52" s="47">
        <v>2025</v>
      </c>
      <c r="AB52" s="47">
        <v>2030</v>
      </c>
      <c r="AC52" s="47">
        <v>2035</v>
      </c>
      <c r="AD52" s="47">
        <v>2040</v>
      </c>
      <c r="AE52" s="47">
        <v>2045</v>
      </c>
      <c r="AF52" s="47">
        <v>2050</v>
      </c>
    </row>
    <row r="53" spans="19:32">
      <c r="S53" s="48" t="s">
        <v>538</v>
      </c>
      <c r="T53" s="41" t="s">
        <v>534</v>
      </c>
      <c r="U53" s="48" t="s">
        <v>329</v>
      </c>
      <c r="V53" s="49"/>
      <c r="W53" s="49" t="s">
        <v>357</v>
      </c>
      <c r="X53" s="270" t="s">
        <v>357</v>
      </c>
      <c r="Y53" s="254">
        <v>5093000</v>
      </c>
      <c r="Z53" s="254">
        <v>11797000</v>
      </c>
      <c r="AA53" s="254">
        <v>15190000</v>
      </c>
      <c r="AB53" s="254">
        <v>15190000</v>
      </c>
      <c r="AC53" s="254">
        <v>16813245</v>
      </c>
      <c r="AD53" s="254">
        <v>16848659</v>
      </c>
      <c r="AE53" s="254">
        <v>15190000</v>
      </c>
      <c r="AF53" s="254">
        <v>29746878</v>
      </c>
    </row>
    <row r="54" spans="19:32">
      <c r="S54" s="48" t="s">
        <v>539</v>
      </c>
      <c r="T54" s="41" t="s">
        <v>534</v>
      </c>
      <c r="U54" s="48" t="s">
        <v>329</v>
      </c>
      <c r="V54" s="49"/>
      <c r="W54" s="49" t="s">
        <v>357</v>
      </c>
      <c r="X54" s="270" t="s">
        <v>357</v>
      </c>
      <c r="Y54" s="254">
        <v>0</v>
      </c>
      <c r="Z54" s="254">
        <v>0</v>
      </c>
      <c r="AA54" s="254">
        <v>0</v>
      </c>
      <c r="AB54" s="254">
        <v>0</v>
      </c>
      <c r="AC54" s="254">
        <v>0</v>
      </c>
      <c r="AD54" s="254">
        <v>6709000</v>
      </c>
      <c r="AE54" s="254">
        <v>21709000</v>
      </c>
      <c r="AF54" s="254">
        <v>36709000</v>
      </c>
    </row>
    <row r="60" spans="19:32" ht="14.5" thickBot="1"/>
    <row r="61" spans="19:32">
      <c r="S61" s="320" t="s">
        <v>540</v>
      </c>
      <c r="T61" s="321"/>
      <c r="U61" s="321"/>
      <c r="V61" s="321"/>
      <c r="W61" s="321"/>
      <c r="X61" s="321"/>
      <c r="Y61" s="321"/>
      <c r="Z61" s="322"/>
      <c r="AA61" s="323"/>
      <c r="AB61" s="321"/>
      <c r="AC61" s="324"/>
      <c r="AD61" s="321"/>
      <c r="AE61" s="321"/>
      <c r="AF61" s="276"/>
    </row>
    <row r="62" spans="19:32">
      <c r="S62" s="325" t="s">
        <v>137</v>
      </c>
      <c r="T62" s="326" t="s">
        <v>24</v>
      </c>
      <c r="U62" s="326" t="s">
        <v>18</v>
      </c>
      <c r="V62" s="326" t="s">
        <v>8</v>
      </c>
      <c r="W62" s="326" t="s">
        <v>234</v>
      </c>
      <c r="X62" s="326">
        <v>2010</v>
      </c>
      <c r="Y62" s="326">
        <v>2014</v>
      </c>
      <c r="Z62" s="326">
        <v>2020</v>
      </c>
      <c r="AA62" s="326">
        <v>2025</v>
      </c>
      <c r="AB62" s="326">
        <v>2030</v>
      </c>
      <c r="AC62" s="326">
        <v>2035</v>
      </c>
      <c r="AD62" s="326">
        <v>2040</v>
      </c>
      <c r="AE62" s="326">
        <v>2045</v>
      </c>
      <c r="AF62" s="327">
        <v>2050</v>
      </c>
    </row>
    <row r="63" spans="19:32">
      <c r="S63" s="277" t="s">
        <v>148</v>
      </c>
      <c r="T63" s="106" t="s">
        <v>244</v>
      </c>
      <c r="U63" s="105" t="s">
        <v>266</v>
      </c>
      <c r="V63" s="107" t="s">
        <v>268</v>
      </c>
      <c r="W63" s="49" t="s">
        <v>357</v>
      </c>
      <c r="X63" s="272">
        <f>AV27</f>
        <v>8</v>
      </c>
      <c r="Y63" s="273">
        <v>25</v>
      </c>
      <c r="Z63" s="273">
        <f>Y63+(AA63-Y63)*6/11</f>
        <v>132.33551247151945</v>
      </c>
      <c r="AA63" s="273">
        <v>221.78177286445234</v>
      </c>
      <c r="AB63" s="273">
        <v>472.94020459164329</v>
      </c>
      <c r="AC63" s="273">
        <v>760.31550167874548</v>
      </c>
      <c r="AD63" s="273">
        <v>1051.8477542134247</v>
      </c>
      <c r="AE63" s="273">
        <v>1362.3921078008293</v>
      </c>
      <c r="AF63" s="328">
        <v>1693.2494071042897</v>
      </c>
    </row>
    <row r="64" spans="19:32">
      <c r="S64" s="277" t="s">
        <v>148</v>
      </c>
      <c r="T64" s="106" t="s">
        <v>261</v>
      </c>
      <c r="U64" s="105" t="s">
        <v>266</v>
      </c>
      <c r="V64" s="107" t="s">
        <v>268</v>
      </c>
      <c r="W64" s="49" t="s">
        <v>357</v>
      </c>
      <c r="X64" s="272"/>
      <c r="Y64" s="273">
        <v>8.7631800000000002</v>
      </c>
      <c r="Z64" s="273">
        <f>Y64+(AA64-Y64)*6/11</f>
        <v>38.070748056868219</v>
      </c>
      <c r="AA64" s="273">
        <v>62.493721437591738</v>
      </c>
      <c r="AB64" s="273">
        <v>125.93542769846947</v>
      </c>
      <c r="AC64" s="273">
        <v>196.96275857885988</v>
      </c>
      <c r="AD64" s="273">
        <v>265.74704141077598</v>
      </c>
      <c r="AE64" s="273">
        <v>334.73413660879203</v>
      </c>
      <c r="AF64" s="328">
        <v>410.26374743210852</v>
      </c>
    </row>
    <row r="65" spans="19:32" ht="14.5" thickBot="1">
      <c r="S65" s="279"/>
      <c r="T65" s="280"/>
      <c r="U65" s="280"/>
      <c r="V65" s="280"/>
      <c r="W65" s="280"/>
      <c r="X65" s="280"/>
      <c r="Y65" s="280">
        <v>4</v>
      </c>
      <c r="Z65" s="281">
        <f t="shared" ref="Z65:AF65" si="5">(Z63-Y63)/5</f>
        <v>21.467102494303891</v>
      </c>
      <c r="AA65" s="281">
        <f t="shared" si="5"/>
        <v>17.889252078586576</v>
      </c>
      <c r="AB65" s="281">
        <f t="shared" si="5"/>
        <v>50.231686345438192</v>
      </c>
      <c r="AC65" s="281">
        <f t="shared" si="5"/>
        <v>57.475059417420439</v>
      </c>
      <c r="AD65" s="281">
        <f t="shared" si="5"/>
        <v>58.306450506935832</v>
      </c>
      <c r="AE65" s="281">
        <f t="shared" si="5"/>
        <v>62.108870717480933</v>
      </c>
      <c r="AF65" s="329">
        <f t="shared" si="5"/>
        <v>66.171459860692082</v>
      </c>
    </row>
  </sheetData>
  <conditionalFormatting sqref="I25:M25">
    <cfRule type="expression" dxfId="81" priority="9">
      <formula>_xlfn.ISFORMULA(I25)</formula>
    </cfRule>
  </conditionalFormatting>
  <conditionalFormatting sqref="Y61:AC61">
    <cfRule type="expression" dxfId="80" priority="8">
      <formula>_xlfn.ISFORMULA(Y61)</formula>
    </cfRule>
  </conditionalFormatting>
  <conditionalFormatting sqref="Y42 AA42:AC42">
    <cfRule type="expression" dxfId="79" priority="5">
      <formula>_xlfn.ISFORMULA(Y42)</formula>
    </cfRule>
  </conditionalFormatting>
  <conditionalFormatting sqref="Z42">
    <cfRule type="expression" dxfId="78" priority="4">
      <formula>_xlfn.ISFORMULA(Z42)</formula>
    </cfRule>
  </conditionalFormatting>
  <dataValidations count="1">
    <dataValidation type="list" allowBlank="1" showInputMessage="1" showErrorMessage="1" sqref="V3" xr:uid="{69977C4E-1CC8-4CDB-9D3B-FC4E457CA03E}">
      <formula1>"1,2,3"</formula1>
    </dataValidation>
  </dataValidations>
  <pageMargins left="0.7" right="0.7" top="0.75" bottom="0.75" header="0.3" footer="0.3"/>
  <pageSetup paperSize="9" orientation="portrait" horizontalDpi="4294967294" vertic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F0EC8-6D34-4087-B8FD-5638E7E3888F}">
  <sheetPr>
    <tabColor theme="9" tint="0.39997558519241921"/>
  </sheetPr>
  <dimension ref="B1:T58"/>
  <sheetViews>
    <sheetView zoomScale="85" zoomScaleNormal="85" workbookViewId="0">
      <selection activeCell="B6" sqref="B6"/>
    </sheetView>
  </sheetViews>
  <sheetFormatPr defaultColWidth="8.81640625" defaultRowHeight="14"/>
  <cols>
    <col min="1" max="1" width="11.7265625" style="1" customWidth="1"/>
    <col min="2" max="2" width="21.81640625" style="1" customWidth="1"/>
    <col min="3" max="3" width="32.453125" style="1" customWidth="1"/>
    <col min="4" max="6" width="19.453125" style="1" customWidth="1"/>
    <col min="7" max="7" width="37.453125" style="1" customWidth="1"/>
    <col min="8" max="8" width="25.7265625" style="1" customWidth="1"/>
    <col min="9" max="9" width="20.81640625" style="1" customWidth="1"/>
    <col min="10" max="10" width="18.7265625" style="1" customWidth="1"/>
    <col min="11" max="11" width="20" style="1" customWidth="1"/>
    <col min="12" max="12" width="19.7265625" style="1" customWidth="1"/>
    <col min="13" max="13" width="16.453125" style="1" customWidth="1"/>
    <col min="14" max="14" width="16.26953125" style="1" customWidth="1"/>
    <col min="15" max="15" width="15.7265625" style="1" customWidth="1"/>
    <col min="16" max="16" width="14.81640625" style="1" customWidth="1"/>
    <col min="17" max="17" width="10.7265625" style="1" customWidth="1"/>
    <col min="18" max="19" width="8.81640625" style="1"/>
    <col min="20" max="20" width="11.1796875" style="1" bestFit="1" customWidth="1"/>
    <col min="21" max="16384" width="8.81640625" style="1"/>
  </cols>
  <sheetData>
    <row r="1" spans="2:20" s="3" customFormat="1" ht="49.5" customHeight="1">
      <c r="B1" s="304" t="s">
        <v>270</v>
      </c>
      <c r="C1" s="304"/>
      <c r="D1" s="304"/>
      <c r="E1" s="304"/>
      <c r="F1" s="304"/>
      <c r="G1" s="304"/>
      <c r="H1" s="304"/>
      <c r="I1" s="304"/>
      <c r="J1" s="304"/>
      <c r="K1" s="304"/>
      <c r="L1" s="304"/>
      <c r="M1" s="304"/>
      <c r="N1" s="304"/>
      <c r="O1" s="304"/>
      <c r="P1" s="304"/>
      <c r="Q1" s="304"/>
      <c r="R1" s="304"/>
      <c r="S1" s="304"/>
      <c r="T1" s="304"/>
    </row>
    <row r="11" spans="2:20">
      <c r="C11" s="2"/>
      <c r="D11" s="2"/>
      <c r="E11" s="2"/>
      <c r="F11" s="2"/>
      <c r="G11" s="2"/>
      <c r="H11" s="2"/>
    </row>
    <row r="12" spans="2:20" ht="14.5">
      <c r="C12" s="45" t="s">
        <v>243</v>
      </c>
      <c r="D12" s="1" t="s">
        <v>541</v>
      </c>
      <c r="I12" s="262" t="s">
        <v>542</v>
      </c>
      <c r="J12" s="262"/>
      <c r="K12" s="262"/>
      <c r="L12" s="262"/>
      <c r="M12" s="262"/>
      <c r="N12" s="262"/>
      <c r="O12" s="262"/>
      <c r="P12" s="262"/>
    </row>
    <row r="13" spans="2:20">
      <c r="B13" s="47" t="s">
        <v>137</v>
      </c>
      <c r="C13" s="50" t="s">
        <v>273</v>
      </c>
      <c r="D13" s="50" t="s">
        <v>24</v>
      </c>
      <c r="E13" s="50" t="s">
        <v>18</v>
      </c>
      <c r="F13" s="50" t="s">
        <v>8</v>
      </c>
      <c r="G13" s="50" t="s">
        <v>234</v>
      </c>
      <c r="H13" s="50" t="s">
        <v>235</v>
      </c>
      <c r="I13" s="50">
        <v>2015</v>
      </c>
      <c r="J13" s="50">
        <v>2020</v>
      </c>
      <c r="K13" s="50">
        <v>2025</v>
      </c>
      <c r="L13" s="50">
        <v>2030</v>
      </c>
      <c r="M13" s="50">
        <v>2035</v>
      </c>
      <c r="N13" s="50">
        <v>2040</v>
      </c>
      <c r="O13" s="50">
        <v>2045</v>
      </c>
      <c r="P13" s="50">
        <v>2050</v>
      </c>
      <c r="T13" s="159"/>
    </row>
    <row r="14" spans="2:20" ht="15" customHeight="1">
      <c r="B14" s="58" t="s">
        <v>148</v>
      </c>
      <c r="C14" s="105" t="s">
        <v>275</v>
      </c>
      <c r="D14" s="106" t="s">
        <v>321</v>
      </c>
      <c r="E14" s="49" t="s">
        <v>322</v>
      </c>
      <c r="F14" s="49"/>
      <c r="G14" s="49" t="s">
        <v>323</v>
      </c>
      <c r="H14" s="48" t="s">
        <v>324</v>
      </c>
      <c r="I14" s="76">
        <f>97*SUM(D36:D40)</f>
        <v>67.900000000000006</v>
      </c>
      <c r="J14" s="172">
        <f>D46</f>
        <v>43.400000000000006</v>
      </c>
      <c r="K14" s="263">
        <f>$J14*K$28/$J$28</f>
        <v>42.13703703703704</v>
      </c>
      <c r="L14" s="263">
        <f t="shared" ref="L14:P15" si="0">$J14*L$28/$J$28</f>
        <v>40.87407407407408</v>
      </c>
      <c r="M14" s="263">
        <f t="shared" si="0"/>
        <v>39.4962962962963</v>
      </c>
      <c r="N14" s="263">
        <f t="shared" si="0"/>
        <v>38.11851851851852</v>
      </c>
      <c r="O14" s="263">
        <f t="shared" si="0"/>
        <v>36.74074074074074</v>
      </c>
      <c r="P14" s="263">
        <f t="shared" si="0"/>
        <v>35.36296296296296</v>
      </c>
      <c r="T14" s="186"/>
    </row>
    <row r="15" spans="2:20" ht="15" customHeight="1">
      <c r="C15" s="105" t="s">
        <v>280</v>
      </c>
      <c r="D15" s="106" t="s">
        <v>321</v>
      </c>
      <c r="E15" s="49" t="s">
        <v>322</v>
      </c>
      <c r="F15" s="49"/>
      <c r="G15" s="49" t="s">
        <v>323</v>
      </c>
      <c r="H15" s="48" t="s">
        <v>324</v>
      </c>
      <c r="I15" s="76">
        <f>97*D41</f>
        <v>29.099999999999998</v>
      </c>
      <c r="J15" s="172">
        <f>D47</f>
        <v>18.599999999999998</v>
      </c>
      <c r="K15" s="263">
        <f>$J15*K$28/$J$28</f>
        <v>18.058730158730157</v>
      </c>
      <c r="L15" s="263">
        <f t="shared" si="0"/>
        <v>17.517460317460316</v>
      </c>
      <c r="M15" s="263">
        <f t="shared" si="0"/>
        <v>16.926984126984124</v>
      </c>
      <c r="N15" s="263">
        <f t="shared" si="0"/>
        <v>16.336507936507932</v>
      </c>
      <c r="O15" s="263">
        <f t="shared" si="0"/>
        <v>15.746031746031743</v>
      </c>
      <c r="P15" s="263">
        <f t="shared" si="0"/>
        <v>15.155555555555551</v>
      </c>
    </row>
    <row r="16" spans="2:20">
      <c r="C16" s="52"/>
      <c r="D16" s="52"/>
      <c r="E16" s="52"/>
      <c r="F16" s="52"/>
      <c r="G16" s="52"/>
      <c r="H16" s="52"/>
      <c r="I16" s="52"/>
      <c r="J16" s="54"/>
      <c r="K16" s="55"/>
      <c r="L16" s="55"/>
      <c r="M16" s="55"/>
      <c r="N16" s="55"/>
      <c r="O16" s="55"/>
      <c r="P16" s="55"/>
    </row>
    <row r="17" spans="2:16" ht="14.5">
      <c r="C17" s="51" t="s">
        <v>282</v>
      </c>
      <c r="D17" s="52"/>
      <c r="E17" s="52"/>
      <c r="F17" s="52"/>
      <c r="G17" s="52"/>
      <c r="H17" s="52"/>
      <c r="I17" s="52"/>
      <c r="J17" s="52"/>
      <c r="K17" s="52"/>
      <c r="L17" s="52"/>
      <c r="M17" s="52"/>
      <c r="N17" s="52"/>
      <c r="O17" s="52"/>
      <c r="P17" s="52"/>
    </row>
    <row r="18" spans="2:16">
      <c r="B18" s="47" t="s">
        <v>137</v>
      </c>
      <c r="C18" s="50" t="s">
        <v>283</v>
      </c>
      <c r="D18" s="50" t="s">
        <v>24</v>
      </c>
      <c r="E18" s="50" t="s">
        <v>18</v>
      </c>
      <c r="F18" s="50" t="s">
        <v>284</v>
      </c>
      <c r="G18" s="50" t="s">
        <v>234</v>
      </c>
      <c r="H18" s="50" t="s">
        <v>235</v>
      </c>
      <c r="I18" s="50">
        <v>2015</v>
      </c>
      <c r="J18" s="50">
        <v>2020</v>
      </c>
      <c r="K18" s="50">
        <v>2025</v>
      </c>
      <c r="L18" s="50">
        <v>2030</v>
      </c>
      <c r="M18" s="50">
        <v>2035</v>
      </c>
      <c r="N18" s="50">
        <v>2040</v>
      </c>
      <c r="O18" s="50">
        <v>2045</v>
      </c>
      <c r="P18" s="50">
        <v>2050</v>
      </c>
    </row>
    <row r="19" spans="2:16" ht="28">
      <c r="B19" s="58" t="s">
        <v>148</v>
      </c>
      <c r="C19" s="48" t="s">
        <v>285</v>
      </c>
      <c r="D19" s="106" t="s">
        <v>321</v>
      </c>
      <c r="E19" s="49" t="s">
        <v>322</v>
      </c>
      <c r="F19" s="78">
        <f>E36</f>
        <v>0.4</v>
      </c>
      <c r="G19" s="107" t="s">
        <v>325</v>
      </c>
      <c r="H19" s="105" t="s">
        <v>326</v>
      </c>
      <c r="I19" s="258">
        <f>$F19*I$14</f>
        <v>27.160000000000004</v>
      </c>
      <c r="J19" s="108">
        <f>$F19*J$14</f>
        <v>17.360000000000003</v>
      </c>
      <c r="K19" s="108">
        <f t="shared" ref="J19:P23" si="1">$F19*K$14</f>
        <v>16.854814814814816</v>
      </c>
      <c r="L19" s="108">
        <f t="shared" si="1"/>
        <v>16.349629629629632</v>
      </c>
      <c r="M19" s="108">
        <f t="shared" si="1"/>
        <v>15.79851851851852</v>
      </c>
      <c r="N19" s="108">
        <f t="shared" si="1"/>
        <v>15.247407407407408</v>
      </c>
      <c r="O19" s="108">
        <f t="shared" si="1"/>
        <v>14.696296296296296</v>
      </c>
      <c r="P19" s="108">
        <f t="shared" si="1"/>
        <v>14.145185185185184</v>
      </c>
    </row>
    <row r="20" spans="2:16" ht="28">
      <c r="C20" s="41" t="s">
        <v>327</v>
      </c>
      <c r="D20" s="106" t="s">
        <v>321</v>
      </c>
      <c r="E20" s="49" t="s">
        <v>322</v>
      </c>
      <c r="F20" s="78">
        <f>E37</f>
        <v>0.28999999999999998</v>
      </c>
      <c r="G20" s="107" t="s">
        <v>325</v>
      </c>
      <c r="H20" s="105" t="s">
        <v>326</v>
      </c>
      <c r="I20" s="258">
        <f t="shared" ref="I20:I21" si="2">$F20*I$14</f>
        <v>19.690999999999999</v>
      </c>
      <c r="J20" s="108">
        <f t="shared" si="1"/>
        <v>12.586</v>
      </c>
      <c r="K20" s="108">
        <f t="shared" si="1"/>
        <v>12.219740740740741</v>
      </c>
      <c r="L20" s="108">
        <f t="shared" si="1"/>
        <v>11.853481481481483</v>
      </c>
      <c r="M20" s="108">
        <f t="shared" si="1"/>
        <v>11.453925925925926</v>
      </c>
      <c r="N20" s="108">
        <f t="shared" si="1"/>
        <v>11.05437037037037</v>
      </c>
      <c r="O20" s="108">
        <f t="shared" si="1"/>
        <v>10.654814814814815</v>
      </c>
      <c r="P20" s="108">
        <f t="shared" si="1"/>
        <v>10.255259259259258</v>
      </c>
    </row>
    <row r="21" spans="2:16" ht="28">
      <c r="C21" s="41" t="s">
        <v>320</v>
      </c>
      <c r="D21" s="106" t="s">
        <v>321</v>
      </c>
      <c r="E21" s="49" t="s">
        <v>322</v>
      </c>
      <c r="F21" s="78">
        <f>E39</f>
        <v>8.4999999999999992E-2</v>
      </c>
      <c r="G21" s="107" t="s">
        <v>325</v>
      </c>
      <c r="H21" s="105" t="s">
        <v>326</v>
      </c>
      <c r="I21" s="258">
        <f t="shared" si="2"/>
        <v>5.7714999999999996</v>
      </c>
      <c r="J21" s="108">
        <f t="shared" si="1"/>
        <v>3.6890000000000001</v>
      </c>
      <c r="K21" s="108">
        <f t="shared" si="1"/>
        <v>3.5816481481481479</v>
      </c>
      <c r="L21" s="108">
        <f t="shared" si="1"/>
        <v>3.4742962962962967</v>
      </c>
      <c r="M21" s="108">
        <f t="shared" si="1"/>
        <v>3.3571851851851853</v>
      </c>
      <c r="N21" s="108">
        <f t="shared" si="1"/>
        <v>3.2400740740740739</v>
      </c>
      <c r="O21" s="108">
        <f t="shared" si="1"/>
        <v>3.1229629629629625</v>
      </c>
      <c r="P21" s="108">
        <f t="shared" si="1"/>
        <v>3.0058518518518516</v>
      </c>
    </row>
    <row r="22" spans="2:16" ht="28">
      <c r="C22" s="41" t="s">
        <v>317</v>
      </c>
      <c r="D22" s="106" t="s">
        <v>321</v>
      </c>
      <c r="E22" s="49" t="s">
        <v>322</v>
      </c>
      <c r="F22" s="78">
        <f>E38</f>
        <v>0.18999999999999997</v>
      </c>
      <c r="G22" s="107" t="s">
        <v>325</v>
      </c>
      <c r="H22" s="105" t="s">
        <v>326</v>
      </c>
      <c r="I22" s="258">
        <f>$F22*I$14</f>
        <v>12.901</v>
      </c>
      <c r="J22" s="108">
        <f t="shared" si="1"/>
        <v>8.2460000000000004</v>
      </c>
      <c r="K22" s="108">
        <f t="shared" si="1"/>
        <v>8.0060370370370357</v>
      </c>
      <c r="L22" s="108">
        <f t="shared" si="1"/>
        <v>7.7660740740740746</v>
      </c>
      <c r="M22" s="108">
        <f t="shared" si="1"/>
        <v>7.504296296296296</v>
      </c>
      <c r="N22" s="108">
        <f t="shared" si="1"/>
        <v>7.2425185185185184</v>
      </c>
      <c r="O22" s="108">
        <f t="shared" si="1"/>
        <v>6.9807407407407398</v>
      </c>
      <c r="P22" s="108">
        <f t="shared" si="1"/>
        <v>6.7189629629629612</v>
      </c>
    </row>
    <row r="23" spans="2:16" ht="28">
      <c r="C23" s="41" t="s">
        <v>328</v>
      </c>
      <c r="D23" s="106" t="s">
        <v>321</v>
      </c>
      <c r="E23" s="49" t="s">
        <v>322</v>
      </c>
      <c r="F23" s="78">
        <f>E40</f>
        <v>3.4999999999999996E-2</v>
      </c>
      <c r="G23" s="107" t="s">
        <v>325</v>
      </c>
      <c r="H23" s="105" t="s">
        <v>326</v>
      </c>
      <c r="I23" s="258">
        <f>$F23*I$14</f>
        <v>2.3765000000000001</v>
      </c>
      <c r="J23" s="108">
        <f t="shared" si="1"/>
        <v>1.5190000000000001</v>
      </c>
      <c r="K23" s="108">
        <f t="shared" si="1"/>
        <v>1.4747962962962962</v>
      </c>
      <c r="L23" s="108">
        <f t="shared" si="1"/>
        <v>1.4305925925925926</v>
      </c>
      <c r="M23" s="108">
        <f t="shared" si="1"/>
        <v>1.3823703703703705</v>
      </c>
      <c r="N23" s="108">
        <f t="shared" si="1"/>
        <v>1.3341481481481481</v>
      </c>
      <c r="O23" s="108">
        <f t="shared" si="1"/>
        <v>1.2859259259259257</v>
      </c>
      <c r="P23" s="108">
        <f t="shared" si="1"/>
        <v>1.2377037037037035</v>
      </c>
    </row>
    <row r="24" spans="2:16" ht="28">
      <c r="C24" s="105" t="s">
        <v>280</v>
      </c>
      <c r="D24" s="106" t="s">
        <v>321</v>
      </c>
      <c r="E24" s="49" t="s">
        <v>322</v>
      </c>
      <c r="F24" s="78"/>
      <c r="G24" s="107" t="s">
        <v>325</v>
      </c>
      <c r="H24" s="105" t="s">
        <v>326</v>
      </c>
      <c r="I24" s="258">
        <f>I15</f>
        <v>29.099999999999998</v>
      </c>
      <c r="J24" s="108">
        <f t="shared" ref="J24:P24" si="3">J15</f>
        <v>18.599999999999998</v>
      </c>
      <c r="K24" s="108">
        <f t="shared" si="3"/>
        <v>18.058730158730157</v>
      </c>
      <c r="L24" s="108">
        <f t="shared" si="3"/>
        <v>17.517460317460316</v>
      </c>
      <c r="M24" s="108">
        <f t="shared" si="3"/>
        <v>16.926984126984124</v>
      </c>
      <c r="N24" s="108">
        <f t="shared" si="3"/>
        <v>16.336507936507932</v>
      </c>
      <c r="O24" s="108">
        <f t="shared" si="3"/>
        <v>15.746031746031743</v>
      </c>
      <c r="P24" s="108">
        <f t="shared" si="3"/>
        <v>15.155555555555551</v>
      </c>
    </row>
    <row r="26" spans="2:16" ht="14.5">
      <c r="C26" s="81" t="s">
        <v>298</v>
      </c>
    </row>
    <row r="27" spans="2:16">
      <c r="C27" s="41"/>
      <c r="D27" s="50" t="s">
        <v>24</v>
      </c>
      <c r="E27" s="50" t="s">
        <v>18</v>
      </c>
      <c r="F27" s="50" t="s">
        <v>8</v>
      </c>
      <c r="G27" s="50" t="s">
        <v>234</v>
      </c>
      <c r="H27" s="50" t="s">
        <v>235</v>
      </c>
      <c r="I27" s="50">
        <v>2015</v>
      </c>
      <c r="J27" s="50">
        <v>2020</v>
      </c>
      <c r="K27" s="50">
        <v>2025</v>
      </c>
      <c r="L27" s="50">
        <v>2030</v>
      </c>
      <c r="M27" s="50">
        <v>2035</v>
      </c>
      <c r="N27" s="50">
        <v>2040</v>
      </c>
      <c r="O27" s="50">
        <v>2045</v>
      </c>
      <c r="P27" s="50">
        <v>2050</v>
      </c>
    </row>
    <row r="28" spans="2:16">
      <c r="C28" s="41" t="s">
        <v>275</v>
      </c>
      <c r="D28" s="41" t="s">
        <v>299</v>
      </c>
      <c r="E28" s="41" t="s">
        <v>329</v>
      </c>
      <c r="F28" s="41" t="s">
        <v>301</v>
      </c>
      <c r="G28" s="41" t="s">
        <v>543</v>
      </c>
      <c r="H28" s="41" t="s">
        <v>544</v>
      </c>
      <c r="I28" s="41">
        <v>1</v>
      </c>
      <c r="J28" s="59">
        <f>J31/$I$31</f>
        <v>0.97172236503856046</v>
      </c>
      <c r="K28" s="59">
        <f t="shared" ref="K28:P28" si="4">K31/$I$31</f>
        <v>0.94344473007712082</v>
      </c>
      <c r="L28" s="59">
        <f t="shared" si="4"/>
        <v>0.91516709511568117</v>
      </c>
      <c r="M28" s="59">
        <f t="shared" si="4"/>
        <v>0.88431876606683801</v>
      </c>
      <c r="N28" s="59">
        <f t="shared" si="4"/>
        <v>0.85347043701799485</v>
      </c>
      <c r="O28" s="59">
        <f t="shared" si="4"/>
        <v>0.82262210796915169</v>
      </c>
      <c r="P28" s="59">
        <f t="shared" si="4"/>
        <v>0.79177377892030842</v>
      </c>
    </row>
    <row r="30" spans="2:16">
      <c r="H30" s="47">
        <v>2010</v>
      </c>
      <c r="I30" s="47">
        <v>2015</v>
      </c>
      <c r="J30" s="47">
        <v>2020</v>
      </c>
      <c r="K30" s="47">
        <v>2025</v>
      </c>
      <c r="L30" s="47">
        <v>2030</v>
      </c>
      <c r="M30" s="47">
        <v>2035</v>
      </c>
      <c r="N30" s="47">
        <v>2040</v>
      </c>
      <c r="O30" s="47">
        <v>2045</v>
      </c>
      <c r="P30" s="47">
        <v>2050</v>
      </c>
    </row>
    <row r="31" spans="2:16">
      <c r="H31" s="41">
        <v>1</v>
      </c>
      <c r="I31" s="59">
        <f>(3*H31+L31)/4</f>
        <v>0.97250000000000003</v>
      </c>
      <c r="J31" s="78">
        <f>AVERAGE(H31,L31)</f>
        <v>0.94500000000000006</v>
      </c>
      <c r="K31" s="59">
        <f>(H31+3*L31)/4</f>
        <v>0.91749999999999998</v>
      </c>
      <c r="L31" s="78">
        <v>0.89</v>
      </c>
      <c r="M31" s="59">
        <f>(3*L31+P31)/4</f>
        <v>0.86</v>
      </c>
      <c r="N31" s="78">
        <f>AVERAGE(L31,P31)</f>
        <v>0.83000000000000007</v>
      </c>
      <c r="O31" s="59">
        <f>(L31+3*P31)/4</f>
        <v>0.8</v>
      </c>
      <c r="P31" s="78">
        <v>0.77</v>
      </c>
    </row>
    <row r="32" spans="2:16">
      <c r="I32" s="75"/>
      <c r="J32" s="174"/>
      <c r="K32" s="75"/>
      <c r="L32" s="174"/>
      <c r="M32" s="75"/>
      <c r="N32" s="174"/>
      <c r="O32" s="75"/>
      <c r="P32" s="174"/>
    </row>
    <row r="33" spans="3:16">
      <c r="I33" s="75"/>
      <c r="J33" s="174"/>
      <c r="K33" s="75"/>
      <c r="L33" s="174"/>
      <c r="M33" s="75"/>
      <c r="N33" s="174"/>
      <c r="O33" s="75"/>
      <c r="P33" s="174"/>
    </row>
    <row r="34" spans="3:16" ht="14.5" thickBot="1">
      <c r="I34" s="75"/>
      <c r="J34" s="174"/>
      <c r="K34" s="75"/>
      <c r="L34" s="174"/>
      <c r="M34" s="75"/>
      <c r="N34" s="174"/>
      <c r="O34" s="75"/>
      <c r="P34" s="174"/>
    </row>
    <row r="35" spans="3:16" ht="14.5" thickBot="1">
      <c r="C35" s="220" t="s">
        <v>330</v>
      </c>
      <c r="D35" s="221" t="s">
        <v>331</v>
      </c>
      <c r="E35" s="222" t="s">
        <v>332</v>
      </c>
      <c r="F35" s="75"/>
      <c r="G35" s="174"/>
      <c r="H35" s="75"/>
      <c r="I35" s="174"/>
      <c r="J35" s="75"/>
      <c r="K35" s="174"/>
      <c r="L35" s="75"/>
      <c r="M35" s="174"/>
    </row>
    <row r="36" spans="3:16" ht="14.5" thickBot="1">
      <c r="C36" s="223" t="s">
        <v>285</v>
      </c>
      <c r="D36" s="224">
        <v>0.28000000000000003</v>
      </c>
      <c r="E36" s="225">
        <f>D49/D$46</f>
        <v>0.4</v>
      </c>
      <c r="F36" s="75"/>
      <c r="G36" s="174"/>
      <c r="H36" s="75"/>
      <c r="I36" s="240"/>
      <c r="J36" s="75"/>
      <c r="K36" s="174"/>
      <c r="L36" s="75"/>
      <c r="M36" s="174"/>
    </row>
    <row r="37" spans="3:16" ht="14.5" thickBot="1">
      <c r="C37" s="226" t="s">
        <v>333</v>
      </c>
      <c r="D37" s="227">
        <v>0.20300000000000001</v>
      </c>
      <c r="E37" s="225">
        <f>D50/D$46</f>
        <v>0.28999999999999998</v>
      </c>
      <c r="F37" s="75"/>
      <c r="G37" s="174"/>
      <c r="H37" s="75"/>
      <c r="I37" s="240"/>
      <c r="J37" s="75"/>
      <c r="K37" s="174"/>
      <c r="L37" s="75"/>
      <c r="M37" s="174"/>
    </row>
    <row r="38" spans="3:16" ht="15.75" customHeight="1" thickBot="1">
      <c r="C38" s="226" t="s">
        <v>317</v>
      </c>
      <c r="D38" s="227">
        <v>0.13300000000000001</v>
      </c>
      <c r="E38" s="225">
        <f>D51/D$46</f>
        <v>0.18999999999999997</v>
      </c>
      <c r="F38" s="75"/>
      <c r="G38" s="174"/>
      <c r="H38" s="75"/>
      <c r="I38" s="174"/>
      <c r="J38" s="75"/>
      <c r="K38" s="174"/>
      <c r="L38" s="75"/>
      <c r="M38" s="174"/>
    </row>
    <row r="39" spans="3:16" ht="14.5" thickBot="1">
      <c r="C39" s="223" t="s">
        <v>320</v>
      </c>
      <c r="D39" s="228">
        <v>5.9499999999999997E-2</v>
      </c>
      <c r="E39" s="225">
        <f>D52/D$46</f>
        <v>8.4999999999999992E-2</v>
      </c>
      <c r="F39" s="75"/>
      <c r="G39" s="174"/>
      <c r="H39" s="75"/>
      <c r="I39" s="174"/>
      <c r="J39" s="75"/>
      <c r="K39" s="174"/>
      <c r="L39" s="75"/>
      <c r="M39" s="174"/>
    </row>
    <row r="40" spans="3:16" ht="14.5" thickBot="1">
      <c r="C40" s="226" t="s">
        <v>319</v>
      </c>
      <c r="D40" s="227">
        <v>2.4500000000000001E-2</v>
      </c>
      <c r="E40" s="225">
        <f>D53/D$46</f>
        <v>3.4999999999999996E-2</v>
      </c>
      <c r="F40" s="75"/>
      <c r="G40" s="174"/>
      <c r="H40" s="75"/>
      <c r="I40" s="174"/>
      <c r="J40" s="75"/>
      <c r="K40" s="174"/>
      <c r="L40" s="75"/>
      <c r="M40" s="174"/>
    </row>
    <row r="41" spans="3:16" ht="14.5" thickBot="1">
      <c r="C41" s="223" t="s">
        <v>334</v>
      </c>
      <c r="D41" s="224">
        <v>0.3</v>
      </c>
      <c r="E41" s="222"/>
      <c r="F41" s="75"/>
      <c r="G41" s="174"/>
      <c r="H41" s="75"/>
      <c r="I41" s="174"/>
      <c r="J41" s="75"/>
      <c r="K41" s="174"/>
      <c r="L41" s="75"/>
      <c r="M41" s="174"/>
    </row>
    <row r="42" spans="3:16">
      <c r="C42" s="222"/>
      <c r="D42" s="222"/>
      <c r="E42" s="222"/>
      <c r="H42" s="75"/>
      <c r="I42" s="174"/>
      <c r="J42" s="75"/>
      <c r="K42" s="174"/>
      <c r="L42" s="75"/>
      <c r="M42" s="174"/>
      <c r="N42" s="75"/>
      <c r="O42" s="174"/>
    </row>
    <row r="43" spans="3:16">
      <c r="F43" s="222"/>
      <c r="I43" s="75"/>
      <c r="J43" s="174"/>
      <c r="K43" s="75"/>
      <c r="L43" s="174"/>
      <c r="M43" s="75"/>
      <c r="N43" s="174"/>
      <c r="O43" s="75"/>
      <c r="P43" s="174"/>
    </row>
    <row r="44" spans="3:16">
      <c r="D44" s="1" t="s">
        <v>545</v>
      </c>
      <c r="I44" s="75"/>
      <c r="J44" s="174"/>
      <c r="K44" s="75"/>
      <c r="L44" s="174"/>
      <c r="M44" s="75"/>
      <c r="N44" s="174"/>
      <c r="O44" s="75"/>
      <c r="P44" s="174"/>
    </row>
    <row r="45" spans="3:16">
      <c r="C45" s="1" t="s">
        <v>546</v>
      </c>
      <c r="D45" s="41">
        <v>62</v>
      </c>
      <c r="I45" s="75"/>
      <c r="J45" s="174"/>
      <c r="K45" s="75"/>
      <c r="L45" s="174"/>
      <c r="M45" s="75"/>
      <c r="N45" s="174"/>
      <c r="O45" s="75"/>
      <c r="P45" s="174"/>
    </row>
    <row r="46" spans="3:16">
      <c r="C46" s="1" t="s">
        <v>547</v>
      </c>
      <c r="D46" s="143">
        <f>D45-D47</f>
        <v>43.400000000000006</v>
      </c>
      <c r="I46" s="75"/>
      <c r="J46" s="174"/>
      <c r="K46" s="75"/>
      <c r="L46" s="174"/>
      <c r="M46" s="75"/>
      <c r="N46" s="174"/>
      <c r="O46" s="75"/>
      <c r="P46" s="174"/>
    </row>
    <row r="47" spans="3:16">
      <c r="C47" s="1" t="s">
        <v>548</v>
      </c>
      <c r="D47" s="173">
        <f>D54</f>
        <v>18.599999999999998</v>
      </c>
      <c r="I47" s="75"/>
      <c r="J47" s="174"/>
      <c r="K47" s="75"/>
      <c r="L47" s="174"/>
      <c r="M47" s="75"/>
      <c r="N47" s="174"/>
      <c r="O47" s="75"/>
      <c r="P47" s="174"/>
    </row>
    <row r="48" spans="3:16">
      <c r="D48" s="219"/>
      <c r="I48" s="75"/>
      <c r="J48" s="174"/>
      <c r="K48" s="75"/>
      <c r="L48" s="174"/>
      <c r="M48" s="75"/>
      <c r="N48" s="174"/>
      <c r="O48" s="75"/>
      <c r="P48" s="174"/>
    </row>
    <row r="49" spans="3:16">
      <c r="C49" s="1" t="s">
        <v>285</v>
      </c>
      <c r="D49" s="255">
        <f t="shared" ref="D49:D53" si="5">$D$45*D36</f>
        <v>17.360000000000003</v>
      </c>
      <c r="I49" s="75"/>
      <c r="J49" s="174"/>
      <c r="K49" s="75"/>
      <c r="L49" s="174"/>
      <c r="M49" s="75"/>
      <c r="N49" s="174"/>
      <c r="O49" s="75"/>
      <c r="P49" s="174"/>
    </row>
    <row r="50" spans="3:16">
      <c r="C50" s="1" t="s">
        <v>333</v>
      </c>
      <c r="D50" s="255">
        <f t="shared" si="5"/>
        <v>12.586</v>
      </c>
      <c r="I50" s="75"/>
      <c r="J50" s="174"/>
      <c r="K50" s="75"/>
      <c r="L50" s="174"/>
      <c r="M50" s="75"/>
      <c r="N50" s="174"/>
      <c r="O50" s="75"/>
      <c r="P50" s="174"/>
    </row>
    <row r="51" spans="3:16">
      <c r="C51" s="1" t="s">
        <v>317</v>
      </c>
      <c r="D51" s="255">
        <f t="shared" si="5"/>
        <v>8.2460000000000004</v>
      </c>
      <c r="I51" s="75"/>
      <c r="J51" s="174"/>
      <c r="K51" s="75"/>
      <c r="L51" s="174"/>
      <c r="M51" s="75"/>
      <c r="N51" s="174"/>
      <c r="O51" s="75"/>
      <c r="P51" s="174"/>
    </row>
    <row r="52" spans="3:16">
      <c r="C52" s="1" t="s">
        <v>320</v>
      </c>
      <c r="D52" s="255">
        <f t="shared" si="5"/>
        <v>3.6890000000000001</v>
      </c>
      <c r="I52" s="75"/>
      <c r="J52" s="174"/>
      <c r="K52" s="75"/>
      <c r="L52" s="174"/>
      <c r="M52" s="75"/>
      <c r="N52" s="174"/>
      <c r="O52" s="75"/>
      <c r="P52" s="174"/>
    </row>
    <row r="53" spans="3:16">
      <c r="C53" s="1" t="s">
        <v>319</v>
      </c>
      <c r="D53" s="255">
        <f t="shared" si="5"/>
        <v>1.5190000000000001</v>
      </c>
      <c r="I53" s="75"/>
      <c r="J53" s="174"/>
      <c r="K53" s="75"/>
      <c r="L53" s="174"/>
      <c r="M53" s="75"/>
      <c r="N53" s="174"/>
      <c r="O53" s="75"/>
      <c r="P53" s="174"/>
    </row>
    <row r="54" spans="3:16">
      <c r="C54" s="1" t="s">
        <v>334</v>
      </c>
      <c r="D54" s="255">
        <f>$D$45*D41</f>
        <v>18.599999999999998</v>
      </c>
      <c r="I54" s="75"/>
      <c r="J54" s="174"/>
      <c r="K54" s="75"/>
      <c r="L54" s="174"/>
      <c r="M54" s="75"/>
      <c r="N54" s="174"/>
      <c r="O54" s="75"/>
      <c r="P54" s="174"/>
    </row>
    <row r="55" spans="3:16">
      <c r="I55" s="75"/>
      <c r="J55" s="174"/>
      <c r="K55" s="75"/>
      <c r="L55" s="174"/>
      <c r="M55" s="75"/>
      <c r="N55" s="174"/>
      <c r="O55" s="75"/>
      <c r="P55" s="174"/>
    </row>
    <row r="56" spans="3:16">
      <c r="I56" s="75"/>
      <c r="J56" s="174"/>
      <c r="K56" s="75"/>
      <c r="L56" s="174"/>
      <c r="M56" s="75"/>
      <c r="N56" s="174"/>
      <c r="O56" s="75"/>
      <c r="P56" s="174"/>
    </row>
    <row r="57" spans="3:16">
      <c r="H57" s="75"/>
    </row>
    <row r="58" spans="3:16">
      <c r="H58" s="75"/>
    </row>
  </sheetData>
  <conditionalFormatting sqref="D19:D24">
    <cfRule type="expression" dxfId="77" priority="5">
      <formula>_xlfn.ISFORMULA(D19)</formula>
    </cfRule>
  </conditionalFormatting>
  <conditionalFormatting sqref="B13:B14">
    <cfRule type="expression" dxfId="76" priority="4">
      <formula>_xlfn.ISFORMULA(B13)</formula>
    </cfRule>
  </conditionalFormatting>
  <conditionalFormatting sqref="B18:B19">
    <cfRule type="expression" dxfId="75" priority="3">
      <formula>_xlfn.ISFORMULA(B18)</formula>
    </cfRule>
  </conditionalFormatting>
  <conditionalFormatting sqref="D14:D15">
    <cfRule type="expression" dxfId="74" priority="1">
      <formula>_xlfn.ISFORMULA(D14)</formula>
    </cfRule>
  </conditionalFormatting>
  <pageMargins left="0.7" right="0.7" top="0.75" bottom="0.75" header="0.3" footer="0.3"/>
  <pageSetup paperSize="9" orientation="portrait" horizontalDpi="4294967294" verticalDpi="4294967294"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90439-C60D-4F83-B23C-037EE577CDF7}">
  <sheetPr>
    <tabColor theme="9" tint="0.39997558519241921"/>
  </sheetPr>
  <dimension ref="B1:S73"/>
  <sheetViews>
    <sheetView topLeftCell="A13" zoomScale="70" zoomScaleNormal="70" workbookViewId="0">
      <selection activeCell="H40" sqref="H40"/>
    </sheetView>
  </sheetViews>
  <sheetFormatPr defaultColWidth="8.81640625" defaultRowHeight="14"/>
  <cols>
    <col min="1" max="1" width="13" style="1" customWidth="1"/>
    <col min="2" max="2" width="23.1796875" style="1" customWidth="1"/>
    <col min="3" max="3" width="24.26953125" style="1" customWidth="1"/>
    <col min="4" max="4" width="12.453125" style="1" bestFit="1" customWidth="1"/>
    <col min="5" max="5" width="10.26953125" style="1" customWidth="1"/>
    <col min="6" max="6" width="9.26953125" style="1" bestFit="1" customWidth="1"/>
    <col min="7" max="7" width="15.7265625" style="1" customWidth="1"/>
    <col min="8" max="8" width="21.81640625" style="1" customWidth="1"/>
    <col min="9" max="9" width="11.1796875" style="1" bestFit="1" customWidth="1"/>
    <col min="10" max="10" width="25.453125" style="1" customWidth="1"/>
    <col min="11" max="12" width="23.1796875" style="1" customWidth="1"/>
    <col min="13" max="13" width="22.26953125" style="1" customWidth="1"/>
    <col min="14" max="15" width="24.26953125" style="1" customWidth="1"/>
    <col min="16" max="16" width="21.453125" style="1" customWidth="1"/>
    <col min="17" max="16384" width="8.81640625" style="1"/>
  </cols>
  <sheetData>
    <row r="1" spans="2:17" s="3" customFormat="1" ht="49.5" customHeight="1">
      <c r="B1" s="304" t="s">
        <v>336</v>
      </c>
      <c r="C1" s="304"/>
      <c r="D1" s="304"/>
      <c r="E1" s="304"/>
      <c r="F1" s="304"/>
      <c r="G1" s="304"/>
      <c r="H1" s="304"/>
      <c r="I1" s="304"/>
      <c r="J1" s="304"/>
      <c r="K1" s="304"/>
      <c r="L1" s="304"/>
      <c r="M1" s="304"/>
      <c r="N1" s="304"/>
      <c r="O1" s="304"/>
      <c r="P1" s="304"/>
      <c r="Q1" s="304"/>
    </row>
    <row r="4" spans="2:17">
      <c r="P4" s="7"/>
      <c r="Q4" s="2"/>
    </row>
    <row r="5" spans="2:17">
      <c r="Q5" s="2"/>
    </row>
    <row r="11" spans="2:17">
      <c r="C11" s="2" t="s">
        <v>549</v>
      </c>
    </row>
    <row r="12" spans="2:17" ht="14.5">
      <c r="C12" s="45" t="s">
        <v>243</v>
      </c>
    </row>
    <row r="13" spans="2:17">
      <c r="B13" s="47" t="s">
        <v>137</v>
      </c>
      <c r="C13" s="47" t="s">
        <v>338</v>
      </c>
      <c r="D13" s="47" t="s">
        <v>24</v>
      </c>
      <c r="E13" s="47">
        <v>2015</v>
      </c>
      <c r="F13" s="47">
        <v>2020</v>
      </c>
      <c r="G13" s="47">
        <v>2025</v>
      </c>
      <c r="H13" s="47">
        <v>2030</v>
      </c>
      <c r="I13" s="47">
        <v>2035</v>
      </c>
      <c r="J13" s="47">
        <v>2040</v>
      </c>
      <c r="K13" s="47">
        <v>2045</v>
      </c>
      <c r="L13" s="47">
        <v>2050</v>
      </c>
    </row>
    <row r="14" spans="2:17">
      <c r="B14" s="58" t="s">
        <v>93</v>
      </c>
      <c r="C14" s="41" t="s">
        <v>339</v>
      </c>
      <c r="D14" s="41" t="s">
        <v>340</v>
      </c>
      <c r="E14" s="111">
        <f t="shared" ref="E14:L14" si="0">SUM(E19:E22)</f>
        <v>1621.0276644729856</v>
      </c>
      <c r="F14" s="111">
        <f t="shared" si="0"/>
        <v>1243.869308735701</v>
      </c>
      <c r="G14" s="111">
        <f t="shared" si="0"/>
        <v>1971.1080043114634</v>
      </c>
      <c r="H14" s="111">
        <f t="shared" si="0"/>
        <v>3807.4509993535362</v>
      </c>
      <c r="I14" s="111">
        <f t="shared" si="0"/>
        <v>2800.1837944863564</v>
      </c>
      <c r="J14" s="111">
        <f t="shared" si="0"/>
        <v>3312.8167225308689</v>
      </c>
      <c r="K14" s="111">
        <f t="shared" si="0"/>
        <v>4344.0051654447561</v>
      </c>
      <c r="L14" s="111">
        <f t="shared" si="0"/>
        <v>6175.4897685924398</v>
      </c>
    </row>
    <row r="15" spans="2:17">
      <c r="C15" s="41" t="s">
        <v>307</v>
      </c>
      <c r="D15" s="41" t="s">
        <v>340</v>
      </c>
      <c r="E15" s="112">
        <f>E23</f>
        <v>422.80969921890443</v>
      </c>
      <c r="F15" s="112">
        <f t="shared" ref="F15:L15" si="1">F23</f>
        <v>594.68566931403745</v>
      </c>
      <c r="G15" s="112">
        <f t="shared" si="1"/>
        <v>1064.5892278117151</v>
      </c>
      <c r="H15" s="112">
        <f t="shared" si="1"/>
        <v>1973.5617096490064</v>
      </c>
      <c r="I15" s="112">
        <f t="shared" si="1"/>
        <v>2391.4626644002437</v>
      </c>
      <c r="J15" s="112">
        <f t="shared" si="1"/>
        <v>2887.1609918813706</v>
      </c>
      <c r="K15" s="112">
        <f t="shared" si="1"/>
        <v>3491.0301625240195</v>
      </c>
      <c r="L15" s="112">
        <f t="shared" si="1"/>
        <v>4156.8375318133831</v>
      </c>
    </row>
    <row r="17" spans="3:16" ht="14.5">
      <c r="C17" s="45" t="s">
        <v>341</v>
      </c>
    </row>
    <row r="18" spans="3:16">
      <c r="C18" s="47" t="s">
        <v>283</v>
      </c>
      <c r="D18" s="47" t="s">
        <v>24</v>
      </c>
      <c r="E18" s="47">
        <v>2015</v>
      </c>
      <c r="F18" s="47">
        <v>2020</v>
      </c>
      <c r="G18" s="47">
        <v>2025</v>
      </c>
      <c r="H18" s="47">
        <v>2030</v>
      </c>
      <c r="I18" s="47">
        <v>2035</v>
      </c>
      <c r="J18" s="47">
        <v>2040</v>
      </c>
      <c r="K18" s="47">
        <v>2045</v>
      </c>
      <c r="L18" s="47">
        <v>2050</v>
      </c>
    </row>
    <row r="19" spans="3:16">
      <c r="C19" s="48" t="s">
        <v>285</v>
      </c>
      <c r="D19" s="41" t="s">
        <v>340</v>
      </c>
      <c r="E19" s="110">
        <f>'Tech costs (2)'!I19*D$36</f>
        <v>671.92856558465735</v>
      </c>
      <c r="F19" s="110">
        <f>'Tech costs (2)'!J19*E$36</f>
        <v>515.5934958489953</v>
      </c>
      <c r="G19" s="110">
        <f>'Tech costs (2)'!K19*F$36</f>
        <v>817.03958727936322</v>
      </c>
      <c r="H19" s="110">
        <f>'Tech costs (2)'!L19*G$36</f>
        <v>1578.2180308201187</v>
      </c>
      <c r="I19" s="110">
        <f>'Tech costs (2)'!M19*H$36</f>
        <v>1160.6979459010804</v>
      </c>
      <c r="J19" s="110">
        <f>'Tech costs (2)'!N19*I$36</f>
        <v>1373.1882787692721</v>
      </c>
      <c r="K19" s="110">
        <f>'Tech costs (2)'!O19*J$36</f>
        <v>1800.6239027750287</v>
      </c>
      <c r="L19" s="110">
        <f>'Tech costs (2)'!P19*K$36</f>
        <v>2559.7885051160374</v>
      </c>
    </row>
    <row r="20" spans="3:16">
      <c r="C20" s="41" t="s">
        <v>327</v>
      </c>
      <c r="D20" s="41" t="s">
        <v>340</v>
      </c>
      <c r="E20" s="110">
        <f>'Tech costs (2)'!I20*D$36</f>
        <v>487.14821004887648</v>
      </c>
      <c r="F20" s="110">
        <f>'Tech costs (2)'!J20*E$36</f>
        <v>373.80528449052156</v>
      </c>
      <c r="G20" s="110">
        <f>'Tech costs (2)'!K20*F$36</f>
        <v>592.35370077753828</v>
      </c>
      <c r="H20" s="110">
        <f>'Tech costs (2)'!L20*G$36</f>
        <v>1144.2080723445858</v>
      </c>
      <c r="I20" s="110">
        <f>'Tech costs (2)'!M20*H$36</f>
        <v>841.50601077828321</v>
      </c>
      <c r="J20" s="110">
        <f>'Tech costs (2)'!N20*I$36</f>
        <v>995.56150210772216</v>
      </c>
      <c r="K20" s="110">
        <f>'Tech costs (2)'!O20*J$36</f>
        <v>1305.4523295118956</v>
      </c>
      <c r="L20" s="110">
        <f>'Tech costs (2)'!P20*K$36</f>
        <v>1855.8466662091269</v>
      </c>
    </row>
    <row r="21" spans="3:16" ht="15" customHeight="1">
      <c r="C21" s="41" t="s">
        <v>320</v>
      </c>
      <c r="D21" s="41" t="s">
        <v>340</v>
      </c>
      <c r="E21" s="110">
        <f>'Tech costs (2)'!I21*D$36</f>
        <v>142.78482018673967</v>
      </c>
      <c r="F21" s="110">
        <f>'Tech costs (2)'!J21*E$36</f>
        <v>109.56361786791149</v>
      </c>
      <c r="G21" s="110">
        <f>'Tech costs (2)'!K21*F$36</f>
        <v>173.62091229686465</v>
      </c>
      <c r="H21" s="110">
        <f>'Tech costs (2)'!L21*G$36</f>
        <v>335.37133154927517</v>
      </c>
      <c r="I21" s="110">
        <f>'Tech costs (2)'!M21*H$36</f>
        <v>246.64831350397958</v>
      </c>
      <c r="J21" s="110">
        <f>'Tech costs (2)'!N21*I$36</f>
        <v>291.80250923847029</v>
      </c>
      <c r="K21" s="110">
        <f>'Tech costs (2)'!O21*J$36</f>
        <v>382.63257933969351</v>
      </c>
      <c r="L21" s="110">
        <f>'Tech costs (2)'!P21*K$36</f>
        <v>543.95505733715788</v>
      </c>
    </row>
    <row r="22" spans="3:16">
      <c r="C22" s="41" t="s">
        <v>317</v>
      </c>
      <c r="D22" s="41" t="s">
        <v>340</v>
      </c>
      <c r="E22" s="110">
        <f>'Tech costs (2)'!I22*D$36</f>
        <v>319.16606865271223</v>
      </c>
      <c r="F22" s="110">
        <f>'Tech costs (2)'!J22*E$36</f>
        <v>244.90691052827276</v>
      </c>
      <c r="G22" s="110">
        <f>'Tech costs (2)'!K22*F$36</f>
        <v>388.09380395769745</v>
      </c>
      <c r="H22" s="110">
        <f>'Tech costs (2)'!L22*G$36</f>
        <v>749.65356463955629</v>
      </c>
      <c r="I22" s="110">
        <f>'Tech costs (2)'!M22*H$36</f>
        <v>551.33152430301311</v>
      </c>
      <c r="J22" s="110">
        <f>'Tech costs (2)'!N22*I$36</f>
        <v>652.26443241540426</v>
      </c>
      <c r="K22" s="110">
        <f>'Tech costs (2)'!O22*J$36</f>
        <v>855.29635381813853</v>
      </c>
      <c r="L22" s="110">
        <f>'Tech costs (2)'!P22*K$36</f>
        <v>1215.8995399301175</v>
      </c>
    </row>
    <row r="23" spans="3:16">
      <c r="C23" s="105" t="s">
        <v>280</v>
      </c>
      <c r="D23" s="41" t="s">
        <v>340</v>
      </c>
      <c r="E23" s="112">
        <f>'Tech costs (2)'!I24*'Deployment (2)'!Y27</f>
        <v>422.80969921890443</v>
      </c>
      <c r="F23" s="112">
        <f>'Tech costs (2)'!J24*'Deployment (2)'!Z27</f>
        <v>594.68566931403745</v>
      </c>
      <c r="G23" s="112">
        <f>'Tech costs (2)'!K24*'Deployment (2)'!AA27</f>
        <v>1064.5892278117151</v>
      </c>
      <c r="H23" s="112">
        <f>'Tech costs (2)'!L24*'Deployment (2)'!AB27</f>
        <v>1973.5617096490064</v>
      </c>
      <c r="I23" s="112">
        <f>'Tech costs (2)'!M24*'Deployment (2)'!AC27</f>
        <v>2391.4626644002437</v>
      </c>
      <c r="J23" s="112">
        <f>'Tech costs (2)'!N24*'Deployment (2)'!AD27</f>
        <v>2887.1609918813706</v>
      </c>
      <c r="K23" s="112">
        <f>'Tech costs (2)'!O24*'Deployment (2)'!AE27</f>
        <v>3491.0301625240195</v>
      </c>
      <c r="L23" s="112">
        <f>'Tech costs (2)'!P24*'Deployment (2)'!AF27</f>
        <v>4156.8375318133831</v>
      </c>
    </row>
    <row r="24" spans="3:16">
      <c r="J24" s="102"/>
      <c r="K24" s="102"/>
      <c r="L24" s="102"/>
      <c r="M24" s="102"/>
      <c r="N24" s="102"/>
      <c r="O24" s="102"/>
      <c r="P24" s="102"/>
    </row>
    <row r="34" spans="3:12">
      <c r="C34" s="1" t="s">
        <v>345</v>
      </c>
    </row>
    <row r="35" spans="3:12">
      <c r="D35" s="1">
        <v>2015</v>
      </c>
      <c r="E35" s="1">
        <v>2020</v>
      </c>
      <c r="F35" s="1">
        <v>2025</v>
      </c>
      <c r="G35" s="1">
        <v>2030</v>
      </c>
      <c r="H35" s="1">
        <v>2035</v>
      </c>
      <c r="I35" s="1">
        <v>2040</v>
      </c>
      <c r="J35" s="1">
        <v>2045</v>
      </c>
      <c r="K35" s="1">
        <v>2050</v>
      </c>
    </row>
    <row r="36" spans="3:12">
      <c r="C36" s="1" t="s">
        <v>550</v>
      </c>
      <c r="D36" s="259">
        <f t="shared" ref="D36:K36" si="2">C73</f>
        <v>24.739637908124347</v>
      </c>
      <c r="E36" s="259">
        <f t="shared" si="2"/>
        <v>29.700086166416778</v>
      </c>
      <c r="F36" s="259">
        <f t="shared" si="2"/>
        <v>48.475144714210259</v>
      </c>
      <c r="G36" s="259">
        <f t="shared" si="2"/>
        <v>96.529283327616881</v>
      </c>
      <c r="H36" s="259">
        <f t="shared" si="2"/>
        <v>73.468784085074006</v>
      </c>
      <c r="I36" s="259">
        <f t="shared" si="2"/>
        <v>90.060443856321285</v>
      </c>
      <c r="J36" s="259">
        <f t="shared" si="2"/>
        <v>122.52229177148632</v>
      </c>
      <c r="K36" s="259">
        <f t="shared" si="2"/>
        <v>180.96535829004245</v>
      </c>
    </row>
    <row r="37" spans="3:12">
      <c r="C37" s="229" t="s">
        <v>551</v>
      </c>
      <c r="D37" s="259">
        <f>L73</f>
        <v>123.69818954062178</v>
      </c>
      <c r="E37" s="259">
        <f t="shared" ref="E37:K37" si="3">M73</f>
        <v>272.19862037270565</v>
      </c>
      <c r="F37" s="259">
        <f t="shared" si="3"/>
        <v>501.88735014471877</v>
      </c>
      <c r="G37" s="259">
        <f t="shared" si="3"/>
        <v>959.15977918472697</v>
      </c>
      <c r="H37" s="259">
        <f t="shared" si="3"/>
        <v>1202.8055100694751</v>
      </c>
      <c r="I37" s="259">
        <f t="shared" si="3"/>
        <v>1085.9330848756724</v>
      </c>
      <c r="J37" s="259">
        <f t="shared" si="3"/>
        <v>1887.5300276044165</v>
      </c>
      <c r="K37" s="259">
        <f t="shared" si="3"/>
        <v>2335.0843900146206</v>
      </c>
    </row>
    <row r="38" spans="3:12">
      <c r="C38" s="229"/>
    </row>
    <row r="39" spans="3:12">
      <c r="C39" s="229"/>
    </row>
    <row r="40" spans="3:12">
      <c r="C40" s="1" t="s">
        <v>352</v>
      </c>
      <c r="D40" s="229">
        <f>(1.1)^20</f>
        <v>6.7274999493256091</v>
      </c>
    </row>
    <row r="41" spans="3:12">
      <c r="C41" s="229"/>
    </row>
    <row r="43" spans="3:12" s="140" customFormat="1"/>
    <row r="48" spans="3:12">
      <c r="C48" s="1" t="s">
        <v>550</v>
      </c>
      <c r="L48" s="1" t="s">
        <v>551</v>
      </c>
    </row>
    <row r="50" spans="2:19">
      <c r="C50" s="1">
        <v>2015</v>
      </c>
      <c r="D50" s="1">
        <v>2020</v>
      </c>
      <c r="E50" s="1">
        <v>2025</v>
      </c>
      <c r="F50" s="1">
        <v>2030</v>
      </c>
      <c r="G50" s="1">
        <v>2035</v>
      </c>
      <c r="H50" s="1">
        <v>2040</v>
      </c>
      <c r="I50" s="1">
        <v>2045</v>
      </c>
      <c r="J50" s="1">
        <v>2050</v>
      </c>
      <c r="L50" s="1">
        <v>2015</v>
      </c>
      <c r="M50" s="1">
        <v>2020</v>
      </c>
      <c r="N50" s="1">
        <v>2025</v>
      </c>
      <c r="O50" s="1">
        <v>2030</v>
      </c>
      <c r="P50" s="1">
        <v>2035</v>
      </c>
      <c r="Q50" s="1">
        <v>2040</v>
      </c>
      <c r="R50" s="1">
        <v>2045</v>
      </c>
      <c r="S50" s="1">
        <v>2050</v>
      </c>
    </row>
    <row r="51" spans="2:19">
      <c r="B51" s="1">
        <v>1</v>
      </c>
      <c r="C51" s="46">
        <f>'Deployment (2)'!I27</f>
        <v>2.9059085856969378</v>
      </c>
      <c r="D51" s="46">
        <f>'Deployment (2)'!J27</f>
        <v>3.4885609768195947</v>
      </c>
      <c r="E51" s="46">
        <f>'Deployment (2)'!K27</f>
        <v>5.6938723089259975</v>
      </c>
      <c r="F51" s="46">
        <f>'Deployment (2)'!L27</f>
        <v>11.338293399224646</v>
      </c>
      <c r="G51" s="46">
        <f>'Deployment (2)'!M27</f>
        <v>8.6296158111279855</v>
      </c>
      <c r="H51" s="46">
        <f>'Deployment (2)'!N27</f>
        <v>10.578465942212432</v>
      </c>
      <c r="I51" s="46">
        <f>'Deployment (2)'!O27</f>
        <v>14.391422417751169</v>
      </c>
      <c r="J51" s="46">
        <f>'Deployment (2)'!P27</f>
        <v>21.256123081577709</v>
      </c>
      <c r="K51" s="186">
        <v>1</v>
      </c>
      <c r="L51" s="46">
        <f>'Deployment (2)'!Y27</f>
        <v>14.529542928484689</v>
      </c>
      <c r="M51" s="46">
        <f>'Deployment (2)'!Z27</f>
        <v>31.972347812582662</v>
      </c>
      <c r="N51" s="46">
        <f>'Deployment (2)'!AA27</f>
        <v>58.951499826086014</v>
      </c>
      <c r="O51" s="46">
        <f>'Deployment (2)'!AB27</f>
        <v>112.66254775995597</v>
      </c>
      <c r="P51" s="46">
        <f>'Deployment (2)'!AC27</f>
        <v>141.28108388711121</v>
      </c>
      <c r="Q51" s="46">
        <f>'Deployment (2)'!AD27</f>
        <v>176.7306087140754</v>
      </c>
      <c r="R51" s="46">
        <f>'Deployment (2)'!AE27</f>
        <v>221.7085687893279</v>
      </c>
      <c r="S51" s="46">
        <f>'Deployment (2)'!AF27</f>
        <v>274.27813626334648</v>
      </c>
    </row>
    <row r="52" spans="2:19">
      <c r="B52" s="1">
        <f>1+B51</f>
        <v>2</v>
      </c>
      <c r="C52" s="46">
        <f>C51</f>
        <v>2.9059085856969378</v>
      </c>
      <c r="D52" s="46">
        <f t="shared" ref="D52:J67" si="4">D51</f>
        <v>3.4885609768195947</v>
      </c>
      <c r="E52" s="46">
        <f t="shared" si="4"/>
        <v>5.6938723089259975</v>
      </c>
      <c r="F52" s="46">
        <f t="shared" si="4"/>
        <v>11.338293399224646</v>
      </c>
      <c r="G52" s="46">
        <f t="shared" si="4"/>
        <v>8.6296158111279855</v>
      </c>
      <c r="H52" s="46">
        <f t="shared" si="4"/>
        <v>10.578465942212432</v>
      </c>
      <c r="I52" s="46">
        <f t="shared" si="4"/>
        <v>14.391422417751169</v>
      </c>
      <c r="J52" s="46">
        <f t="shared" si="4"/>
        <v>21.256123081577709</v>
      </c>
      <c r="K52" s="186">
        <v>2</v>
      </c>
      <c r="L52" s="46">
        <f>L51</f>
        <v>14.529542928484689</v>
      </c>
      <c r="M52" s="46">
        <f t="shared" ref="M52:S67" si="5">M51</f>
        <v>31.972347812582662</v>
      </c>
      <c r="N52" s="46">
        <f t="shared" si="5"/>
        <v>58.951499826086014</v>
      </c>
      <c r="O52" s="46">
        <f t="shared" si="5"/>
        <v>112.66254775995597</v>
      </c>
      <c r="P52" s="46">
        <f t="shared" si="5"/>
        <v>141.28108388711121</v>
      </c>
      <c r="Q52" s="46">
        <f t="shared" si="5"/>
        <v>176.7306087140754</v>
      </c>
      <c r="R52" s="46">
        <f t="shared" si="5"/>
        <v>221.7085687893279</v>
      </c>
      <c r="S52" s="46">
        <f t="shared" si="5"/>
        <v>274.27813626334648</v>
      </c>
    </row>
    <row r="53" spans="2:19">
      <c r="B53" s="1">
        <f t="shared" ref="B53:B70" si="6">1+B52</f>
        <v>3</v>
      </c>
      <c r="C53" s="46">
        <f t="shared" ref="C53:J68" si="7">C52</f>
        <v>2.9059085856969378</v>
      </c>
      <c r="D53" s="46">
        <f t="shared" si="4"/>
        <v>3.4885609768195947</v>
      </c>
      <c r="E53" s="46">
        <f t="shared" si="4"/>
        <v>5.6938723089259975</v>
      </c>
      <c r="F53" s="46">
        <f t="shared" si="4"/>
        <v>11.338293399224646</v>
      </c>
      <c r="G53" s="46">
        <f t="shared" si="4"/>
        <v>8.6296158111279855</v>
      </c>
      <c r="H53" s="46">
        <f t="shared" si="4"/>
        <v>10.578465942212432</v>
      </c>
      <c r="I53" s="46">
        <f t="shared" si="4"/>
        <v>14.391422417751169</v>
      </c>
      <c r="J53" s="46">
        <f t="shared" si="4"/>
        <v>21.256123081577709</v>
      </c>
      <c r="K53" s="186">
        <v>3</v>
      </c>
      <c r="L53" s="46">
        <f t="shared" ref="L53:S68" si="8">L52</f>
        <v>14.529542928484689</v>
      </c>
      <c r="M53" s="46">
        <f t="shared" si="5"/>
        <v>31.972347812582662</v>
      </c>
      <c r="N53" s="46">
        <f t="shared" si="5"/>
        <v>58.951499826086014</v>
      </c>
      <c r="O53" s="46">
        <f t="shared" si="5"/>
        <v>112.66254775995597</v>
      </c>
      <c r="P53" s="46">
        <f t="shared" si="5"/>
        <v>141.28108388711121</v>
      </c>
      <c r="Q53" s="46">
        <f t="shared" si="5"/>
        <v>176.7306087140754</v>
      </c>
      <c r="R53" s="46">
        <f t="shared" si="5"/>
        <v>221.7085687893279</v>
      </c>
      <c r="S53" s="46">
        <f t="shared" si="5"/>
        <v>274.27813626334648</v>
      </c>
    </row>
    <row r="54" spans="2:19">
      <c r="B54" s="1">
        <f t="shared" si="6"/>
        <v>4</v>
      </c>
      <c r="C54" s="46">
        <f t="shared" si="7"/>
        <v>2.9059085856969378</v>
      </c>
      <c r="D54" s="46">
        <f t="shared" si="4"/>
        <v>3.4885609768195947</v>
      </c>
      <c r="E54" s="46">
        <f t="shared" si="4"/>
        <v>5.6938723089259975</v>
      </c>
      <c r="F54" s="46">
        <f t="shared" si="4"/>
        <v>11.338293399224646</v>
      </c>
      <c r="G54" s="46">
        <f t="shared" si="4"/>
        <v>8.6296158111279855</v>
      </c>
      <c r="H54" s="46">
        <f t="shared" si="4"/>
        <v>10.578465942212432</v>
      </c>
      <c r="I54" s="46">
        <f t="shared" si="4"/>
        <v>14.391422417751169</v>
      </c>
      <c r="J54" s="46">
        <f t="shared" si="4"/>
        <v>21.256123081577709</v>
      </c>
      <c r="K54" s="186">
        <v>4</v>
      </c>
      <c r="L54" s="46">
        <f t="shared" si="8"/>
        <v>14.529542928484689</v>
      </c>
      <c r="M54" s="46">
        <f t="shared" si="5"/>
        <v>31.972347812582662</v>
      </c>
      <c r="N54" s="46">
        <f t="shared" si="5"/>
        <v>58.951499826086014</v>
      </c>
      <c r="O54" s="46">
        <f t="shared" si="5"/>
        <v>112.66254775995597</v>
      </c>
      <c r="P54" s="46">
        <f t="shared" si="5"/>
        <v>141.28108388711121</v>
      </c>
      <c r="Q54" s="46">
        <f t="shared" si="5"/>
        <v>176.7306087140754</v>
      </c>
      <c r="R54" s="46">
        <f t="shared" si="5"/>
        <v>221.7085687893279</v>
      </c>
      <c r="S54" s="46">
        <f t="shared" si="5"/>
        <v>274.27813626334648</v>
      </c>
    </row>
    <row r="55" spans="2:19">
      <c r="B55" s="1">
        <f t="shared" si="6"/>
        <v>5</v>
      </c>
      <c r="C55" s="46">
        <f t="shared" si="7"/>
        <v>2.9059085856969378</v>
      </c>
      <c r="D55" s="46">
        <f t="shared" si="4"/>
        <v>3.4885609768195947</v>
      </c>
      <c r="E55" s="46">
        <f t="shared" si="4"/>
        <v>5.6938723089259975</v>
      </c>
      <c r="F55" s="46">
        <f t="shared" si="4"/>
        <v>11.338293399224646</v>
      </c>
      <c r="G55" s="46">
        <f t="shared" si="4"/>
        <v>8.6296158111279855</v>
      </c>
      <c r="H55" s="46">
        <f t="shared" si="4"/>
        <v>10.578465942212432</v>
      </c>
      <c r="I55" s="46">
        <f t="shared" si="4"/>
        <v>14.391422417751169</v>
      </c>
      <c r="J55" s="46">
        <f t="shared" si="4"/>
        <v>21.256123081577709</v>
      </c>
      <c r="K55" s="186">
        <v>5</v>
      </c>
      <c r="L55" s="46">
        <f t="shared" si="8"/>
        <v>14.529542928484689</v>
      </c>
      <c r="M55" s="46">
        <f t="shared" si="5"/>
        <v>31.972347812582662</v>
      </c>
      <c r="N55" s="46">
        <f t="shared" si="5"/>
        <v>58.951499826086014</v>
      </c>
      <c r="O55" s="46">
        <f t="shared" si="5"/>
        <v>112.66254775995597</v>
      </c>
      <c r="P55" s="46">
        <f t="shared" si="5"/>
        <v>141.28108388711121</v>
      </c>
      <c r="Q55" s="46">
        <f t="shared" si="5"/>
        <v>176.7306087140754</v>
      </c>
      <c r="R55" s="46">
        <f t="shared" si="5"/>
        <v>221.7085687893279</v>
      </c>
      <c r="S55" s="46">
        <f t="shared" si="5"/>
        <v>274.27813626334648</v>
      </c>
    </row>
    <row r="56" spans="2:19">
      <c r="B56" s="1">
        <f t="shared" si="6"/>
        <v>6</v>
      </c>
      <c r="C56" s="46">
        <f t="shared" si="7"/>
        <v>2.9059085856969378</v>
      </c>
      <c r="D56" s="46">
        <f t="shared" si="4"/>
        <v>3.4885609768195947</v>
      </c>
      <c r="E56" s="46">
        <f t="shared" si="4"/>
        <v>5.6938723089259975</v>
      </c>
      <c r="F56" s="46">
        <f t="shared" si="4"/>
        <v>11.338293399224646</v>
      </c>
      <c r="G56" s="46">
        <f t="shared" si="4"/>
        <v>8.6296158111279855</v>
      </c>
      <c r="H56" s="46">
        <f t="shared" si="4"/>
        <v>10.578465942212432</v>
      </c>
      <c r="I56" s="46">
        <f t="shared" si="4"/>
        <v>14.391422417751169</v>
      </c>
      <c r="J56" s="46">
        <f t="shared" si="4"/>
        <v>21.256123081577709</v>
      </c>
      <c r="K56" s="186">
        <v>6</v>
      </c>
      <c r="L56" s="46">
        <f t="shared" si="8"/>
        <v>14.529542928484689</v>
      </c>
      <c r="M56" s="46">
        <f t="shared" si="5"/>
        <v>31.972347812582662</v>
      </c>
      <c r="N56" s="46">
        <f t="shared" si="5"/>
        <v>58.951499826086014</v>
      </c>
      <c r="O56" s="46">
        <f t="shared" si="5"/>
        <v>112.66254775995597</v>
      </c>
      <c r="P56" s="46">
        <f t="shared" si="5"/>
        <v>141.28108388711121</v>
      </c>
      <c r="Q56" s="46">
        <f t="shared" si="5"/>
        <v>176.7306087140754</v>
      </c>
      <c r="R56" s="46">
        <f t="shared" si="5"/>
        <v>221.7085687893279</v>
      </c>
      <c r="S56" s="46">
        <f t="shared" si="5"/>
        <v>274.27813626334648</v>
      </c>
    </row>
    <row r="57" spans="2:19">
      <c r="B57" s="1">
        <f t="shared" si="6"/>
        <v>7</v>
      </c>
      <c r="C57" s="46">
        <f t="shared" si="7"/>
        <v>2.9059085856969378</v>
      </c>
      <c r="D57" s="46">
        <f t="shared" si="4"/>
        <v>3.4885609768195947</v>
      </c>
      <c r="E57" s="46">
        <f t="shared" si="4"/>
        <v>5.6938723089259975</v>
      </c>
      <c r="F57" s="46">
        <f t="shared" si="4"/>
        <v>11.338293399224646</v>
      </c>
      <c r="G57" s="46">
        <f t="shared" si="4"/>
        <v>8.6296158111279855</v>
      </c>
      <c r="H57" s="46">
        <f t="shared" si="4"/>
        <v>10.578465942212432</v>
      </c>
      <c r="I57" s="46">
        <f t="shared" si="4"/>
        <v>14.391422417751169</v>
      </c>
      <c r="J57" s="46">
        <f t="shared" si="4"/>
        <v>21.256123081577709</v>
      </c>
      <c r="K57" s="186">
        <v>7</v>
      </c>
      <c r="L57" s="46">
        <f t="shared" si="8"/>
        <v>14.529542928484689</v>
      </c>
      <c r="M57" s="46">
        <f t="shared" si="5"/>
        <v>31.972347812582662</v>
      </c>
      <c r="N57" s="46">
        <f t="shared" si="5"/>
        <v>58.951499826086014</v>
      </c>
      <c r="O57" s="46">
        <f t="shared" si="5"/>
        <v>112.66254775995597</v>
      </c>
      <c r="P57" s="46">
        <f t="shared" si="5"/>
        <v>141.28108388711121</v>
      </c>
      <c r="Q57" s="46">
        <f t="shared" si="5"/>
        <v>176.7306087140754</v>
      </c>
      <c r="R57" s="46">
        <f t="shared" si="5"/>
        <v>221.7085687893279</v>
      </c>
      <c r="S57" s="46">
        <f t="shared" si="5"/>
        <v>274.27813626334648</v>
      </c>
    </row>
    <row r="58" spans="2:19">
      <c r="B58" s="1">
        <f t="shared" si="6"/>
        <v>8</v>
      </c>
      <c r="C58" s="46">
        <f t="shared" si="7"/>
        <v>2.9059085856969378</v>
      </c>
      <c r="D58" s="46">
        <f t="shared" si="4"/>
        <v>3.4885609768195947</v>
      </c>
      <c r="E58" s="46">
        <f t="shared" si="4"/>
        <v>5.6938723089259975</v>
      </c>
      <c r="F58" s="46">
        <f t="shared" si="4"/>
        <v>11.338293399224646</v>
      </c>
      <c r="G58" s="46">
        <f t="shared" si="4"/>
        <v>8.6296158111279855</v>
      </c>
      <c r="H58" s="46">
        <f t="shared" si="4"/>
        <v>10.578465942212432</v>
      </c>
      <c r="I58" s="46">
        <f t="shared" si="4"/>
        <v>14.391422417751169</v>
      </c>
      <c r="J58" s="46">
        <f t="shared" si="4"/>
        <v>21.256123081577709</v>
      </c>
      <c r="K58" s="186">
        <v>8</v>
      </c>
      <c r="L58" s="46">
        <f t="shared" si="8"/>
        <v>14.529542928484689</v>
      </c>
      <c r="M58" s="46">
        <f t="shared" si="5"/>
        <v>31.972347812582662</v>
      </c>
      <c r="N58" s="46">
        <f t="shared" si="5"/>
        <v>58.951499826086014</v>
      </c>
      <c r="O58" s="46">
        <f t="shared" si="5"/>
        <v>112.66254775995597</v>
      </c>
      <c r="P58" s="46">
        <f t="shared" si="5"/>
        <v>141.28108388711121</v>
      </c>
      <c r="Q58" s="46">
        <f t="shared" si="5"/>
        <v>176.7306087140754</v>
      </c>
      <c r="R58" s="46">
        <f t="shared" si="5"/>
        <v>221.7085687893279</v>
      </c>
      <c r="S58" s="46">
        <f t="shared" si="5"/>
        <v>274.27813626334648</v>
      </c>
    </row>
    <row r="59" spans="2:19">
      <c r="B59" s="1">
        <f t="shared" si="6"/>
        <v>9</v>
      </c>
      <c r="C59" s="46">
        <f t="shared" si="7"/>
        <v>2.9059085856969378</v>
      </c>
      <c r="D59" s="46">
        <f t="shared" si="4"/>
        <v>3.4885609768195947</v>
      </c>
      <c r="E59" s="46">
        <f t="shared" si="4"/>
        <v>5.6938723089259975</v>
      </c>
      <c r="F59" s="46">
        <f t="shared" si="4"/>
        <v>11.338293399224646</v>
      </c>
      <c r="G59" s="46">
        <f t="shared" si="4"/>
        <v>8.6296158111279855</v>
      </c>
      <c r="H59" s="46">
        <f t="shared" si="4"/>
        <v>10.578465942212432</v>
      </c>
      <c r="I59" s="46">
        <f t="shared" si="4"/>
        <v>14.391422417751169</v>
      </c>
      <c r="J59" s="46">
        <f t="shared" si="4"/>
        <v>21.256123081577709</v>
      </c>
      <c r="K59" s="186">
        <v>9</v>
      </c>
      <c r="L59" s="46">
        <f t="shared" si="8"/>
        <v>14.529542928484689</v>
      </c>
      <c r="M59" s="46">
        <f t="shared" si="5"/>
        <v>31.972347812582662</v>
      </c>
      <c r="N59" s="46">
        <f t="shared" si="5"/>
        <v>58.951499826086014</v>
      </c>
      <c r="O59" s="46">
        <f t="shared" si="5"/>
        <v>112.66254775995597</v>
      </c>
      <c r="P59" s="46">
        <f t="shared" si="5"/>
        <v>141.28108388711121</v>
      </c>
      <c r="Q59" s="46">
        <f t="shared" si="5"/>
        <v>176.7306087140754</v>
      </c>
      <c r="R59" s="46">
        <f t="shared" si="5"/>
        <v>221.7085687893279</v>
      </c>
      <c r="S59" s="46">
        <f t="shared" si="5"/>
        <v>274.27813626334648</v>
      </c>
    </row>
    <row r="60" spans="2:19">
      <c r="B60" s="1">
        <f t="shared" si="6"/>
        <v>10</v>
      </c>
      <c r="C60" s="46">
        <f t="shared" si="7"/>
        <v>2.9059085856969378</v>
      </c>
      <c r="D60" s="46">
        <f t="shared" si="4"/>
        <v>3.4885609768195947</v>
      </c>
      <c r="E60" s="46">
        <f t="shared" si="4"/>
        <v>5.6938723089259975</v>
      </c>
      <c r="F60" s="46">
        <f t="shared" si="4"/>
        <v>11.338293399224646</v>
      </c>
      <c r="G60" s="46">
        <f t="shared" si="4"/>
        <v>8.6296158111279855</v>
      </c>
      <c r="H60" s="46">
        <f t="shared" si="4"/>
        <v>10.578465942212432</v>
      </c>
      <c r="I60" s="46">
        <f t="shared" si="4"/>
        <v>14.391422417751169</v>
      </c>
      <c r="J60" s="46">
        <f t="shared" si="4"/>
        <v>21.256123081577709</v>
      </c>
      <c r="K60" s="186">
        <v>10</v>
      </c>
      <c r="L60" s="46">
        <f t="shared" si="8"/>
        <v>14.529542928484689</v>
      </c>
      <c r="M60" s="46">
        <f t="shared" si="5"/>
        <v>31.972347812582662</v>
      </c>
      <c r="N60" s="46">
        <f t="shared" si="5"/>
        <v>58.951499826086014</v>
      </c>
      <c r="O60" s="46">
        <f t="shared" si="5"/>
        <v>112.66254775995597</v>
      </c>
      <c r="P60" s="46">
        <f t="shared" si="5"/>
        <v>141.28108388711121</v>
      </c>
      <c r="Q60" s="46">
        <f t="shared" si="5"/>
        <v>176.7306087140754</v>
      </c>
      <c r="R60" s="46">
        <f t="shared" si="5"/>
        <v>221.7085687893279</v>
      </c>
      <c r="S60" s="46">
        <f t="shared" si="5"/>
        <v>274.27813626334648</v>
      </c>
    </row>
    <row r="61" spans="2:19">
      <c r="B61" s="1">
        <f t="shared" si="6"/>
        <v>11</v>
      </c>
      <c r="C61" s="46">
        <f t="shared" si="7"/>
        <v>2.9059085856969378</v>
      </c>
      <c r="D61" s="46">
        <f t="shared" si="4"/>
        <v>3.4885609768195947</v>
      </c>
      <c r="E61" s="46">
        <f t="shared" si="4"/>
        <v>5.6938723089259975</v>
      </c>
      <c r="F61" s="46">
        <f t="shared" si="4"/>
        <v>11.338293399224646</v>
      </c>
      <c r="G61" s="46">
        <f t="shared" si="4"/>
        <v>8.6296158111279855</v>
      </c>
      <c r="H61" s="46">
        <f t="shared" si="4"/>
        <v>10.578465942212432</v>
      </c>
      <c r="I61" s="46">
        <f t="shared" si="4"/>
        <v>14.391422417751169</v>
      </c>
      <c r="J61" s="46">
        <f t="shared" si="4"/>
        <v>21.256123081577709</v>
      </c>
      <c r="K61" s="186">
        <v>11</v>
      </c>
      <c r="L61" s="46">
        <f t="shared" si="8"/>
        <v>14.529542928484689</v>
      </c>
      <c r="M61" s="46">
        <f t="shared" si="5"/>
        <v>31.972347812582662</v>
      </c>
      <c r="N61" s="46">
        <f t="shared" si="5"/>
        <v>58.951499826086014</v>
      </c>
      <c r="O61" s="46">
        <f t="shared" si="5"/>
        <v>112.66254775995597</v>
      </c>
      <c r="P61" s="46">
        <f t="shared" si="5"/>
        <v>141.28108388711121</v>
      </c>
      <c r="Q61" s="46"/>
      <c r="R61" s="46">
        <f t="shared" si="5"/>
        <v>221.7085687893279</v>
      </c>
      <c r="S61" s="46">
        <f t="shared" si="5"/>
        <v>274.27813626334648</v>
      </c>
    </row>
    <row r="62" spans="2:19">
      <c r="B62" s="1">
        <f t="shared" si="6"/>
        <v>12</v>
      </c>
      <c r="C62" s="46">
        <f t="shared" si="7"/>
        <v>2.9059085856969378</v>
      </c>
      <c r="D62" s="46">
        <f t="shared" si="4"/>
        <v>3.4885609768195947</v>
      </c>
      <c r="E62" s="46">
        <f t="shared" si="4"/>
        <v>5.6938723089259975</v>
      </c>
      <c r="F62" s="46">
        <f t="shared" si="4"/>
        <v>11.338293399224646</v>
      </c>
      <c r="G62" s="46">
        <f t="shared" si="4"/>
        <v>8.6296158111279855</v>
      </c>
      <c r="H62" s="46">
        <f t="shared" si="4"/>
        <v>10.578465942212432</v>
      </c>
      <c r="I62" s="46">
        <f t="shared" si="4"/>
        <v>14.391422417751169</v>
      </c>
      <c r="J62" s="46">
        <f t="shared" si="4"/>
        <v>21.256123081577709</v>
      </c>
      <c r="K62" s="186">
        <v>12</v>
      </c>
      <c r="L62" s="46">
        <f t="shared" si="8"/>
        <v>14.529542928484689</v>
      </c>
      <c r="M62" s="46">
        <f t="shared" si="5"/>
        <v>31.972347812582662</v>
      </c>
      <c r="N62" s="46">
        <f t="shared" si="5"/>
        <v>58.951499826086014</v>
      </c>
      <c r="O62" s="46">
        <f t="shared" si="5"/>
        <v>112.66254775995597</v>
      </c>
      <c r="P62" s="46">
        <f t="shared" si="5"/>
        <v>141.28108388711121</v>
      </c>
      <c r="Q62" s="46">
        <f t="shared" si="5"/>
        <v>0</v>
      </c>
      <c r="R62" s="46">
        <f t="shared" si="5"/>
        <v>221.7085687893279</v>
      </c>
      <c r="S62" s="46">
        <f t="shared" si="5"/>
        <v>274.27813626334648</v>
      </c>
    </row>
    <row r="63" spans="2:19">
      <c r="B63" s="1">
        <f t="shared" si="6"/>
        <v>13</v>
      </c>
      <c r="C63" s="46">
        <f t="shared" si="7"/>
        <v>2.9059085856969378</v>
      </c>
      <c r="D63" s="46">
        <f t="shared" si="4"/>
        <v>3.4885609768195947</v>
      </c>
      <c r="E63" s="46">
        <f t="shared" si="4"/>
        <v>5.6938723089259975</v>
      </c>
      <c r="F63" s="46">
        <f t="shared" si="4"/>
        <v>11.338293399224646</v>
      </c>
      <c r="G63" s="46">
        <f t="shared" si="4"/>
        <v>8.6296158111279855</v>
      </c>
      <c r="H63" s="46">
        <f t="shared" si="4"/>
        <v>10.578465942212432</v>
      </c>
      <c r="I63" s="46">
        <f t="shared" si="4"/>
        <v>14.391422417751169</v>
      </c>
      <c r="J63" s="46">
        <f t="shared" si="4"/>
        <v>21.256123081577709</v>
      </c>
      <c r="K63" s="186">
        <v>13</v>
      </c>
      <c r="L63" s="46">
        <f t="shared" si="8"/>
        <v>14.529542928484689</v>
      </c>
      <c r="M63" s="46">
        <f t="shared" si="5"/>
        <v>31.972347812582662</v>
      </c>
      <c r="N63" s="46">
        <f t="shared" si="5"/>
        <v>58.951499826086014</v>
      </c>
      <c r="O63" s="46">
        <f t="shared" si="5"/>
        <v>112.66254775995597</v>
      </c>
      <c r="P63" s="46">
        <f t="shared" si="5"/>
        <v>141.28108388711121</v>
      </c>
      <c r="Q63" s="46">
        <f t="shared" si="5"/>
        <v>0</v>
      </c>
      <c r="R63" s="46">
        <f t="shared" si="5"/>
        <v>221.7085687893279</v>
      </c>
      <c r="S63" s="46">
        <f t="shared" si="5"/>
        <v>274.27813626334648</v>
      </c>
    </row>
    <row r="64" spans="2:19">
      <c r="B64" s="1">
        <f t="shared" si="6"/>
        <v>14</v>
      </c>
      <c r="C64" s="46">
        <f t="shared" si="7"/>
        <v>2.9059085856969378</v>
      </c>
      <c r="D64" s="46">
        <f t="shared" si="4"/>
        <v>3.4885609768195947</v>
      </c>
      <c r="E64" s="46">
        <f t="shared" si="4"/>
        <v>5.6938723089259975</v>
      </c>
      <c r="F64" s="46">
        <f t="shared" si="4"/>
        <v>11.338293399224646</v>
      </c>
      <c r="G64" s="46">
        <f t="shared" si="4"/>
        <v>8.6296158111279855</v>
      </c>
      <c r="H64" s="46">
        <f t="shared" si="4"/>
        <v>10.578465942212432</v>
      </c>
      <c r="I64" s="46">
        <f t="shared" si="4"/>
        <v>14.391422417751169</v>
      </c>
      <c r="J64" s="46">
        <f t="shared" si="4"/>
        <v>21.256123081577709</v>
      </c>
      <c r="K64" s="186">
        <v>14</v>
      </c>
      <c r="L64" s="46">
        <f t="shared" si="8"/>
        <v>14.529542928484689</v>
      </c>
      <c r="M64" s="46">
        <f t="shared" si="5"/>
        <v>31.972347812582662</v>
      </c>
      <c r="N64" s="46">
        <f t="shared" si="5"/>
        <v>58.951499826086014</v>
      </c>
      <c r="O64" s="46">
        <f t="shared" si="5"/>
        <v>112.66254775995597</v>
      </c>
      <c r="P64" s="46">
        <f t="shared" si="5"/>
        <v>141.28108388711121</v>
      </c>
      <c r="Q64" s="46">
        <f t="shared" si="5"/>
        <v>0</v>
      </c>
      <c r="R64" s="46">
        <f t="shared" si="5"/>
        <v>221.7085687893279</v>
      </c>
      <c r="S64" s="46">
        <f t="shared" si="5"/>
        <v>274.27813626334648</v>
      </c>
    </row>
    <row r="65" spans="2:19">
      <c r="B65" s="1">
        <f t="shared" si="6"/>
        <v>15</v>
      </c>
      <c r="C65" s="46">
        <f t="shared" si="7"/>
        <v>2.9059085856969378</v>
      </c>
      <c r="D65" s="46">
        <f t="shared" si="4"/>
        <v>3.4885609768195947</v>
      </c>
      <c r="E65" s="46">
        <f t="shared" si="4"/>
        <v>5.6938723089259975</v>
      </c>
      <c r="F65" s="46">
        <f t="shared" si="4"/>
        <v>11.338293399224646</v>
      </c>
      <c r="G65" s="46">
        <f t="shared" si="4"/>
        <v>8.6296158111279855</v>
      </c>
      <c r="H65" s="46">
        <f t="shared" si="4"/>
        <v>10.578465942212432</v>
      </c>
      <c r="I65" s="46">
        <f t="shared" si="4"/>
        <v>14.391422417751169</v>
      </c>
      <c r="J65" s="46">
        <f t="shared" si="4"/>
        <v>21.256123081577709</v>
      </c>
      <c r="K65" s="186">
        <v>15</v>
      </c>
      <c r="L65" s="46">
        <f t="shared" si="8"/>
        <v>14.529542928484689</v>
      </c>
      <c r="M65" s="46">
        <f t="shared" si="5"/>
        <v>31.972347812582662</v>
      </c>
      <c r="N65" s="46">
        <f t="shared" si="5"/>
        <v>58.951499826086014</v>
      </c>
      <c r="O65" s="46">
        <f t="shared" si="5"/>
        <v>112.66254775995597</v>
      </c>
      <c r="P65" s="46">
        <f t="shared" si="5"/>
        <v>141.28108388711121</v>
      </c>
      <c r="Q65" s="46">
        <f t="shared" si="5"/>
        <v>0</v>
      </c>
      <c r="R65" s="46">
        <f t="shared" si="5"/>
        <v>221.7085687893279</v>
      </c>
      <c r="S65" s="46">
        <f t="shared" si="5"/>
        <v>274.27813626334648</v>
      </c>
    </row>
    <row r="66" spans="2:19">
      <c r="B66" s="1">
        <f t="shared" si="6"/>
        <v>16</v>
      </c>
      <c r="C66" s="46">
        <f t="shared" si="7"/>
        <v>2.9059085856969378</v>
      </c>
      <c r="D66" s="46">
        <f t="shared" si="4"/>
        <v>3.4885609768195947</v>
      </c>
      <c r="E66" s="46">
        <f t="shared" si="4"/>
        <v>5.6938723089259975</v>
      </c>
      <c r="F66" s="46">
        <f t="shared" si="4"/>
        <v>11.338293399224646</v>
      </c>
      <c r="G66" s="46">
        <f t="shared" si="4"/>
        <v>8.6296158111279855</v>
      </c>
      <c r="H66" s="46">
        <f t="shared" si="4"/>
        <v>10.578465942212432</v>
      </c>
      <c r="I66" s="46">
        <f t="shared" si="4"/>
        <v>14.391422417751169</v>
      </c>
      <c r="J66" s="46">
        <f t="shared" si="4"/>
        <v>21.256123081577709</v>
      </c>
      <c r="K66" s="186">
        <v>16</v>
      </c>
      <c r="L66" s="46">
        <f t="shared" si="8"/>
        <v>14.529542928484689</v>
      </c>
      <c r="M66" s="46">
        <f t="shared" si="5"/>
        <v>31.972347812582662</v>
      </c>
      <c r="N66" s="46">
        <f t="shared" si="5"/>
        <v>58.951499826086014</v>
      </c>
      <c r="O66" s="46">
        <f t="shared" si="5"/>
        <v>112.66254775995597</v>
      </c>
      <c r="P66" s="46">
        <f t="shared" si="5"/>
        <v>141.28108388711121</v>
      </c>
      <c r="Q66" s="46">
        <f t="shared" si="5"/>
        <v>0</v>
      </c>
      <c r="R66" s="46">
        <f t="shared" si="5"/>
        <v>221.7085687893279</v>
      </c>
      <c r="S66" s="46">
        <f t="shared" si="5"/>
        <v>274.27813626334648</v>
      </c>
    </row>
    <row r="67" spans="2:19">
      <c r="B67" s="1">
        <f t="shared" si="6"/>
        <v>17</v>
      </c>
      <c r="C67" s="46">
        <f t="shared" si="7"/>
        <v>2.9059085856969378</v>
      </c>
      <c r="D67" s="46">
        <f t="shared" si="4"/>
        <v>3.4885609768195947</v>
      </c>
      <c r="E67" s="46">
        <f t="shared" si="4"/>
        <v>5.6938723089259975</v>
      </c>
      <c r="F67" s="46">
        <f t="shared" si="4"/>
        <v>11.338293399224646</v>
      </c>
      <c r="G67" s="46">
        <f t="shared" si="4"/>
        <v>8.6296158111279855</v>
      </c>
      <c r="H67" s="46">
        <f t="shared" si="4"/>
        <v>10.578465942212432</v>
      </c>
      <c r="I67" s="46">
        <f t="shared" si="4"/>
        <v>14.391422417751169</v>
      </c>
      <c r="J67" s="46">
        <f t="shared" si="4"/>
        <v>21.256123081577709</v>
      </c>
      <c r="K67" s="186">
        <v>17</v>
      </c>
      <c r="L67" s="46">
        <f t="shared" si="8"/>
        <v>14.529542928484689</v>
      </c>
      <c r="M67" s="46">
        <f t="shared" si="5"/>
        <v>31.972347812582662</v>
      </c>
      <c r="N67" s="46">
        <f t="shared" si="5"/>
        <v>58.951499826086014</v>
      </c>
      <c r="O67" s="46">
        <f t="shared" si="5"/>
        <v>112.66254775995597</v>
      </c>
      <c r="P67" s="46">
        <f t="shared" si="5"/>
        <v>141.28108388711121</v>
      </c>
      <c r="Q67" s="46">
        <f t="shared" si="5"/>
        <v>0</v>
      </c>
      <c r="R67" s="46">
        <f t="shared" si="5"/>
        <v>221.7085687893279</v>
      </c>
      <c r="S67" s="46">
        <f t="shared" si="5"/>
        <v>274.27813626334648</v>
      </c>
    </row>
    <row r="68" spans="2:19">
      <c r="B68" s="1">
        <f t="shared" si="6"/>
        <v>18</v>
      </c>
      <c r="C68" s="46">
        <f t="shared" si="7"/>
        <v>2.9059085856969378</v>
      </c>
      <c r="D68" s="46">
        <f t="shared" si="7"/>
        <v>3.4885609768195947</v>
      </c>
      <c r="E68" s="46">
        <f t="shared" si="7"/>
        <v>5.6938723089259975</v>
      </c>
      <c r="F68" s="46">
        <f t="shared" si="7"/>
        <v>11.338293399224646</v>
      </c>
      <c r="G68" s="46">
        <f t="shared" si="7"/>
        <v>8.6296158111279855</v>
      </c>
      <c r="H68" s="46">
        <f t="shared" si="7"/>
        <v>10.578465942212432</v>
      </c>
      <c r="I68" s="46">
        <f t="shared" si="7"/>
        <v>14.391422417751169</v>
      </c>
      <c r="J68" s="46">
        <f t="shared" si="7"/>
        <v>21.256123081577709</v>
      </c>
      <c r="K68" s="186">
        <v>18</v>
      </c>
      <c r="L68" s="46">
        <f t="shared" si="8"/>
        <v>14.529542928484689</v>
      </c>
      <c r="M68" s="46">
        <f t="shared" si="8"/>
        <v>31.972347812582662</v>
      </c>
      <c r="N68" s="46">
        <f t="shared" si="8"/>
        <v>58.951499826086014</v>
      </c>
      <c r="O68" s="46">
        <f t="shared" si="8"/>
        <v>112.66254775995597</v>
      </c>
      <c r="P68" s="46">
        <f t="shared" si="8"/>
        <v>141.28108388711121</v>
      </c>
      <c r="Q68" s="46">
        <f t="shared" si="8"/>
        <v>0</v>
      </c>
      <c r="R68" s="46">
        <f t="shared" si="8"/>
        <v>221.7085687893279</v>
      </c>
      <c r="S68" s="46">
        <f t="shared" si="8"/>
        <v>274.27813626334648</v>
      </c>
    </row>
    <row r="69" spans="2:19">
      <c r="B69" s="1">
        <f t="shared" si="6"/>
        <v>19</v>
      </c>
      <c r="C69" s="46">
        <f t="shared" ref="C69:J70" si="9">C68</f>
        <v>2.9059085856969378</v>
      </c>
      <c r="D69" s="46">
        <f t="shared" si="9"/>
        <v>3.4885609768195947</v>
      </c>
      <c r="E69" s="46">
        <f t="shared" si="9"/>
        <v>5.6938723089259975</v>
      </c>
      <c r="F69" s="46">
        <f t="shared" si="9"/>
        <v>11.338293399224646</v>
      </c>
      <c r="G69" s="46">
        <f t="shared" si="9"/>
        <v>8.6296158111279855</v>
      </c>
      <c r="H69" s="46">
        <f t="shared" si="9"/>
        <v>10.578465942212432</v>
      </c>
      <c r="I69" s="46">
        <f t="shared" si="9"/>
        <v>14.391422417751169</v>
      </c>
      <c r="J69" s="46">
        <f t="shared" si="9"/>
        <v>21.256123081577709</v>
      </c>
      <c r="K69" s="186">
        <v>19</v>
      </c>
      <c r="L69" s="46">
        <f t="shared" ref="L69:S70" si="10">L68</f>
        <v>14.529542928484689</v>
      </c>
      <c r="M69" s="46">
        <f t="shared" si="10"/>
        <v>31.972347812582662</v>
      </c>
      <c r="N69" s="46">
        <f t="shared" si="10"/>
        <v>58.951499826086014</v>
      </c>
      <c r="O69" s="46">
        <f t="shared" si="10"/>
        <v>112.66254775995597</v>
      </c>
      <c r="P69" s="46">
        <f t="shared" si="10"/>
        <v>141.28108388711121</v>
      </c>
      <c r="Q69" s="46">
        <f t="shared" si="10"/>
        <v>0</v>
      </c>
      <c r="R69" s="46">
        <f t="shared" si="10"/>
        <v>221.7085687893279</v>
      </c>
      <c r="S69" s="46">
        <f t="shared" si="10"/>
        <v>274.27813626334648</v>
      </c>
    </row>
    <row r="70" spans="2:19">
      <c r="B70" s="1">
        <f t="shared" si="6"/>
        <v>20</v>
      </c>
      <c r="C70" s="46">
        <f t="shared" si="9"/>
        <v>2.9059085856969378</v>
      </c>
      <c r="D70" s="46">
        <f t="shared" si="9"/>
        <v>3.4885609768195947</v>
      </c>
      <c r="E70" s="46">
        <f t="shared" si="9"/>
        <v>5.6938723089259975</v>
      </c>
      <c r="F70" s="46">
        <f t="shared" si="9"/>
        <v>11.338293399224646</v>
      </c>
      <c r="G70" s="46">
        <f t="shared" si="9"/>
        <v>8.6296158111279855</v>
      </c>
      <c r="H70" s="46">
        <f t="shared" si="9"/>
        <v>10.578465942212432</v>
      </c>
      <c r="I70" s="46">
        <f t="shared" si="9"/>
        <v>14.391422417751169</v>
      </c>
      <c r="J70" s="46">
        <f t="shared" si="9"/>
        <v>21.256123081577709</v>
      </c>
      <c r="K70" s="186">
        <v>20</v>
      </c>
      <c r="L70" s="46">
        <f t="shared" si="10"/>
        <v>14.529542928484689</v>
      </c>
      <c r="M70" s="46">
        <f t="shared" si="10"/>
        <v>31.972347812582662</v>
      </c>
      <c r="N70" s="46">
        <f t="shared" si="10"/>
        <v>58.951499826086014</v>
      </c>
      <c r="O70" s="46">
        <f t="shared" si="10"/>
        <v>112.66254775995597</v>
      </c>
      <c r="P70" s="46">
        <f t="shared" si="10"/>
        <v>141.28108388711121</v>
      </c>
      <c r="Q70" s="46">
        <f t="shared" si="10"/>
        <v>0</v>
      </c>
      <c r="R70" s="46">
        <f t="shared" si="10"/>
        <v>221.7085687893279</v>
      </c>
      <c r="S70" s="46">
        <f t="shared" si="10"/>
        <v>274.27813626334648</v>
      </c>
    </row>
    <row r="71" spans="2:19">
      <c r="C71" s="229"/>
      <c r="D71" s="229"/>
      <c r="E71" s="229"/>
      <c r="F71" s="229"/>
      <c r="G71" s="229"/>
      <c r="H71" s="229"/>
      <c r="I71" s="229"/>
      <c r="J71" s="229"/>
    </row>
    <row r="73" spans="2:19">
      <c r="B73" s="243" t="s">
        <v>354</v>
      </c>
      <c r="C73" s="229">
        <f>NPV(0.1,C51:C70)</f>
        <v>24.739637908124347</v>
      </c>
      <c r="D73" s="229">
        <f t="shared" ref="D73:J73" si="11">NPV(0.1,D51:D71)</f>
        <v>29.700086166416778</v>
      </c>
      <c r="E73" s="229">
        <f t="shared" si="11"/>
        <v>48.475144714210259</v>
      </c>
      <c r="F73" s="229">
        <f t="shared" si="11"/>
        <v>96.529283327616881</v>
      </c>
      <c r="G73" s="229">
        <f t="shared" si="11"/>
        <v>73.468784085074006</v>
      </c>
      <c r="H73" s="229">
        <f t="shared" si="11"/>
        <v>90.060443856321285</v>
      </c>
      <c r="I73" s="229">
        <f t="shared" si="11"/>
        <v>122.52229177148632</v>
      </c>
      <c r="J73" s="229">
        <f t="shared" si="11"/>
        <v>180.96535829004245</v>
      </c>
      <c r="L73" s="229">
        <f t="shared" ref="L73:S73" si="12">NPV(0.1,L51:L70)</f>
        <v>123.69818954062178</v>
      </c>
      <c r="M73" s="229">
        <f t="shared" si="12"/>
        <v>272.19862037270565</v>
      </c>
      <c r="N73" s="229">
        <f t="shared" si="12"/>
        <v>501.88735014471877</v>
      </c>
      <c r="O73" s="229">
        <f t="shared" si="12"/>
        <v>959.15977918472697</v>
      </c>
      <c r="P73" s="229">
        <f t="shared" si="12"/>
        <v>1202.8055100694751</v>
      </c>
      <c r="Q73" s="229">
        <f t="shared" si="12"/>
        <v>1085.9330848756724</v>
      </c>
      <c r="R73" s="229">
        <f t="shared" si="12"/>
        <v>1887.5300276044165</v>
      </c>
      <c r="S73" s="229">
        <f t="shared" si="12"/>
        <v>2335.0843900146206</v>
      </c>
    </row>
  </sheetData>
  <conditionalFormatting sqref="M15:XFD15 A16:C18 A13:B15 A72:J1048576 K91:K1048576 A1:XFD12 A25:XFD33 C42:BK45 L81:XFD1048576 U47:XFD77 C48:K90 BL34:XFD45 N37:BK41 C37:K39 A34:B71 A19:B24 K71:AC78 C46:XFD46 C47:T47 K79:XFD80 AD78:XFD78 E13:XFD14 D24:XFD24 D13:D23 E16:XFD23">
    <cfRule type="expression" dxfId="73" priority="21">
      <formula>_xlfn.ISFORMULA(A1)</formula>
    </cfRule>
  </conditionalFormatting>
  <conditionalFormatting sqref="C13:C14">
    <cfRule type="expression" dxfId="72" priority="20">
      <formula>_xlfn.ISFORMULA(C13)</formula>
    </cfRule>
  </conditionalFormatting>
  <conditionalFormatting sqref="C15">
    <cfRule type="expression" dxfId="71" priority="19">
      <formula>_xlfn.ISFORMULA(C15)</formula>
    </cfRule>
  </conditionalFormatting>
  <conditionalFormatting sqref="C24">
    <cfRule type="expression" dxfId="70" priority="15">
      <formula>_xlfn.ISFORMULA(C24)</formula>
    </cfRule>
  </conditionalFormatting>
  <conditionalFormatting sqref="E15:L15">
    <cfRule type="expression" dxfId="69" priority="11">
      <formula>_xlfn.ISFORMULA(E15)</formula>
    </cfRule>
  </conditionalFormatting>
  <conditionalFormatting sqref="T48:T70 C41:K41 E40:K40 C34:BK36">
    <cfRule type="expression" dxfId="68" priority="8">
      <formula>_xlfn.ISFORMULA(C34)</formula>
    </cfRule>
  </conditionalFormatting>
  <conditionalFormatting sqref="K48:S70">
    <cfRule type="expression" dxfId="67" priority="4">
      <formula>_xlfn.ISFORMULA(K48)</formula>
    </cfRule>
  </conditionalFormatting>
  <conditionalFormatting sqref="C40:D40">
    <cfRule type="expression" dxfId="66" priority="2">
      <formula>_xlfn.ISFORMULA(C40)</formula>
    </cfRule>
  </conditionalFormatting>
  <pageMargins left="0.7" right="0.7" top="0.75" bottom="0.75" header="0.3" footer="0.3"/>
  <pageSetup paperSize="9" orientation="portrait" horizontalDpi="4294967294" verticalDpi="4294967294"/>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BC809-5A03-4AD7-B6B0-EB72DD56614B}">
  <sheetPr>
    <tabColor theme="9" tint="0.39997558519241921"/>
  </sheetPr>
  <dimension ref="A1:P46"/>
  <sheetViews>
    <sheetView topLeftCell="A32" zoomScale="90" zoomScaleNormal="90" workbookViewId="0">
      <selection activeCell="H19" sqref="H19"/>
    </sheetView>
  </sheetViews>
  <sheetFormatPr defaultColWidth="8.81640625" defaultRowHeight="14"/>
  <cols>
    <col min="1" max="1" width="11.81640625" style="1" customWidth="1"/>
    <col min="2" max="2" width="26.453125" style="1" customWidth="1"/>
    <col min="3" max="3" width="25.7265625" style="1" customWidth="1"/>
    <col min="4" max="4" width="12" style="1" customWidth="1"/>
    <col min="5" max="5" width="14.453125" style="1" customWidth="1"/>
    <col min="6" max="6" width="21.81640625" style="1" customWidth="1"/>
    <col min="7" max="7" width="22" style="1" customWidth="1"/>
    <col min="8" max="8" width="10" style="1" bestFit="1" customWidth="1"/>
    <col min="9" max="9" width="11.453125" style="1" customWidth="1"/>
    <col min="10" max="12" width="8.81640625" style="1"/>
    <col min="13" max="13" width="10.453125" style="1" customWidth="1"/>
    <col min="14" max="14" width="9.81640625" style="1" customWidth="1"/>
    <col min="15" max="15" width="10.1796875" style="1" customWidth="1"/>
    <col min="16" max="16" width="13.1796875" style="1" customWidth="1"/>
    <col min="17" max="16384" width="8.81640625" style="1"/>
  </cols>
  <sheetData>
    <row r="1" spans="2:15" s="3" customFormat="1" ht="49.5" customHeight="1">
      <c r="B1" s="304" t="s">
        <v>369</v>
      </c>
      <c r="C1" s="304"/>
      <c r="D1" s="304"/>
      <c r="E1" s="304"/>
      <c r="F1" s="304"/>
      <c r="G1" s="304"/>
      <c r="H1" s="304"/>
      <c r="I1" s="304"/>
      <c r="J1" s="304"/>
      <c r="K1" s="304"/>
      <c r="L1" s="304"/>
      <c r="M1" s="304"/>
      <c r="N1" s="304"/>
      <c r="O1" s="304"/>
    </row>
    <row r="4" spans="2:15">
      <c r="N4" s="7"/>
      <c r="O4" s="2"/>
    </row>
    <row r="5" spans="2:15">
      <c r="O5" s="2"/>
    </row>
    <row r="11" spans="2:15">
      <c r="C11" s="2" t="s">
        <v>552</v>
      </c>
      <c r="D11" s="2"/>
      <c r="E11" s="2"/>
      <c r="F11" s="2"/>
      <c r="G11" s="2"/>
    </row>
    <row r="12" spans="2:15" ht="14.5">
      <c r="C12" s="45" t="s">
        <v>243</v>
      </c>
    </row>
    <row r="13" spans="2:15">
      <c r="B13" s="47" t="s">
        <v>137</v>
      </c>
      <c r="C13" s="47" t="s">
        <v>338</v>
      </c>
      <c r="D13" s="47" t="s">
        <v>24</v>
      </c>
      <c r="E13" s="47" t="s">
        <v>18</v>
      </c>
      <c r="F13" s="47" t="s">
        <v>234</v>
      </c>
      <c r="G13" s="47" t="s">
        <v>235</v>
      </c>
      <c r="H13" s="47">
        <v>2015</v>
      </c>
      <c r="I13" s="47">
        <v>2020</v>
      </c>
      <c r="J13" s="47">
        <v>2025</v>
      </c>
      <c r="K13" s="47">
        <v>2030</v>
      </c>
      <c r="L13" s="47">
        <v>2035</v>
      </c>
      <c r="M13" s="47">
        <v>2040</v>
      </c>
      <c r="N13" s="47">
        <v>2045</v>
      </c>
      <c r="O13" s="47">
        <v>2050</v>
      </c>
    </row>
    <row r="14" spans="2:15">
      <c r="B14" s="58" t="s">
        <v>148</v>
      </c>
      <c r="C14" s="41" t="s">
        <v>339</v>
      </c>
      <c r="D14" s="41" t="s">
        <v>299</v>
      </c>
      <c r="E14" s="78">
        <f>SUM(E19:E22)</f>
        <v>0.67549999999999999</v>
      </c>
      <c r="F14" s="41" t="s">
        <v>357</v>
      </c>
      <c r="G14" s="41" t="s">
        <v>357</v>
      </c>
      <c r="H14" s="59">
        <f>SUMPRODUCT(H19:H23,$E$19:$E$23)</f>
        <v>0.42089499999999996</v>
      </c>
      <c r="I14" s="59">
        <f t="shared" ref="I14:O14" si="0">SUMPRODUCT(I19:I23,$E$19:$E$23)</f>
        <v>0.48103999999999997</v>
      </c>
      <c r="J14" s="59">
        <f t="shared" si="0"/>
        <v>0.51853250000000006</v>
      </c>
      <c r="K14" s="59">
        <f t="shared" si="0"/>
        <v>0.55602499999999999</v>
      </c>
      <c r="L14" s="59">
        <f t="shared" si="0"/>
        <v>0.55602499999999999</v>
      </c>
      <c r="M14" s="59">
        <f t="shared" si="0"/>
        <v>0.55602499999999999</v>
      </c>
      <c r="N14" s="59">
        <f t="shared" si="0"/>
        <v>0.55602499999999999</v>
      </c>
      <c r="O14" s="59">
        <f t="shared" si="0"/>
        <v>0.55602499999999999</v>
      </c>
    </row>
    <row r="15" spans="2:15">
      <c r="C15" s="41" t="s">
        <v>307</v>
      </c>
      <c r="D15" s="41" t="s">
        <v>299</v>
      </c>
      <c r="E15" s="78">
        <f>E23</f>
        <v>0.3</v>
      </c>
      <c r="F15" s="41" t="s">
        <v>357</v>
      </c>
      <c r="G15" s="41" t="s">
        <v>357</v>
      </c>
      <c r="H15" s="138">
        <f>H23</f>
        <v>0.75</v>
      </c>
      <c r="I15" s="78">
        <f t="shared" ref="I15:O15" si="1">I23</f>
        <v>0.77</v>
      </c>
      <c r="J15" s="78">
        <f t="shared" si="1"/>
        <v>0.78</v>
      </c>
      <c r="K15" s="78">
        <f t="shared" si="1"/>
        <v>0.79</v>
      </c>
      <c r="L15" s="78">
        <f t="shared" si="1"/>
        <v>0.79</v>
      </c>
      <c r="M15" s="78">
        <f t="shared" si="1"/>
        <v>0.79</v>
      </c>
      <c r="N15" s="78">
        <f t="shared" si="1"/>
        <v>0.79</v>
      </c>
      <c r="O15" s="78">
        <f t="shared" si="1"/>
        <v>0.79</v>
      </c>
    </row>
    <row r="17" spans="1:16" ht="14.5">
      <c r="C17" s="45" t="s">
        <v>341</v>
      </c>
    </row>
    <row r="18" spans="1:16">
      <c r="C18" s="47" t="s">
        <v>283</v>
      </c>
      <c r="D18" s="47" t="s">
        <v>24</v>
      </c>
      <c r="E18" s="47" t="s">
        <v>18</v>
      </c>
      <c r="F18" s="47" t="s">
        <v>234</v>
      </c>
      <c r="G18" s="47" t="s">
        <v>235</v>
      </c>
      <c r="H18" s="47">
        <v>2015</v>
      </c>
      <c r="I18" s="47">
        <v>2020</v>
      </c>
      <c r="J18" s="47">
        <v>2025</v>
      </c>
      <c r="K18" s="47">
        <v>2030</v>
      </c>
      <c r="L18" s="47">
        <v>2035</v>
      </c>
      <c r="M18" s="47">
        <v>2040</v>
      </c>
      <c r="N18" s="47">
        <v>2045</v>
      </c>
      <c r="O18" s="47">
        <v>2050</v>
      </c>
    </row>
    <row r="19" spans="1:16">
      <c r="C19" s="48" t="s">
        <v>285</v>
      </c>
      <c r="D19" s="41" t="s">
        <v>299</v>
      </c>
      <c r="E19" s="78">
        <f>'Tech costs (2)'!D36</f>
        <v>0.28000000000000003</v>
      </c>
      <c r="F19" s="41" t="s">
        <v>553</v>
      </c>
      <c r="G19" s="41" t="s">
        <v>554</v>
      </c>
      <c r="H19" s="137">
        <f>$D$37</f>
        <v>0.28999999999999998</v>
      </c>
      <c r="I19" s="59">
        <f>$E$37</f>
        <v>0.38</v>
      </c>
      <c r="J19" s="59">
        <f>SUM(I19,K19)/2</f>
        <v>0.435</v>
      </c>
      <c r="K19" s="59">
        <f>$F$37</f>
        <v>0.49</v>
      </c>
      <c r="L19" s="59">
        <f>K19</f>
        <v>0.49</v>
      </c>
      <c r="M19" s="59">
        <f t="shared" ref="M19:O19" si="2">L19</f>
        <v>0.49</v>
      </c>
      <c r="N19" s="59">
        <f t="shared" si="2"/>
        <v>0.49</v>
      </c>
      <c r="O19" s="59">
        <f t="shared" si="2"/>
        <v>0.49</v>
      </c>
      <c r="P19" s="247"/>
    </row>
    <row r="20" spans="1:16">
      <c r="C20" s="41" t="s">
        <v>327</v>
      </c>
      <c r="D20" s="41" t="s">
        <v>299</v>
      </c>
      <c r="E20" s="78">
        <f>'Tech costs (2)'!D37</f>
        <v>0.20300000000000001</v>
      </c>
      <c r="F20" s="41" t="s">
        <v>553</v>
      </c>
      <c r="G20" s="41" t="s">
        <v>554</v>
      </c>
      <c r="H20" s="137">
        <f t="shared" ref="H20:H21" si="3">$D$37</f>
        <v>0.28999999999999998</v>
      </c>
      <c r="I20" s="59">
        <f t="shared" ref="I20:I21" si="4">$E$37</f>
        <v>0.38</v>
      </c>
      <c r="J20" s="59">
        <f t="shared" ref="J20:J23" si="5">SUM(I20,K20)/2</f>
        <v>0.435</v>
      </c>
      <c r="K20" s="59">
        <f t="shared" ref="K20:K21" si="6">$F$37</f>
        <v>0.49</v>
      </c>
      <c r="L20" s="59">
        <f t="shared" ref="L20:O22" si="7">K20</f>
        <v>0.49</v>
      </c>
      <c r="M20" s="59">
        <f t="shared" si="7"/>
        <v>0.49</v>
      </c>
      <c r="N20" s="59">
        <f t="shared" si="7"/>
        <v>0.49</v>
      </c>
      <c r="O20" s="59">
        <f t="shared" si="7"/>
        <v>0.49</v>
      </c>
      <c r="P20" s="247"/>
    </row>
    <row r="21" spans="1:16">
      <c r="C21" s="41" t="s">
        <v>320</v>
      </c>
      <c r="D21" s="41" t="s">
        <v>299</v>
      </c>
      <c r="E21" s="78">
        <f>'Tech costs (2)'!D39</f>
        <v>5.9499999999999997E-2</v>
      </c>
      <c r="F21" s="41" t="s">
        <v>553</v>
      </c>
      <c r="G21" s="41" t="s">
        <v>554</v>
      </c>
      <c r="H21" s="137">
        <f t="shared" si="3"/>
        <v>0.28999999999999998</v>
      </c>
      <c r="I21" s="59">
        <f t="shared" si="4"/>
        <v>0.38</v>
      </c>
      <c r="J21" s="59">
        <f t="shared" si="5"/>
        <v>0.435</v>
      </c>
      <c r="K21" s="59">
        <f t="shared" si="6"/>
        <v>0.49</v>
      </c>
      <c r="L21" s="59">
        <f t="shared" si="7"/>
        <v>0.49</v>
      </c>
      <c r="M21" s="59">
        <f t="shared" si="7"/>
        <v>0.49</v>
      </c>
      <c r="N21" s="59">
        <f t="shared" si="7"/>
        <v>0.49</v>
      </c>
      <c r="O21" s="59">
        <f t="shared" si="7"/>
        <v>0.49</v>
      </c>
      <c r="P21" s="247"/>
    </row>
    <row r="22" spans="1:16">
      <c r="C22" s="41" t="s">
        <v>317</v>
      </c>
      <c r="D22" s="41" t="s">
        <v>299</v>
      </c>
      <c r="E22" s="78">
        <f>'Tech costs (2)'!D38</f>
        <v>0.13300000000000001</v>
      </c>
      <c r="F22" s="41" t="s">
        <v>553</v>
      </c>
      <c r="G22" s="41" t="s">
        <v>554</v>
      </c>
      <c r="H22" s="137">
        <f>D38</f>
        <v>0.28999999999999998</v>
      </c>
      <c r="I22" s="59">
        <f>E38</f>
        <v>0.33</v>
      </c>
      <c r="J22" s="59">
        <f t="shared" si="5"/>
        <v>0.36499999999999999</v>
      </c>
      <c r="K22" s="59">
        <f>F38</f>
        <v>0.4</v>
      </c>
      <c r="L22" s="59">
        <f t="shared" si="7"/>
        <v>0.4</v>
      </c>
      <c r="M22" s="59">
        <f t="shared" si="7"/>
        <v>0.4</v>
      </c>
      <c r="N22" s="59">
        <f t="shared" si="7"/>
        <v>0.4</v>
      </c>
      <c r="O22" s="59">
        <f t="shared" si="7"/>
        <v>0.4</v>
      </c>
      <c r="P22" s="247"/>
    </row>
    <row r="23" spans="1:16">
      <c r="C23" s="105" t="s">
        <v>280</v>
      </c>
      <c r="D23" s="41" t="s">
        <v>299</v>
      </c>
      <c r="E23" s="78">
        <f>'Tech costs (2)'!D41</f>
        <v>0.3</v>
      </c>
      <c r="F23" s="41" t="s">
        <v>553</v>
      </c>
      <c r="G23" s="41" t="s">
        <v>554</v>
      </c>
      <c r="H23" s="137">
        <f>D39</f>
        <v>0.75</v>
      </c>
      <c r="I23" s="59">
        <f>E39</f>
        <v>0.77</v>
      </c>
      <c r="J23" s="59">
        <f t="shared" si="5"/>
        <v>0.78</v>
      </c>
      <c r="K23" s="59">
        <f>F39</f>
        <v>0.79</v>
      </c>
      <c r="L23" s="59">
        <f t="shared" ref="L23:O23" si="8">K23</f>
        <v>0.79</v>
      </c>
      <c r="M23" s="59">
        <f t="shared" si="8"/>
        <v>0.79</v>
      </c>
      <c r="N23" s="59">
        <f t="shared" si="8"/>
        <v>0.79</v>
      </c>
      <c r="O23" s="59">
        <f t="shared" si="8"/>
        <v>0.79</v>
      </c>
      <c r="P23" s="247"/>
    </row>
    <row r="24" spans="1:16">
      <c r="I24" s="75"/>
      <c r="J24" s="75"/>
      <c r="K24" s="75"/>
      <c r="L24" s="75"/>
      <c r="M24" s="75"/>
      <c r="N24" s="75"/>
      <c r="O24" s="75"/>
    </row>
    <row r="29" spans="1:16" s="140" customFormat="1">
      <c r="A29" s="140" t="s">
        <v>555</v>
      </c>
    </row>
    <row r="36" spans="3:9">
      <c r="D36" s="2">
        <v>2017</v>
      </c>
      <c r="E36" s="2">
        <v>2020</v>
      </c>
      <c r="F36" s="2">
        <v>2030</v>
      </c>
    </row>
    <row r="37" spans="3:9">
      <c r="C37" s="2" t="s">
        <v>274</v>
      </c>
      <c r="D37" s="59">
        <v>0.28999999999999998</v>
      </c>
      <c r="E37" s="59">
        <v>0.38</v>
      </c>
      <c r="F37" s="59">
        <v>0.49</v>
      </c>
    </row>
    <row r="38" spans="3:9">
      <c r="C38" s="2" t="s">
        <v>317</v>
      </c>
      <c r="D38" s="59">
        <v>0.28999999999999998</v>
      </c>
      <c r="E38" s="59">
        <v>0.33</v>
      </c>
      <c r="F38" s="59">
        <v>0.4</v>
      </c>
    </row>
    <row r="39" spans="3:9">
      <c r="C39" s="2" t="s">
        <v>279</v>
      </c>
      <c r="D39" s="59">
        <v>0.75</v>
      </c>
      <c r="E39" s="59">
        <v>0.77</v>
      </c>
      <c r="F39" s="59">
        <v>0.79</v>
      </c>
    </row>
    <row r="40" spans="3:9">
      <c r="C40" s="2" t="s">
        <v>18</v>
      </c>
      <c r="D40" s="41" t="s">
        <v>556</v>
      </c>
      <c r="E40" s="41" t="s">
        <v>557</v>
      </c>
      <c r="F40" s="41" t="s">
        <v>557</v>
      </c>
    </row>
    <row r="42" spans="3:9" ht="14.5">
      <c r="I42" s="139"/>
    </row>
    <row r="43" spans="3:9" ht="14.5">
      <c r="I43" s="139"/>
    </row>
    <row r="44" spans="3:9" ht="14.5">
      <c r="I44" s="139"/>
    </row>
    <row r="46" spans="3:9" ht="14.5">
      <c r="I46" s="139"/>
    </row>
  </sheetData>
  <conditionalFormatting sqref="Q14:XFD14 A26:B28 B19:B23 A11:A25 D20:D23 P15:XFD25 E21:E23 A1:XFD10 D26:XFD28 B11:XFD13 B16:O18 B14:G15 B24:O24 D25:O25 B25 A29:XFD30 A31:B35 J31:XFD35 A42:H42 J42:XFD42 A46:XFD1048576 A45:H45 J45:XFD45 A43:XFD44 A41:XFD41 A36:D40 F36:XFD40">
    <cfRule type="expression" dxfId="65" priority="25">
      <formula>_xlfn.ISFORMULA(A1)</formula>
    </cfRule>
  </conditionalFormatting>
  <conditionalFormatting sqref="D19:H19 E19:E20 H20:H23">
    <cfRule type="expression" dxfId="64" priority="24">
      <formula>_xlfn.ISFORMULA(D19)</formula>
    </cfRule>
  </conditionalFormatting>
  <conditionalFormatting sqref="I19:O19 L20:O23 J20:J23 I20:I21 K20:K21">
    <cfRule type="expression" dxfId="63" priority="14">
      <formula>_xlfn.ISFORMULA(I19)</formula>
    </cfRule>
  </conditionalFormatting>
  <conditionalFormatting sqref="I22:I23 K22:K23">
    <cfRule type="expression" dxfId="62" priority="17">
      <formula>_xlfn.ISFORMULA(I22)</formula>
    </cfRule>
  </conditionalFormatting>
  <conditionalFormatting sqref="H15:O15">
    <cfRule type="expression" dxfId="61" priority="10">
      <formula>_xlfn.ISFORMULA(H15)</formula>
    </cfRule>
  </conditionalFormatting>
  <conditionalFormatting sqref="H14:O14">
    <cfRule type="expression" dxfId="60" priority="9">
      <formula>_xlfn.ISFORMULA(H14)</formula>
    </cfRule>
  </conditionalFormatting>
  <conditionalFormatting sqref="P14">
    <cfRule type="expression" dxfId="59" priority="8">
      <formula>_xlfn.ISFORMULA(P14)</formula>
    </cfRule>
  </conditionalFormatting>
  <conditionalFormatting sqref="F20:G23">
    <cfRule type="expression" dxfId="58" priority="2">
      <formula>_xlfn.ISFORMULA(F20)</formula>
    </cfRule>
  </conditionalFormatting>
  <conditionalFormatting sqref="E40">
    <cfRule type="expression" dxfId="57" priority="1">
      <formula>_xlfn.ISFORMULA(E40)</formula>
    </cfRule>
  </conditionalFormatting>
  <pageMargins left="0.7" right="0.7" top="0.75" bottom="0.75" header="0.3" footer="0.3"/>
  <pageSetup paperSize="9" orientation="portrait" horizontalDpi="4294967294" verticalDpi="4294967294"/>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6E5B6-663D-40E9-8FD6-24F47A900FBF}">
  <sheetPr>
    <tabColor theme="9" tint="0.39997558519241921"/>
  </sheetPr>
  <dimension ref="B1:L21"/>
  <sheetViews>
    <sheetView workbookViewId="0">
      <selection activeCell="I17" sqref="I17"/>
    </sheetView>
  </sheetViews>
  <sheetFormatPr defaultColWidth="8.81640625" defaultRowHeight="14"/>
  <cols>
    <col min="1" max="1" width="13" style="1" customWidth="1"/>
    <col min="2" max="2" width="16.453125" style="1" customWidth="1"/>
    <col min="3" max="3" width="19.81640625" style="1" customWidth="1"/>
    <col min="4" max="4" width="8.81640625" style="1"/>
    <col min="5" max="12" width="14.1796875" style="1" customWidth="1"/>
    <col min="13" max="16384" width="8.81640625" style="1"/>
  </cols>
  <sheetData>
    <row r="1" spans="2:12" s="3" customFormat="1" ht="49.5" customHeight="1">
      <c r="B1" s="304" t="s">
        <v>67</v>
      </c>
      <c r="C1" s="304"/>
      <c r="D1" s="304"/>
      <c r="E1" s="304"/>
      <c r="F1" s="304"/>
      <c r="G1" s="304"/>
      <c r="H1" s="304"/>
      <c r="I1" s="304"/>
      <c r="J1" s="304"/>
      <c r="K1" s="304"/>
      <c r="L1" s="304"/>
    </row>
    <row r="4" spans="2:12">
      <c r="K4" s="7"/>
      <c r="L4" s="2"/>
    </row>
    <row r="5" spans="2:12">
      <c r="L5" s="2"/>
    </row>
    <row r="9" spans="2:12">
      <c r="C9" s="2" t="s">
        <v>387</v>
      </c>
      <c r="D9" s="2"/>
    </row>
    <row r="10" spans="2:12" ht="14.5">
      <c r="C10" s="45" t="s">
        <v>243</v>
      </c>
    </row>
    <row r="11" spans="2:12">
      <c r="B11" s="47" t="s">
        <v>137</v>
      </c>
      <c r="C11" s="47" t="s">
        <v>338</v>
      </c>
      <c r="D11" s="47" t="s">
        <v>24</v>
      </c>
      <c r="E11" s="47">
        <v>2015</v>
      </c>
      <c r="F11" s="47">
        <v>2020</v>
      </c>
      <c r="G11" s="47">
        <v>2025</v>
      </c>
      <c r="H11" s="47">
        <v>2030</v>
      </c>
      <c r="I11" s="47">
        <v>2035</v>
      </c>
      <c r="J11" s="47">
        <v>2040</v>
      </c>
      <c r="K11" s="47">
        <v>2045</v>
      </c>
      <c r="L11" s="47">
        <v>2050</v>
      </c>
    </row>
    <row r="12" spans="2:12">
      <c r="B12" s="58" t="s">
        <v>148</v>
      </c>
      <c r="C12" s="41" t="s">
        <v>339</v>
      </c>
      <c r="D12" s="41" t="s">
        <v>340</v>
      </c>
      <c r="E12" s="110">
        <f>SUM(E17:E20)</f>
        <v>470.09802269716579</v>
      </c>
      <c r="F12" s="110">
        <f t="shared" ref="F12:L12" si="0">SUM(F17:F20)</f>
        <v>460.4249917931528</v>
      </c>
      <c r="G12" s="110">
        <f t="shared" si="0"/>
        <v>830.26541559844782</v>
      </c>
      <c r="H12" s="110">
        <f t="shared" si="0"/>
        <v>1798.1821688656726</v>
      </c>
      <c r="I12" s="110">
        <f t="shared" si="0"/>
        <v>1322.4702221110433</v>
      </c>
      <c r="J12" s="110">
        <f t="shared" si="0"/>
        <v>1564.5763951227393</v>
      </c>
      <c r="K12" s="110">
        <f t="shared" si="0"/>
        <v>2051.585859224298</v>
      </c>
      <c r="L12" s="110">
        <f t="shared" si="0"/>
        <v>2916.5590280165843</v>
      </c>
    </row>
    <row r="13" spans="2:12">
      <c r="C13" s="41" t="s">
        <v>307</v>
      </c>
      <c r="D13" s="41" t="s">
        <v>340</v>
      </c>
      <c r="E13" s="110">
        <f>E21</f>
        <v>317.10727441417833</v>
      </c>
      <c r="F13" s="110">
        <f t="shared" ref="F13:L13" si="1">F21</f>
        <v>457.90796537180887</v>
      </c>
      <c r="G13" s="110">
        <f t="shared" si="1"/>
        <v>830.37959769313784</v>
      </c>
      <c r="H13" s="110">
        <f t="shared" si="1"/>
        <v>1559.1137506227151</v>
      </c>
      <c r="I13" s="110">
        <f t="shared" si="1"/>
        <v>1889.2555048761926</v>
      </c>
      <c r="J13" s="110">
        <f t="shared" si="1"/>
        <v>2280.8571835862826</v>
      </c>
      <c r="K13" s="110">
        <f t="shared" si="1"/>
        <v>2757.9138283939756</v>
      </c>
      <c r="L13" s="110">
        <f t="shared" si="1"/>
        <v>3283.9016501325727</v>
      </c>
    </row>
    <row r="15" spans="2:12" ht="14.5">
      <c r="C15" s="45" t="s">
        <v>341</v>
      </c>
    </row>
    <row r="16" spans="2:12">
      <c r="C16" s="47" t="s">
        <v>283</v>
      </c>
      <c r="D16" s="47" t="s">
        <v>24</v>
      </c>
      <c r="E16" s="47">
        <v>2015</v>
      </c>
      <c r="F16" s="47">
        <v>2020</v>
      </c>
      <c r="G16" s="47">
        <v>2025</v>
      </c>
      <c r="H16" s="47">
        <v>2030</v>
      </c>
      <c r="I16" s="47">
        <v>2035</v>
      </c>
      <c r="J16" s="47">
        <v>2040</v>
      </c>
      <c r="K16" s="47">
        <v>2045</v>
      </c>
      <c r="L16" s="47">
        <v>2050</v>
      </c>
    </row>
    <row r="17" spans="3:12">
      <c r="C17" s="48" t="s">
        <v>285</v>
      </c>
      <c r="D17" s="41" t="s">
        <v>340</v>
      </c>
      <c r="E17" s="110">
        <f>'Market turnover (2)'!E19*'UK market share (2)'!H19</f>
        <v>194.85928401955061</v>
      </c>
      <c r="F17" s="110">
        <f>'Market turnover (2)'!F19*'UK market share (2)'!I19</f>
        <v>195.92552842261821</v>
      </c>
      <c r="G17" s="110">
        <f>'Market turnover (2)'!G19*'UK market share (2)'!J19</f>
        <v>355.41222046652302</v>
      </c>
      <c r="H17" s="110">
        <f>'Market turnover (2)'!H19*'UK market share (2)'!K19</f>
        <v>773.32683510185814</v>
      </c>
      <c r="I17" s="110">
        <f>'Market turnover (2)'!I19*'UK market share (2)'!L19</f>
        <v>568.74199349152934</v>
      </c>
      <c r="J17" s="110">
        <f>'Market turnover (2)'!J19*'UK market share (2)'!M19</f>
        <v>672.86225659694333</v>
      </c>
      <c r="K17" s="110">
        <f>'Market turnover (2)'!K19*'UK market share (2)'!N19</f>
        <v>882.30571235976402</v>
      </c>
      <c r="L17" s="110">
        <f>'Market turnover (2)'!L19*'UK market share (2)'!O19</f>
        <v>1254.2963675068584</v>
      </c>
    </row>
    <row r="18" spans="3:12">
      <c r="C18" s="41" t="s">
        <v>333</v>
      </c>
      <c r="D18" s="41" t="s">
        <v>340</v>
      </c>
      <c r="E18" s="110">
        <f>'Market turnover (2)'!E20*'UK market share (2)'!H20</f>
        <v>141.27298091417416</v>
      </c>
      <c r="F18" s="110">
        <f>'Market turnover (2)'!F20*'UK market share (2)'!I20</f>
        <v>142.0460081063982</v>
      </c>
      <c r="G18" s="110">
        <f>'Market turnover (2)'!G20*'UK market share (2)'!J20</f>
        <v>257.67385983822913</v>
      </c>
      <c r="H18" s="110">
        <f>'Market turnover (2)'!H20*'UK market share (2)'!K20</f>
        <v>560.66195544884704</v>
      </c>
      <c r="I18" s="110">
        <f>'Market turnover (2)'!I20*'UK market share (2)'!L20</f>
        <v>412.33794528135877</v>
      </c>
      <c r="J18" s="110">
        <f>'Market turnover (2)'!J20*'UK market share (2)'!M20</f>
        <v>487.82513603278386</v>
      </c>
      <c r="K18" s="110">
        <f>'Market turnover (2)'!K20*'UK market share (2)'!N20</f>
        <v>639.67164146082882</v>
      </c>
      <c r="L18" s="110">
        <f>'Market turnover (2)'!L20*'UK market share (2)'!O20</f>
        <v>909.36486644247213</v>
      </c>
    </row>
    <row r="19" spans="3:12">
      <c r="C19" s="41" t="s">
        <v>320</v>
      </c>
      <c r="D19" s="41" t="s">
        <v>340</v>
      </c>
      <c r="E19" s="110">
        <f>'Market turnover (2)'!E21*'UK market share (2)'!H21</f>
        <v>41.407597854154503</v>
      </c>
      <c r="F19" s="110">
        <f>'Market turnover (2)'!F21*'UK market share (2)'!I21</f>
        <v>41.634174789806366</v>
      </c>
      <c r="G19" s="110">
        <f>'Market turnover (2)'!G21*'UK market share (2)'!J21</f>
        <v>75.525096849136119</v>
      </c>
      <c r="H19" s="110">
        <f>'Market turnover (2)'!H21*'UK market share (2)'!K21</f>
        <v>164.33195245914482</v>
      </c>
      <c r="I19" s="110">
        <f>'Market turnover (2)'!I21*'UK market share (2)'!L21</f>
        <v>120.85767361695</v>
      </c>
      <c r="J19" s="110">
        <f>'Market turnover (2)'!J21*'UK market share (2)'!M21</f>
        <v>142.98322952685044</v>
      </c>
      <c r="K19" s="110">
        <f>'Market turnover (2)'!K21*'UK market share (2)'!N21</f>
        <v>187.48996387644982</v>
      </c>
      <c r="L19" s="110">
        <f>'Market turnover (2)'!L21*'UK market share (2)'!O21</f>
        <v>266.53797809520734</v>
      </c>
    </row>
    <row r="20" spans="3:12">
      <c r="C20" s="41" t="s">
        <v>317</v>
      </c>
      <c r="D20" s="41" t="s">
        <v>340</v>
      </c>
      <c r="E20" s="110">
        <f>'Market turnover (2)'!E22*'UK market share (2)'!H22</f>
        <v>92.558159909286545</v>
      </c>
      <c r="F20" s="110">
        <f>'Market turnover (2)'!F22*'UK market share (2)'!I22</f>
        <v>80.819280474330014</v>
      </c>
      <c r="G20" s="110">
        <f>'Market turnover (2)'!G22*'UK market share (2)'!J22</f>
        <v>141.65423844455955</v>
      </c>
      <c r="H20" s="110">
        <f>'Market turnover (2)'!H22*'UK market share (2)'!K22</f>
        <v>299.86142585582252</v>
      </c>
      <c r="I20" s="110">
        <f>'Market turnover (2)'!I22*'UK market share (2)'!L22</f>
        <v>220.53260972120526</v>
      </c>
      <c r="J20" s="110">
        <f>'Market turnover (2)'!J22*'UK market share (2)'!M22</f>
        <v>260.90577296616169</v>
      </c>
      <c r="K20" s="110">
        <f>'Market turnover (2)'!K22*'UK market share (2)'!N22</f>
        <v>342.11854152725545</v>
      </c>
      <c r="L20" s="110">
        <f>'Market turnover (2)'!L22*'UK market share (2)'!O22</f>
        <v>486.35981597204704</v>
      </c>
    </row>
    <row r="21" spans="3:12">
      <c r="C21" s="105" t="s">
        <v>280</v>
      </c>
      <c r="D21" s="41" t="s">
        <v>340</v>
      </c>
      <c r="E21" s="110">
        <f>'Market turnover (2)'!E23*'UK market share (2)'!H23</f>
        <v>317.10727441417833</v>
      </c>
      <c r="F21" s="110">
        <f>'Market turnover (2)'!F23*'UK market share (2)'!I23</f>
        <v>457.90796537180887</v>
      </c>
      <c r="G21" s="110">
        <f>'Market turnover (2)'!G23*'UK market share (2)'!J23</f>
        <v>830.37959769313784</v>
      </c>
      <c r="H21" s="110">
        <f>'Market turnover (2)'!H23*'UK market share (2)'!K23</f>
        <v>1559.1137506227151</v>
      </c>
      <c r="I21" s="110">
        <f>'Market turnover (2)'!I23*'UK market share (2)'!L23</f>
        <v>1889.2555048761926</v>
      </c>
      <c r="J21" s="110">
        <f>'Market turnover (2)'!J23*'UK market share (2)'!M23</f>
        <v>2280.8571835862826</v>
      </c>
      <c r="K21" s="110">
        <f>'Market turnover (2)'!K23*'UK market share (2)'!N23</f>
        <v>2757.9138283939756</v>
      </c>
      <c r="L21" s="110">
        <f>'Market turnover (2)'!L23*'UK market share (2)'!O23</f>
        <v>3283.9016501325727</v>
      </c>
    </row>
  </sheetData>
  <conditionalFormatting sqref="A1:XFD8 A24:XFD1048576 B9:L11 B22:L23 B14:L16 B17:B21 M9:XFD23 A9:A23 D19:D21 E17:L21">
    <cfRule type="expression" dxfId="56" priority="14">
      <formula>_xlfn.ISFORMULA(A1)</formula>
    </cfRule>
  </conditionalFormatting>
  <conditionalFormatting sqref="B12:C13">
    <cfRule type="expression" dxfId="55" priority="13">
      <formula>_xlfn.ISFORMULA(B12)</formula>
    </cfRule>
  </conditionalFormatting>
  <conditionalFormatting sqref="D12:D13">
    <cfRule type="expression" dxfId="54" priority="7">
      <formula>_xlfn.ISFORMULA(D12)</formula>
    </cfRule>
  </conditionalFormatting>
  <conditionalFormatting sqref="D17">
    <cfRule type="expression" dxfId="53" priority="6">
      <formula>_xlfn.ISFORMULA(D17)</formula>
    </cfRule>
  </conditionalFormatting>
  <conditionalFormatting sqref="D18">
    <cfRule type="expression" dxfId="52" priority="5">
      <formula>_xlfn.ISFORMULA(D18)</formula>
    </cfRule>
  </conditionalFormatting>
  <conditionalFormatting sqref="E12:L12">
    <cfRule type="expression" dxfId="51" priority="2">
      <formula>_xlfn.ISFORMULA(E12)</formula>
    </cfRule>
  </conditionalFormatting>
  <conditionalFormatting sqref="E13:L13">
    <cfRule type="expression" dxfId="50" priority="1">
      <formula>_xlfn.ISFORMULA(E13)</formula>
    </cfRule>
  </conditionalFormatting>
  <pageMargins left="0.7" right="0.7" top="0.75" bottom="0.75" header="0.3" footer="0.3"/>
  <pageSetup paperSize="9" orientation="portrait" horizontalDpi="4294967294" verticalDpi="4294967294"/>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33B44-A4FB-4FA8-8771-4B9FC0E224A6}">
  <sheetPr>
    <tabColor theme="9" tint="0.39997558519241921"/>
  </sheetPr>
  <dimension ref="B1:P51"/>
  <sheetViews>
    <sheetView topLeftCell="A11" workbookViewId="0">
      <selection activeCell="M19" sqref="M19"/>
    </sheetView>
  </sheetViews>
  <sheetFormatPr defaultColWidth="8.81640625" defaultRowHeight="14"/>
  <cols>
    <col min="1" max="1" width="10.81640625" style="1" customWidth="1"/>
    <col min="2" max="2" width="14" style="1" customWidth="1"/>
    <col min="3" max="3" width="19.81640625" style="1" customWidth="1"/>
    <col min="4" max="4" width="13" style="1" customWidth="1"/>
    <col min="5" max="5" width="19" style="1" customWidth="1"/>
    <col min="6" max="6" width="15.7265625" style="1" customWidth="1"/>
    <col min="7" max="7" width="21.81640625" style="1" customWidth="1"/>
    <col min="8" max="8" width="28.453125" style="1" customWidth="1"/>
    <col min="9" max="9" width="8.81640625" style="1"/>
    <col min="10" max="10" width="10.1796875" style="1" bestFit="1" customWidth="1"/>
    <col min="11" max="16384" width="8.81640625" style="1"/>
  </cols>
  <sheetData>
    <row r="1" spans="2:16" s="3" customFormat="1" ht="49.5" customHeight="1">
      <c r="B1" s="304" t="s">
        <v>72</v>
      </c>
      <c r="C1" s="304"/>
      <c r="D1" s="304"/>
      <c r="E1" s="304"/>
      <c r="F1" s="304"/>
      <c r="G1" s="304"/>
      <c r="H1" s="304"/>
      <c r="I1" s="304"/>
      <c r="J1" s="304"/>
      <c r="K1" s="304"/>
      <c r="L1" s="304"/>
      <c r="M1" s="304"/>
      <c r="N1" s="304"/>
      <c r="O1" s="304"/>
      <c r="P1" s="304"/>
    </row>
    <row r="4" spans="2:16">
      <c r="O4" s="7"/>
      <c r="P4" s="2"/>
    </row>
    <row r="5" spans="2:16">
      <c r="P5" s="2"/>
    </row>
    <row r="10" spans="2:16">
      <c r="C10" s="2" t="s">
        <v>72</v>
      </c>
      <c r="D10" s="2"/>
      <c r="E10" s="2"/>
      <c r="F10" s="2"/>
      <c r="G10" s="2"/>
      <c r="H10" s="2"/>
    </row>
    <row r="11" spans="2:16" ht="14.5">
      <c r="C11" s="45" t="s">
        <v>243</v>
      </c>
    </row>
    <row r="12" spans="2:16">
      <c r="B12" s="47" t="s">
        <v>137</v>
      </c>
      <c r="C12" s="47" t="s">
        <v>338</v>
      </c>
      <c r="D12" s="47" t="s">
        <v>24</v>
      </c>
      <c r="E12" s="47" t="s">
        <v>18</v>
      </c>
      <c r="F12" s="47" t="s">
        <v>8</v>
      </c>
      <c r="G12" s="47" t="s">
        <v>234</v>
      </c>
      <c r="H12" s="47" t="s">
        <v>235</v>
      </c>
      <c r="I12" s="47">
        <v>2015</v>
      </c>
      <c r="J12" s="47">
        <v>2020</v>
      </c>
      <c r="K12" s="47">
        <v>2025</v>
      </c>
      <c r="L12" s="47">
        <v>2030</v>
      </c>
      <c r="M12" s="47">
        <v>2035</v>
      </c>
      <c r="N12" s="47">
        <v>2040</v>
      </c>
      <c r="O12" s="47">
        <v>2045</v>
      </c>
      <c r="P12" s="47">
        <v>2050</v>
      </c>
    </row>
    <row r="13" spans="2:16">
      <c r="B13" s="58" t="s">
        <v>148</v>
      </c>
      <c r="C13" s="41" t="s">
        <v>339</v>
      </c>
      <c r="D13" s="41" t="s">
        <v>299</v>
      </c>
      <c r="E13" s="41" t="s">
        <v>390</v>
      </c>
      <c r="F13" s="41"/>
      <c r="G13" s="41" t="s">
        <v>391</v>
      </c>
      <c r="H13" s="41" t="s">
        <v>392</v>
      </c>
      <c r="I13" s="59">
        <f t="shared" ref="I13:P13" si="0">SUMPRODUCT(I18:I21,$E$18:$E$21)</f>
        <v>0.40207999999999999</v>
      </c>
      <c r="J13" s="59">
        <f t="shared" si="0"/>
        <v>0.40207999999999999</v>
      </c>
      <c r="K13" s="59">
        <f t="shared" si="0"/>
        <v>0.40207999999999999</v>
      </c>
      <c r="L13" s="59">
        <f t="shared" si="0"/>
        <v>0.40207999999999999</v>
      </c>
      <c r="M13" s="59">
        <f t="shared" si="0"/>
        <v>0.40207999999999999</v>
      </c>
      <c r="N13" s="59">
        <f t="shared" si="0"/>
        <v>0.40207999999999999</v>
      </c>
      <c r="O13" s="59">
        <f t="shared" si="0"/>
        <v>0.40207999999999999</v>
      </c>
      <c r="P13" s="59">
        <f t="shared" si="0"/>
        <v>0.40207999999999999</v>
      </c>
    </row>
    <row r="14" spans="2:16">
      <c r="C14" s="41" t="s">
        <v>307</v>
      </c>
      <c r="D14" s="41" t="s">
        <v>299</v>
      </c>
      <c r="E14" s="41" t="s">
        <v>390</v>
      </c>
      <c r="F14" s="41"/>
      <c r="G14" s="41" t="s">
        <v>391</v>
      </c>
      <c r="H14" s="41" t="s">
        <v>392</v>
      </c>
      <c r="I14" s="78">
        <f>I22</f>
        <v>0.44227759497990671</v>
      </c>
      <c r="J14" s="78">
        <f t="shared" ref="J14:P14" si="1">J22</f>
        <v>0.44227759497990671</v>
      </c>
      <c r="K14" s="78">
        <f t="shared" si="1"/>
        <v>0.44227759497990671</v>
      </c>
      <c r="L14" s="78">
        <f t="shared" si="1"/>
        <v>0.44227759497990671</v>
      </c>
      <c r="M14" s="78">
        <f t="shared" si="1"/>
        <v>0.44227759497990671</v>
      </c>
      <c r="N14" s="78">
        <f t="shared" si="1"/>
        <v>0.44227759497990671</v>
      </c>
      <c r="O14" s="78">
        <f t="shared" si="1"/>
        <v>0.44227759497990671</v>
      </c>
      <c r="P14" s="78">
        <f t="shared" si="1"/>
        <v>0.44227759497990671</v>
      </c>
    </row>
    <row r="16" spans="2:16" ht="14.5">
      <c r="C16" s="45" t="s">
        <v>341</v>
      </c>
    </row>
    <row r="17" spans="3:16">
      <c r="C17" s="47" t="s">
        <v>283</v>
      </c>
      <c r="D17" s="47" t="s">
        <v>24</v>
      </c>
      <c r="E17" s="47" t="s">
        <v>558</v>
      </c>
      <c r="F17" s="47" t="s">
        <v>394</v>
      </c>
      <c r="G17" s="47" t="s">
        <v>234</v>
      </c>
      <c r="H17" s="47" t="s">
        <v>235</v>
      </c>
      <c r="I17" s="47">
        <v>2015</v>
      </c>
      <c r="J17" s="47">
        <v>2020</v>
      </c>
      <c r="K17" s="47">
        <v>2025</v>
      </c>
      <c r="L17" s="47">
        <v>2030</v>
      </c>
      <c r="M17" s="47">
        <v>2035</v>
      </c>
      <c r="N17" s="47">
        <v>2040</v>
      </c>
      <c r="O17" s="47">
        <v>2045</v>
      </c>
      <c r="P17" s="47">
        <v>2050</v>
      </c>
    </row>
    <row r="18" spans="3:16">
      <c r="C18" s="48" t="s">
        <v>285</v>
      </c>
      <c r="D18" s="41" t="s">
        <v>299</v>
      </c>
      <c r="E18" s="59">
        <f>'Tech costs (2)'!I19/'Tech costs (2)'!$I$14</f>
        <v>0.4</v>
      </c>
      <c r="F18" s="41" t="s">
        <v>395</v>
      </c>
      <c r="G18" s="41" t="s">
        <v>391</v>
      </c>
      <c r="H18" s="41" t="s">
        <v>392</v>
      </c>
      <c r="I18" s="59">
        <f>AVERAGE(I29,I31,I34,I33)</f>
        <v>0.32</v>
      </c>
      <c r="J18" s="59">
        <f>I18</f>
        <v>0.32</v>
      </c>
      <c r="K18" s="59">
        <f t="shared" ref="K18:P22" si="2">J18</f>
        <v>0.32</v>
      </c>
      <c r="L18" s="59">
        <f t="shared" si="2"/>
        <v>0.32</v>
      </c>
      <c r="M18" s="59">
        <f t="shared" si="2"/>
        <v>0.32</v>
      </c>
      <c r="N18" s="59">
        <f t="shared" si="2"/>
        <v>0.32</v>
      </c>
      <c r="O18" s="59">
        <f t="shared" si="2"/>
        <v>0.32</v>
      </c>
      <c r="P18" s="59">
        <f t="shared" si="2"/>
        <v>0.32</v>
      </c>
    </row>
    <row r="19" spans="3:16">
      <c r="C19" s="41" t="s">
        <v>327</v>
      </c>
      <c r="D19" s="41" t="s">
        <v>299</v>
      </c>
      <c r="E19" s="59">
        <f>'Tech costs (2)'!I20/'Tech costs (2)'!$I$14</f>
        <v>0.28999999999999998</v>
      </c>
      <c r="F19" s="41">
        <v>25.11</v>
      </c>
      <c r="G19" s="41" t="s">
        <v>391</v>
      </c>
      <c r="H19" s="41" t="s">
        <v>392</v>
      </c>
      <c r="I19" s="59">
        <f>I30</f>
        <v>0.4</v>
      </c>
      <c r="J19" s="59">
        <f>I19</f>
        <v>0.4</v>
      </c>
      <c r="K19" s="59">
        <f t="shared" si="2"/>
        <v>0.4</v>
      </c>
      <c r="L19" s="59">
        <f t="shared" si="2"/>
        <v>0.4</v>
      </c>
      <c r="M19" s="59">
        <f t="shared" si="2"/>
        <v>0.4</v>
      </c>
      <c r="N19" s="59">
        <f t="shared" si="2"/>
        <v>0.4</v>
      </c>
      <c r="O19" s="59">
        <f t="shared" si="2"/>
        <v>0.4</v>
      </c>
      <c r="P19" s="59">
        <f t="shared" si="2"/>
        <v>0.4</v>
      </c>
    </row>
    <row r="20" spans="3:16">
      <c r="C20" s="41" t="s">
        <v>320</v>
      </c>
      <c r="D20" s="41" t="s">
        <v>299</v>
      </c>
      <c r="E20" s="59">
        <f>'Tech costs (2)'!I21/'Tech costs (2)'!$I$14</f>
        <v>8.4999999999999992E-2</v>
      </c>
      <c r="F20" s="41" t="s">
        <v>396</v>
      </c>
      <c r="G20" s="41" t="s">
        <v>391</v>
      </c>
      <c r="H20" s="41" t="s">
        <v>392</v>
      </c>
      <c r="I20" s="59">
        <f>AVERAGE(I36,I38,I37,I30)</f>
        <v>0.38</v>
      </c>
      <c r="J20" s="59">
        <f t="shared" ref="J20:J22" si="3">I20</f>
        <v>0.38</v>
      </c>
      <c r="K20" s="59">
        <f t="shared" si="2"/>
        <v>0.38</v>
      </c>
      <c r="L20" s="59">
        <f t="shared" si="2"/>
        <v>0.38</v>
      </c>
      <c r="M20" s="59">
        <f t="shared" si="2"/>
        <v>0.38</v>
      </c>
      <c r="N20" s="59">
        <f t="shared" si="2"/>
        <v>0.38</v>
      </c>
      <c r="O20" s="59">
        <f t="shared" si="2"/>
        <v>0.38</v>
      </c>
      <c r="P20" s="59">
        <f t="shared" si="2"/>
        <v>0.38</v>
      </c>
    </row>
    <row r="21" spans="3:16">
      <c r="C21" s="41" t="s">
        <v>317</v>
      </c>
      <c r="D21" s="41" t="s">
        <v>299</v>
      </c>
      <c r="E21" s="59">
        <f>'Tech costs (2)'!I22/'Tech costs (2)'!$I$14</f>
        <v>0.18999999999999997</v>
      </c>
      <c r="F21" s="41">
        <v>52.22</v>
      </c>
      <c r="G21" s="41" t="s">
        <v>391</v>
      </c>
      <c r="H21" s="41" t="s">
        <v>392</v>
      </c>
      <c r="I21" s="59">
        <f>I39</f>
        <v>0.66200000000000003</v>
      </c>
      <c r="J21" s="59">
        <f t="shared" si="3"/>
        <v>0.66200000000000003</v>
      </c>
      <c r="K21" s="59">
        <f t="shared" si="2"/>
        <v>0.66200000000000003</v>
      </c>
      <c r="L21" s="59">
        <f t="shared" si="2"/>
        <v>0.66200000000000003</v>
      </c>
      <c r="M21" s="59">
        <f t="shared" si="2"/>
        <v>0.66200000000000003</v>
      </c>
      <c r="N21" s="59">
        <f t="shared" si="2"/>
        <v>0.66200000000000003</v>
      </c>
      <c r="O21" s="59">
        <f t="shared" si="2"/>
        <v>0.66200000000000003</v>
      </c>
      <c r="P21" s="59">
        <f t="shared" si="2"/>
        <v>0.66200000000000003</v>
      </c>
    </row>
    <row r="22" spans="3:16">
      <c r="C22" s="105" t="s">
        <v>280</v>
      </c>
      <c r="D22" s="41" t="s">
        <v>299</v>
      </c>
      <c r="E22" s="41"/>
      <c r="F22" s="41" t="s">
        <v>397</v>
      </c>
      <c r="G22" s="41" t="s">
        <v>391</v>
      </c>
      <c r="H22" s="41" t="s">
        <v>392</v>
      </c>
      <c r="I22" s="59">
        <f>AVERAGE(I39:I40)</f>
        <v>0.44227759497990671</v>
      </c>
      <c r="J22" s="59">
        <f t="shared" si="3"/>
        <v>0.44227759497990671</v>
      </c>
      <c r="K22" s="59">
        <f t="shared" si="2"/>
        <v>0.44227759497990671</v>
      </c>
      <c r="L22" s="59">
        <f t="shared" si="2"/>
        <v>0.44227759497990671</v>
      </c>
      <c r="M22" s="59">
        <f t="shared" si="2"/>
        <v>0.44227759497990671</v>
      </c>
      <c r="N22" s="59">
        <f t="shared" si="2"/>
        <v>0.44227759497990671</v>
      </c>
      <c r="O22" s="59">
        <f t="shared" si="2"/>
        <v>0.44227759497990671</v>
      </c>
      <c r="P22" s="59">
        <f t="shared" si="2"/>
        <v>0.44227759497990671</v>
      </c>
    </row>
    <row r="23" spans="3:16">
      <c r="C23" s="52"/>
      <c r="I23" s="75"/>
      <c r="J23" s="75"/>
      <c r="K23" s="75"/>
      <c r="L23" s="75"/>
      <c r="M23" s="75"/>
      <c r="N23" s="75"/>
      <c r="O23" s="75"/>
      <c r="P23" s="75"/>
    </row>
    <row r="24" spans="3:16">
      <c r="C24" s="52"/>
      <c r="I24" s="75"/>
      <c r="J24" s="75"/>
      <c r="K24" s="75"/>
      <c r="L24" s="75"/>
      <c r="M24" s="75"/>
      <c r="N24" s="75"/>
      <c r="O24" s="75"/>
      <c r="P24" s="75"/>
    </row>
    <row r="28" spans="3:16" ht="14.5">
      <c r="C28" s="145" t="s">
        <v>283</v>
      </c>
      <c r="D28" s="41" t="s">
        <v>398</v>
      </c>
      <c r="E28" s="355" t="s">
        <v>399</v>
      </c>
      <c r="F28" s="355"/>
      <c r="G28" s="355"/>
      <c r="H28" s="355"/>
      <c r="I28" s="41" t="s">
        <v>400</v>
      </c>
    </row>
    <row r="29" spans="3:16" ht="14.5" customHeight="1">
      <c r="C29" s="146" t="s">
        <v>401</v>
      </c>
      <c r="D29" s="41">
        <v>25.11</v>
      </c>
      <c r="E29" s="352" t="s">
        <v>402</v>
      </c>
      <c r="F29" s="353"/>
      <c r="G29" s="353"/>
      <c r="H29" s="354"/>
      <c r="I29" s="78">
        <v>0.4</v>
      </c>
    </row>
    <row r="30" spans="3:16" ht="17.5" customHeight="1">
      <c r="C30" s="146" t="s">
        <v>403</v>
      </c>
      <c r="D30" s="41">
        <v>25.11</v>
      </c>
      <c r="E30" s="352" t="s">
        <v>402</v>
      </c>
      <c r="F30" s="353"/>
      <c r="G30" s="353"/>
      <c r="H30" s="354"/>
      <c r="I30" s="78">
        <v>0.4</v>
      </c>
    </row>
    <row r="31" spans="3:16" ht="15" customHeight="1">
      <c r="C31" s="146" t="s">
        <v>404</v>
      </c>
      <c r="D31" s="41">
        <v>28.11</v>
      </c>
      <c r="E31" s="352" t="s">
        <v>405</v>
      </c>
      <c r="F31" s="353"/>
      <c r="G31" s="353"/>
      <c r="H31" s="354"/>
      <c r="I31" s="78">
        <v>0.21</v>
      </c>
    </row>
    <row r="32" spans="3:16" ht="14.5" customHeight="1">
      <c r="C32" s="146" t="s">
        <v>406</v>
      </c>
      <c r="D32" s="41">
        <v>28.15</v>
      </c>
      <c r="E32" s="352" t="s">
        <v>407</v>
      </c>
      <c r="F32" s="353"/>
      <c r="G32" s="353"/>
      <c r="H32" s="354"/>
      <c r="I32" s="78">
        <v>0.39</v>
      </c>
    </row>
    <row r="33" spans="3:12" ht="15" customHeight="1">
      <c r="C33" s="146" t="s">
        <v>408</v>
      </c>
      <c r="D33" s="41">
        <v>28.15</v>
      </c>
      <c r="E33" s="352" t="s">
        <v>407</v>
      </c>
      <c r="F33" s="353"/>
      <c r="G33" s="353"/>
      <c r="H33" s="354"/>
      <c r="I33" s="78">
        <v>0.39</v>
      </c>
    </row>
    <row r="34" spans="3:12" ht="15" customHeight="1">
      <c r="C34" s="146" t="s">
        <v>409</v>
      </c>
      <c r="D34" s="41">
        <v>27.11</v>
      </c>
      <c r="E34" s="352" t="s">
        <v>410</v>
      </c>
      <c r="F34" s="353"/>
      <c r="G34" s="353"/>
      <c r="H34" s="354"/>
      <c r="I34" s="78">
        <v>0.28000000000000003</v>
      </c>
    </row>
    <row r="35" spans="3:12" ht="17.25" customHeight="1">
      <c r="C35" s="146" t="s">
        <v>411</v>
      </c>
      <c r="D35" s="41">
        <v>27.11</v>
      </c>
      <c r="E35" s="352" t="s">
        <v>410</v>
      </c>
      <c r="F35" s="353"/>
      <c r="G35" s="353"/>
      <c r="H35" s="354"/>
      <c r="I35" s="78">
        <v>0.28000000000000003</v>
      </c>
    </row>
    <row r="36" spans="3:12" ht="29.25" customHeight="1">
      <c r="C36" s="146" t="s">
        <v>412</v>
      </c>
      <c r="D36" s="41">
        <v>27.11</v>
      </c>
      <c r="E36" s="352" t="s">
        <v>410</v>
      </c>
      <c r="F36" s="353"/>
      <c r="G36" s="353"/>
      <c r="H36" s="354"/>
      <c r="I36" s="78">
        <v>0.28000000000000003</v>
      </c>
    </row>
    <row r="37" spans="3:12" ht="28" customHeight="1">
      <c r="C37" s="230" t="s">
        <v>413</v>
      </c>
      <c r="D37" s="147">
        <v>27.12</v>
      </c>
      <c r="E37" s="352" t="s">
        <v>410</v>
      </c>
      <c r="F37" s="353"/>
      <c r="G37" s="353"/>
      <c r="H37" s="354"/>
      <c r="I37" s="78">
        <v>0.39</v>
      </c>
    </row>
    <row r="38" spans="3:12" ht="18" customHeight="1">
      <c r="C38" s="146" t="s">
        <v>414</v>
      </c>
      <c r="D38" s="41">
        <v>27.32</v>
      </c>
      <c r="E38" s="352" t="s">
        <v>415</v>
      </c>
      <c r="F38" s="353"/>
      <c r="G38" s="353"/>
      <c r="H38" s="354"/>
      <c r="I38" s="78">
        <v>0.45</v>
      </c>
    </row>
    <row r="39" spans="3:12" ht="19.5" customHeight="1">
      <c r="C39" s="146" t="s">
        <v>307</v>
      </c>
      <c r="D39" s="41">
        <v>52.22</v>
      </c>
      <c r="E39" s="352" t="s">
        <v>417</v>
      </c>
      <c r="F39" s="353"/>
      <c r="G39" s="353"/>
      <c r="H39" s="354"/>
      <c r="I39" s="78">
        <v>0.66200000000000003</v>
      </c>
    </row>
    <row r="40" spans="3:12" ht="14.5">
      <c r="C40" s="146" t="s">
        <v>307</v>
      </c>
      <c r="D40" s="41" t="s">
        <v>418</v>
      </c>
      <c r="E40" s="352" t="s">
        <v>419</v>
      </c>
      <c r="F40" s="353"/>
      <c r="G40" s="353"/>
      <c r="H40" s="354"/>
      <c r="I40" s="78">
        <v>0.22255518995981341</v>
      </c>
    </row>
    <row r="43" spans="3:12">
      <c r="C43" s="148"/>
      <c r="D43" s="149"/>
      <c r="E43" s="149"/>
      <c r="F43" s="150"/>
      <c r="G43" s="151"/>
      <c r="H43" s="151"/>
      <c r="I43" s="151"/>
      <c r="J43" s="151" t="s">
        <v>420</v>
      </c>
      <c r="K43" s="152" t="s">
        <v>420</v>
      </c>
      <c r="L43" s="153" t="s">
        <v>420</v>
      </c>
    </row>
    <row r="44" spans="3:12" ht="14.5">
      <c r="E44"/>
    </row>
    <row r="45" spans="3:12" ht="19">
      <c r="E45" s="241"/>
      <c r="H45" s="2"/>
    </row>
    <row r="46" spans="3:12" ht="14.5">
      <c r="E46" s="242"/>
      <c r="H46" s="52"/>
    </row>
    <row r="47" spans="3:12" ht="19">
      <c r="E47" s="241"/>
    </row>
    <row r="48" spans="3:12" ht="14.5">
      <c r="E48" s="242"/>
    </row>
    <row r="49" spans="5:9" ht="19">
      <c r="E49" s="241"/>
    </row>
    <row r="50" spans="5:9" ht="14.5">
      <c r="E50" s="242"/>
      <c r="I50" s="75"/>
    </row>
    <row r="51" spans="5:9">
      <c r="I51" s="75"/>
    </row>
  </sheetData>
  <mergeCells count="13">
    <mergeCell ref="E40:H40"/>
    <mergeCell ref="E39:H39"/>
    <mergeCell ref="E28:H28"/>
    <mergeCell ref="E29:H29"/>
    <mergeCell ref="E30:H30"/>
    <mergeCell ref="E31:H31"/>
    <mergeCell ref="E32:H32"/>
    <mergeCell ref="E33:H33"/>
    <mergeCell ref="E34:H34"/>
    <mergeCell ref="E35:H35"/>
    <mergeCell ref="E36:H36"/>
    <mergeCell ref="E37:H37"/>
    <mergeCell ref="E38:H38"/>
  </mergeCells>
  <conditionalFormatting sqref="A44:D50 F44:XFD44 K29:XFD31 A41:XFD43 J40:XFD40 K34:XFD39 J31 F45:G50 J28:XFD28 A51:H1048576 I45:XFD45 I50:XFD1048576 J46:XFD49 A25:XFD27 J32:XFD33 A28:B40 I28:I39 D28:D39 A1:XFD9 G23:P24 A10:A24 Q10:XFD24 B18:B24 D18:E24 I18:P22">
    <cfRule type="expression" dxfId="49" priority="20">
      <formula>_xlfn.ISFORMULA(A1)</formula>
    </cfRule>
  </conditionalFormatting>
  <conditionalFormatting sqref="B10:P12 B15:P17 B14:D14 I13:P14 F13:F14">
    <cfRule type="expression" dxfId="48" priority="19">
      <formula>_xlfn.ISFORMULA(B10)</formula>
    </cfRule>
  </conditionalFormatting>
  <conditionalFormatting sqref="B13:D13">
    <cfRule type="expression" dxfId="47" priority="18">
      <formula>_xlfn.ISFORMULA(B13)</formula>
    </cfRule>
  </conditionalFormatting>
  <conditionalFormatting sqref="J29:J30">
    <cfRule type="expression" dxfId="46" priority="17">
      <formula>_xlfn.ISFORMULA(J29)</formula>
    </cfRule>
  </conditionalFormatting>
  <conditionalFormatting sqref="J34:J37">
    <cfRule type="expression" dxfId="45" priority="16">
      <formula>_xlfn.ISFORMULA(J34)</formula>
    </cfRule>
  </conditionalFormatting>
  <conditionalFormatting sqref="J38">
    <cfRule type="expression" dxfId="44" priority="15">
      <formula>_xlfn.ISFORMULA(J38)</formula>
    </cfRule>
  </conditionalFormatting>
  <conditionalFormatting sqref="J39">
    <cfRule type="expression" dxfId="43" priority="13">
      <formula>_xlfn.ISFORMULA(J39)</formula>
    </cfRule>
  </conditionalFormatting>
  <conditionalFormatting sqref="H45">
    <cfRule type="expression" dxfId="42" priority="12">
      <formula>_xlfn.ISFORMULA(H45)</formula>
    </cfRule>
  </conditionalFormatting>
  <conditionalFormatting sqref="H50">
    <cfRule type="expression" dxfId="41" priority="11">
      <formula>_xlfn.ISFORMULA(H50)</formula>
    </cfRule>
  </conditionalFormatting>
  <conditionalFormatting sqref="I40 D40">
    <cfRule type="expression" dxfId="40" priority="6">
      <formula>_xlfn.ISFORMULA(D40)</formula>
    </cfRule>
  </conditionalFormatting>
  <conditionalFormatting sqref="F18:F22">
    <cfRule type="expression" dxfId="39" priority="5">
      <formula>_xlfn.ISFORMULA(F18)</formula>
    </cfRule>
  </conditionalFormatting>
  <conditionalFormatting sqref="G18:H22">
    <cfRule type="expression" dxfId="38" priority="4">
      <formula>_xlfn.ISFORMULA(G18)</formula>
    </cfRule>
  </conditionalFormatting>
  <conditionalFormatting sqref="G13:H14">
    <cfRule type="expression" dxfId="37" priority="3">
      <formula>_xlfn.ISFORMULA(G13)</formula>
    </cfRule>
  </conditionalFormatting>
  <conditionalFormatting sqref="E13">
    <cfRule type="expression" dxfId="36" priority="2">
      <formula>_xlfn.ISFORMULA(E13)</formula>
    </cfRule>
  </conditionalFormatting>
  <conditionalFormatting sqref="E14">
    <cfRule type="expression" dxfId="35" priority="1">
      <formula>_xlfn.ISFORMULA(E14)</formula>
    </cfRule>
  </conditionalFormatting>
  <pageMargins left="0.7" right="0.7" top="0.75" bottom="0.75" header="0.3" footer="0.3"/>
  <pageSetup paperSize="9" orientation="portrait" horizontalDpi="4294967294" verticalDpi="4294967294"/>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481C-6087-4E70-B4DD-B45940439661}">
  <sheetPr>
    <tabColor theme="9" tint="0.39997558519241921"/>
  </sheetPr>
  <dimension ref="B1:R43"/>
  <sheetViews>
    <sheetView topLeftCell="A14" zoomScale="70" zoomScaleNormal="70" workbookViewId="0">
      <selection activeCell="C24" sqref="C24:M28"/>
    </sheetView>
  </sheetViews>
  <sheetFormatPr defaultColWidth="8.81640625" defaultRowHeight="14"/>
  <cols>
    <col min="1" max="1" width="10.7265625" style="1" customWidth="1"/>
    <col min="2" max="2" width="17.81640625" style="1" customWidth="1"/>
    <col min="3" max="3" width="25.1796875" style="1" customWidth="1"/>
    <col min="4" max="4" width="8.81640625" style="1"/>
    <col min="5" max="5" width="9.81640625" style="1" customWidth="1"/>
    <col min="6" max="6" width="15.7265625" style="1" customWidth="1"/>
    <col min="7" max="7" width="21.81640625" style="1" customWidth="1"/>
    <col min="8" max="8" width="24" style="1" customWidth="1"/>
    <col min="9" max="9" width="15" style="1" bestFit="1" customWidth="1"/>
    <col min="10" max="10" width="18.453125" style="1" customWidth="1"/>
    <col min="11" max="12" width="17.26953125" style="1" customWidth="1"/>
    <col min="13" max="13" width="17.1796875" style="1" bestFit="1" customWidth="1"/>
    <col min="14" max="14" width="17" style="1" customWidth="1"/>
    <col min="15" max="15" width="17.1796875" style="1" customWidth="1"/>
    <col min="16" max="16" width="17.7265625" style="1" bestFit="1" customWidth="1"/>
    <col min="17" max="17" width="8.81640625" style="1"/>
    <col min="18" max="18" width="9.81640625" style="1" bestFit="1" customWidth="1"/>
    <col min="19" max="16384" width="8.81640625" style="1"/>
  </cols>
  <sheetData>
    <row r="1" spans="2:18" s="3" customFormat="1" ht="49.5" customHeight="1">
      <c r="B1" s="304" t="s">
        <v>421</v>
      </c>
      <c r="C1" s="304"/>
      <c r="D1" s="304"/>
      <c r="E1" s="304"/>
      <c r="F1" s="304"/>
      <c r="G1" s="304"/>
      <c r="H1" s="304"/>
      <c r="I1" s="304"/>
      <c r="J1" s="304"/>
      <c r="K1" s="304"/>
      <c r="L1" s="304"/>
      <c r="M1" s="304"/>
      <c r="N1" s="304"/>
      <c r="O1" s="304"/>
      <c r="P1" s="304"/>
      <c r="Q1" s="304"/>
      <c r="R1" s="304"/>
    </row>
    <row r="4" spans="2:18">
      <c r="O4" s="7"/>
      <c r="P4" s="2"/>
    </row>
    <row r="5" spans="2:18">
      <c r="P5" s="2"/>
    </row>
    <row r="8" spans="2:18" ht="14.5">
      <c r="C8" s="5"/>
      <c r="D8" s="5"/>
      <c r="E8" s="5"/>
      <c r="F8" s="5"/>
      <c r="G8" s="5"/>
      <c r="H8" s="5"/>
      <c r="I8" s="5"/>
      <c r="J8" s="103"/>
      <c r="K8" s="5"/>
      <c r="L8" s="5"/>
      <c r="M8" s="5"/>
      <c r="N8" s="5"/>
      <c r="O8" s="5"/>
      <c r="P8" s="5"/>
      <c r="Q8" s="5"/>
      <c r="R8" s="5"/>
    </row>
    <row r="9" spans="2:18" ht="14.5">
      <c r="C9" s="2" t="s">
        <v>559</v>
      </c>
      <c r="D9" s="2"/>
      <c r="E9" s="2"/>
      <c r="F9" s="2"/>
      <c r="G9" s="2"/>
      <c r="H9" s="2"/>
      <c r="Q9" s="5"/>
      <c r="R9" s="5"/>
    </row>
    <row r="10" spans="2:18" ht="14.5">
      <c r="C10" s="45" t="s">
        <v>243</v>
      </c>
      <c r="Q10" s="5"/>
      <c r="R10" s="5"/>
    </row>
    <row r="11" spans="2:18" ht="14.5">
      <c r="B11" s="47" t="s">
        <v>137</v>
      </c>
      <c r="C11" s="47" t="s">
        <v>338</v>
      </c>
      <c r="D11" s="47" t="s">
        <v>24</v>
      </c>
      <c r="E11" s="47" t="s">
        <v>235</v>
      </c>
      <c r="F11" s="47">
        <v>2015</v>
      </c>
      <c r="G11" s="47">
        <v>2020</v>
      </c>
      <c r="H11" s="47">
        <v>2025</v>
      </c>
      <c r="I11" s="47">
        <v>2030</v>
      </c>
      <c r="J11" s="47">
        <v>2035</v>
      </c>
      <c r="K11" s="47">
        <v>2040</v>
      </c>
      <c r="L11" s="47">
        <v>2045</v>
      </c>
      <c r="M11" s="47">
        <v>2050</v>
      </c>
      <c r="N11" s="5"/>
      <c r="O11" s="5"/>
    </row>
    <row r="12" spans="2:18" ht="14.5">
      <c r="B12" s="58" t="s">
        <v>148</v>
      </c>
      <c r="C12" s="41" t="s">
        <v>339</v>
      </c>
      <c r="D12" s="41" t="s">
        <v>422</v>
      </c>
      <c r="E12" s="41" t="s">
        <v>357</v>
      </c>
      <c r="F12" s="111">
        <f>SUM(F17:F20)</f>
        <v>195872552.29645228</v>
      </c>
      <c r="G12" s="111">
        <f t="shared" ref="G12:M12" si="0">SUM(G17:G20)</f>
        <v>188837922.43193001</v>
      </c>
      <c r="H12" s="111">
        <f t="shared" si="0"/>
        <v>339276097.13754916</v>
      </c>
      <c r="I12" s="111">
        <f t="shared" si="0"/>
        <v>732683775.26316297</v>
      </c>
      <c r="J12" s="111">
        <f t="shared" si="0"/>
        <v>538851119.63971186</v>
      </c>
      <c r="K12" s="111">
        <f t="shared" si="0"/>
        <v>637499225.44793773</v>
      </c>
      <c r="L12" s="111">
        <f t="shared" si="0"/>
        <v>835935145.30355</v>
      </c>
      <c r="M12" s="111">
        <f t="shared" si="0"/>
        <v>1188375414.0288575</v>
      </c>
      <c r="N12" s="5"/>
      <c r="O12" s="5"/>
    </row>
    <row r="13" spans="2:18" ht="14.5">
      <c r="C13" s="41" t="s">
        <v>307</v>
      </c>
      <c r="D13" s="41" t="s">
        <v>422</v>
      </c>
      <c r="E13" s="41" t="s">
        <v>357</v>
      </c>
      <c r="F13" s="111">
        <f>F21</f>
        <v>140249442.67853609</v>
      </c>
      <c r="G13" s="111">
        <f t="shared" ref="G13:M13" si="1">G21</f>
        <v>202522433.64678603</v>
      </c>
      <c r="H13" s="111">
        <f t="shared" si="1"/>
        <v>367258291.38810349</v>
      </c>
      <c r="I13" s="111">
        <f t="shared" si="1"/>
        <v>689561079.92551637</v>
      </c>
      <c r="J13" s="111">
        <f t="shared" si="1"/>
        <v>835575380.99919188</v>
      </c>
      <c r="K13" s="111">
        <f t="shared" si="1"/>
        <v>1008772029.6491847</v>
      </c>
      <c r="L13" s="111">
        <f t="shared" si="1"/>
        <v>1219763495.1839147</v>
      </c>
      <c r="M13" s="111">
        <f t="shared" si="1"/>
        <v>1452396123.9711814</v>
      </c>
      <c r="N13"/>
      <c r="O13"/>
      <c r="P13" s="271"/>
    </row>
    <row r="14" spans="2:18" ht="14.5">
      <c r="N14"/>
      <c r="O14"/>
      <c r="P14" s="271"/>
    </row>
    <row r="15" spans="2:18" ht="14.5">
      <c r="C15" s="45" t="s">
        <v>341</v>
      </c>
      <c r="N15"/>
      <c r="O15"/>
      <c r="P15" s="271"/>
    </row>
    <row r="16" spans="2:18" ht="14.5">
      <c r="C16" s="47" t="s">
        <v>283</v>
      </c>
      <c r="D16" s="47" t="s">
        <v>24</v>
      </c>
      <c r="E16" s="47" t="s">
        <v>235</v>
      </c>
      <c r="F16" s="47">
        <v>2015</v>
      </c>
      <c r="G16" s="47">
        <v>2020</v>
      </c>
      <c r="H16" s="47">
        <v>2025</v>
      </c>
      <c r="I16" s="47">
        <v>2030</v>
      </c>
      <c r="J16" s="47">
        <v>2035</v>
      </c>
      <c r="K16" s="47">
        <v>2040</v>
      </c>
      <c r="L16" s="47">
        <v>2045</v>
      </c>
      <c r="M16" s="47">
        <v>2050</v>
      </c>
      <c r="N16"/>
      <c r="O16"/>
      <c r="P16" s="271"/>
    </row>
    <row r="17" spans="2:16" ht="14.5">
      <c r="C17" s="48" t="s">
        <v>285</v>
      </c>
      <c r="D17" s="41" t="s">
        <v>422</v>
      </c>
      <c r="E17" s="41" t="s">
        <v>357</v>
      </c>
      <c r="F17" s="110">
        <f>'GVA turnover multiplier (2)'!I18*'UK captured turnover (2)'!E17*10^6</f>
        <v>62354970.886256196</v>
      </c>
      <c r="G17" s="110">
        <f>'GVA turnover multiplier (2)'!J18*'UK captured turnover (2)'!F17*10^6</f>
        <v>62696169.095237829</v>
      </c>
      <c r="H17" s="110">
        <f>'GVA turnover multiplier (2)'!K18*'UK captured turnover (2)'!G17*10^6</f>
        <v>113731910.54928736</v>
      </c>
      <c r="I17" s="110">
        <f>'GVA turnover multiplier (2)'!L18*'UK captured turnover (2)'!H17*10^6</f>
        <v>247464587.23259461</v>
      </c>
      <c r="J17" s="110">
        <f>'GVA turnover multiplier (2)'!M18*'UK captured turnover (2)'!I17*10^6</f>
        <v>181997437.91728941</v>
      </c>
      <c r="K17" s="110">
        <f>'GVA turnover multiplier (2)'!N18*'UK captured turnover (2)'!J17*10^6</f>
        <v>215315922.11102188</v>
      </c>
      <c r="L17" s="110">
        <f>'GVA turnover multiplier (2)'!O18*'UK captured turnover (2)'!K17*10^6</f>
        <v>282337827.9551245</v>
      </c>
      <c r="M17" s="110">
        <f>'GVA turnover multiplier (2)'!P18*'UK captured turnover (2)'!L17*10^6</f>
        <v>401374837.60219473</v>
      </c>
      <c r="N17"/>
      <c r="O17" s="96"/>
      <c r="P17" s="271"/>
    </row>
    <row r="18" spans="2:16" ht="14.5">
      <c r="C18" s="41" t="s">
        <v>333</v>
      </c>
      <c r="D18" s="41" t="s">
        <v>422</v>
      </c>
      <c r="E18" s="41" t="s">
        <v>357</v>
      </c>
      <c r="F18" s="110">
        <f>'GVA turnover multiplier (2)'!I19*'UK captured turnover (2)'!E18*10^6</f>
        <v>56509192.36566966</v>
      </c>
      <c r="G18" s="110">
        <f>'GVA turnover multiplier (2)'!J19*'UK captured turnover (2)'!F18*10^6</f>
        <v>56818403.242559284</v>
      </c>
      <c r="H18" s="110">
        <f>'GVA turnover multiplier (2)'!K19*'UK captured turnover (2)'!G18*10^6</f>
        <v>103069543.93529166</v>
      </c>
      <c r="I18" s="110">
        <f>'GVA turnover multiplier (2)'!L19*'UK captured turnover (2)'!H18*10^6</f>
        <v>224264782.17953882</v>
      </c>
      <c r="J18" s="110">
        <f>'GVA turnover multiplier (2)'!M19*'UK captured turnover (2)'!I18*10^6</f>
        <v>164935178.11254352</v>
      </c>
      <c r="K18" s="110">
        <f>'GVA turnover multiplier (2)'!N19*'UK captured turnover (2)'!J18*10^6</f>
        <v>195130054.41311356</v>
      </c>
      <c r="L18" s="110">
        <f>'GVA turnover multiplier (2)'!O19*'UK captured turnover (2)'!K18*10^6</f>
        <v>255868656.58433154</v>
      </c>
      <c r="M18" s="110">
        <f>'GVA turnover multiplier (2)'!P19*'UK captured turnover (2)'!L18*10^6</f>
        <v>363745946.57698888</v>
      </c>
      <c r="N18"/>
      <c r="O18" s="96"/>
      <c r="P18" s="271"/>
    </row>
    <row r="19" spans="2:16" ht="14.5">
      <c r="C19" s="41" t="s">
        <v>320</v>
      </c>
      <c r="D19" s="41" t="s">
        <v>422</v>
      </c>
      <c r="E19" s="41" t="s">
        <v>357</v>
      </c>
      <c r="F19" s="110">
        <f>'GVA turnover multiplier (2)'!I20*'UK captured turnover (2)'!E19*10^6</f>
        <v>15734887.184578711</v>
      </c>
      <c r="G19" s="110">
        <f>'GVA turnover multiplier (2)'!J20*'UK captured turnover (2)'!F19*10^6</f>
        <v>15820986.420126418</v>
      </c>
      <c r="H19" s="110">
        <f>'GVA turnover multiplier (2)'!K20*'UK captured turnover (2)'!G19*10^6</f>
        <v>28699536.802671727</v>
      </c>
      <c r="I19" s="110">
        <f>'GVA turnover multiplier (2)'!L20*'UK captured turnover (2)'!H19*10^6</f>
        <v>62446141.934475027</v>
      </c>
      <c r="J19" s="110">
        <f>'GVA turnover multiplier (2)'!M20*'UK captured turnover (2)'!I19*10^6</f>
        <v>45925915.974440999</v>
      </c>
      <c r="K19" s="110">
        <f>'GVA turnover multiplier (2)'!N20*'UK captured turnover (2)'!J19*10^6</f>
        <v>54333627.220203169</v>
      </c>
      <c r="L19" s="110">
        <f>'GVA turnover multiplier (2)'!O20*'UK captured turnover (2)'!K19*10^6</f>
        <v>71246186.273050934</v>
      </c>
      <c r="M19" s="110">
        <f>'GVA turnover multiplier (2)'!P20*'UK captured turnover (2)'!L19*10^6</f>
        <v>101284431.67617878</v>
      </c>
      <c r="N19"/>
      <c r="O19" s="96"/>
      <c r="P19" s="271"/>
    </row>
    <row r="20" spans="2:16" ht="14.5">
      <c r="C20" s="41" t="s">
        <v>317</v>
      </c>
      <c r="D20" s="41" t="s">
        <v>422</v>
      </c>
      <c r="E20" s="41" t="s">
        <v>357</v>
      </c>
      <c r="F20" s="110">
        <f>'GVA turnover multiplier (2)'!I21*'UK captured turnover (2)'!E20*10^6</f>
        <v>61273501.859947696</v>
      </c>
      <c r="G20" s="110">
        <f>'GVA turnover multiplier (2)'!J21*'UK captured turnover (2)'!F20*10^6</f>
        <v>53502363.674006477</v>
      </c>
      <c r="H20" s="110">
        <f>'GVA turnover multiplier (2)'!K21*'UK captured turnover (2)'!G20*10^6</f>
        <v>93775105.850298434</v>
      </c>
      <c r="I20" s="110">
        <f>'GVA turnover multiplier (2)'!L21*'UK captured turnover (2)'!H20*10^6</f>
        <v>198508263.91655451</v>
      </c>
      <c r="J20" s="110">
        <f>'GVA turnover multiplier (2)'!M21*'UK captured turnover (2)'!I20*10^6</f>
        <v>145992587.63543791</v>
      </c>
      <c r="K20" s="110">
        <f>'GVA turnover multiplier (2)'!N21*'UK captured turnover (2)'!J20*10^6</f>
        <v>172719621.70359904</v>
      </c>
      <c r="L20" s="110">
        <f>'GVA turnover multiplier (2)'!O21*'UK captured turnover (2)'!K20*10^6</f>
        <v>226482474.49104312</v>
      </c>
      <c r="M20" s="110">
        <f>'GVA turnover multiplier (2)'!P21*'UK captured turnover (2)'!L20*10^6</f>
        <v>321970198.17349511</v>
      </c>
      <c r="N20"/>
      <c r="O20" s="96"/>
      <c r="P20" s="271"/>
    </row>
    <row r="21" spans="2:16" ht="14.5">
      <c r="C21" s="105" t="s">
        <v>280</v>
      </c>
      <c r="D21" s="41" t="s">
        <v>422</v>
      </c>
      <c r="E21" s="41" t="s">
        <v>357</v>
      </c>
      <c r="F21" s="110">
        <f>'GVA turnover multiplier (2)'!I22*'UK captured turnover (2)'!E21*10^6</f>
        <v>140249442.67853609</v>
      </c>
      <c r="G21" s="110">
        <f>'GVA turnover multiplier (2)'!J22*'UK captured turnover (2)'!F21*10^6</f>
        <v>202522433.64678603</v>
      </c>
      <c r="H21" s="110">
        <f>'GVA turnover multiplier (2)'!K22*'UK captured turnover (2)'!G21*10^6</f>
        <v>367258291.38810349</v>
      </c>
      <c r="I21" s="110">
        <f>'GVA turnover multiplier (2)'!L22*'UK captured turnover (2)'!H21*10^6</f>
        <v>689561079.92551637</v>
      </c>
      <c r="J21" s="110">
        <f>'GVA turnover multiplier (2)'!M22*'UK captured turnover (2)'!I21*10^6</f>
        <v>835575380.99919188</v>
      </c>
      <c r="K21" s="110">
        <f>'GVA turnover multiplier (2)'!N22*'UK captured turnover (2)'!J21*10^6</f>
        <v>1008772029.6491847</v>
      </c>
      <c r="L21" s="110">
        <f>'GVA turnover multiplier (2)'!O22*'UK captured turnover (2)'!K21*10^6</f>
        <v>1219763495.1839147</v>
      </c>
      <c r="M21" s="110">
        <f>'GVA turnover multiplier (2)'!P22*'UK captured turnover (2)'!L21*10^6</f>
        <v>1452396123.9711814</v>
      </c>
      <c r="N21"/>
      <c r="O21" s="96"/>
      <c r="P21" s="271"/>
    </row>
    <row r="22" spans="2:16" ht="14.5">
      <c r="N22"/>
      <c r="O22" s="285"/>
      <c r="P22" s="271"/>
    </row>
    <row r="23" spans="2:16" ht="14.5">
      <c r="B23" s="2" t="s">
        <v>560</v>
      </c>
      <c r="N23"/>
      <c r="O23"/>
      <c r="P23" s="271"/>
    </row>
    <row r="24" spans="2:16">
      <c r="C24" s="48" t="s">
        <v>285</v>
      </c>
      <c r="D24" s="41" t="s">
        <v>561</v>
      </c>
      <c r="E24" s="162"/>
      <c r="F24" s="162">
        <f t="shared" ref="F24:M27" si="2">F17/10^6</f>
        <v>62.354970886256197</v>
      </c>
      <c r="G24" s="162">
        <f t="shared" si="2"/>
        <v>62.696169095237828</v>
      </c>
      <c r="H24" s="162">
        <f t="shared" si="2"/>
        <v>113.73191054928736</v>
      </c>
      <c r="I24" s="162">
        <f t="shared" si="2"/>
        <v>247.4645872325946</v>
      </c>
      <c r="J24" s="162">
        <f t="shared" si="2"/>
        <v>181.9974379172894</v>
      </c>
      <c r="K24" s="162">
        <f t="shared" si="2"/>
        <v>215.31592211102188</v>
      </c>
      <c r="L24" s="162">
        <f t="shared" si="2"/>
        <v>282.33782795512451</v>
      </c>
      <c r="M24" s="162">
        <f t="shared" si="2"/>
        <v>401.3748376021947</v>
      </c>
      <c r="N24" s="271"/>
      <c r="O24" s="271"/>
      <c r="P24" s="271"/>
    </row>
    <row r="25" spans="2:16">
      <c r="C25" s="41" t="s">
        <v>333</v>
      </c>
      <c r="D25" s="41" t="s">
        <v>561</v>
      </c>
      <c r="E25" s="162"/>
      <c r="F25" s="162">
        <f t="shared" si="2"/>
        <v>56.509192365669662</v>
      </c>
      <c r="G25" s="162">
        <f t="shared" si="2"/>
        <v>56.818403242559285</v>
      </c>
      <c r="H25" s="162">
        <f t="shared" si="2"/>
        <v>103.06954393529166</v>
      </c>
      <c r="I25" s="162">
        <f t="shared" si="2"/>
        <v>224.26478217953883</v>
      </c>
      <c r="J25" s="162">
        <f t="shared" si="2"/>
        <v>164.93517811254353</v>
      </c>
      <c r="K25" s="162">
        <f t="shared" si="2"/>
        <v>195.13005441311356</v>
      </c>
      <c r="L25" s="162">
        <f t="shared" si="2"/>
        <v>255.86865658433155</v>
      </c>
      <c r="M25" s="162">
        <f t="shared" si="2"/>
        <v>363.7459465769889</v>
      </c>
    </row>
    <row r="26" spans="2:16">
      <c r="C26" s="41" t="s">
        <v>320</v>
      </c>
      <c r="D26" s="41" t="s">
        <v>561</v>
      </c>
      <c r="E26" s="162"/>
      <c r="F26" s="162">
        <f t="shared" si="2"/>
        <v>15.734887184578712</v>
      </c>
      <c r="G26" s="162">
        <f t="shared" si="2"/>
        <v>15.820986420126419</v>
      </c>
      <c r="H26" s="162">
        <f t="shared" si="2"/>
        <v>28.699536802671727</v>
      </c>
      <c r="I26" s="162">
        <f t="shared" si="2"/>
        <v>62.44614193447503</v>
      </c>
      <c r="J26" s="162">
        <f t="shared" si="2"/>
        <v>45.925915974440997</v>
      </c>
      <c r="K26" s="162">
        <f t="shared" si="2"/>
        <v>54.333627220203169</v>
      </c>
      <c r="L26" s="162">
        <f t="shared" si="2"/>
        <v>71.246186273050938</v>
      </c>
      <c r="M26" s="162">
        <f t="shared" si="2"/>
        <v>101.28443167617878</v>
      </c>
    </row>
    <row r="27" spans="2:16">
      <c r="C27" s="41" t="s">
        <v>317</v>
      </c>
      <c r="D27" s="41" t="s">
        <v>561</v>
      </c>
      <c r="E27" s="162"/>
      <c r="F27" s="162">
        <f t="shared" si="2"/>
        <v>61.273501859947693</v>
      </c>
      <c r="G27" s="162">
        <f t="shared" si="2"/>
        <v>53.502363674006475</v>
      </c>
      <c r="H27" s="162">
        <f t="shared" si="2"/>
        <v>93.775105850298431</v>
      </c>
      <c r="I27" s="162">
        <f t="shared" si="2"/>
        <v>198.50826391655451</v>
      </c>
      <c r="J27" s="162">
        <f t="shared" si="2"/>
        <v>145.9925876354379</v>
      </c>
      <c r="K27" s="162">
        <f t="shared" si="2"/>
        <v>172.71962170359905</v>
      </c>
      <c r="L27" s="162">
        <f t="shared" si="2"/>
        <v>226.48247449104312</v>
      </c>
      <c r="M27" s="162">
        <f t="shared" si="2"/>
        <v>321.97019817349513</v>
      </c>
    </row>
    <row r="28" spans="2:16">
      <c r="C28" s="105" t="s">
        <v>280</v>
      </c>
      <c r="D28" s="41" t="s">
        <v>561</v>
      </c>
      <c r="E28" s="162"/>
      <c r="F28" s="162">
        <f t="shared" ref="F28:M28" si="3">F21/10^6</f>
        <v>140.2494426785361</v>
      </c>
      <c r="G28" s="162">
        <f t="shared" si="3"/>
        <v>202.52243364678603</v>
      </c>
      <c r="H28" s="162">
        <f t="shared" si="3"/>
        <v>367.25829138810349</v>
      </c>
      <c r="I28" s="162">
        <f t="shared" si="3"/>
        <v>689.56107992551631</v>
      </c>
      <c r="J28" s="162">
        <f t="shared" si="3"/>
        <v>835.57538099919191</v>
      </c>
      <c r="K28" s="162">
        <f t="shared" si="3"/>
        <v>1008.7720296491847</v>
      </c>
      <c r="L28" s="162">
        <f t="shared" si="3"/>
        <v>1219.7634951839148</v>
      </c>
      <c r="M28" s="162">
        <f t="shared" si="3"/>
        <v>1452.3961239711814</v>
      </c>
    </row>
    <row r="29" spans="2:16">
      <c r="F29" s="159"/>
      <c r="G29" s="159"/>
      <c r="H29" s="159"/>
      <c r="I29" s="159"/>
      <c r="J29" s="159"/>
      <c r="K29" s="159"/>
    </row>
    <row r="30" spans="2:16">
      <c r="C30" s="48" t="s">
        <v>562</v>
      </c>
      <c r="D30" s="41" t="s">
        <v>561</v>
      </c>
      <c r="E30" s="47" t="s">
        <v>515</v>
      </c>
      <c r="F30" s="162">
        <f>SUM(GVA!I24:I28)</f>
        <v>14.112821404294204</v>
      </c>
      <c r="G30" s="162">
        <f>SUM(GVA!J24:J28)</f>
        <v>218.53919291951073</v>
      </c>
      <c r="H30" s="162">
        <f>SUM(GVA!K24:K28)</f>
        <v>491.25586848547357</v>
      </c>
      <c r="I30" s="162">
        <f>SUM(GVA!L24:L28)</f>
        <v>954.01451190962916</v>
      </c>
      <c r="J30" s="162">
        <f>SUM(GVA!M24:M28)</f>
        <v>1222.384979453107</v>
      </c>
      <c r="K30" s="162">
        <f>SUM(GVA!N24:N28)</f>
        <v>1919.5103989865352</v>
      </c>
      <c r="L30" s="162">
        <f>SUM(GVA!O24:O28)</f>
        <v>2098.2830563829721</v>
      </c>
      <c r="M30" s="162">
        <f>SUM(GVA!P24:P28)</f>
        <v>2387.784841989177</v>
      </c>
    </row>
    <row r="31" spans="2:16">
      <c r="C31" s="41" t="s">
        <v>563</v>
      </c>
      <c r="D31" s="41" t="s">
        <v>561</v>
      </c>
      <c r="E31" s="47" t="s">
        <v>563</v>
      </c>
      <c r="F31" s="162">
        <f t="shared" ref="F31:M31" si="4">SUM(F24:F28)</f>
        <v>336.12199497498835</v>
      </c>
      <c r="G31" s="162">
        <f t="shared" si="4"/>
        <v>391.36035607871599</v>
      </c>
      <c r="H31" s="162">
        <f t="shared" si="4"/>
        <v>706.53438852565273</v>
      </c>
      <c r="I31" s="162">
        <f t="shared" si="4"/>
        <v>1422.2448551886791</v>
      </c>
      <c r="J31" s="162">
        <f t="shared" si="4"/>
        <v>1374.4265006389037</v>
      </c>
      <c r="K31" s="162">
        <f t="shared" si="4"/>
        <v>1646.2712550971223</v>
      </c>
      <c r="L31" s="162">
        <f t="shared" si="4"/>
        <v>2055.6986404874651</v>
      </c>
      <c r="M31" s="162">
        <f t="shared" si="4"/>
        <v>2640.7715380000391</v>
      </c>
    </row>
    <row r="33" spans="2:15">
      <c r="B33" s="47" t="s">
        <v>137</v>
      </c>
      <c r="C33" s="47" t="s">
        <v>338</v>
      </c>
      <c r="D33" s="47" t="s">
        <v>24</v>
      </c>
      <c r="E33" s="47" t="s">
        <v>235</v>
      </c>
      <c r="F33" s="47">
        <v>2015</v>
      </c>
      <c r="G33" s="47">
        <v>2020</v>
      </c>
      <c r="H33" s="47">
        <v>2025</v>
      </c>
      <c r="I33" s="47">
        <v>2030</v>
      </c>
      <c r="J33" s="47">
        <v>2035</v>
      </c>
      <c r="K33" s="47">
        <v>2040</v>
      </c>
      <c r="L33" s="47">
        <v>2045</v>
      </c>
      <c r="M33" s="47">
        <v>2050</v>
      </c>
    </row>
    <row r="34" spans="2:15">
      <c r="B34" s="58" t="s">
        <v>563</v>
      </c>
      <c r="C34" s="41" t="s">
        <v>274</v>
      </c>
      <c r="D34" s="41" t="s">
        <v>561</v>
      </c>
      <c r="F34" s="252">
        <f>F12/10^6</f>
        <v>195.87255229645228</v>
      </c>
      <c r="G34" s="252">
        <f t="shared" ref="G34:M35" si="5">G12/10^6</f>
        <v>188.83792243193</v>
      </c>
      <c r="H34" s="252">
        <f t="shared" si="5"/>
        <v>339.27609713754919</v>
      </c>
      <c r="I34" s="252">
        <f t="shared" si="5"/>
        <v>732.68377526316294</v>
      </c>
      <c r="J34" s="252">
        <f t="shared" si="5"/>
        <v>538.8511196397119</v>
      </c>
      <c r="K34" s="252">
        <f t="shared" si="5"/>
        <v>637.49922544793776</v>
      </c>
      <c r="L34" s="252">
        <f t="shared" si="5"/>
        <v>835.93514530355003</v>
      </c>
      <c r="M34" s="252">
        <f t="shared" si="5"/>
        <v>1188.3754140288574</v>
      </c>
    </row>
    <row r="35" spans="2:15">
      <c r="C35" s="41" t="s">
        <v>307</v>
      </c>
      <c r="D35" s="41" t="s">
        <v>561</v>
      </c>
      <c r="F35" s="252">
        <f>F13/10^6</f>
        <v>140.2494426785361</v>
      </c>
      <c r="G35" s="252">
        <f t="shared" si="5"/>
        <v>202.52243364678603</v>
      </c>
      <c r="H35" s="252">
        <f t="shared" si="5"/>
        <v>367.25829138810349</v>
      </c>
      <c r="I35" s="252">
        <f t="shared" si="5"/>
        <v>689.56107992551631</v>
      </c>
      <c r="J35" s="252">
        <f t="shared" si="5"/>
        <v>835.57538099919191</v>
      </c>
      <c r="K35" s="252">
        <f t="shared" si="5"/>
        <v>1008.7720296491847</v>
      </c>
      <c r="L35" s="252">
        <f t="shared" si="5"/>
        <v>1219.7634951839148</v>
      </c>
      <c r="M35" s="252">
        <f t="shared" si="5"/>
        <v>1452.3961239711814</v>
      </c>
      <c r="O35" s="75"/>
    </row>
    <row r="36" spans="2:15">
      <c r="B36" s="41" t="s">
        <v>515</v>
      </c>
      <c r="C36" s="41" t="s">
        <v>274</v>
      </c>
      <c r="D36" s="41" t="s">
        <v>561</v>
      </c>
      <c r="F36" s="252">
        <f>GVA!E12/10^6</f>
        <v>11.925143840996951</v>
      </c>
      <c r="G36" s="252">
        <f>GVA!F12/10^6</f>
        <v>176.84136901102266</v>
      </c>
      <c r="H36" s="252"/>
      <c r="I36" s="252">
        <f>GVA!H12/10^6</f>
        <v>647.19154663329289</v>
      </c>
      <c r="J36" s="252">
        <f>GVA!I12/10^6</f>
        <v>749.21251819954057</v>
      </c>
      <c r="K36" s="252">
        <f>GVA!J12/10^6</f>
        <v>1083.1798889875183</v>
      </c>
      <c r="L36" s="252">
        <f>GVA!K12/10^6</f>
        <v>1154.18518462266</v>
      </c>
      <c r="M36" s="252">
        <f>GVA!L12/10^6</f>
        <v>1268.175928396751</v>
      </c>
    </row>
    <row r="37" spans="2:15">
      <c r="C37" s="41" t="s">
        <v>307</v>
      </c>
      <c r="D37" s="41" t="s">
        <v>561</v>
      </c>
      <c r="F37" s="252">
        <f>GVA!E13/10^6</f>
        <v>2.1876775632972532</v>
      </c>
      <c r="G37" s="252">
        <f>GVA!F13/10^6</f>
        <v>41.697823908488068</v>
      </c>
      <c r="H37" s="252">
        <f>GVA!G13/10^6</f>
        <v>145.27018404243634</v>
      </c>
      <c r="I37" s="252">
        <f>GVA!H13/10^6</f>
        <v>306.82296527633622</v>
      </c>
      <c r="J37" s="252">
        <f>GVA!I13/10^6</f>
        <v>473.17246125356633</v>
      </c>
      <c r="K37" s="252">
        <f>GVA!J13/10^6</f>
        <v>836.33050999901673</v>
      </c>
      <c r="L37" s="252">
        <f>GVA!K13/10^6</f>
        <v>944.09787176031205</v>
      </c>
      <c r="M37" s="252">
        <f>GVA!L13/10^6</f>
        <v>1119.608913592426</v>
      </c>
      <c r="O37" s="75"/>
    </row>
    <row r="43" spans="2:15">
      <c r="E43" s="163"/>
    </row>
  </sheetData>
  <conditionalFormatting sqref="A1:XFD7 A8:B8 F43:H43 C43:D43 C42:H42 C44:H79 A80:XFD1048576 I42:L79 A30:B32 J32:M32 A38:B79 A33:A37 M38:XFD79 J34:M36 A24:B28 B17:B21 A9:A23 N30:XFD37 B22:M23 B9:P10 A29:XFD29 S8:XFD10 P11:XFD23 D30:E32 E34 E33:M33 B11:M16 D17:M21 D24:XFD28">
    <cfRule type="expression" dxfId="34" priority="14">
      <formula>_xlfn.ISFORMULA(A1)</formula>
    </cfRule>
  </conditionalFormatting>
  <conditionalFormatting sqref="F30:M32 F34:M36">
    <cfRule type="expression" dxfId="33" priority="13">
      <formula>_xlfn.ISFORMULA(F30)</formula>
    </cfRule>
  </conditionalFormatting>
  <conditionalFormatting sqref="B36:B37">
    <cfRule type="expression" dxfId="32" priority="10">
      <formula>_xlfn.ISFORMULA(B36)</formula>
    </cfRule>
  </conditionalFormatting>
  <conditionalFormatting sqref="B33:C35">
    <cfRule type="expression" dxfId="31" priority="9">
      <formula>_xlfn.ISFORMULA(B33)</formula>
    </cfRule>
  </conditionalFormatting>
  <conditionalFormatting sqref="C37">
    <cfRule type="expression" dxfId="30" priority="8">
      <formula>_xlfn.ISFORMULA(C37)</formula>
    </cfRule>
  </conditionalFormatting>
  <conditionalFormatting sqref="D34:D35">
    <cfRule type="expression" dxfId="29" priority="7">
      <formula>_xlfn.ISFORMULA(D34)</formula>
    </cfRule>
  </conditionalFormatting>
  <conditionalFormatting sqref="D36:D37">
    <cfRule type="expression" dxfId="28" priority="6">
      <formula>_xlfn.ISFORMULA(D36)</formula>
    </cfRule>
  </conditionalFormatting>
  <conditionalFormatting sqref="D33">
    <cfRule type="expression" dxfId="27" priority="4">
      <formula>_xlfn.ISFORMULA(D33)</formula>
    </cfRule>
  </conditionalFormatting>
  <conditionalFormatting sqref="J37:M37">
    <cfRule type="expression" dxfId="26" priority="3">
      <formula>_xlfn.ISFORMULA(J37)</formula>
    </cfRule>
  </conditionalFormatting>
  <conditionalFormatting sqref="F37:M37">
    <cfRule type="expression" dxfId="25" priority="2">
      <formula>_xlfn.ISFORMULA(F37)</formula>
    </cfRule>
  </conditionalFormatting>
  <conditionalFormatting sqref="C36">
    <cfRule type="expression" dxfId="24" priority="1">
      <formula>_xlfn.ISFORMULA(C36)</formula>
    </cfRule>
  </conditionalFormatting>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E022-04E3-4752-B872-327AA873C0F5}">
  <sheetPr>
    <tabColor theme="6"/>
  </sheetPr>
  <dimension ref="B1:E31"/>
  <sheetViews>
    <sheetView topLeftCell="A8" workbookViewId="0">
      <selection activeCell="G9" sqref="G9"/>
    </sheetView>
  </sheetViews>
  <sheetFormatPr defaultColWidth="11.81640625" defaultRowHeight="14.5"/>
  <cols>
    <col min="1" max="1" width="11.81640625" style="119"/>
    <col min="2" max="2" width="88.1796875" style="119" customWidth="1"/>
    <col min="3" max="3" width="6.453125" style="119" customWidth="1"/>
    <col min="4" max="4" width="38.81640625" style="119" customWidth="1"/>
    <col min="5" max="6" width="10.453125" style="119" customWidth="1"/>
    <col min="7" max="16384" width="11.81640625" style="119"/>
  </cols>
  <sheetData>
    <row r="1" spans="2:5" s="189" customFormat="1" ht="32.5">
      <c r="B1" s="299" t="s">
        <v>94</v>
      </c>
      <c r="C1" s="300"/>
      <c r="D1" s="300"/>
      <c r="E1" s="300"/>
    </row>
    <row r="7" spans="2:5" ht="28.5">
      <c r="B7" s="190" t="s">
        <v>95</v>
      </c>
      <c r="C7" s="190" t="s">
        <v>96</v>
      </c>
      <c r="D7" s="190" t="s">
        <v>97</v>
      </c>
      <c r="E7" s="190" t="s">
        <v>98</v>
      </c>
    </row>
    <row r="8" spans="2:5">
      <c r="B8" s="191" t="s">
        <v>99</v>
      </c>
      <c r="C8" s="349" t="s">
        <v>100</v>
      </c>
      <c r="D8" s="349" t="s">
        <v>101</v>
      </c>
      <c r="E8" s="349" t="s">
        <v>102</v>
      </c>
    </row>
    <row r="9" spans="2:5" ht="38.5">
      <c r="B9" s="301" t="s">
        <v>103</v>
      </c>
      <c r="C9" s="350"/>
      <c r="D9" s="350"/>
      <c r="E9" s="350"/>
    </row>
    <row r="10" spans="2:5">
      <c r="B10" s="191" t="s">
        <v>104</v>
      </c>
      <c r="C10" s="349" t="s">
        <v>100</v>
      </c>
      <c r="D10" s="349"/>
      <c r="E10" s="349"/>
    </row>
    <row r="11" spans="2:5" ht="26">
      <c r="B11" s="301" t="s">
        <v>105</v>
      </c>
      <c r="C11" s="350"/>
      <c r="D11" s="350"/>
      <c r="E11" s="350"/>
    </row>
    <row r="12" spans="2:5">
      <c r="B12" s="191" t="s">
        <v>106</v>
      </c>
      <c r="C12" s="349" t="s">
        <v>100</v>
      </c>
      <c r="D12" s="349" t="s">
        <v>107</v>
      </c>
      <c r="E12" s="349" t="s">
        <v>108</v>
      </c>
    </row>
    <row r="13" spans="2:5" ht="38.5">
      <c r="B13" s="301" t="s">
        <v>109</v>
      </c>
      <c r="C13" s="350"/>
      <c r="D13" s="350"/>
      <c r="E13" s="350"/>
    </row>
    <row r="14" spans="2:5">
      <c r="B14" s="191" t="s">
        <v>110</v>
      </c>
      <c r="C14" s="349" t="s">
        <v>100</v>
      </c>
      <c r="D14" s="349" t="s">
        <v>111</v>
      </c>
      <c r="E14" s="349" t="s">
        <v>102</v>
      </c>
    </row>
    <row r="15" spans="2:5" ht="38.5">
      <c r="B15" s="301" t="s">
        <v>112</v>
      </c>
      <c r="C15" s="350"/>
      <c r="D15" s="350"/>
      <c r="E15" s="350"/>
    </row>
    <row r="16" spans="2:5">
      <c r="B16" s="191" t="s">
        <v>113</v>
      </c>
      <c r="C16" s="349" t="s">
        <v>100</v>
      </c>
      <c r="D16" s="349" t="s">
        <v>114</v>
      </c>
      <c r="E16" s="349" t="s">
        <v>102</v>
      </c>
    </row>
    <row r="17" spans="2:5" ht="26">
      <c r="B17" s="301" t="s">
        <v>115</v>
      </c>
      <c r="C17" s="350"/>
      <c r="D17" s="350"/>
      <c r="E17" s="350"/>
    </row>
    <row r="18" spans="2:5" ht="28.5">
      <c r="B18" s="191" t="s">
        <v>116</v>
      </c>
      <c r="C18" s="349" t="s">
        <v>100</v>
      </c>
      <c r="D18" s="349" t="s">
        <v>117</v>
      </c>
      <c r="E18" s="349"/>
    </row>
    <row r="19" spans="2:5" ht="26">
      <c r="B19" s="301" t="s">
        <v>118</v>
      </c>
      <c r="C19" s="350"/>
      <c r="D19" s="350"/>
      <c r="E19" s="350"/>
    </row>
    <row r="20" spans="2:5">
      <c r="B20" s="191" t="s">
        <v>119</v>
      </c>
      <c r="C20" s="349" t="s">
        <v>100</v>
      </c>
      <c r="D20" s="349" t="s">
        <v>120</v>
      </c>
      <c r="E20" s="349" t="s">
        <v>102</v>
      </c>
    </row>
    <row r="21" spans="2:5" ht="26">
      <c r="B21" s="301" t="s">
        <v>121</v>
      </c>
      <c r="C21" s="350"/>
      <c r="D21" s="350"/>
      <c r="E21" s="350"/>
    </row>
    <row r="22" spans="2:5" ht="28.5">
      <c r="B22" s="191" t="s">
        <v>122</v>
      </c>
      <c r="C22" s="349" t="s">
        <v>100</v>
      </c>
      <c r="D22" s="349" t="s">
        <v>123</v>
      </c>
      <c r="E22" s="349" t="s">
        <v>102</v>
      </c>
    </row>
    <row r="23" spans="2:5">
      <c r="B23" s="301" t="s">
        <v>124</v>
      </c>
      <c r="C23" s="350"/>
      <c r="D23" s="350"/>
      <c r="E23" s="350"/>
    </row>
    <row r="24" spans="2:5">
      <c r="B24" s="191" t="s">
        <v>125</v>
      </c>
      <c r="C24" s="349" t="s">
        <v>100</v>
      </c>
      <c r="D24" s="349" t="s">
        <v>126</v>
      </c>
      <c r="E24" s="349" t="s">
        <v>108</v>
      </c>
    </row>
    <row r="25" spans="2:5" ht="38.5">
      <c r="B25" s="301" t="s">
        <v>127</v>
      </c>
      <c r="C25" s="350"/>
      <c r="D25" s="350"/>
      <c r="E25" s="350"/>
    </row>
    <row r="26" spans="2:5" ht="28.5">
      <c r="B26" s="191" t="s">
        <v>128</v>
      </c>
      <c r="C26" s="349" t="s">
        <v>100</v>
      </c>
      <c r="D26" s="349" t="s">
        <v>129</v>
      </c>
      <c r="E26" s="349" t="s">
        <v>102</v>
      </c>
    </row>
    <row r="27" spans="2:5">
      <c r="B27" s="301" t="s">
        <v>130</v>
      </c>
      <c r="C27" s="350"/>
      <c r="D27" s="350"/>
      <c r="E27" s="350"/>
    </row>
    <row r="28" spans="2:5">
      <c r="B28" s="191" t="s">
        <v>131</v>
      </c>
      <c r="C28" s="349" t="s">
        <v>100</v>
      </c>
      <c r="D28" s="349" t="s">
        <v>129</v>
      </c>
      <c r="E28" s="349" t="s">
        <v>102</v>
      </c>
    </row>
    <row r="29" spans="2:5">
      <c r="B29" s="301" t="s">
        <v>132</v>
      </c>
      <c r="C29" s="350"/>
      <c r="D29" s="350"/>
      <c r="E29" s="350"/>
    </row>
    <row r="30" spans="2:5">
      <c r="B30" s="191" t="s">
        <v>133</v>
      </c>
      <c r="C30" s="349"/>
      <c r="D30" s="349"/>
      <c r="E30" s="349"/>
    </row>
    <row r="31" spans="2:5">
      <c r="B31" s="302"/>
      <c r="C31" s="350"/>
      <c r="D31" s="350"/>
      <c r="E31" s="350"/>
    </row>
  </sheetData>
  <mergeCells count="36">
    <mergeCell ref="C8:C9"/>
    <mergeCell ref="D8:D9"/>
    <mergeCell ref="E8:E9"/>
    <mergeCell ref="C10:C11"/>
    <mergeCell ref="D10:D11"/>
    <mergeCell ref="E10:E11"/>
    <mergeCell ref="C12:C13"/>
    <mergeCell ref="D12:D13"/>
    <mergeCell ref="E12:E13"/>
    <mergeCell ref="C14:C15"/>
    <mergeCell ref="D14:D15"/>
    <mergeCell ref="E14:E15"/>
    <mergeCell ref="C16:C17"/>
    <mergeCell ref="D16:D17"/>
    <mergeCell ref="E16:E17"/>
    <mergeCell ref="C18:C19"/>
    <mergeCell ref="D18:D19"/>
    <mergeCell ref="E18:E19"/>
    <mergeCell ref="C20:C21"/>
    <mergeCell ref="D20:D21"/>
    <mergeCell ref="E20:E21"/>
    <mergeCell ref="C22:C23"/>
    <mergeCell ref="D22:D23"/>
    <mergeCell ref="E22:E23"/>
    <mergeCell ref="C24:C25"/>
    <mergeCell ref="D24:D25"/>
    <mergeCell ref="E24:E25"/>
    <mergeCell ref="C26:C27"/>
    <mergeCell ref="D26:D27"/>
    <mergeCell ref="E26:E27"/>
    <mergeCell ref="C28:C29"/>
    <mergeCell ref="D28:D29"/>
    <mergeCell ref="E28:E29"/>
    <mergeCell ref="C30:C31"/>
    <mergeCell ref="D30:D31"/>
    <mergeCell ref="E30:E31"/>
  </mergeCells>
  <conditionalFormatting sqref="C10 C14">
    <cfRule type="containsText" dxfId="411" priority="53" operator="containsText" text="Y">
      <formula>NOT(ISERROR(SEARCH("Y",C10)))</formula>
    </cfRule>
    <cfRule type="containsText" dxfId="410" priority="54" operator="containsText" text="n">
      <formula>NOT(ISERROR(SEARCH("n",C10)))</formula>
    </cfRule>
    <cfRule type="containsText" dxfId="409" priority="55" operator="containsText" text="N">
      <formula>NOT(ISERROR(SEARCH("N",C10)))</formula>
    </cfRule>
    <cfRule type="cellIs" dxfId="408" priority="58" operator="equal">
      <formula>"""N"""</formula>
    </cfRule>
    <cfRule type="cellIs" dxfId="407" priority="59" operator="equal">
      <formula>"""y"""</formula>
    </cfRule>
    <cfRule type="cellIs" dxfId="406" priority="60" operator="equal">
      <formula>"""y"""</formula>
    </cfRule>
  </conditionalFormatting>
  <conditionalFormatting sqref="C10">
    <cfRule type="containsText" dxfId="405" priority="56" operator="containsText" text="N">
      <formula>NOT(ISERROR(SEARCH("N",C10)))</formula>
    </cfRule>
    <cfRule type="containsText" dxfId="404" priority="57" operator="containsText" text="n">
      <formula>NOT(ISERROR(SEARCH("n",C10)))</formula>
    </cfRule>
  </conditionalFormatting>
  <conditionalFormatting sqref="C12 C20">
    <cfRule type="containsText" dxfId="403" priority="45" operator="containsText" text="Y">
      <formula>NOT(ISERROR(SEARCH("Y",C12)))</formula>
    </cfRule>
    <cfRule type="containsText" dxfId="402" priority="46" operator="containsText" text="n">
      <formula>NOT(ISERROR(SEARCH("n",C12)))</formula>
    </cfRule>
    <cfRule type="containsText" dxfId="401" priority="47" operator="containsText" text="N">
      <formula>NOT(ISERROR(SEARCH("N",C12)))</formula>
    </cfRule>
    <cfRule type="cellIs" dxfId="400" priority="50" operator="equal">
      <formula>"""N"""</formula>
    </cfRule>
    <cfRule type="cellIs" dxfId="399" priority="51" operator="equal">
      <formula>"""y"""</formula>
    </cfRule>
    <cfRule type="cellIs" dxfId="398" priority="52" operator="equal">
      <formula>"""y"""</formula>
    </cfRule>
  </conditionalFormatting>
  <conditionalFormatting sqref="C12">
    <cfRule type="containsText" dxfId="397" priority="48" operator="containsText" text="N">
      <formula>NOT(ISERROR(SEARCH("N",C12)))</formula>
    </cfRule>
    <cfRule type="containsText" dxfId="396" priority="49" operator="containsText" text="n">
      <formula>NOT(ISERROR(SEARCH("n",C12)))</formula>
    </cfRule>
  </conditionalFormatting>
  <conditionalFormatting sqref="C18 C22 C24">
    <cfRule type="containsText" dxfId="395" priority="37" operator="containsText" text="Y">
      <formula>NOT(ISERROR(SEARCH("Y",C18)))</formula>
    </cfRule>
    <cfRule type="containsText" dxfId="394" priority="38" operator="containsText" text="n">
      <formula>NOT(ISERROR(SEARCH("n",C18)))</formula>
    </cfRule>
    <cfRule type="containsText" dxfId="393" priority="39" operator="containsText" text="N">
      <formula>NOT(ISERROR(SEARCH("N",C18)))</formula>
    </cfRule>
    <cfRule type="cellIs" dxfId="392" priority="42" operator="equal">
      <formula>"""N"""</formula>
    </cfRule>
    <cfRule type="cellIs" dxfId="391" priority="43" operator="equal">
      <formula>"""y"""</formula>
    </cfRule>
    <cfRule type="cellIs" dxfId="390" priority="44" operator="equal">
      <formula>"""y"""</formula>
    </cfRule>
  </conditionalFormatting>
  <conditionalFormatting sqref="C18">
    <cfRule type="containsText" dxfId="389" priority="40" operator="containsText" text="N">
      <formula>NOT(ISERROR(SEARCH("N",C18)))</formula>
    </cfRule>
    <cfRule type="containsText" dxfId="388" priority="41" operator="containsText" text="n">
      <formula>NOT(ISERROR(SEARCH("n",C18)))</formula>
    </cfRule>
  </conditionalFormatting>
  <conditionalFormatting sqref="C30">
    <cfRule type="containsText" dxfId="387" priority="31" operator="containsText" text="Y">
      <formula>NOT(ISERROR(SEARCH("Y",C30)))</formula>
    </cfRule>
    <cfRule type="containsText" dxfId="386" priority="32" operator="containsText" text="n">
      <formula>NOT(ISERROR(SEARCH("n",C30)))</formula>
    </cfRule>
    <cfRule type="containsText" dxfId="385" priority="33" operator="containsText" text="N">
      <formula>NOT(ISERROR(SEARCH("N",C30)))</formula>
    </cfRule>
    <cfRule type="cellIs" dxfId="384" priority="34" operator="equal">
      <formula>"""N"""</formula>
    </cfRule>
    <cfRule type="cellIs" dxfId="383" priority="35" operator="equal">
      <formula>"""y"""</formula>
    </cfRule>
    <cfRule type="cellIs" dxfId="382" priority="36" operator="equal">
      <formula>"""y"""</formula>
    </cfRule>
  </conditionalFormatting>
  <conditionalFormatting sqref="C26 C28">
    <cfRule type="containsText" dxfId="381" priority="23" operator="containsText" text="Y">
      <formula>NOT(ISERROR(SEARCH("Y",C26)))</formula>
    </cfRule>
    <cfRule type="containsText" dxfId="380" priority="24" operator="containsText" text="n">
      <formula>NOT(ISERROR(SEARCH("n",C26)))</formula>
    </cfRule>
    <cfRule type="containsText" dxfId="379" priority="25" operator="containsText" text="N">
      <formula>NOT(ISERROR(SEARCH("N",C26)))</formula>
    </cfRule>
    <cfRule type="cellIs" dxfId="378" priority="28" operator="equal">
      <formula>"""N"""</formula>
    </cfRule>
    <cfRule type="cellIs" dxfId="377" priority="29" operator="equal">
      <formula>"""y"""</formula>
    </cfRule>
    <cfRule type="cellIs" dxfId="376" priority="30" operator="equal">
      <formula>"""y"""</formula>
    </cfRule>
  </conditionalFormatting>
  <conditionalFormatting sqref="C26">
    <cfRule type="containsText" dxfId="375" priority="26" operator="containsText" text="N">
      <formula>NOT(ISERROR(SEARCH("N",C26)))</formula>
    </cfRule>
    <cfRule type="containsText" dxfId="374" priority="27" operator="containsText" text="n">
      <formula>NOT(ISERROR(SEARCH("n",C26)))</formula>
    </cfRule>
  </conditionalFormatting>
  <conditionalFormatting sqref="C16">
    <cfRule type="containsText" dxfId="373" priority="15" operator="containsText" text="Y">
      <formula>NOT(ISERROR(SEARCH("Y",C16)))</formula>
    </cfRule>
    <cfRule type="containsText" dxfId="372" priority="16" operator="containsText" text="n">
      <formula>NOT(ISERROR(SEARCH("n",C16)))</formula>
    </cfRule>
    <cfRule type="containsText" dxfId="371" priority="17" operator="containsText" text="N">
      <formula>NOT(ISERROR(SEARCH("N",C16)))</formula>
    </cfRule>
    <cfRule type="cellIs" dxfId="370" priority="20" operator="equal">
      <formula>"""N"""</formula>
    </cfRule>
    <cfRule type="cellIs" dxfId="369" priority="21" operator="equal">
      <formula>"""y"""</formula>
    </cfRule>
    <cfRule type="cellIs" dxfId="368" priority="22" operator="equal">
      <formula>"""y"""</formula>
    </cfRule>
  </conditionalFormatting>
  <conditionalFormatting sqref="C16">
    <cfRule type="containsText" dxfId="367" priority="18" operator="containsText" text="N">
      <formula>NOT(ISERROR(SEARCH("N",C16)))</formula>
    </cfRule>
    <cfRule type="containsText" dxfId="366" priority="19" operator="containsText" text="n">
      <formula>NOT(ISERROR(SEARCH("n",C16)))</formula>
    </cfRule>
  </conditionalFormatting>
  <conditionalFormatting sqref="C8">
    <cfRule type="containsText" dxfId="365" priority="7" operator="containsText" text="Y">
      <formula>NOT(ISERROR(SEARCH("Y",C8)))</formula>
    </cfRule>
    <cfRule type="containsText" dxfId="364" priority="8" operator="containsText" text="n">
      <formula>NOT(ISERROR(SEARCH("n",C8)))</formula>
    </cfRule>
    <cfRule type="containsText" dxfId="363" priority="9" operator="containsText" text="N">
      <formula>NOT(ISERROR(SEARCH("N",C8)))</formula>
    </cfRule>
    <cfRule type="cellIs" dxfId="362" priority="12" operator="equal">
      <formula>"""N"""</formula>
    </cfRule>
    <cfRule type="cellIs" dxfId="361" priority="13" operator="equal">
      <formula>"""y"""</formula>
    </cfRule>
    <cfRule type="cellIs" dxfId="360" priority="14" operator="equal">
      <formula>"""y"""</formula>
    </cfRule>
  </conditionalFormatting>
  <conditionalFormatting sqref="C8">
    <cfRule type="containsText" dxfId="359" priority="10" operator="containsText" text="N">
      <formula>NOT(ISERROR(SEARCH("N",C8)))</formula>
    </cfRule>
    <cfRule type="containsText" dxfId="358" priority="11" operator="containsText" text="n">
      <formula>NOT(ISERROR(SEARCH("n",C8)))</formula>
    </cfRule>
  </conditionalFormatting>
  <pageMargins left="0.7" right="0.7" top="0.75" bottom="0.75" header="0.3" footer="0.3"/>
  <pageSetup paperSize="9" orientation="portrait" verticalDpi="597"/>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01CF-3EF4-4F36-A40E-E9A5CA1364A4}">
  <sheetPr>
    <tabColor theme="9" tint="0.39997558519241921"/>
  </sheetPr>
  <dimension ref="B1:P44"/>
  <sheetViews>
    <sheetView topLeftCell="A35" workbookViewId="0">
      <selection activeCell="E32" sqref="E32:H32"/>
    </sheetView>
  </sheetViews>
  <sheetFormatPr defaultColWidth="8.81640625" defaultRowHeight="14"/>
  <cols>
    <col min="1" max="1" width="7.1796875" style="1" customWidth="1"/>
    <col min="2" max="2" width="17.81640625" style="1" customWidth="1"/>
    <col min="3" max="3" width="25.1796875" style="1" customWidth="1"/>
    <col min="4" max="4" width="19.453125" style="1" customWidth="1"/>
    <col min="5" max="5" width="29.81640625" style="1" customWidth="1"/>
    <col min="6" max="6" width="15.7265625" style="1" customWidth="1"/>
    <col min="7" max="7" width="29.453125" style="1" customWidth="1"/>
    <col min="8" max="8" width="24" style="1" customWidth="1"/>
    <col min="9" max="9" width="10.81640625" style="1" customWidth="1"/>
    <col min="10" max="10" width="11.453125" style="1" bestFit="1" customWidth="1"/>
    <col min="11" max="11" width="10.81640625" style="1" customWidth="1"/>
    <col min="12" max="12" width="11.7265625" style="1" customWidth="1"/>
    <col min="13" max="13" width="10.7265625" style="1" customWidth="1"/>
    <col min="14" max="14" width="11.453125" style="1" customWidth="1"/>
    <col min="15" max="16" width="10.81640625" style="1" customWidth="1"/>
    <col min="17" max="17" width="8.81640625" style="1"/>
    <col min="18" max="18" width="11.26953125" style="1" bestFit="1" customWidth="1"/>
    <col min="19" max="16384" width="8.81640625" style="1"/>
  </cols>
  <sheetData>
    <row r="1" spans="2:16" s="3" customFormat="1" ht="49.5" customHeight="1">
      <c r="B1" s="304" t="s">
        <v>426</v>
      </c>
      <c r="C1" s="304"/>
      <c r="D1" s="304"/>
      <c r="E1" s="304"/>
      <c r="F1" s="304"/>
      <c r="G1" s="304"/>
      <c r="H1" s="304"/>
      <c r="I1" s="304"/>
      <c r="J1" s="304"/>
      <c r="K1" s="304"/>
      <c r="L1" s="304"/>
      <c r="M1" s="304"/>
      <c r="N1" s="304"/>
      <c r="O1" s="304"/>
      <c r="P1" s="304"/>
    </row>
    <row r="4" spans="2:16">
      <c r="O4" s="7"/>
      <c r="P4" s="2"/>
    </row>
    <row r="5" spans="2:16">
      <c r="P5" s="2"/>
    </row>
    <row r="8" spans="2:16">
      <c r="H8" s="41"/>
      <c r="I8" s="47" t="s">
        <v>427</v>
      </c>
      <c r="J8" s="47" t="s">
        <v>428</v>
      </c>
      <c r="K8" s="47" t="s">
        <v>18</v>
      </c>
    </row>
    <row r="9" spans="2:16" ht="14.5">
      <c r="H9" s="70" t="s">
        <v>429</v>
      </c>
      <c r="I9" s="286">
        <v>1.9745789999999999E-2</v>
      </c>
      <c r="J9" s="41" t="s">
        <v>430</v>
      </c>
      <c r="K9" s="287" t="s">
        <v>431</v>
      </c>
    </row>
    <row r="11" spans="2:16" ht="28">
      <c r="H11" s="104" t="s">
        <v>432</v>
      </c>
      <c r="I11" s="47">
        <v>2015</v>
      </c>
      <c r="J11" s="47">
        <v>2020</v>
      </c>
      <c r="K11" s="47">
        <v>2025</v>
      </c>
      <c r="L11" s="47">
        <v>2030</v>
      </c>
      <c r="M11" s="47">
        <v>2035</v>
      </c>
      <c r="N11" s="47">
        <v>2040</v>
      </c>
      <c r="O11" s="47">
        <v>2045</v>
      </c>
      <c r="P11" s="47">
        <v>2050</v>
      </c>
    </row>
    <row r="12" spans="2:16">
      <c r="H12" s="41"/>
      <c r="I12" s="155">
        <v>1</v>
      </c>
      <c r="J12" s="244">
        <f>I12*((1+$I$9)^(J11-I11))</f>
        <v>1.1027056634136567</v>
      </c>
      <c r="K12" s="144">
        <f t="shared" ref="K12:P12" si="0">J12*1.008^(K11-J11)</f>
        <v>1.1475252900473301</v>
      </c>
      <c r="L12" s="144">
        <f t="shared" si="0"/>
        <v>1.1941666167032587</v>
      </c>
      <c r="M12" s="144">
        <f t="shared" si="0"/>
        <v>1.2427036866348196</v>
      </c>
      <c r="N12" s="144">
        <f t="shared" si="0"/>
        <v>1.2932135525938269</v>
      </c>
      <c r="O12" s="144">
        <f t="shared" si="0"/>
        <v>1.3457763991520191</v>
      </c>
      <c r="P12" s="144">
        <f t="shared" si="0"/>
        <v>1.4004756699943199</v>
      </c>
    </row>
    <row r="14" spans="2:16" ht="14.5">
      <c r="C14" s="45" t="s">
        <v>243</v>
      </c>
      <c r="I14" s="90"/>
    </row>
    <row r="15" spans="2:16">
      <c r="B15" s="47" t="s">
        <v>137</v>
      </c>
      <c r="C15" s="47" t="s">
        <v>338</v>
      </c>
      <c r="D15" s="47" t="s">
        <v>24</v>
      </c>
      <c r="E15" s="47" t="s">
        <v>18</v>
      </c>
      <c r="F15" s="47" t="s">
        <v>8</v>
      </c>
      <c r="G15" s="47" t="s">
        <v>234</v>
      </c>
      <c r="H15" s="47" t="s">
        <v>235</v>
      </c>
      <c r="I15" s="47">
        <v>2015</v>
      </c>
      <c r="J15" s="47">
        <v>2020</v>
      </c>
      <c r="K15" s="47">
        <v>2025</v>
      </c>
      <c r="L15" s="47">
        <v>2030</v>
      </c>
      <c r="M15" s="47">
        <v>2035</v>
      </c>
      <c r="N15" s="47">
        <v>2040</v>
      </c>
      <c r="O15" s="47">
        <v>2045</v>
      </c>
      <c r="P15" s="47">
        <v>2050</v>
      </c>
    </row>
    <row r="16" spans="2:16">
      <c r="B16" s="58" t="s">
        <v>148</v>
      </c>
      <c r="C16" s="41" t="s">
        <v>339</v>
      </c>
      <c r="D16" s="41" t="s">
        <v>433</v>
      </c>
      <c r="E16" s="41" t="s">
        <v>390</v>
      </c>
      <c r="F16" s="41"/>
      <c r="G16" s="41" t="s">
        <v>434</v>
      </c>
      <c r="H16" s="41" t="s">
        <v>435</v>
      </c>
      <c r="I16" s="156">
        <f t="shared" ref="I16:P16" si="1">SUMPRODUCT(I21:I24,$E$21:$E$24)</f>
        <v>61744.393333333326</v>
      </c>
      <c r="J16" s="156">
        <f t="shared" si="1"/>
        <v>68085.892212707098</v>
      </c>
      <c r="K16" s="156">
        <f t="shared" si="1"/>
        <v>70853.252868629759</v>
      </c>
      <c r="L16" s="156">
        <f t="shared" si="1"/>
        <v>73733.093287261901</v>
      </c>
      <c r="M16" s="156">
        <f t="shared" si="1"/>
        <v>76729.9852243637</v>
      </c>
      <c r="N16" s="156">
        <f t="shared" si="1"/>
        <v>79848.686255350607</v>
      </c>
      <c r="O16" s="156">
        <f t="shared" si="1"/>
        <v>83094.147327959261</v>
      </c>
      <c r="P16" s="156">
        <f t="shared" si="1"/>
        <v>86471.520621892822</v>
      </c>
    </row>
    <row r="17" spans="3:16">
      <c r="C17" s="41" t="s">
        <v>307</v>
      </c>
      <c r="D17" s="41" t="s">
        <v>433</v>
      </c>
      <c r="E17" s="41" t="s">
        <v>390</v>
      </c>
      <c r="F17" s="41"/>
      <c r="G17" s="41" t="s">
        <v>434</v>
      </c>
      <c r="H17" s="41" t="s">
        <v>435</v>
      </c>
      <c r="I17" s="156">
        <f>I25</f>
        <v>141550.46220218827</v>
      </c>
      <c r="J17" s="156">
        <f t="shared" ref="J17:P17" si="2">J25</f>
        <v>156088.49632917377</v>
      </c>
      <c r="K17" s="156">
        <f t="shared" si="2"/>
        <v>162432.73519489972</v>
      </c>
      <c r="L17" s="156">
        <f t="shared" si="2"/>
        <v>169034.83654076967</v>
      </c>
      <c r="M17" s="156">
        <f t="shared" si="2"/>
        <v>175905.28122352203</v>
      </c>
      <c r="N17" s="156">
        <f t="shared" si="2"/>
        <v>183054.9760957901</v>
      </c>
      <c r="O17" s="156">
        <f t="shared" si="2"/>
        <v>190495.27132076491</v>
      </c>
      <c r="P17" s="156">
        <f t="shared" si="2"/>
        <v>198237.97839061529</v>
      </c>
    </row>
    <row r="19" spans="3:16" ht="14.5">
      <c r="C19" s="45" t="s">
        <v>341</v>
      </c>
    </row>
    <row r="20" spans="3:16">
      <c r="C20" s="47" t="s">
        <v>283</v>
      </c>
      <c r="D20" s="47" t="s">
        <v>24</v>
      </c>
      <c r="E20" s="47" t="s">
        <v>18</v>
      </c>
      <c r="F20" s="47" t="s">
        <v>564</v>
      </c>
      <c r="G20" s="47" t="s">
        <v>234</v>
      </c>
      <c r="H20" s="47" t="s">
        <v>235</v>
      </c>
      <c r="I20" s="47">
        <v>2015</v>
      </c>
      <c r="J20" s="47">
        <v>2020</v>
      </c>
      <c r="K20" s="47">
        <v>2025</v>
      </c>
      <c r="L20" s="47">
        <v>2030</v>
      </c>
      <c r="M20" s="47">
        <v>2035</v>
      </c>
      <c r="N20" s="47">
        <v>2040</v>
      </c>
      <c r="O20" s="47">
        <v>2045</v>
      </c>
      <c r="P20" s="47">
        <v>2050</v>
      </c>
    </row>
    <row r="21" spans="3:16">
      <c r="C21" s="48" t="s">
        <v>285</v>
      </c>
      <c r="D21" s="41" t="s">
        <v>433</v>
      </c>
      <c r="E21" s="59">
        <f>'Tech costs (2)'!F19</f>
        <v>0.4</v>
      </c>
      <c r="F21" s="41" t="s">
        <v>395</v>
      </c>
      <c r="G21" s="41" t="s">
        <v>434</v>
      </c>
      <c r="H21" s="41" t="s">
        <v>435</v>
      </c>
      <c r="I21" s="110">
        <f>AVERAGE(I$30,I$32,I$35,I$34)</f>
        <v>56581.5</v>
      </c>
      <c r="J21" s="154">
        <f>$I21*J$12</f>
        <v>62392.740494439815</v>
      </c>
      <c r="K21" s="154">
        <f t="shared" ref="K21:P25" si="3">$I21*K$12</f>
        <v>64928.702198813007</v>
      </c>
      <c r="L21" s="154">
        <f t="shared" si="3"/>
        <v>67567.738422995433</v>
      </c>
      <c r="M21" s="154">
        <f t="shared" si="3"/>
        <v>70314.038645328037</v>
      </c>
      <c r="N21" s="154">
        <f t="shared" si="3"/>
        <v>73171.96262608761</v>
      </c>
      <c r="O21" s="154">
        <f t="shared" si="3"/>
        <v>76146.04732861997</v>
      </c>
      <c r="P21" s="154">
        <f t="shared" si="3"/>
        <v>79241.014121783621</v>
      </c>
    </row>
    <row r="22" spans="3:16">
      <c r="C22" s="41" t="s">
        <v>327</v>
      </c>
      <c r="D22" s="41" t="s">
        <v>433</v>
      </c>
      <c r="E22" s="59">
        <f>'Tech costs (2)'!F20</f>
        <v>0.28999999999999998</v>
      </c>
      <c r="F22" s="41">
        <v>25.11</v>
      </c>
      <c r="G22" s="41" t="s">
        <v>434</v>
      </c>
      <c r="H22" s="41" t="s">
        <v>435</v>
      </c>
      <c r="I22" s="110">
        <f>$I$31</f>
        <v>56064</v>
      </c>
      <c r="J22" s="154">
        <f t="shared" ref="J22:J25" si="4">$I22*J$12</f>
        <v>61822.090313623252</v>
      </c>
      <c r="K22" s="154">
        <f t="shared" si="3"/>
        <v>64334.85786121351</v>
      </c>
      <c r="L22" s="154">
        <f t="shared" si="3"/>
        <v>66949.757198851497</v>
      </c>
      <c r="M22" s="154">
        <f t="shared" si="3"/>
        <v>69670.939487494528</v>
      </c>
      <c r="N22" s="154">
        <f t="shared" si="3"/>
        <v>72502.72461262031</v>
      </c>
      <c r="O22" s="154">
        <f t="shared" si="3"/>
        <v>75449.608042058797</v>
      </c>
      <c r="P22" s="154">
        <f t="shared" si="3"/>
        <v>78516.267962561556</v>
      </c>
    </row>
    <row r="23" spans="3:16">
      <c r="C23" s="41" t="s">
        <v>320</v>
      </c>
      <c r="D23" s="41" t="s">
        <v>433</v>
      </c>
      <c r="E23" s="59">
        <f>'Tech costs (2)'!F21</f>
        <v>8.4999999999999992E-2</v>
      </c>
      <c r="F23" s="41" t="s">
        <v>396</v>
      </c>
      <c r="G23" s="41" t="s">
        <v>434</v>
      </c>
      <c r="H23" s="41" t="s">
        <v>435</v>
      </c>
      <c r="I23" s="110">
        <f>AVERAGE(I$36,I$38,I$37)</f>
        <v>47281.333333333336</v>
      </c>
      <c r="J23" s="154">
        <f t="shared" si="4"/>
        <v>52137.39404041558</v>
      </c>
      <c r="K23" s="154">
        <f t="shared" si="3"/>
        <v>54256.52574715783</v>
      </c>
      <c r="L23" s="154">
        <f t="shared" si="3"/>
        <v>56461.789859885677</v>
      </c>
      <c r="M23" s="154">
        <f t="shared" si="3"/>
        <v>58756.68724234312</v>
      </c>
      <c r="N23" s="154">
        <f t="shared" si="3"/>
        <v>61144.861051372929</v>
      </c>
      <c r="O23" s="154">
        <f t="shared" si="3"/>
        <v>63630.102520439665</v>
      </c>
      <c r="P23" s="154">
        <f t="shared" si="3"/>
        <v>66216.35697822478</v>
      </c>
    </row>
    <row r="24" spans="3:16">
      <c r="C24" s="41" t="s">
        <v>317</v>
      </c>
      <c r="D24" s="41" t="s">
        <v>433</v>
      </c>
      <c r="E24" s="59">
        <f>'Tech costs (2)'!F22</f>
        <v>0.18999999999999997</v>
      </c>
      <c r="F24" s="41">
        <v>52.22</v>
      </c>
      <c r="G24" s="41" t="s">
        <v>434</v>
      </c>
      <c r="H24" s="41" t="s">
        <v>435</v>
      </c>
      <c r="I24" s="110">
        <f>$I$39</f>
        <v>99128</v>
      </c>
      <c r="J24" s="154">
        <f t="shared" si="4"/>
        <v>109309.00700286897</v>
      </c>
      <c r="K24" s="154">
        <f t="shared" si="3"/>
        <v>113751.88695181173</v>
      </c>
      <c r="L24" s="154">
        <f t="shared" si="3"/>
        <v>118375.34838056064</v>
      </c>
      <c r="M24" s="154">
        <f t="shared" si="3"/>
        <v>123186.73104873639</v>
      </c>
      <c r="N24" s="154">
        <f t="shared" si="3"/>
        <v>128193.67304152087</v>
      </c>
      <c r="O24" s="154">
        <f t="shared" si="3"/>
        <v>133404.12289514134</v>
      </c>
      <c r="P24" s="154">
        <f t="shared" si="3"/>
        <v>138826.35221519694</v>
      </c>
    </row>
    <row r="25" spans="3:16">
      <c r="C25" s="105" t="s">
        <v>280</v>
      </c>
      <c r="D25" s="41" t="s">
        <v>433</v>
      </c>
      <c r="E25" s="41"/>
      <c r="F25" s="41">
        <v>52.22</v>
      </c>
      <c r="G25" s="41" t="s">
        <v>434</v>
      </c>
      <c r="H25" s="41" t="s">
        <v>435</v>
      </c>
      <c r="I25" s="110">
        <f>AVERAGE(I39:I40)</f>
        <v>141550.46220218827</v>
      </c>
      <c r="J25" s="154">
        <f t="shared" si="4"/>
        <v>156088.49632917377</v>
      </c>
      <c r="K25" s="154">
        <f t="shared" si="3"/>
        <v>162432.73519489972</v>
      </c>
      <c r="L25" s="154">
        <f t="shared" si="3"/>
        <v>169034.83654076967</v>
      </c>
      <c r="M25" s="154">
        <f t="shared" si="3"/>
        <v>175905.28122352203</v>
      </c>
      <c r="N25" s="154">
        <f t="shared" si="3"/>
        <v>183054.9760957901</v>
      </c>
      <c r="O25" s="154">
        <f t="shared" si="3"/>
        <v>190495.27132076491</v>
      </c>
      <c r="P25" s="154">
        <f>$I25*P$12</f>
        <v>198237.97839061529</v>
      </c>
    </row>
    <row r="29" spans="3:16" ht="14.5">
      <c r="C29" s="47" t="s">
        <v>398</v>
      </c>
      <c r="D29" s="145" t="s">
        <v>283</v>
      </c>
      <c r="E29" s="355" t="s">
        <v>437</v>
      </c>
      <c r="F29" s="355"/>
      <c r="G29" s="355"/>
      <c r="H29" s="355"/>
      <c r="I29" s="231" t="s">
        <v>400</v>
      </c>
      <c r="J29" s="260"/>
      <c r="K29" s="2"/>
      <c r="L29" s="2"/>
      <c r="M29" s="2"/>
    </row>
    <row r="30" spans="3:16" ht="14.5">
      <c r="C30" s="41">
        <v>25.11</v>
      </c>
      <c r="D30" s="146" t="s">
        <v>401</v>
      </c>
      <c r="E30" s="360" t="s">
        <v>402</v>
      </c>
      <c r="F30" s="361"/>
      <c r="G30" s="361"/>
      <c r="H30" s="362"/>
      <c r="I30" s="58">
        <v>56064</v>
      </c>
      <c r="J30" s="257"/>
      <c r="K30" s="208"/>
      <c r="L30" s="208"/>
      <c r="M30" s="208"/>
    </row>
    <row r="31" spans="3:16" ht="14.5">
      <c r="C31" s="41">
        <v>25.11</v>
      </c>
      <c r="D31" s="146" t="s">
        <v>403</v>
      </c>
      <c r="E31" s="360" t="s">
        <v>402</v>
      </c>
      <c r="F31" s="361"/>
      <c r="G31" s="361"/>
      <c r="H31" s="362"/>
      <c r="I31" s="58">
        <v>56064</v>
      </c>
      <c r="J31" s="257"/>
      <c r="K31" s="208"/>
      <c r="L31" s="208"/>
      <c r="M31" s="208"/>
    </row>
    <row r="32" spans="3:16" ht="14.5" customHeight="1">
      <c r="C32" s="41">
        <v>28.11</v>
      </c>
      <c r="D32" s="146" t="s">
        <v>404</v>
      </c>
      <c r="E32" s="360" t="s">
        <v>405</v>
      </c>
      <c r="F32" s="361"/>
      <c r="G32" s="361"/>
      <c r="H32" s="362"/>
      <c r="I32" s="58">
        <v>54190</v>
      </c>
      <c r="J32" s="257"/>
      <c r="K32" s="208"/>
      <c r="L32" s="208"/>
      <c r="M32" s="208"/>
    </row>
    <row r="33" spans="3:13" ht="15" customHeight="1">
      <c r="C33" s="41">
        <v>28.15</v>
      </c>
      <c r="D33" s="146" t="s">
        <v>406</v>
      </c>
      <c r="E33" s="360" t="s">
        <v>407</v>
      </c>
      <c r="F33" s="361"/>
      <c r="G33" s="361"/>
      <c r="H33" s="362"/>
      <c r="I33" s="58">
        <v>57444</v>
      </c>
      <c r="J33" s="257"/>
      <c r="K33" s="208"/>
      <c r="L33" s="208"/>
      <c r="M33" s="208"/>
    </row>
    <row r="34" spans="3:13" ht="14.5" customHeight="1">
      <c r="C34" s="41">
        <v>28.15</v>
      </c>
      <c r="D34" s="146" t="s">
        <v>408</v>
      </c>
      <c r="E34" s="360" t="s">
        <v>407</v>
      </c>
      <c r="F34" s="361"/>
      <c r="G34" s="361"/>
      <c r="H34" s="362"/>
      <c r="I34" s="58">
        <v>57444</v>
      </c>
      <c r="J34" s="257"/>
      <c r="K34" s="208"/>
      <c r="L34" s="208"/>
      <c r="M34" s="208"/>
    </row>
    <row r="35" spans="3:13" ht="14.5" customHeight="1">
      <c r="C35" s="41">
        <v>27.11</v>
      </c>
      <c r="D35" s="146" t="s">
        <v>409</v>
      </c>
      <c r="E35" s="360" t="s">
        <v>410</v>
      </c>
      <c r="F35" s="361"/>
      <c r="G35" s="361"/>
      <c r="H35" s="362"/>
      <c r="I35" s="58">
        <v>58628</v>
      </c>
      <c r="J35" s="257"/>
      <c r="K35" s="208"/>
      <c r="L35" s="208"/>
      <c r="M35" s="208"/>
    </row>
    <row r="36" spans="3:13" ht="26.5" customHeight="1">
      <c r="C36" s="41">
        <v>27.11</v>
      </c>
      <c r="D36" s="146" t="s">
        <v>412</v>
      </c>
      <c r="E36" s="360" t="s">
        <v>410</v>
      </c>
      <c r="F36" s="361"/>
      <c r="G36" s="361"/>
      <c r="H36" s="362"/>
      <c r="I36" s="58">
        <v>58628</v>
      </c>
      <c r="J36" s="257"/>
      <c r="K36" s="208"/>
      <c r="L36" s="208"/>
      <c r="M36" s="208"/>
    </row>
    <row r="37" spans="3:13" ht="29.25" customHeight="1">
      <c r="C37" s="41">
        <v>27.12</v>
      </c>
      <c r="D37" s="146" t="s">
        <v>413</v>
      </c>
      <c r="E37" s="360" t="s">
        <v>410</v>
      </c>
      <c r="F37" s="361"/>
      <c r="G37" s="361"/>
      <c r="H37" s="362"/>
      <c r="I37" s="58">
        <v>57516</v>
      </c>
      <c r="J37" s="257"/>
      <c r="K37" s="208"/>
      <c r="L37" s="208"/>
      <c r="M37" s="208"/>
    </row>
    <row r="38" spans="3:13" ht="29.25" customHeight="1">
      <c r="C38" s="41">
        <v>27.32</v>
      </c>
      <c r="D38" s="146" t="s">
        <v>414</v>
      </c>
      <c r="E38" s="360" t="s">
        <v>415</v>
      </c>
      <c r="F38" s="361"/>
      <c r="G38" s="361"/>
      <c r="H38" s="362"/>
      <c r="I38" s="58">
        <v>25700</v>
      </c>
      <c r="J38" s="257"/>
      <c r="K38" s="208"/>
      <c r="L38" s="208"/>
      <c r="M38" s="208"/>
    </row>
    <row r="39" spans="3:13" ht="29.25" customHeight="1">
      <c r="C39" s="41">
        <v>52.22</v>
      </c>
      <c r="D39" s="146" t="s">
        <v>416</v>
      </c>
      <c r="E39" s="360" t="s">
        <v>417</v>
      </c>
      <c r="F39" s="361"/>
      <c r="G39" s="361"/>
      <c r="H39" s="362"/>
      <c r="I39" s="41">
        <v>99128</v>
      </c>
      <c r="K39" s="208"/>
      <c r="L39" s="208"/>
      <c r="M39" s="208"/>
    </row>
    <row r="40" spans="3:13" ht="29.25" customHeight="1">
      <c r="C40" s="261" t="s">
        <v>418</v>
      </c>
      <c r="D40" s="41" t="s">
        <v>307</v>
      </c>
      <c r="E40" s="352" t="s">
        <v>419</v>
      </c>
      <c r="F40" s="353"/>
      <c r="G40" s="353"/>
      <c r="H40" s="354"/>
      <c r="I40" s="164">
        <v>183972.92440437651</v>
      </c>
      <c r="K40" s="208"/>
      <c r="L40" s="208"/>
      <c r="M40" s="208"/>
    </row>
    <row r="43" spans="3:13">
      <c r="C43" s="148"/>
      <c r="D43" s="149"/>
      <c r="E43" s="149"/>
      <c r="F43" s="150"/>
      <c r="G43" s="151"/>
      <c r="H43" s="151"/>
      <c r="I43" s="151"/>
      <c r="J43" s="151" t="s">
        <v>420</v>
      </c>
      <c r="K43" s="152" t="s">
        <v>420</v>
      </c>
      <c r="L43" s="153" t="s">
        <v>420</v>
      </c>
    </row>
    <row r="44" spans="3:13" ht="14.5">
      <c r="E44" s="5"/>
    </row>
  </sheetData>
  <mergeCells count="12">
    <mergeCell ref="E32:H32"/>
    <mergeCell ref="E33:H33"/>
    <mergeCell ref="E34:H34"/>
    <mergeCell ref="E29:H29"/>
    <mergeCell ref="E30:H30"/>
    <mergeCell ref="E31:H31"/>
    <mergeCell ref="E40:H40"/>
    <mergeCell ref="E38:H38"/>
    <mergeCell ref="E39:H39"/>
    <mergeCell ref="E35:H35"/>
    <mergeCell ref="E36:H36"/>
    <mergeCell ref="E37:H37"/>
  </mergeCells>
  <conditionalFormatting sqref="A11:H11 Q11:XFD11 I9 A26:XFD28 C44:D44 F44:N44 C41:N43 A12:XFD13 A47:XFD1048576 C45:N46 O41:XFD46 I29:I33 I35:I39 N29:XFD39 A29:C39 J32:J37 E32:E37 A41:B46 A14:A25 Q14:XFD25 B21:B25 D21:F25 I21:P25 L10:XFD10 A9:G10 K9:XFD9 A1:XFD8">
    <cfRule type="expression" dxfId="23" priority="28">
      <formula>_xlfn.ISFORMULA(A1)</formula>
    </cfRule>
  </conditionalFormatting>
  <conditionalFormatting sqref="B14:P15 B16:D17 B18:P20">
    <cfRule type="expression" dxfId="22" priority="27">
      <formula>_xlfn.ISFORMULA(B14)</formula>
    </cfRule>
  </conditionalFormatting>
  <conditionalFormatting sqref="F16:F17">
    <cfRule type="expression" dxfId="21" priority="26">
      <formula>_xlfn.ISFORMULA(F16)</formula>
    </cfRule>
  </conditionalFormatting>
  <conditionalFormatting sqref="I11:P11">
    <cfRule type="expression" dxfId="20" priority="24">
      <formula>_xlfn.ISFORMULA(I11)</formula>
    </cfRule>
  </conditionalFormatting>
  <conditionalFormatting sqref="J29">
    <cfRule type="expression" dxfId="19" priority="23">
      <formula>_xlfn.ISFORMULA(J29)</formula>
    </cfRule>
  </conditionalFormatting>
  <conditionalFormatting sqref="J30:J31">
    <cfRule type="expression" dxfId="18" priority="22">
      <formula>_xlfn.ISFORMULA(J30)</formula>
    </cfRule>
  </conditionalFormatting>
  <conditionalFormatting sqref="J38">
    <cfRule type="expression" dxfId="17" priority="21">
      <formula>_xlfn.ISFORMULA(J38)</formula>
    </cfRule>
  </conditionalFormatting>
  <conditionalFormatting sqref="E30:E31">
    <cfRule type="expression" dxfId="16" priority="17">
      <formula>_xlfn.ISFORMULA(E30)</formula>
    </cfRule>
  </conditionalFormatting>
  <conditionalFormatting sqref="I34">
    <cfRule type="expression" dxfId="15" priority="18">
      <formula>_xlfn.ISFORMULA(I34)</formula>
    </cfRule>
  </conditionalFormatting>
  <conditionalFormatting sqref="E38">
    <cfRule type="expression" dxfId="14" priority="16">
      <formula>_xlfn.ISFORMULA(E38)</formula>
    </cfRule>
  </conditionalFormatting>
  <conditionalFormatting sqref="E39">
    <cfRule type="expression" dxfId="13" priority="15">
      <formula>_xlfn.ISFORMULA(E39)</formula>
    </cfRule>
  </conditionalFormatting>
  <conditionalFormatting sqref="N40:XFD40 A40:B40">
    <cfRule type="expression" dxfId="12" priority="13">
      <formula>_xlfn.ISFORMULA(A40)</formula>
    </cfRule>
  </conditionalFormatting>
  <conditionalFormatting sqref="D40">
    <cfRule type="expression" dxfId="11" priority="10">
      <formula>_xlfn.ISFORMULA(D40)</formula>
    </cfRule>
  </conditionalFormatting>
  <conditionalFormatting sqref="J40">
    <cfRule type="expression" dxfId="10" priority="9">
      <formula>_xlfn.ISFORMULA(J40)</formula>
    </cfRule>
  </conditionalFormatting>
  <conditionalFormatting sqref="J39">
    <cfRule type="expression" dxfId="9" priority="8">
      <formula>_xlfn.ISFORMULA(J39)</formula>
    </cfRule>
  </conditionalFormatting>
  <conditionalFormatting sqref="I40">
    <cfRule type="expression" dxfId="8" priority="7">
      <formula>_xlfn.ISFORMULA(I40)</formula>
    </cfRule>
  </conditionalFormatting>
  <conditionalFormatting sqref="G16:G17">
    <cfRule type="expression" dxfId="7" priority="6">
      <formula>_xlfn.ISFORMULA(G16)</formula>
    </cfRule>
  </conditionalFormatting>
  <conditionalFormatting sqref="H16:H17">
    <cfRule type="expression" dxfId="6" priority="5">
      <formula>_xlfn.ISFORMULA(H16)</formula>
    </cfRule>
  </conditionalFormatting>
  <conditionalFormatting sqref="H21:H25">
    <cfRule type="expression" dxfId="5" priority="4">
      <formula>_xlfn.ISFORMULA(H21)</formula>
    </cfRule>
  </conditionalFormatting>
  <conditionalFormatting sqref="G21:G25">
    <cfRule type="expression" dxfId="4" priority="3">
      <formula>_xlfn.ISFORMULA(G21)</formula>
    </cfRule>
  </conditionalFormatting>
  <conditionalFormatting sqref="E16">
    <cfRule type="expression" dxfId="3" priority="2">
      <formula>_xlfn.ISFORMULA(E16)</formula>
    </cfRule>
  </conditionalFormatting>
  <conditionalFormatting sqref="E17">
    <cfRule type="expression" dxfId="2" priority="1">
      <formula>_xlfn.ISFORMULA(E17)</formula>
    </cfRule>
  </conditionalFormatting>
  <hyperlinks>
    <hyperlink ref="K9" r:id="rId1" xr:uid="{28EC2E99-3CC9-440C-B338-F7967B633B19}"/>
  </hyperlinks>
  <pageMargins left="0.7" right="0.7" top="0.75" bottom="0.75" header="0.3" footer="0.3"/>
  <pageSetup paperSize="9" orientation="portrait" horizontalDpi="4294967294" verticalDpi="4294967294"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5AC4E-02E2-4AC1-A021-9C4FAA217F41}">
  <sheetPr>
    <tabColor theme="9" tint="0.39997558519241921"/>
  </sheetPr>
  <dimension ref="B1:R42"/>
  <sheetViews>
    <sheetView zoomScale="70" zoomScaleNormal="70" workbookViewId="0">
      <selection activeCell="T26" sqref="T26"/>
    </sheetView>
  </sheetViews>
  <sheetFormatPr defaultColWidth="8.81640625" defaultRowHeight="14"/>
  <cols>
    <col min="1" max="1" width="6.453125" style="1" customWidth="1"/>
    <col min="2" max="2" width="17.81640625" style="1" customWidth="1"/>
    <col min="3" max="3" width="25.1796875" style="1" customWidth="1"/>
    <col min="4" max="4" width="8.81640625" style="1"/>
    <col min="5" max="5" width="9.81640625" style="1" customWidth="1"/>
    <col min="6" max="6" width="15.7265625" style="1" customWidth="1"/>
    <col min="7" max="7" width="21.81640625" style="1" customWidth="1"/>
    <col min="8" max="8" width="24" style="1" customWidth="1"/>
    <col min="9" max="9" width="19" style="1" bestFit="1" customWidth="1"/>
    <col min="10" max="10" width="17.81640625" style="1" customWidth="1"/>
    <col min="11" max="11" width="10.81640625" style="1" customWidth="1"/>
    <col min="12" max="12" width="11.7265625" style="1" customWidth="1"/>
    <col min="13" max="13" width="12" style="1" customWidth="1"/>
    <col min="14" max="14" width="11.453125" style="1" customWidth="1"/>
    <col min="15" max="16" width="10.81640625" style="1" customWidth="1"/>
    <col min="17" max="16384" width="8.81640625" style="1"/>
  </cols>
  <sheetData>
    <row r="1" spans="2:18" s="3" customFormat="1" ht="49.5" customHeight="1">
      <c r="B1" s="304" t="s">
        <v>83</v>
      </c>
      <c r="C1" s="304"/>
      <c r="D1" s="304"/>
      <c r="E1" s="304"/>
      <c r="F1" s="304"/>
      <c r="G1" s="304"/>
      <c r="H1" s="304"/>
      <c r="I1" s="304"/>
      <c r="J1" s="304"/>
      <c r="K1" s="304"/>
      <c r="L1" s="304"/>
      <c r="M1" s="304"/>
      <c r="N1" s="304"/>
      <c r="O1" s="304"/>
      <c r="P1" s="304"/>
      <c r="Q1" s="304"/>
      <c r="R1" s="304"/>
    </row>
    <row r="4" spans="2:18">
      <c r="O4" s="7"/>
      <c r="P4" s="2"/>
    </row>
    <row r="5" spans="2:18">
      <c r="P5" s="2"/>
    </row>
    <row r="10" spans="2:18" ht="16" customHeight="1">
      <c r="C10" s="2" t="s">
        <v>439</v>
      </c>
      <c r="D10" s="2"/>
      <c r="E10" s="2"/>
      <c r="F10" s="2"/>
      <c r="G10" s="2"/>
      <c r="H10" s="2"/>
      <c r="Q10" s="5"/>
      <c r="R10" s="5"/>
    </row>
    <row r="11" spans="2:18" ht="16" customHeight="1">
      <c r="C11" s="45" t="s">
        <v>243</v>
      </c>
      <c r="Q11" s="5"/>
      <c r="R11" s="5"/>
    </row>
    <row r="12" spans="2:18" ht="16" customHeight="1">
      <c r="B12" s="47" t="s">
        <v>137</v>
      </c>
      <c r="C12" s="47" t="s">
        <v>338</v>
      </c>
      <c r="D12" s="47" t="s">
        <v>24</v>
      </c>
      <c r="E12" s="47">
        <v>2015</v>
      </c>
      <c r="F12" s="47">
        <v>2020</v>
      </c>
      <c r="G12" s="47">
        <v>2025</v>
      </c>
      <c r="H12" s="47">
        <v>2030</v>
      </c>
      <c r="I12" s="47">
        <v>2035</v>
      </c>
      <c r="J12" s="47">
        <v>2040</v>
      </c>
      <c r="K12" s="47">
        <v>2045</v>
      </c>
      <c r="L12" s="47">
        <v>2050</v>
      </c>
      <c r="M12" s="5"/>
      <c r="N12" s="5"/>
    </row>
    <row r="13" spans="2:18" ht="16" customHeight="1">
      <c r="B13" s="58" t="s">
        <v>148</v>
      </c>
      <c r="C13" s="41" t="s">
        <v>339</v>
      </c>
      <c r="D13" s="41" t="s">
        <v>136</v>
      </c>
      <c r="E13" s="111">
        <f t="shared" ref="E13:L13" si="0">SUM(E18:E21)</f>
        <v>3060.8967927484018</v>
      </c>
      <c r="F13" s="111">
        <f t="shared" si="0"/>
        <v>2716.8340854390258</v>
      </c>
      <c r="G13" s="111">
        <f t="shared" si="0"/>
        <v>4707.0653081610453</v>
      </c>
      <c r="H13" s="111">
        <f t="shared" si="0"/>
        <v>9795.1427665765859</v>
      </c>
      <c r="I13" s="111">
        <f t="shared" si="0"/>
        <v>6922.4579262321622</v>
      </c>
      <c r="J13" s="111">
        <f t="shared" si="0"/>
        <v>7869.8877172794837</v>
      </c>
      <c r="K13" s="111">
        <f t="shared" si="0"/>
        <v>9916.5087372275484</v>
      </c>
      <c r="L13" s="111">
        <f t="shared" si="0"/>
        <v>13546.815370353163</v>
      </c>
      <c r="M13" s="5"/>
      <c r="N13" s="5"/>
    </row>
    <row r="14" spans="2:18" ht="16" customHeight="1">
      <c r="C14" s="41" t="s">
        <v>307</v>
      </c>
      <c r="D14" s="41" t="s">
        <v>136</v>
      </c>
      <c r="E14" s="111">
        <f>E22</f>
        <v>990.80879353262844</v>
      </c>
      <c r="F14" s="111">
        <f t="shared" ref="F14:L14" si="1">F22</f>
        <v>1297.4846859930542</v>
      </c>
      <c r="G14" s="111">
        <f t="shared" si="1"/>
        <v>2260.9869306666401</v>
      </c>
      <c r="H14" s="111">
        <f t="shared" si="1"/>
        <v>4079.4021755343933</v>
      </c>
      <c r="I14" s="111">
        <f t="shared" si="1"/>
        <v>4750.1438000456055</v>
      </c>
      <c r="J14" s="111">
        <f t="shared" si="1"/>
        <v>5510.7599430747432</v>
      </c>
      <c r="K14" s="111">
        <f t="shared" si="1"/>
        <v>6403.1169211020442</v>
      </c>
      <c r="L14" s="111">
        <f t="shared" si="1"/>
        <v>7326.5281242392794</v>
      </c>
      <c r="M14" s="5"/>
      <c r="N14" s="5"/>
    </row>
    <row r="15" spans="2:18" ht="16" customHeight="1">
      <c r="M15" s="5"/>
      <c r="N15" s="5"/>
    </row>
    <row r="16" spans="2:18" ht="16" customHeight="1">
      <c r="C16" s="45" t="s">
        <v>341</v>
      </c>
      <c r="L16" s="157"/>
      <c r="M16" s="5"/>
      <c r="N16" s="5"/>
    </row>
    <row r="17" spans="2:15" ht="16" customHeight="1">
      <c r="C17" s="47" t="s">
        <v>283</v>
      </c>
      <c r="D17" s="47" t="s">
        <v>24</v>
      </c>
      <c r="E17" s="47">
        <v>2015</v>
      </c>
      <c r="F17" s="47">
        <v>2020</v>
      </c>
      <c r="G17" s="47">
        <v>2025</v>
      </c>
      <c r="H17" s="47">
        <v>2030</v>
      </c>
      <c r="I17" s="47">
        <v>2035</v>
      </c>
      <c r="J17" s="47">
        <v>2040</v>
      </c>
      <c r="K17" s="47">
        <v>2045</v>
      </c>
      <c r="L17" s="47">
        <v>2050</v>
      </c>
      <c r="M17" s="5"/>
      <c r="N17" s="5"/>
    </row>
    <row r="18" spans="2:15" ht="16" customHeight="1">
      <c r="C18" s="48" t="s">
        <v>285</v>
      </c>
      <c r="D18" s="41" t="s">
        <v>136</v>
      </c>
      <c r="E18" s="110">
        <f>'GVA (2)'!F17/'GVA per worker (2)'!I21</f>
        <v>1102.0381376643636</v>
      </c>
      <c r="F18" s="110">
        <f>'GVA (2)'!G17/'GVA per worker (2)'!J21</f>
        <v>1004.8632036098022</v>
      </c>
      <c r="G18" s="110">
        <f>'GVA (2)'!H17/'GVA per worker (2)'!K21</f>
        <v>1751.6430591980406</v>
      </c>
      <c r="H18" s="110">
        <f>'GVA (2)'!I17/'GVA per worker (2)'!L21</f>
        <v>3662.4666299083142</v>
      </c>
      <c r="I18" s="110">
        <f>'GVA (2)'!J17/'GVA per worker (2)'!M21</f>
        <v>2588.3513651563248</v>
      </c>
      <c r="J18" s="110">
        <f>'GVA (2)'!K17/'GVA per worker (2)'!N21</f>
        <v>2942.6014334383376</v>
      </c>
      <c r="K18" s="110">
        <f>'GVA (2)'!L17/'GVA per worker (2)'!O21</f>
        <v>3707.8461438274294</v>
      </c>
      <c r="L18" s="110">
        <f>'GVA (2)'!M17/'GVA per worker (2)'!P21</f>
        <v>5065.2410503647934</v>
      </c>
      <c r="M18" s="5"/>
      <c r="N18" s="5"/>
    </row>
    <row r="19" spans="2:15">
      <c r="C19" s="41" t="s">
        <v>333</v>
      </c>
      <c r="D19" s="41" t="s">
        <v>136</v>
      </c>
      <c r="E19" s="110">
        <f>'GVA (2)'!F18/'GVA per worker (2)'!I22</f>
        <v>1007.9407884858316</v>
      </c>
      <c r="F19" s="110">
        <f>'GVA (2)'!G18/'GVA per worker (2)'!J22</f>
        <v>919.06312054994771</v>
      </c>
      <c r="G19" s="110">
        <f>'GVA (2)'!H18/'GVA per worker (2)'!K22</f>
        <v>1602.0792982497703</v>
      </c>
      <c r="H19" s="110">
        <f>'GVA (2)'!I18/'GVA per worker (2)'!L22</f>
        <v>3349.7475056322687</v>
      </c>
      <c r="I19" s="110">
        <f>'GVA (2)'!J18/'GVA per worker (2)'!M22</f>
        <v>2367.3454000451407</v>
      </c>
      <c r="J19" s="110">
        <f>'GVA (2)'!K18/'GVA per worker (2)'!N22</f>
        <v>2691.3478832097285</v>
      </c>
      <c r="K19" s="110">
        <f>'GVA (2)'!L18/'GVA per worker (2)'!O22</f>
        <v>3391.2522970523523</v>
      </c>
      <c r="L19" s="110">
        <f>'GVA (2)'!M18/'GVA per worker (2)'!P22</f>
        <v>4632.7462577619162</v>
      </c>
    </row>
    <row r="20" spans="2:15">
      <c r="C20" s="41" t="s">
        <v>320</v>
      </c>
      <c r="D20" s="41" t="s">
        <v>136</v>
      </c>
      <c r="E20" s="110">
        <f>'GVA (2)'!F19/'GVA per worker (2)'!I23</f>
        <v>332.79279739528022</v>
      </c>
      <c r="F20" s="110">
        <f>'GVA (2)'!G19/'GVA per worker (2)'!J23</f>
        <v>303.44797071872046</v>
      </c>
      <c r="G20" s="110">
        <f>'GVA (2)'!H19/'GVA per worker (2)'!K23</f>
        <v>528.96009111263675</v>
      </c>
      <c r="H20" s="110">
        <f>'GVA (2)'!I19/'GVA per worker (2)'!L23</f>
        <v>1105.9894149554943</v>
      </c>
      <c r="I20" s="110">
        <f>'GVA (2)'!J19/'GVA per worker (2)'!M23</f>
        <v>781.62874950758624</v>
      </c>
      <c r="J20" s="110">
        <f>'GVA (2)'!K19/'GVA per worker (2)'!N23</f>
        <v>888.60496672897705</v>
      </c>
      <c r="K20" s="110">
        <f>'GVA (2)'!L19/'GVA per worker (2)'!O23</f>
        <v>1119.693092591903</v>
      </c>
      <c r="L20" s="110">
        <f>'GVA (2)'!M19/'GVA per worker (2)'!P23</f>
        <v>1529.5983696216649</v>
      </c>
    </row>
    <row r="21" spans="2:15">
      <c r="C21" s="41" t="s">
        <v>317</v>
      </c>
      <c r="D21" s="41" t="s">
        <v>136</v>
      </c>
      <c r="E21" s="110">
        <f>'GVA (2)'!F20/'GVA per worker (2)'!I24</f>
        <v>618.12506920292651</v>
      </c>
      <c r="F21" s="110">
        <f>'GVA (2)'!G20/'GVA per worker (2)'!J24</f>
        <v>489.45979056055495</v>
      </c>
      <c r="G21" s="110">
        <f>'GVA (2)'!H20/'GVA per worker (2)'!K24</f>
        <v>824.38285960059738</v>
      </c>
      <c r="H21" s="110">
        <f>'GVA (2)'!I20/'GVA per worker (2)'!L24</f>
        <v>1676.9392160805091</v>
      </c>
      <c r="I21" s="110">
        <f>'GVA (2)'!J20/'GVA per worker (2)'!M24</f>
        <v>1185.1324115231114</v>
      </c>
      <c r="J21" s="110">
        <f>'GVA (2)'!K20/'GVA per worker (2)'!N24</f>
        <v>1347.3334339024404</v>
      </c>
      <c r="K21" s="110">
        <f>'GVA (2)'!L20/'GVA per worker (2)'!O24</f>
        <v>1697.7172037558651</v>
      </c>
      <c r="L21" s="110">
        <f>'GVA (2)'!M20/'GVA per worker (2)'!P24</f>
        <v>2319.229692604787</v>
      </c>
    </row>
    <row r="22" spans="2:15">
      <c r="C22" s="105" t="s">
        <v>280</v>
      </c>
      <c r="D22" s="41" t="s">
        <v>136</v>
      </c>
      <c r="E22" s="110">
        <f>'GVA (2)'!F21/'GVA per worker (2)'!I25</f>
        <v>990.80879353262844</v>
      </c>
      <c r="F22" s="110">
        <f>'GVA (2)'!G21/'GVA per worker (2)'!J25</f>
        <v>1297.4846859930542</v>
      </c>
      <c r="G22" s="110">
        <f>'GVA (2)'!H21/'GVA per worker (2)'!K25</f>
        <v>2260.9869306666401</v>
      </c>
      <c r="H22" s="110">
        <f>'GVA (2)'!I21/'GVA per worker (2)'!L25</f>
        <v>4079.4021755343933</v>
      </c>
      <c r="I22" s="110">
        <f>'GVA (2)'!J21/'GVA per worker (2)'!M25</f>
        <v>4750.1438000456055</v>
      </c>
      <c r="J22" s="110">
        <f>'GVA (2)'!K21/'GVA per worker (2)'!N25</f>
        <v>5510.7599430747432</v>
      </c>
      <c r="K22" s="110">
        <f>'GVA (2)'!L21/'GVA per worker (2)'!O25</f>
        <v>6403.1169211020442</v>
      </c>
      <c r="L22" s="110">
        <f>'GVA (2)'!M21/'GVA per worker (2)'!P25</f>
        <v>7326.5281242392794</v>
      </c>
    </row>
    <row r="25" spans="2:15">
      <c r="B25" s="47" t="s">
        <v>137</v>
      </c>
      <c r="C25" s="47" t="s">
        <v>338</v>
      </c>
      <c r="D25" s="47" t="s">
        <v>24</v>
      </c>
      <c r="E25" s="47">
        <v>2015</v>
      </c>
      <c r="F25" s="47">
        <v>2020</v>
      </c>
      <c r="G25" s="47">
        <v>2025</v>
      </c>
      <c r="H25" s="47">
        <v>2030</v>
      </c>
      <c r="I25" s="47">
        <v>2035</v>
      </c>
      <c r="J25" s="47">
        <v>2040</v>
      </c>
      <c r="K25" s="47">
        <v>2045</v>
      </c>
      <c r="L25" s="47">
        <v>2050</v>
      </c>
      <c r="O25" s="47" t="s">
        <v>565</v>
      </c>
    </row>
    <row r="26" spans="2:15">
      <c r="B26" s="58" t="s">
        <v>563</v>
      </c>
      <c r="C26" s="41" t="s">
        <v>274</v>
      </c>
      <c r="D26" s="41" t="s">
        <v>136</v>
      </c>
      <c r="E26" s="111">
        <f>E13</f>
        <v>3060.8967927484018</v>
      </c>
      <c r="F26" s="111">
        <f t="shared" ref="F26:L27" si="2">F13</f>
        <v>2716.8340854390258</v>
      </c>
      <c r="G26" s="111">
        <f t="shared" si="2"/>
        <v>4707.0653081610453</v>
      </c>
      <c r="H26" s="111">
        <f t="shared" si="2"/>
        <v>9795.1427665765859</v>
      </c>
      <c r="I26" s="111">
        <f t="shared" si="2"/>
        <v>6922.4579262321622</v>
      </c>
      <c r="J26" s="111">
        <f t="shared" si="2"/>
        <v>7869.8877172794837</v>
      </c>
      <c r="K26" s="111">
        <f t="shared" si="2"/>
        <v>9916.5087372275484</v>
      </c>
      <c r="L26" s="111">
        <f t="shared" si="2"/>
        <v>13546.815370353163</v>
      </c>
      <c r="N26" s="1" t="s">
        <v>418</v>
      </c>
      <c r="O26" s="59">
        <f>L27/SUM(L26:L27)</f>
        <v>0.35099926018739297</v>
      </c>
    </row>
    <row r="27" spans="2:15">
      <c r="C27" s="41" t="s">
        <v>307</v>
      </c>
      <c r="D27" s="41" t="s">
        <v>136</v>
      </c>
      <c r="E27" s="111">
        <f>E14</f>
        <v>990.80879353262844</v>
      </c>
      <c r="F27" s="111">
        <f t="shared" si="2"/>
        <v>1297.4846859930542</v>
      </c>
      <c r="G27" s="111">
        <f t="shared" si="2"/>
        <v>2260.9869306666401</v>
      </c>
      <c r="H27" s="111">
        <f t="shared" si="2"/>
        <v>4079.4021755343933</v>
      </c>
      <c r="I27" s="111">
        <f t="shared" si="2"/>
        <v>4750.1438000456055</v>
      </c>
      <c r="J27" s="111">
        <f t="shared" si="2"/>
        <v>5510.7599430747432</v>
      </c>
      <c r="K27" s="111">
        <f t="shared" si="2"/>
        <v>6403.1169211020442</v>
      </c>
      <c r="L27" s="111">
        <f t="shared" si="2"/>
        <v>7326.5281242392794</v>
      </c>
      <c r="O27" s="59"/>
    </row>
    <row r="28" spans="2:15">
      <c r="B28" s="41" t="s">
        <v>515</v>
      </c>
      <c r="C28" s="41" t="s">
        <v>274</v>
      </c>
      <c r="D28" s="41" t="s">
        <v>136</v>
      </c>
      <c r="E28" s="111">
        <f>'Jobs supported'!E13</f>
        <v>191.50542850807432</v>
      </c>
      <c r="F28" s="111">
        <f>'Jobs supported'!F13</f>
        <v>2576.4471921173772</v>
      </c>
      <c r="G28" s="111">
        <f>'Jobs supported'!G13</f>
        <v>4850.9120752663184</v>
      </c>
      <c r="H28" s="111">
        <f>'Jobs supported'!H13</f>
        <v>8862.8046664727717</v>
      </c>
      <c r="I28" s="111">
        <f>'Jobs supported'!I13</f>
        <v>9864.8880812844673</v>
      </c>
      <c r="J28" s="111">
        <f>'Jobs supported'!J13</f>
        <v>13665.281008977909</v>
      </c>
      <c r="K28" s="111">
        <f>'Jobs supported'!K13</f>
        <v>13981.957171913595</v>
      </c>
      <c r="L28" s="111">
        <f>'Jobs supported'!L13</f>
        <v>14841.769271078958</v>
      </c>
      <c r="N28" s="1" t="s">
        <v>566</v>
      </c>
      <c r="O28" s="59">
        <f>L29/SUM(L28:L29)</f>
        <v>0.27564277234549428</v>
      </c>
    </row>
    <row r="29" spans="2:15">
      <c r="C29" s="41" t="s">
        <v>307</v>
      </c>
      <c r="D29" s="41" t="s">
        <v>136</v>
      </c>
      <c r="E29" s="111">
        <f>'Jobs supported'!E14</f>
        <v>15.455107169995756</v>
      </c>
      <c r="F29" s="111">
        <f>'Jobs supported'!F14</f>
        <v>267.14219746567267</v>
      </c>
      <c r="G29" s="111">
        <f>'Jobs supported'!G14</f>
        <v>894.34056422265871</v>
      </c>
      <c r="H29" s="111">
        <f>'Jobs supported'!H14</f>
        <v>1815.1463423477992</v>
      </c>
      <c r="I29" s="111">
        <f>'Jobs supported'!I14</f>
        <v>2689.9275448831368</v>
      </c>
      <c r="J29" s="111">
        <f>'Jobs supported'!J14</f>
        <v>4568.7395548393979</v>
      </c>
      <c r="K29" s="111">
        <f>'Jobs supported'!K14</f>
        <v>4956.017360507577</v>
      </c>
      <c r="L29" s="111">
        <f>'Jobs supported'!L14</f>
        <v>5647.8023165990326</v>
      </c>
    </row>
    <row r="41" spans="16:16">
      <c r="P41" s="174"/>
    </row>
    <row r="42" spans="16:16">
      <c r="P42" s="174"/>
    </row>
  </sheetData>
  <conditionalFormatting sqref="A1:XFD9 A23:B24 A30:XFD1048576 A28:B29 M19:XFD22 B18:B22 A10:A22 E23:XFD24 S10:XFD11 O12:XFD18 D18:L22 B10:P11 B12:L17 A25:L27 C29:L29 D28:L28 O29:XFD29 P25:XFD28 O25:O27 M25">
    <cfRule type="expression" dxfId="1" priority="5">
      <formula>_xlfn.ISFORMULA(A1)</formula>
    </cfRule>
  </conditionalFormatting>
  <conditionalFormatting sqref="C28">
    <cfRule type="expression" dxfId="0" priority="1">
      <formula>_xlfn.ISFORMULA(C28)</formula>
    </cfRule>
  </conditionalFormatting>
  <pageMargins left="0.7" right="0.7" top="0.75" bottom="0.75" header="0.3" footer="0.3"/>
  <pageSetup paperSize="9" orientation="portrait" horizontalDpi="4294967294" verticalDpi="429496729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M29"/>
  <sheetViews>
    <sheetView zoomScale="62" workbookViewId="0">
      <selection activeCell="D15" sqref="D15"/>
    </sheetView>
  </sheetViews>
  <sheetFormatPr defaultColWidth="9.1796875" defaultRowHeight="14.5"/>
  <cols>
    <col min="1" max="1" width="9.1796875" style="5"/>
    <col min="2" max="3" width="14" style="5" customWidth="1"/>
    <col min="4" max="4" width="52.81640625" style="5" customWidth="1"/>
    <col min="5" max="5" width="23.1796875" style="5" customWidth="1"/>
    <col min="6" max="6" width="22.453125" style="5" customWidth="1"/>
    <col min="7" max="7" width="63.26953125" style="5" customWidth="1"/>
    <col min="8" max="8" width="16" style="5" customWidth="1"/>
    <col min="9" max="9" width="13" style="5" customWidth="1"/>
    <col min="10" max="10" width="36.7265625" style="5" customWidth="1"/>
    <col min="11" max="11" width="41.453125" style="5" customWidth="1"/>
    <col min="12" max="12" width="33.7265625" style="5" customWidth="1"/>
    <col min="13" max="13" width="65.453125" style="5" customWidth="1"/>
    <col min="14" max="16384" width="9.1796875" style="5"/>
  </cols>
  <sheetData>
    <row r="1" spans="1:13" s="4" customFormat="1" ht="49.5" customHeight="1">
      <c r="A1" s="303" t="s">
        <v>134</v>
      </c>
      <c r="B1" s="303"/>
      <c r="C1" s="303"/>
      <c r="D1" s="303"/>
      <c r="E1" s="303"/>
      <c r="F1" s="303"/>
      <c r="G1" s="303"/>
      <c r="H1" s="303"/>
      <c r="I1" s="303"/>
      <c r="J1" s="303"/>
      <c r="K1" s="303"/>
      <c r="L1" s="303"/>
      <c r="M1" s="303"/>
    </row>
    <row r="9" spans="1:13">
      <c r="E9" s="351" t="s">
        <v>135</v>
      </c>
      <c r="F9" s="351"/>
    </row>
    <row r="10" spans="1:13">
      <c r="A10" s="87" t="s">
        <v>136</v>
      </c>
      <c r="B10" s="86" t="s">
        <v>137</v>
      </c>
      <c r="C10" s="86" t="s">
        <v>138</v>
      </c>
      <c r="D10" s="6" t="s">
        <v>139</v>
      </c>
      <c r="E10" s="6" t="s">
        <v>43</v>
      </c>
      <c r="F10" s="6" t="s">
        <v>140</v>
      </c>
      <c r="G10" s="6" t="s">
        <v>141</v>
      </c>
      <c r="H10" s="6" t="s">
        <v>142</v>
      </c>
      <c r="I10" s="6" t="s">
        <v>143</v>
      </c>
      <c r="J10" s="6" t="s">
        <v>144</v>
      </c>
      <c r="K10" s="6" t="s">
        <v>145</v>
      </c>
      <c r="L10" s="6" t="s">
        <v>146</v>
      </c>
      <c r="M10" s="6" t="s">
        <v>147</v>
      </c>
    </row>
    <row r="11" spans="1:13" ht="43.5">
      <c r="A11" s="84">
        <v>1</v>
      </c>
      <c r="B11" s="84" t="s">
        <v>148</v>
      </c>
      <c r="C11" s="84" t="str">
        <f>_xlfn.CONCAT(A11,B11)</f>
        <v>1Offshore wind</v>
      </c>
      <c r="D11" s="80" t="s">
        <v>149</v>
      </c>
      <c r="E11" s="84" t="s">
        <v>47</v>
      </c>
      <c r="F11" s="84" t="s">
        <v>150</v>
      </c>
      <c r="G11" s="80" t="s">
        <v>151</v>
      </c>
      <c r="H11" s="70" t="s">
        <v>152</v>
      </c>
      <c r="I11" s="70" t="s">
        <v>153</v>
      </c>
      <c r="J11" s="95" t="s">
        <v>154</v>
      </c>
      <c r="K11" s="95" t="s">
        <v>155</v>
      </c>
      <c r="L11" s="70" t="s">
        <v>152</v>
      </c>
      <c r="M11" s="70" t="s">
        <v>156</v>
      </c>
    </row>
    <row r="12" spans="1:13" ht="87">
      <c r="A12" s="84">
        <v>2</v>
      </c>
      <c r="B12" s="84" t="s">
        <v>148</v>
      </c>
      <c r="C12" s="84" t="str">
        <f t="shared" ref="C12:C21" si="0">_xlfn.CONCAT(A12,B12)</f>
        <v>2Offshore wind</v>
      </c>
      <c r="D12" s="80" t="s">
        <v>157</v>
      </c>
      <c r="E12" s="84" t="s">
        <v>47</v>
      </c>
      <c r="F12" s="84" t="s">
        <v>158</v>
      </c>
      <c r="G12" s="80" t="s">
        <v>159</v>
      </c>
      <c r="H12" s="70" t="s">
        <v>160</v>
      </c>
      <c r="I12" s="70" t="s">
        <v>161</v>
      </c>
      <c r="J12" s="70" t="s">
        <v>162</v>
      </c>
      <c r="K12" s="88" t="s">
        <v>163</v>
      </c>
      <c r="L12" s="70" t="s">
        <v>152</v>
      </c>
      <c r="M12" s="70" t="s">
        <v>156</v>
      </c>
    </row>
    <row r="13" spans="1:13" ht="29">
      <c r="A13" s="84">
        <v>3</v>
      </c>
      <c r="B13" s="84" t="s">
        <v>148</v>
      </c>
      <c r="C13" s="84" t="str">
        <f t="shared" si="0"/>
        <v>3Offshore wind</v>
      </c>
      <c r="D13" s="80" t="s">
        <v>164</v>
      </c>
      <c r="E13" s="84" t="s">
        <v>47</v>
      </c>
      <c r="F13" s="84" t="s">
        <v>150</v>
      </c>
      <c r="G13" s="80" t="s">
        <v>165</v>
      </c>
      <c r="H13" s="70" t="s">
        <v>166</v>
      </c>
      <c r="I13" s="70" t="s">
        <v>167</v>
      </c>
      <c r="J13" s="70" t="s">
        <v>168</v>
      </c>
      <c r="K13" s="88" t="s">
        <v>169</v>
      </c>
      <c r="L13" s="70" t="s">
        <v>152</v>
      </c>
      <c r="M13" s="70" t="s">
        <v>156</v>
      </c>
    </row>
    <row r="14" spans="1:13" ht="29">
      <c r="A14" s="84">
        <v>4</v>
      </c>
      <c r="B14" s="84" t="s">
        <v>148</v>
      </c>
      <c r="C14" s="84" t="str">
        <f t="shared" si="0"/>
        <v>4Offshore wind</v>
      </c>
      <c r="D14" s="79" t="s">
        <v>170</v>
      </c>
      <c r="E14" s="85" t="s">
        <v>47</v>
      </c>
      <c r="F14" s="85" t="s">
        <v>171</v>
      </c>
      <c r="G14" s="79" t="s">
        <v>172</v>
      </c>
      <c r="H14" s="70" t="s">
        <v>166</v>
      </c>
      <c r="I14" s="70" t="s">
        <v>167</v>
      </c>
      <c r="J14" s="70" t="s">
        <v>162</v>
      </c>
      <c r="K14" s="88" t="s">
        <v>169</v>
      </c>
      <c r="L14" s="70" t="s">
        <v>152</v>
      </c>
      <c r="M14" s="70" t="s">
        <v>156</v>
      </c>
    </row>
    <row r="15" spans="1:13" ht="58">
      <c r="A15" s="84">
        <v>5</v>
      </c>
      <c r="B15" s="84" t="s">
        <v>148</v>
      </c>
      <c r="C15" s="84" t="str">
        <f t="shared" ref="C15" si="1">_xlfn.CONCAT(A15,B15)</f>
        <v>5Offshore wind</v>
      </c>
      <c r="D15" s="79" t="s">
        <v>173</v>
      </c>
      <c r="E15" s="85" t="s">
        <v>47</v>
      </c>
      <c r="F15" s="85" t="s">
        <v>174</v>
      </c>
      <c r="G15" s="79" t="s">
        <v>172</v>
      </c>
      <c r="H15" s="70" t="s">
        <v>166</v>
      </c>
      <c r="I15" s="70" t="s">
        <v>167</v>
      </c>
      <c r="J15" s="88" t="s">
        <v>175</v>
      </c>
      <c r="K15" s="88" t="s">
        <v>176</v>
      </c>
      <c r="L15" s="70" t="s">
        <v>152</v>
      </c>
      <c r="M15" s="70" t="s">
        <v>156</v>
      </c>
    </row>
    <row r="16" spans="1:13" ht="43.5">
      <c r="A16" s="84">
        <v>6</v>
      </c>
      <c r="B16" s="84" t="s">
        <v>148</v>
      </c>
      <c r="C16" s="84" t="str">
        <f>_xlfn.CONCAT(A16,B16)</f>
        <v>6Offshore wind</v>
      </c>
      <c r="D16" s="79" t="s">
        <v>177</v>
      </c>
      <c r="E16" s="85" t="s">
        <v>50</v>
      </c>
      <c r="F16" s="85" t="s">
        <v>178</v>
      </c>
      <c r="G16" s="79" t="s">
        <v>179</v>
      </c>
      <c r="H16" s="70" t="s">
        <v>152</v>
      </c>
      <c r="I16" s="70" t="s">
        <v>166</v>
      </c>
      <c r="J16" s="95" t="s">
        <v>180</v>
      </c>
      <c r="K16" s="88" t="s">
        <v>181</v>
      </c>
      <c r="L16" s="70" t="s">
        <v>152</v>
      </c>
      <c r="M16" s="70" t="s">
        <v>156</v>
      </c>
    </row>
    <row r="17" spans="1:13" ht="29">
      <c r="A17" s="84">
        <v>7</v>
      </c>
      <c r="B17" s="84" t="s">
        <v>148</v>
      </c>
      <c r="C17" s="84" t="str">
        <f t="shared" si="0"/>
        <v>7Offshore wind</v>
      </c>
      <c r="D17" s="109" t="s">
        <v>182</v>
      </c>
      <c r="E17" s="85" t="s">
        <v>50</v>
      </c>
      <c r="F17" s="85" t="s">
        <v>183</v>
      </c>
      <c r="G17" s="79" t="s">
        <v>172</v>
      </c>
      <c r="H17" s="70" t="s">
        <v>166</v>
      </c>
      <c r="I17" s="70" t="s">
        <v>167</v>
      </c>
      <c r="J17" s="88" t="s">
        <v>184</v>
      </c>
      <c r="K17" s="88" t="s">
        <v>185</v>
      </c>
      <c r="L17" s="70" t="s">
        <v>152</v>
      </c>
      <c r="M17" s="70" t="s">
        <v>156</v>
      </c>
    </row>
    <row r="18" spans="1:13" ht="72.5">
      <c r="A18" s="84">
        <v>8</v>
      </c>
      <c r="B18" s="84" t="s">
        <v>148</v>
      </c>
      <c r="C18" s="84" t="str">
        <f>_xlfn.CONCAT(A18,B18)</f>
        <v>8Offshore wind</v>
      </c>
      <c r="D18" s="79" t="s">
        <v>186</v>
      </c>
      <c r="E18" s="85" t="s">
        <v>57</v>
      </c>
      <c r="F18" s="85" t="s">
        <v>187</v>
      </c>
      <c r="G18" s="79" t="s">
        <v>188</v>
      </c>
      <c r="H18" s="70" t="s">
        <v>166</v>
      </c>
      <c r="I18" s="70" t="s">
        <v>189</v>
      </c>
      <c r="J18" s="88" t="s">
        <v>190</v>
      </c>
      <c r="K18" s="88" t="s">
        <v>191</v>
      </c>
      <c r="L18" s="70" t="s">
        <v>166</v>
      </c>
      <c r="M18" s="88" t="s">
        <v>192</v>
      </c>
    </row>
    <row r="19" spans="1:13" ht="58">
      <c r="A19" s="84">
        <v>9</v>
      </c>
      <c r="B19" s="84" t="s">
        <v>148</v>
      </c>
      <c r="C19" s="84" t="str">
        <f t="shared" si="0"/>
        <v>9Offshore wind</v>
      </c>
      <c r="D19" s="79" t="s">
        <v>193</v>
      </c>
      <c r="E19" s="85" t="s">
        <v>57</v>
      </c>
      <c r="F19" s="85" t="s">
        <v>194</v>
      </c>
      <c r="G19" s="79" t="s">
        <v>195</v>
      </c>
      <c r="H19" s="70" t="s">
        <v>166</v>
      </c>
      <c r="I19" s="70" t="s">
        <v>189</v>
      </c>
      <c r="J19" s="88" t="s">
        <v>190</v>
      </c>
      <c r="K19" s="88" t="s">
        <v>191</v>
      </c>
      <c r="L19" s="70" t="s">
        <v>166</v>
      </c>
      <c r="M19" s="88" t="s">
        <v>192</v>
      </c>
    </row>
    <row r="20" spans="1:13" ht="43.5">
      <c r="A20" s="84">
        <v>10</v>
      </c>
      <c r="B20" s="84" t="s">
        <v>148</v>
      </c>
      <c r="C20" s="84" t="str">
        <f t="shared" si="0"/>
        <v>10Offshore wind</v>
      </c>
      <c r="D20" s="79" t="s">
        <v>196</v>
      </c>
      <c r="E20" s="85" t="s">
        <v>197</v>
      </c>
      <c r="F20" s="85" t="s">
        <v>198</v>
      </c>
      <c r="G20" s="79" t="s">
        <v>199</v>
      </c>
      <c r="H20" s="70" t="s">
        <v>152</v>
      </c>
      <c r="I20" s="70" t="s">
        <v>189</v>
      </c>
      <c r="J20" s="88" t="s">
        <v>200</v>
      </c>
      <c r="K20" s="88" t="s">
        <v>201</v>
      </c>
      <c r="L20" s="70" t="s">
        <v>166</v>
      </c>
      <c r="M20" s="88" t="s">
        <v>192</v>
      </c>
    </row>
    <row r="21" spans="1:13" ht="29">
      <c r="A21" s="84">
        <v>11</v>
      </c>
      <c r="B21" s="84" t="s">
        <v>148</v>
      </c>
      <c r="C21" s="84" t="str">
        <f t="shared" si="0"/>
        <v>11Offshore wind</v>
      </c>
      <c r="D21" s="79" t="s">
        <v>202</v>
      </c>
      <c r="E21" s="79" t="s">
        <v>203</v>
      </c>
      <c r="F21" s="85" t="s">
        <v>204</v>
      </c>
      <c r="G21" s="79" t="s">
        <v>205</v>
      </c>
      <c r="H21" s="70" t="s">
        <v>152</v>
      </c>
      <c r="I21" s="70" t="s">
        <v>153</v>
      </c>
      <c r="J21" s="70" t="s">
        <v>206</v>
      </c>
      <c r="K21" s="70" t="s">
        <v>207</v>
      </c>
      <c r="L21" s="70" t="s">
        <v>152</v>
      </c>
      <c r="M21" s="70" t="s">
        <v>156</v>
      </c>
    </row>
    <row r="22" spans="1:13" ht="43.5">
      <c r="A22" s="84">
        <v>12</v>
      </c>
      <c r="B22" s="84" t="s">
        <v>148</v>
      </c>
      <c r="C22" s="84" t="str">
        <f t="shared" ref="C22" si="2">_xlfn.CONCAT(A22,B22)</f>
        <v>12Offshore wind</v>
      </c>
      <c r="D22" s="79" t="s">
        <v>208</v>
      </c>
      <c r="E22" s="79" t="s">
        <v>203</v>
      </c>
      <c r="F22" s="85" t="s">
        <v>204</v>
      </c>
      <c r="G22" s="79" t="s">
        <v>205</v>
      </c>
      <c r="H22" s="70" t="s">
        <v>152</v>
      </c>
      <c r="I22" s="70" t="s">
        <v>153</v>
      </c>
      <c r="J22" s="70" t="s">
        <v>206</v>
      </c>
      <c r="K22" s="70" t="s">
        <v>207</v>
      </c>
      <c r="L22" s="70" t="s">
        <v>152</v>
      </c>
      <c r="M22" s="70" t="s">
        <v>156</v>
      </c>
    </row>
    <row r="23" spans="1:13" ht="29">
      <c r="A23" s="84">
        <v>13</v>
      </c>
      <c r="B23" s="84" t="s">
        <v>148</v>
      </c>
      <c r="C23" s="84" t="str">
        <f t="shared" ref="C23:C24" si="3">_xlfn.CONCAT(A23,B23)</f>
        <v>13Offshore wind</v>
      </c>
      <c r="D23" s="79" t="s">
        <v>209</v>
      </c>
      <c r="E23" s="85" t="s">
        <v>78</v>
      </c>
      <c r="F23" s="85" t="s">
        <v>210</v>
      </c>
      <c r="G23" s="79" t="s">
        <v>211</v>
      </c>
      <c r="H23" s="70" t="s">
        <v>212</v>
      </c>
      <c r="I23" s="70" t="s">
        <v>161</v>
      </c>
      <c r="J23" s="70" t="s">
        <v>162</v>
      </c>
      <c r="K23" s="88" t="s">
        <v>213</v>
      </c>
      <c r="L23" s="70" t="s">
        <v>214</v>
      </c>
      <c r="M23" s="70" t="s">
        <v>156</v>
      </c>
    </row>
    <row r="24" spans="1:13" ht="43.5">
      <c r="A24" s="84">
        <v>14</v>
      </c>
      <c r="B24" s="84" t="s">
        <v>148</v>
      </c>
      <c r="C24" s="84" t="str">
        <f t="shared" si="3"/>
        <v>14Offshore wind</v>
      </c>
      <c r="D24" s="79" t="s">
        <v>215</v>
      </c>
      <c r="E24" s="85" t="s">
        <v>78</v>
      </c>
      <c r="F24" s="85" t="s">
        <v>210</v>
      </c>
      <c r="G24" s="79" t="s">
        <v>205</v>
      </c>
      <c r="H24" s="70" t="s">
        <v>152</v>
      </c>
      <c r="I24" s="70" t="s">
        <v>153</v>
      </c>
      <c r="J24" s="70" t="s">
        <v>206</v>
      </c>
      <c r="K24" s="70" t="s">
        <v>207</v>
      </c>
      <c r="L24" s="70" t="s">
        <v>152</v>
      </c>
      <c r="M24" s="70" t="s">
        <v>156</v>
      </c>
    </row>
    <row r="25" spans="1:13">
      <c r="A25" s="84">
        <v>15</v>
      </c>
      <c r="B25" s="84" t="s">
        <v>148</v>
      </c>
      <c r="C25" s="84" t="str">
        <f t="shared" ref="C25:C29" si="4">_xlfn.CONCAT(A25,B25)</f>
        <v>15Offshore wind</v>
      </c>
      <c r="D25" s="79" t="s">
        <v>216</v>
      </c>
      <c r="E25" s="85" t="s">
        <v>78</v>
      </c>
      <c r="F25" s="85" t="s">
        <v>210</v>
      </c>
      <c r="G25" s="79" t="s">
        <v>217</v>
      </c>
      <c r="H25" s="70" t="s">
        <v>152</v>
      </c>
      <c r="I25" s="70" t="s">
        <v>153</v>
      </c>
      <c r="J25" s="70" t="s">
        <v>218</v>
      </c>
      <c r="K25" s="70" t="s">
        <v>207</v>
      </c>
      <c r="L25" s="70" t="s">
        <v>152</v>
      </c>
      <c r="M25" s="70" t="s">
        <v>156</v>
      </c>
    </row>
    <row r="26" spans="1:13">
      <c r="A26" s="84"/>
      <c r="B26" s="84"/>
      <c r="C26" s="288"/>
      <c r="D26" s="79"/>
      <c r="E26" s="85"/>
      <c r="F26" s="85"/>
      <c r="G26" s="79"/>
      <c r="H26" s="70"/>
      <c r="I26" s="70"/>
      <c r="J26" s="70"/>
      <c r="K26" s="88"/>
      <c r="L26" s="70"/>
      <c r="M26" s="70"/>
    </row>
    <row r="27" spans="1:13" ht="43.5">
      <c r="A27" s="84">
        <v>17</v>
      </c>
      <c r="B27" s="84" t="s">
        <v>148</v>
      </c>
      <c r="C27" s="84" t="str">
        <f t="shared" si="4"/>
        <v>17Offshore wind</v>
      </c>
      <c r="D27" s="79" t="s">
        <v>219</v>
      </c>
      <c r="E27" s="85" t="s">
        <v>220</v>
      </c>
      <c r="F27" s="85" t="s">
        <v>221</v>
      </c>
      <c r="G27" s="79" t="s">
        <v>222</v>
      </c>
      <c r="H27" s="70" t="s">
        <v>152</v>
      </c>
      <c r="I27" s="70" t="s">
        <v>167</v>
      </c>
      <c r="J27" s="70" t="s">
        <v>223</v>
      </c>
      <c r="K27" s="70" t="s">
        <v>224</v>
      </c>
      <c r="L27" s="70" t="s">
        <v>152</v>
      </c>
      <c r="M27" s="70" t="s">
        <v>156</v>
      </c>
    </row>
    <row r="28" spans="1:13" ht="29">
      <c r="A28" s="84">
        <v>18</v>
      </c>
      <c r="B28" s="84" t="s">
        <v>148</v>
      </c>
      <c r="C28" s="84" t="str">
        <f t="shared" si="4"/>
        <v>18Offshore wind</v>
      </c>
      <c r="D28" s="79" t="s">
        <v>225</v>
      </c>
      <c r="E28" s="85" t="s">
        <v>64</v>
      </c>
      <c r="F28" s="85" t="s">
        <v>226</v>
      </c>
      <c r="G28" s="79" t="s">
        <v>227</v>
      </c>
      <c r="H28" s="70" t="s">
        <v>152</v>
      </c>
      <c r="I28" s="70" t="s">
        <v>153</v>
      </c>
      <c r="J28" s="70" t="s">
        <v>228</v>
      </c>
      <c r="K28" s="70" t="s">
        <v>207</v>
      </c>
      <c r="L28" s="70" t="s">
        <v>152</v>
      </c>
      <c r="M28" s="70" t="s">
        <v>156</v>
      </c>
    </row>
    <row r="29" spans="1:13">
      <c r="A29" s="84">
        <v>19</v>
      </c>
      <c r="B29" s="84" t="s">
        <v>148</v>
      </c>
      <c r="C29" s="84" t="str">
        <f t="shared" si="4"/>
        <v>19Offshore wind</v>
      </c>
      <c r="D29" s="79" t="s">
        <v>229</v>
      </c>
      <c r="E29" s="85" t="s">
        <v>78</v>
      </c>
      <c r="F29" s="85" t="s">
        <v>230</v>
      </c>
      <c r="G29" s="79" t="s">
        <v>231</v>
      </c>
      <c r="H29" s="70" t="s">
        <v>152</v>
      </c>
      <c r="I29" s="70" t="s">
        <v>167</v>
      </c>
      <c r="J29" s="70" t="s">
        <v>232</v>
      </c>
      <c r="K29" s="70" t="s">
        <v>233</v>
      </c>
      <c r="L29" s="70" t="s">
        <v>152</v>
      </c>
      <c r="M29" s="70" t="s">
        <v>156</v>
      </c>
    </row>
  </sheetData>
  <mergeCells count="1">
    <mergeCell ref="E9:F9"/>
  </mergeCells>
  <conditionalFormatting sqref="H17 H26:H29">
    <cfRule type="containsText" dxfId="357" priority="133" operator="containsText" text="Amber">
      <formula>NOT(ISERROR(SEARCH("Amber",H17)))</formula>
    </cfRule>
    <cfRule type="containsText" dxfId="356" priority="134" operator="containsText" text="Red">
      <formula>NOT(ISERROR(SEARCH("Red",H17)))</formula>
    </cfRule>
    <cfRule type="containsText" dxfId="355" priority="135" operator="containsText" text="Green">
      <formula>NOT(ISERROR(SEARCH("Green",H17)))</formula>
    </cfRule>
  </conditionalFormatting>
  <conditionalFormatting sqref="L12 L27 L29">
    <cfRule type="containsText" dxfId="354" priority="130" operator="containsText" text="Amber">
      <formula>NOT(ISERROR(SEARCH("Amber",L12)))</formula>
    </cfRule>
    <cfRule type="containsText" dxfId="353" priority="131" operator="containsText" text="Red">
      <formula>NOT(ISERROR(SEARCH("Red",L12)))</formula>
    </cfRule>
    <cfRule type="containsText" dxfId="352" priority="132" operator="containsText" text="Green">
      <formula>NOT(ISERROR(SEARCH("Green",L12)))</formula>
    </cfRule>
  </conditionalFormatting>
  <conditionalFormatting sqref="I12">
    <cfRule type="containsText" dxfId="351" priority="124" operator="containsText" text="High">
      <formula>NOT(ISERROR(SEARCH("High",I12)))</formula>
    </cfRule>
    <cfRule type="containsText" dxfId="350" priority="125" operator="containsText" text="Low">
      <formula>NOT(ISERROR(SEARCH("Low",I12)))</formula>
    </cfRule>
    <cfRule type="containsText" dxfId="349" priority="126" operator="containsText" text="Medium">
      <formula>NOT(ISERROR(SEARCH("Medium",I12)))</formula>
    </cfRule>
  </conditionalFormatting>
  <conditionalFormatting sqref="I17">
    <cfRule type="containsText" dxfId="348" priority="121" operator="containsText" text="High">
      <formula>NOT(ISERROR(SEARCH("High",I17)))</formula>
    </cfRule>
    <cfRule type="containsText" dxfId="347" priority="122" operator="containsText" text="Low">
      <formula>NOT(ISERROR(SEARCH("Low",I17)))</formula>
    </cfRule>
    <cfRule type="containsText" dxfId="346" priority="123" operator="containsText" text="Medium">
      <formula>NOT(ISERROR(SEARCH("Medium",I17)))</formula>
    </cfRule>
  </conditionalFormatting>
  <conditionalFormatting sqref="I27:I29">
    <cfRule type="containsText" dxfId="345" priority="118" operator="containsText" text="High">
      <formula>NOT(ISERROR(SEARCH("High",I27)))</formula>
    </cfRule>
    <cfRule type="containsText" dxfId="344" priority="119" operator="containsText" text="Low">
      <formula>NOT(ISERROR(SEARCH("Low",I27)))</formula>
    </cfRule>
    <cfRule type="containsText" dxfId="343" priority="120" operator="containsText" text="Medium">
      <formula>NOT(ISERROR(SEARCH("Medium",I27)))</formula>
    </cfRule>
  </conditionalFormatting>
  <conditionalFormatting sqref="H11">
    <cfRule type="containsText" dxfId="342" priority="115" operator="containsText" text="Amber">
      <formula>NOT(ISERROR(SEARCH("Amber",H11)))</formula>
    </cfRule>
    <cfRule type="containsText" dxfId="341" priority="116" operator="containsText" text="Red">
      <formula>NOT(ISERROR(SEARCH("Red",H11)))</formula>
    </cfRule>
    <cfRule type="containsText" dxfId="340" priority="117" operator="containsText" text="Green">
      <formula>NOT(ISERROR(SEARCH("Green",H11)))</formula>
    </cfRule>
  </conditionalFormatting>
  <conditionalFormatting sqref="I11">
    <cfRule type="containsText" dxfId="339" priority="112" operator="containsText" text="High">
      <formula>NOT(ISERROR(SEARCH("High",I11)))</formula>
    </cfRule>
    <cfRule type="containsText" dxfId="338" priority="113" operator="containsText" text="Low">
      <formula>NOT(ISERROR(SEARCH("Low",I11)))</formula>
    </cfRule>
    <cfRule type="containsText" dxfId="337" priority="114" operator="containsText" text="Medium">
      <formula>NOT(ISERROR(SEARCH("Medium",I11)))</formula>
    </cfRule>
  </conditionalFormatting>
  <conditionalFormatting sqref="L11">
    <cfRule type="containsText" dxfId="336" priority="109" operator="containsText" text="Amber">
      <formula>NOT(ISERROR(SEARCH("Amber",L11)))</formula>
    </cfRule>
    <cfRule type="containsText" dxfId="335" priority="110" operator="containsText" text="Red">
      <formula>NOT(ISERROR(SEARCH("Red",L11)))</formula>
    </cfRule>
    <cfRule type="containsText" dxfId="334" priority="111" operator="containsText" text="Green">
      <formula>NOT(ISERROR(SEARCH("Green",L11)))</formula>
    </cfRule>
  </conditionalFormatting>
  <conditionalFormatting sqref="H12">
    <cfRule type="containsText" dxfId="333" priority="106" operator="containsText" text="Amber">
      <formula>NOT(ISERROR(SEARCH("Amber",H12)))</formula>
    </cfRule>
    <cfRule type="containsText" dxfId="332" priority="107" operator="containsText" text="Red">
      <formula>NOT(ISERROR(SEARCH("Red",H12)))</formula>
    </cfRule>
    <cfRule type="containsText" dxfId="331" priority="108" operator="containsText" text="Green">
      <formula>NOT(ISERROR(SEARCH("Green",H12)))</formula>
    </cfRule>
  </conditionalFormatting>
  <conditionalFormatting sqref="H13">
    <cfRule type="containsText" dxfId="330" priority="103" operator="containsText" text="Amber">
      <formula>NOT(ISERROR(SEARCH("Amber",H13)))</formula>
    </cfRule>
    <cfRule type="containsText" dxfId="329" priority="104" operator="containsText" text="Red">
      <formula>NOT(ISERROR(SEARCH("Red",H13)))</formula>
    </cfRule>
    <cfRule type="containsText" dxfId="328" priority="105" operator="containsText" text="Green">
      <formula>NOT(ISERROR(SEARCH("Green",H13)))</formula>
    </cfRule>
  </conditionalFormatting>
  <conditionalFormatting sqref="L13">
    <cfRule type="containsText" dxfId="327" priority="100" operator="containsText" text="Amber">
      <formula>NOT(ISERROR(SEARCH("Amber",L13)))</formula>
    </cfRule>
    <cfRule type="containsText" dxfId="326" priority="101" operator="containsText" text="Red">
      <formula>NOT(ISERROR(SEARCH("Red",L13)))</formula>
    </cfRule>
    <cfRule type="containsText" dxfId="325" priority="102" operator="containsText" text="Green">
      <formula>NOT(ISERROR(SEARCH("Green",L13)))</formula>
    </cfRule>
  </conditionalFormatting>
  <conditionalFormatting sqref="I13">
    <cfRule type="containsText" dxfId="324" priority="97" operator="containsText" text="High">
      <formula>NOT(ISERROR(SEARCH("High",I13)))</formula>
    </cfRule>
    <cfRule type="containsText" dxfId="323" priority="98" operator="containsText" text="Low">
      <formula>NOT(ISERROR(SEARCH("Low",I13)))</formula>
    </cfRule>
    <cfRule type="containsText" dxfId="322" priority="99" operator="containsText" text="Medium">
      <formula>NOT(ISERROR(SEARCH("Medium",I13)))</formula>
    </cfRule>
  </conditionalFormatting>
  <conditionalFormatting sqref="H14:H15">
    <cfRule type="containsText" dxfId="321" priority="94" operator="containsText" text="Amber">
      <formula>NOT(ISERROR(SEARCH("Amber",H14)))</formula>
    </cfRule>
    <cfRule type="containsText" dxfId="320" priority="95" operator="containsText" text="Red">
      <formula>NOT(ISERROR(SEARCH("Red",H14)))</formula>
    </cfRule>
    <cfRule type="containsText" dxfId="319" priority="96" operator="containsText" text="Green">
      <formula>NOT(ISERROR(SEARCH("Green",H14)))</formula>
    </cfRule>
  </conditionalFormatting>
  <conditionalFormatting sqref="L14:L16">
    <cfRule type="containsText" dxfId="318" priority="91" operator="containsText" text="Amber">
      <formula>NOT(ISERROR(SEARCH("Amber",L14)))</formula>
    </cfRule>
    <cfRule type="containsText" dxfId="317" priority="92" operator="containsText" text="Red">
      <formula>NOT(ISERROR(SEARCH("Red",L14)))</formula>
    </cfRule>
    <cfRule type="containsText" dxfId="316" priority="93" operator="containsText" text="Green">
      <formula>NOT(ISERROR(SEARCH("Green",L14)))</formula>
    </cfRule>
  </conditionalFormatting>
  <conditionalFormatting sqref="I14:I15">
    <cfRule type="containsText" dxfId="315" priority="88" operator="containsText" text="High">
      <formula>NOT(ISERROR(SEARCH("High",I14)))</formula>
    </cfRule>
    <cfRule type="containsText" dxfId="314" priority="89" operator="containsText" text="Low">
      <formula>NOT(ISERROR(SEARCH("Low",I14)))</formula>
    </cfRule>
    <cfRule type="containsText" dxfId="313" priority="90" operator="containsText" text="Medium">
      <formula>NOT(ISERROR(SEARCH("Medium",I14)))</formula>
    </cfRule>
  </conditionalFormatting>
  <conditionalFormatting sqref="H22">
    <cfRule type="containsText" dxfId="312" priority="31" operator="containsText" text="Amber">
      <formula>NOT(ISERROR(SEARCH("Amber",H22)))</formula>
    </cfRule>
    <cfRule type="containsText" dxfId="311" priority="32" operator="containsText" text="Red">
      <formula>NOT(ISERROR(SEARCH("Red",H22)))</formula>
    </cfRule>
    <cfRule type="containsText" dxfId="310" priority="33" operator="containsText" text="Green">
      <formula>NOT(ISERROR(SEARCH("Green",H22)))</formula>
    </cfRule>
  </conditionalFormatting>
  <conditionalFormatting sqref="I19">
    <cfRule type="containsText" dxfId="309" priority="79" operator="containsText" text="High">
      <formula>NOT(ISERROR(SEARCH("High",I19)))</formula>
    </cfRule>
    <cfRule type="containsText" dxfId="308" priority="80" operator="containsText" text="Low">
      <formula>NOT(ISERROR(SEARCH("Low",I19)))</formula>
    </cfRule>
    <cfRule type="containsText" dxfId="307" priority="81" operator="containsText" text="Medium">
      <formula>NOT(ISERROR(SEARCH("Medium",I19)))</formula>
    </cfRule>
  </conditionalFormatting>
  <conditionalFormatting sqref="H19">
    <cfRule type="containsText" dxfId="306" priority="76" operator="containsText" text="Amber">
      <formula>NOT(ISERROR(SEARCH("Amber",H19)))</formula>
    </cfRule>
    <cfRule type="containsText" dxfId="305" priority="77" operator="containsText" text="Red">
      <formula>NOT(ISERROR(SEARCH("Red",H19)))</formula>
    </cfRule>
    <cfRule type="containsText" dxfId="304" priority="78" operator="containsText" text="Green">
      <formula>NOT(ISERROR(SEARCH("Green",H19)))</formula>
    </cfRule>
  </conditionalFormatting>
  <conditionalFormatting sqref="L17">
    <cfRule type="containsText" dxfId="303" priority="70" operator="containsText" text="Amber">
      <formula>NOT(ISERROR(SEARCH("Amber",L17)))</formula>
    </cfRule>
    <cfRule type="containsText" dxfId="302" priority="71" operator="containsText" text="Red">
      <formula>NOT(ISERROR(SEARCH("Red",L17)))</formula>
    </cfRule>
    <cfRule type="containsText" dxfId="301" priority="72" operator="containsText" text="Green">
      <formula>NOT(ISERROR(SEARCH("Green",L17)))</formula>
    </cfRule>
  </conditionalFormatting>
  <conditionalFormatting sqref="H18">
    <cfRule type="containsText" dxfId="300" priority="67" operator="containsText" text="Amber">
      <formula>NOT(ISERROR(SEARCH("Amber",H18)))</formula>
    </cfRule>
    <cfRule type="containsText" dxfId="299" priority="68" operator="containsText" text="Red">
      <formula>NOT(ISERROR(SEARCH("Red",H18)))</formula>
    </cfRule>
    <cfRule type="containsText" dxfId="298" priority="69" operator="containsText" text="Green">
      <formula>NOT(ISERROR(SEARCH("Green",H18)))</formula>
    </cfRule>
  </conditionalFormatting>
  <conditionalFormatting sqref="I18">
    <cfRule type="containsText" dxfId="297" priority="64" operator="containsText" text="High">
      <formula>NOT(ISERROR(SEARCH("High",I18)))</formula>
    </cfRule>
    <cfRule type="containsText" dxfId="296" priority="65" operator="containsText" text="Low">
      <formula>NOT(ISERROR(SEARCH("Low",I18)))</formula>
    </cfRule>
    <cfRule type="containsText" dxfId="295" priority="66" operator="containsText" text="Medium">
      <formula>NOT(ISERROR(SEARCH("Medium",I18)))</formula>
    </cfRule>
  </conditionalFormatting>
  <conditionalFormatting sqref="H20">
    <cfRule type="containsText" dxfId="294" priority="58" operator="containsText" text="Amber">
      <formula>NOT(ISERROR(SEARCH("Amber",H20)))</formula>
    </cfRule>
    <cfRule type="containsText" dxfId="293" priority="59" operator="containsText" text="Red">
      <formula>NOT(ISERROR(SEARCH("Red",H20)))</formula>
    </cfRule>
    <cfRule type="containsText" dxfId="292" priority="60" operator="containsText" text="Green">
      <formula>NOT(ISERROR(SEARCH("Green",H20)))</formula>
    </cfRule>
  </conditionalFormatting>
  <conditionalFormatting sqref="I20">
    <cfRule type="containsText" dxfId="291" priority="52" operator="containsText" text="High">
      <formula>NOT(ISERROR(SEARCH("High",I20)))</formula>
    </cfRule>
    <cfRule type="containsText" dxfId="290" priority="53" operator="containsText" text="Low">
      <formula>NOT(ISERROR(SEARCH("Low",I20)))</formula>
    </cfRule>
    <cfRule type="containsText" dxfId="289" priority="54" operator="containsText" text="Medium">
      <formula>NOT(ISERROR(SEARCH("Medium",I20)))</formula>
    </cfRule>
  </conditionalFormatting>
  <conditionalFormatting sqref="H21">
    <cfRule type="containsText" dxfId="288" priority="49" operator="containsText" text="Amber">
      <formula>NOT(ISERROR(SEARCH("Amber",H21)))</formula>
    </cfRule>
    <cfRule type="containsText" dxfId="287" priority="50" operator="containsText" text="Red">
      <formula>NOT(ISERROR(SEARCH("Red",H21)))</formula>
    </cfRule>
    <cfRule type="containsText" dxfId="286" priority="51" operator="containsText" text="Green">
      <formula>NOT(ISERROR(SEARCH("Green",H21)))</formula>
    </cfRule>
  </conditionalFormatting>
  <conditionalFormatting sqref="L21">
    <cfRule type="containsText" dxfId="285" priority="46" operator="containsText" text="Amber">
      <formula>NOT(ISERROR(SEARCH("Amber",L21)))</formula>
    </cfRule>
    <cfRule type="containsText" dxfId="284" priority="47" operator="containsText" text="Red">
      <formula>NOT(ISERROR(SEARCH("Red",L21)))</formula>
    </cfRule>
    <cfRule type="containsText" dxfId="283" priority="48" operator="containsText" text="Green">
      <formula>NOT(ISERROR(SEARCH("Green",L21)))</formula>
    </cfRule>
  </conditionalFormatting>
  <conditionalFormatting sqref="I21">
    <cfRule type="containsText" dxfId="282" priority="43" operator="containsText" text="High">
      <formula>NOT(ISERROR(SEARCH("High",I21)))</formula>
    </cfRule>
    <cfRule type="containsText" dxfId="281" priority="44" operator="containsText" text="Low">
      <formula>NOT(ISERROR(SEARCH("Low",I21)))</formula>
    </cfRule>
    <cfRule type="containsText" dxfId="280" priority="45" operator="containsText" text="Medium">
      <formula>NOT(ISERROR(SEARCH("Medium",I21)))</formula>
    </cfRule>
  </conditionalFormatting>
  <conditionalFormatting sqref="L23">
    <cfRule type="containsText" dxfId="279" priority="40" operator="containsText" text="Amber">
      <formula>NOT(ISERROR(SEARCH("Amber",L23)))</formula>
    </cfRule>
    <cfRule type="containsText" dxfId="278" priority="41" operator="containsText" text="Red">
      <formula>NOT(ISERROR(SEARCH("Red",L23)))</formula>
    </cfRule>
    <cfRule type="containsText" dxfId="277" priority="42" operator="containsText" text="Green">
      <formula>NOT(ISERROR(SEARCH("Green",L23)))</formula>
    </cfRule>
  </conditionalFormatting>
  <conditionalFormatting sqref="I23">
    <cfRule type="containsText" dxfId="276" priority="37" operator="containsText" text="High">
      <formula>NOT(ISERROR(SEARCH("High",I23)))</formula>
    </cfRule>
    <cfRule type="containsText" dxfId="275" priority="38" operator="containsText" text="Low">
      <formula>NOT(ISERROR(SEARCH("Low",I23)))</formula>
    </cfRule>
    <cfRule type="containsText" dxfId="274" priority="39" operator="containsText" text="Medium">
      <formula>NOT(ISERROR(SEARCH("Medium",I23)))</formula>
    </cfRule>
  </conditionalFormatting>
  <conditionalFormatting sqref="H23">
    <cfRule type="containsText" dxfId="273" priority="34" operator="containsText" text="Amber">
      <formula>NOT(ISERROR(SEARCH("Amber",H23)))</formula>
    </cfRule>
    <cfRule type="containsText" dxfId="272" priority="35" operator="containsText" text="Red">
      <formula>NOT(ISERROR(SEARCH("Red",H23)))</formula>
    </cfRule>
    <cfRule type="containsText" dxfId="271" priority="36" operator="containsText" text="Green">
      <formula>NOT(ISERROR(SEARCH("Green",H23)))</formula>
    </cfRule>
  </conditionalFormatting>
  <conditionalFormatting sqref="L22">
    <cfRule type="containsText" dxfId="270" priority="28" operator="containsText" text="Amber">
      <formula>NOT(ISERROR(SEARCH("Amber",L22)))</formula>
    </cfRule>
    <cfRule type="containsText" dxfId="269" priority="29" operator="containsText" text="Red">
      <formula>NOT(ISERROR(SEARCH("Red",L22)))</formula>
    </cfRule>
    <cfRule type="containsText" dxfId="268" priority="30" operator="containsText" text="Green">
      <formula>NOT(ISERROR(SEARCH("Green",L22)))</formula>
    </cfRule>
  </conditionalFormatting>
  <conditionalFormatting sqref="I22">
    <cfRule type="containsText" dxfId="267" priority="25" operator="containsText" text="High">
      <formula>NOT(ISERROR(SEARCH("High",I22)))</formula>
    </cfRule>
    <cfRule type="containsText" dxfId="266" priority="26" operator="containsText" text="Low">
      <formula>NOT(ISERROR(SEARCH("Low",I22)))</formula>
    </cfRule>
    <cfRule type="containsText" dxfId="265" priority="27" operator="containsText" text="Medium">
      <formula>NOT(ISERROR(SEARCH("Medium",I22)))</formula>
    </cfRule>
  </conditionalFormatting>
  <conditionalFormatting sqref="H24:H25">
    <cfRule type="containsText" dxfId="264" priority="22" operator="containsText" text="Amber">
      <formula>NOT(ISERROR(SEARCH("Amber",H24)))</formula>
    </cfRule>
    <cfRule type="containsText" dxfId="263" priority="23" operator="containsText" text="Red">
      <formula>NOT(ISERROR(SEARCH("Red",H24)))</formula>
    </cfRule>
    <cfRule type="containsText" dxfId="262" priority="24" operator="containsText" text="Green">
      <formula>NOT(ISERROR(SEARCH("Green",H24)))</formula>
    </cfRule>
  </conditionalFormatting>
  <conditionalFormatting sqref="L24:L26">
    <cfRule type="containsText" dxfId="261" priority="19" operator="containsText" text="Amber">
      <formula>NOT(ISERROR(SEARCH("Amber",L24)))</formula>
    </cfRule>
    <cfRule type="containsText" dxfId="260" priority="20" operator="containsText" text="Red">
      <formula>NOT(ISERROR(SEARCH("Red",L24)))</formula>
    </cfRule>
    <cfRule type="containsText" dxfId="259" priority="21" operator="containsText" text="Green">
      <formula>NOT(ISERROR(SEARCH("Green",L24)))</formula>
    </cfRule>
  </conditionalFormatting>
  <conditionalFormatting sqref="I24:I25">
    <cfRule type="containsText" dxfId="258" priority="16" operator="containsText" text="High">
      <formula>NOT(ISERROR(SEARCH("High",I24)))</formula>
    </cfRule>
    <cfRule type="containsText" dxfId="257" priority="17" operator="containsText" text="Low">
      <formula>NOT(ISERROR(SEARCH("Low",I24)))</formula>
    </cfRule>
    <cfRule type="containsText" dxfId="256" priority="18" operator="containsText" text="Medium">
      <formula>NOT(ISERROR(SEARCH("Medium",I24)))</formula>
    </cfRule>
  </conditionalFormatting>
  <conditionalFormatting sqref="I26">
    <cfRule type="containsText" dxfId="255" priority="13" operator="containsText" text="High">
      <formula>NOT(ISERROR(SEARCH("High",I26)))</formula>
    </cfRule>
    <cfRule type="containsText" dxfId="254" priority="14" operator="containsText" text="Low">
      <formula>NOT(ISERROR(SEARCH("Low",I26)))</formula>
    </cfRule>
    <cfRule type="containsText" dxfId="253" priority="15" operator="containsText" text="Medium">
      <formula>NOT(ISERROR(SEARCH("Medium",I26)))</formula>
    </cfRule>
  </conditionalFormatting>
  <conditionalFormatting sqref="H16">
    <cfRule type="containsText" dxfId="252" priority="10" operator="containsText" text="Amber">
      <formula>NOT(ISERROR(SEARCH("Amber",H16)))</formula>
    </cfRule>
    <cfRule type="containsText" dxfId="251" priority="11" operator="containsText" text="Red">
      <formula>NOT(ISERROR(SEARCH("Red",H16)))</formula>
    </cfRule>
    <cfRule type="containsText" dxfId="250" priority="12" operator="containsText" text="Green">
      <formula>NOT(ISERROR(SEARCH("Green",H16)))</formula>
    </cfRule>
  </conditionalFormatting>
  <conditionalFormatting sqref="I16">
    <cfRule type="containsText" dxfId="249" priority="7" operator="containsText" text="Amber">
      <formula>NOT(ISERROR(SEARCH("Amber",I16)))</formula>
    </cfRule>
    <cfRule type="containsText" dxfId="248" priority="8" operator="containsText" text="Red">
      <formula>NOT(ISERROR(SEARCH("Red",I16)))</formula>
    </cfRule>
    <cfRule type="containsText" dxfId="247" priority="9" operator="containsText" text="Green">
      <formula>NOT(ISERROR(SEARCH("Green",I16)))</formula>
    </cfRule>
  </conditionalFormatting>
  <conditionalFormatting sqref="L28">
    <cfRule type="containsText" dxfId="246" priority="4" operator="containsText" text="Amber">
      <formula>NOT(ISERROR(SEARCH("Amber",L28)))</formula>
    </cfRule>
    <cfRule type="containsText" dxfId="245" priority="5" operator="containsText" text="Red">
      <formula>NOT(ISERROR(SEARCH("Red",L28)))</formula>
    </cfRule>
    <cfRule type="containsText" dxfId="244" priority="6" operator="containsText" text="Green">
      <formula>NOT(ISERROR(SEARCH("Green",L28)))</formula>
    </cfRule>
  </conditionalFormatting>
  <conditionalFormatting sqref="L18:L20">
    <cfRule type="containsText" dxfId="243" priority="1" operator="containsText" text="Amber">
      <formula>NOT(ISERROR(SEARCH("Amber",L18)))</formula>
    </cfRule>
    <cfRule type="containsText" dxfId="242" priority="2" operator="containsText" text="Red">
      <formula>NOT(ISERROR(SEARCH("Red",L18)))</formula>
    </cfRule>
    <cfRule type="containsText" dxfId="241" priority="3" operator="containsText" text="Green">
      <formula>NOT(ISERROR(SEARCH("Green",L18)))</formula>
    </cfRule>
  </conditionalFormatting>
  <pageMargins left="0.7" right="0.7" top="0.75" bottom="0.75" header="0.3" footer="0.3"/>
  <pageSetup paperSize="9" orientation="portrait" verticalDpi="597"/>
  <ignoredErrors>
    <ignoredError sqref="C18" evalError="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8"/>
  </sheetPr>
  <dimension ref="A1"/>
  <sheetViews>
    <sheetView workbookViewId="0"/>
  </sheetViews>
  <sheetFormatPr defaultColWidth="8.81640625" defaultRowHeight="14.5"/>
  <sheetData/>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5D812-D036-487C-B1D8-324171A4F148}">
  <sheetPr>
    <tabColor theme="8"/>
  </sheetPr>
  <dimension ref="A1"/>
  <sheetViews>
    <sheetView workbookViewId="0"/>
  </sheetViews>
  <sheetFormatPr defaultColWidth="8.81640625" defaultRowHeight="14.5"/>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sheetPr>
  <dimension ref="B1:AT79"/>
  <sheetViews>
    <sheetView zoomScale="85" zoomScaleNormal="85" workbookViewId="0">
      <selection activeCell="M36" sqref="M36"/>
    </sheetView>
  </sheetViews>
  <sheetFormatPr defaultColWidth="8.81640625" defaultRowHeight="14"/>
  <cols>
    <col min="1" max="1" width="8.453125" style="1" customWidth="1"/>
    <col min="2" max="2" width="7.453125" style="1" customWidth="1"/>
    <col min="3" max="4" width="19.453125" style="1" customWidth="1"/>
    <col min="5" max="6" width="29.453125" style="1" customWidth="1"/>
    <col min="7" max="7" width="28.453125" style="1" customWidth="1"/>
    <col min="8" max="8" width="25.453125" style="1" customWidth="1"/>
    <col min="9" max="9" width="16.7265625" style="1" customWidth="1"/>
    <col min="10" max="16" width="8.81640625" style="1"/>
    <col min="17" max="17" width="9.453125" style="1" bestFit="1" customWidth="1"/>
    <col min="18" max="18" width="8.81640625" style="1"/>
    <col min="19" max="19" width="24.26953125" style="1" customWidth="1"/>
    <col min="20" max="20" width="28.7265625" style="1" customWidth="1"/>
    <col min="21" max="21" width="27.453125" style="1" customWidth="1"/>
    <col min="22" max="22" width="33.81640625" style="1" customWidth="1"/>
    <col min="23" max="23" width="39.26953125" style="1" customWidth="1"/>
    <col min="24" max="24" width="32.453125" style="1" customWidth="1"/>
    <col min="25" max="25" width="8.81640625" style="1"/>
    <col min="26" max="26" width="10.453125" style="1" bestFit="1" customWidth="1"/>
    <col min="27" max="33" width="8.81640625" style="1"/>
    <col min="34" max="34" width="11.453125" style="1" bestFit="1" customWidth="1"/>
    <col min="35" max="16384" width="8.81640625" style="1"/>
  </cols>
  <sheetData>
    <row r="1" spans="2:44" s="3" customFormat="1" ht="49.5" customHeight="1">
      <c r="B1" s="304" t="s">
        <v>47</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row>
    <row r="6" spans="2:44">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row>
    <row r="7" spans="2:44">
      <c r="AI7" s="89"/>
    </row>
    <row r="28" spans="3:46">
      <c r="AI28" s="47" t="s">
        <v>234</v>
      </c>
      <c r="AJ28" s="47" t="s">
        <v>235</v>
      </c>
    </row>
    <row r="29" spans="3:46">
      <c r="AI29" s="41" t="s">
        <v>236</v>
      </c>
      <c r="AJ29" s="41" t="s">
        <v>237</v>
      </c>
    </row>
    <row r="32" spans="3:46" ht="14.5">
      <c r="C32" s="56" t="s">
        <v>238</v>
      </c>
      <c r="D32" s="57"/>
      <c r="E32" s="57"/>
      <c r="S32" s="45"/>
      <c r="T32" s="2"/>
      <c r="AI32" s="98" t="s">
        <v>239</v>
      </c>
      <c r="AJ32" s="99"/>
      <c r="AK32" s="99"/>
      <c r="AL32" s="99"/>
      <c r="AM32" s="99"/>
      <c r="AN32" s="99"/>
      <c r="AO32" s="99"/>
      <c r="AP32" s="99"/>
      <c r="AQ32" s="99"/>
      <c r="AR32" s="99"/>
      <c r="AS32" s="99"/>
      <c r="AT32" s="99"/>
    </row>
    <row r="33" spans="3:44">
      <c r="C33" s="2" t="s">
        <v>240</v>
      </c>
      <c r="D33" s="2"/>
      <c r="E33" s="2"/>
      <c r="F33" s="2"/>
      <c r="G33" s="2"/>
      <c r="H33" s="2"/>
      <c r="S33" s="2" t="s">
        <v>241</v>
      </c>
      <c r="T33" s="2"/>
      <c r="U33" s="2"/>
      <c r="V33" s="2"/>
      <c r="W33" s="2"/>
      <c r="X33" s="2"/>
      <c r="AI33" s="2" t="s">
        <v>242</v>
      </c>
    </row>
    <row r="34" spans="3:44" ht="14.5">
      <c r="C34" s="45" t="s">
        <v>243</v>
      </c>
      <c r="J34" s="67"/>
      <c r="K34" s="157"/>
      <c r="M34" s="75"/>
      <c r="S34" s="45" t="s">
        <v>243</v>
      </c>
    </row>
    <row r="35" spans="3:44">
      <c r="C35" s="47" t="s">
        <v>137</v>
      </c>
      <c r="D35" s="47" t="s">
        <v>24</v>
      </c>
      <c r="E35" s="47" t="s">
        <v>18</v>
      </c>
      <c r="F35" s="47" t="s">
        <v>8</v>
      </c>
      <c r="G35" s="47" t="s">
        <v>234</v>
      </c>
      <c r="H35" s="47" t="s">
        <v>235</v>
      </c>
      <c r="I35" s="47">
        <v>2015</v>
      </c>
      <c r="J35" s="47">
        <v>2020</v>
      </c>
      <c r="K35" s="47">
        <v>2025</v>
      </c>
      <c r="L35" s="47">
        <v>2030</v>
      </c>
      <c r="M35" s="47">
        <v>2035</v>
      </c>
      <c r="N35" s="47">
        <v>2040</v>
      </c>
      <c r="O35" s="47">
        <v>2045</v>
      </c>
      <c r="P35" s="47">
        <v>2050</v>
      </c>
      <c r="S35" s="47" t="s">
        <v>137</v>
      </c>
      <c r="T35" s="47" t="s">
        <v>24</v>
      </c>
      <c r="U35" s="47" t="s">
        <v>18</v>
      </c>
      <c r="V35" s="47" t="s">
        <v>8</v>
      </c>
      <c r="W35" s="47" t="s">
        <v>234</v>
      </c>
      <c r="X35" s="47" t="s">
        <v>235</v>
      </c>
      <c r="Y35" s="47">
        <v>2015</v>
      </c>
      <c r="Z35" s="47">
        <v>2020</v>
      </c>
      <c r="AA35" s="47">
        <v>2025</v>
      </c>
      <c r="AB35" s="47">
        <v>2030</v>
      </c>
      <c r="AC35" s="47">
        <v>2035</v>
      </c>
      <c r="AD35" s="47">
        <v>2040</v>
      </c>
      <c r="AE35" s="47">
        <v>2045</v>
      </c>
      <c r="AF35" s="47">
        <v>2050</v>
      </c>
      <c r="AI35" s="47">
        <v>2005</v>
      </c>
      <c r="AJ35" s="47">
        <v>2010</v>
      </c>
      <c r="AK35" s="47">
        <v>2015</v>
      </c>
      <c r="AL35" s="47">
        <v>2020</v>
      </c>
      <c r="AM35" s="47">
        <v>2025</v>
      </c>
      <c r="AN35" s="47">
        <v>2030</v>
      </c>
      <c r="AO35" s="47">
        <v>2035</v>
      </c>
      <c r="AP35" s="47">
        <v>2040</v>
      </c>
      <c r="AQ35" s="47">
        <v>2045</v>
      </c>
      <c r="AR35" s="47">
        <v>2050</v>
      </c>
    </row>
    <row r="36" spans="3:44" ht="28">
      <c r="C36" s="48" t="s">
        <v>148</v>
      </c>
      <c r="D36" s="41" t="s">
        <v>244</v>
      </c>
      <c r="E36" s="48" t="s">
        <v>245</v>
      </c>
      <c r="F36" s="49" t="s">
        <v>246</v>
      </c>
      <c r="G36" s="49" t="s">
        <v>247</v>
      </c>
      <c r="H36" s="270" t="s">
        <v>248</v>
      </c>
      <c r="I36" s="188">
        <f t="shared" ref="I36:P36" si="0">Y37/5+AK36/5</f>
        <v>3.3663578746528087</v>
      </c>
      <c r="J36" s="188">
        <f t="shared" si="0"/>
        <v>14.115846485424541</v>
      </c>
      <c r="K36" s="188">
        <f>AA37/5+AM36/5</f>
        <v>14.93768714622515</v>
      </c>
      <c r="L36" s="188">
        <f t="shared" si="0"/>
        <v>19.272177867854957</v>
      </c>
      <c r="M36" s="188">
        <f t="shared" si="0"/>
        <v>22.964564562202707</v>
      </c>
      <c r="N36" s="188">
        <f t="shared" si="0"/>
        <v>35.334769194681968</v>
      </c>
      <c r="O36" s="188">
        <f t="shared" si="0"/>
        <v>39.325565530097023</v>
      </c>
      <c r="P36" s="188">
        <f t="shared" si="0"/>
        <v>42.737220240834425</v>
      </c>
      <c r="S36" s="48" t="s">
        <v>148</v>
      </c>
      <c r="T36" s="41" t="s">
        <v>244</v>
      </c>
      <c r="U36" s="48" t="s">
        <v>249</v>
      </c>
      <c r="V36" s="49" t="s">
        <v>250</v>
      </c>
      <c r="W36" s="49" t="s">
        <v>251</v>
      </c>
      <c r="X36" s="270" t="s">
        <v>252</v>
      </c>
      <c r="Y36" s="265">
        <f>Y53</f>
        <v>16.831789373264044</v>
      </c>
      <c r="Z36" s="265">
        <f t="shared" ref="Z36:AF36" si="1">Z53</f>
        <v>87.411021800386749</v>
      </c>
      <c r="AA36" s="265">
        <f t="shared" si="1"/>
        <v>160.37312015989568</v>
      </c>
      <c r="AB36" s="265">
        <f t="shared" si="1"/>
        <v>253.28133475593683</v>
      </c>
      <c r="AC36" s="265">
        <f t="shared" si="1"/>
        <v>351.2723681936863</v>
      </c>
      <c r="AD36" s="265">
        <f t="shared" si="1"/>
        <v>457.36698173997343</v>
      </c>
      <c r="AE36" s="265">
        <f t="shared" si="1"/>
        <v>581.0327110309496</v>
      </c>
      <c r="AF36" s="265">
        <f t="shared" si="1"/>
        <v>701.81059763908058</v>
      </c>
      <c r="AI36" s="41"/>
      <c r="AJ36" s="41"/>
      <c r="AK36" s="41"/>
      <c r="AL36" s="41"/>
      <c r="AM36" s="141">
        <f>(AI48/AK48)*Y36</f>
        <v>1.7263373716168249</v>
      </c>
      <c r="AN36" s="141">
        <f>(AJ48/AK48)*Y36</f>
        <v>3.4526747432336498</v>
      </c>
      <c r="AO36" s="141">
        <f>Y37</f>
        <v>16.831789373264044</v>
      </c>
      <c r="AP36" s="141">
        <f>Z37</f>
        <v>70.579232427122705</v>
      </c>
      <c r="AQ36" s="141">
        <f>AA37</f>
        <v>72.962098359508929</v>
      </c>
      <c r="AR36" s="141">
        <f>AB37</f>
        <v>92.908214596041148</v>
      </c>
    </row>
    <row r="37" spans="3:44">
      <c r="X37" s="41" t="s">
        <v>253</v>
      </c>
      <c r="Y37" s="41">
        <f>Y36</f>
        <v>16.831789373264044</v>
      </c>
      <c r="Z37" s="41">
        <f>Z36-Y36</f>
        <v>70.579232427122705</v>
      </c>
      <c r="AA37" s="41">
        <f t="shared" ref="AA37:AF37" si="2">AA36-Z36</f>
        <v>72.962098359508929</v>
      </c>
      <c r="AB37" s="41">
        <f t="shared" si="2"/>
        <v>92.908214596041148</v>
      </c>
      <c r="AC37" s="41">
        <f t="shared" si="2"/>
        <v>97.991033437749479</v>
      </c>
      <c r="AD37" s="41">
        <f t="shared" si="2"/>
        <v>106.09461354628712</v>
      </c>
      <c r="AE37" s="41">
        <f t="shared" si="2"/>
        <v>123.66572929097617</v>
      </c>
      <c r="AF37" s="41">
        <f t="shared" si="2"/>
        <v>120.77788660813098</v>
      </c>
    </row>
    <row r="38" spans="3:44">
      <c r="C38" s="2" t="s">
        <v>254</v>
      </c>
      <c r="S38" s="2" t="s">
        <v>255</v>
      </c>
      <c r="T38" s="2"/>
      <c r="U38" s="2"/>
      <c r="V38" s="2"/>
      <c r="W38" s="2"/>
      <c r="X38" s="2"/>
      <c r="AI38" s="2" t="s">
        <v>256</v>
      </c>
    </row>
    <row r="39" spans="3:44" ht="14.5">
      <c r="C39" s="45" t="s">
        <v>243</v>
      </c>
      <c r="J39" s="67"/>
      <c r="K39" s="157"/>
      <c r="M39" s="75"/>
      <c r="Q39" s="75"/>
      <c r="S39" s="45" t="s">
        <v>243</v>
      </c>
    </row>
    <row r="40" spans="3:44">
      <c r="C40" s="47" t="s">
        <v>137</v>
      </c>
      <c r="D40" s="47" t="s">
        <v>24</v>
      </c>
      <c r="E40" s="47" t="s">
        <v>18</v>
      </c>
      <c r="F40" s="47" t="s">
        <v>8</v>
      </c>
      <c r="G40" s="47" t="s">
        <v>234</v>
      </c>
      <c r="H40" s="47" t="s">
        <v>235</v>
      </c>
      <c r="I40" s="47">
        <v>2015</v>
      </c>
      <c r="J40" s="47">
        <v>2020</v>
      </c>
      <c r="K40" s="47">
        <v>2025</v>
      </c>
      <c r="L40" s="47">
        <v>2030</v>
      </c>
      <c r="M40" s="47">
        <v>2035</v>
      </c>
      <c r="N40" s="47">
        <v>2040</v>
      </c>
      <c r="O40" s="47">
        <v>2045</v>
      </c>
      <c r="P40" s="47">
        <v>2050</v>
      </c>
      <c r="Q40" s="75"/>
      <c r="S40" s="47" t="s">
        <v>137</v>
      </c>
      <c r="T40" s="47" t="s">
        <v>24</v>
      </c>
      <c r="U40" s="47" t="s">
        <v>18</v>
      </c>
      <c r="V40" s="47" t="s">
        <v>8</v>
      </c>
      <c r="W40" s="47" t="s">
        <v>234</v>
      </c>
      <c r="X40" s="47" t="s">
        <v>235</v>
      </c>
      <c r="Y40" s="47">
        <v>2015</v>
      </c>
      <c r="Z40" s="47">
        <v>2020</v>
      </c>
      <c r="AA40" s="47">
        <v>2025</v>
      </c>
      <c r="AB40" s="47">
        <v>2030</v>
      </c>
      <c r="AC40" s="47">
        <v>2035</v>
      </c>
      <c r="AD40" s="47">
        <v>2040</v>
      </c>
      <c r="AE40" s="47">
        <v>2045</v>
      </c>
      <c r="AF40" s="47">
        <v>2050</v>
      </c>
      <c r="AI40" s="47">
        <v>2005</v>
      </c>
      <c r="AJ40" s="47">
        <v>2010</v>
      </c>
      <c r="AK40" s="47">
        <v>2015</v>
      </c>
      <c r="AL40" s="47">
        <v>2020</v>
      </c>
      <c r="AM40" s="47">
        <v>2025</v>
      </c>
      <c r="AN40" s="47">
        <v>2030</v>
      </c>
      <c r="AO40" s="47">
        <v>2035</v>
      </c>
      <c r="AP40" s="47">
        <v>2040</v>
      </c>
      <c r="AQ40" s="47">
        <v>2045</v>
      </c>
      <c r="AR40" s="47">
        <v>2050</v>
      </c>
    </row>
    <row r="41" spans="3:44" ht="28">
      <c r="C41" s="41" t="s">
        <v>257</v>
      </c>
      <c r="D41" s="41" t="s">
        <v>244</v>
      </c>
      <c r="E41" s="48" t="s">
        <v>245</v>
      </c>
      <c r="F41" s="41" t="s">
        <v>246</v>
      </c>
      <c r="G41" s="49" t="s">
        <v>247</v>
      </c>
      <c r="H41" s="41" t="s">
        <v>248</v>
      </c>
      <c r="I41" s="142">
        <f t="shared" ref="I41:P41" si="3">(Y42+AK41)/5</f>
        <v>0.91291061007533814</v>
      </c>
      <c r="J41" s="142">
        <f t="shared" si="3"/>
        <v>11.189252978865797</v>
      </c>
      <c r="K41" s="142">
        <f t="shared" si="3"/>
        <v>10.158607395175171</v>
      </c>
      <c r="L41" s="142">
        <f t="shared" si="3"/>
        <v>40.708364656946756</v>
      </c>
      <c r="M41" s="142">
        <f t="shared" si="3"/>
        <v>49.987974010643924</v>
      </c>
      <c r="N41" s="142">
        <f t="shared" si="3"/>
        <v>65.699303160223195</v>
      </c>
      <c r="O41" s="142">
        <f t="shared" si="3"/>
        <v>70.048068092141847</v>
      </c>
      <c r="P41" s="142">
        <f t="shared" si="3"/>
        <v>101.17160620475178</v>
      </c>
      <c r="S41" s="48" t="s">
        <v>148</v>
      </c>
      <c r="T41" s="41" t="s">
        <v>244</v>
      </c>
      <c r="U41" s="48" t="s">
        <v>245</v>
      </c>
      <c r="V41" s="49" t="s">
        <v>250</v>
      </c>
      <c r="W41" s="49" t="s">
        <v>251</v>
      </c>
      <c r="X41" s="270" t="s">
        <v>252</v>
      </c>
      <c r="Y41" s="265">
        <f>Y66</f>
        <v>4.5645530503766905</v>
      </c>
      <c r="Z41" s="265">
        <f t="shared" ref="Z41:AF41" si="4">Z66</f>
        <v>60.510817944705671</v>
      </c>
      <c r="AA41" s="265">
        <f t="shared" si="4"/>
        <v>110.8356956333634</v>
      </c>
      <c r="AB41" s="265">
        <f t="shared" si="4"/>
        <v>313.44120034366091</v>
      </c>
      <c r="AC41" s="265">
        <f t="shared" si="4"/>
        <v>558.81651734650382</v>
      </c>
      <c r="AD41" s="265">
        <f t="shared" si="4"/>
        <v>831.36676825329084</v>
      </c>
      <c r="AE41" s="265">
        <f t="shared" si="4"/>
        <v>1131.2822310253423</v>
      </c>
      <c r="AF41" s="265">
        <f t="shared" si="4"/>
        <v>1434.5347573388037</v>
      </c>
      <c r="AI41" s="41"/>
      <c r="AJ41" s="41"/>
      <c r="AK41" s="41"/>
      <c r="AL41" s="41"/>
      <c r="AM41" s="141">
        <f>(AI48/AK48)*Y41</f>
        <v>0.46815928721812206</v>
      </c>
      <c r="AN41" s="141">
        <f>(AJ48/AK48)*Y41</f>
        <v>0.93631857443624411</v>
      </c>
      <c r="AO41" s="141">
        <f>Y42</f>
        <v>4.5645530503766905</v>
      </c>
      <c r="AP41" s="141">
        <f t="shared" ref="AP41:AR41" si="5">Z42</f>
        <v>55.946264894328984</v>
      </c>
      <c r="AQ41" s="141">
        <f t="shared" si="5"/>
        <v>50.324877688657729</v>
      </c>
      <c r="AR41" s="141">
        <f t="shared" si="5"/>
        <v>202.60550471029751</v>
      </c>
    </row>
    <row r="42" spans="3:44" ht="14.5">
      <c r="S42" s="5"/>
      <c r="T42" s="5"/>
      <c r="U42" s="5"/>
      <c r="V42" s="5"/>
      <c r="W42" s="5"/>
      <c r="X42" s="41" t="s">
        <v>253</v>
      </c>
      <c r="Y42" s="41">
        <f>Y41</f>
        <v>4.5645530503766905</v>
      </c>
      <c r="Z42" s="41">
        <f>Z41-Y41</f>
        <v>55.946264894328984</v>
      </c>
      <c r="AA42" s="41">
        <f t="shared" ref="AA42:AF42" si="6">AA41-Z41</f>
        <v>50.324877688657729</v>
      </c>
      <c r="AB42" s="41">
        <f t="shared" si="6"/>
        <v>202.60550471029751</v>
      </c>
      <c r="AC42" s="41">
        <f t="shared" si="6"/>
        <v>245.37531700284291</v>
      </c>
      <c r="AD42" s="41">
        <f t="shared" si="6"/>
        <v>272.55025090678703</v>
      </c>
      <c r="AE42" s="41">
        <f t="shared" si="6"/>
        <v>299.91546277205146</v>
      </c>
      <c r="AF42" s="41">
        <f t="shared" si="6"/>
        <v>303.25252631346143</v>
      </c>
    </row>
    <row r="43" spans="3:44" ht="14.5">
      <c r="S43" s="5"/>
      <c r="T43" s="5"/>
      <c r="U43" s="5"/>
      <c r="V43" s="5"/>
      <c r="W43" s="5"/>
      <c r="X43" s="5"/>
      <c r="Y43" s="5"/>
      <c r="Z43" s="5"/>
      <c r="AA43" s="5"/>
      <c r="AB43" s="5"/>
      <c r="AC43" s="5"/>
      <c r="AD43" s="5"/>
      <c r="AE43" s="5"/>
      <c r="AF43" s="5"/>
    </row>
    <row r="44" spans="3:44" ht="14.5">
      <c r="S44" s="5"/>
      <c r="T44" s="5"/>
      <c r="U44" s="5"/>
      <c r="V44" s="5"/>
      <c r="W44" s="5"/>
      <c r="X44" s="5"/>
      <c r="Y44" s="5"/>
      <c r="Z44" s="5"/>
      <c r="AA44" s="5"/>
      <c r="AB44" s="5"/>
      <c r="AC44" s="5"/>
      <c r="AD44" s="5"/>
      <c r="AE44" s="5"/>
      <c r="AF44" s="5"/>
    </row>
    <row r="45" spans="3:44" ht="14.5">
      <c r="C45" s="2"/>
      <c r="S45" s="101" t="s">
        <v>258</v>
      </c>
      <c r="T45" s="100"/>
      <c r="U45" s="100"/>
      <c r="V45" s="100"/>
      <c r="W45" s="100"/>
      <c r="X45" s="5"/>
      <c r="Y45" s="5"/>
      <c r="Z45" s="5"/>
      <c r="AA45" s="5"/>
      <c r="AB45" s="5"/>
      <c r="AC45" s="5"/>
      <c r="AD45" s="5"/>
      <c r="AE45" s="5"/>
      <c r="AF45" s="5"/>
      <c r="AI45" s="2" t="s">
        <v>259</v>
      </c>
    </row>
    <row r="46" spans="3:44" ht="14.5">
      <c r="C46" s="45"/>
      <c r="S46" s="266" t="s">
        <v>242</v>
      </c>
      <c r="T46" s="5"/>
      <c r="U46" s="5"/>
      <c r="V46" s="5"/>
      <c r="W46" s="5"/>
      <c r="X46" s="5"/>
      <c r="Y46" s="5"/>
      <c r="Z46" s="5"/>
      <c r="AA46" s="5"/>
      <c r="AB46" s="5"/>
      <c r="AC46" s="5"/>
      <c r="AD46" s="5"/>
      <c r="AE46" s="5"/>
      <c r="AF46" s="5"/>
      <c r="AI46" s="1" t="s">
        <v>260</v>
      </c>
    </row>
    <row r="47" spans="3:44">
      <c r="C47" s="2"/>
      <c r="D47" s="2"/>
      <c r="E47" s="2"/>
      <c r="F47" s="2"/>
      <c r="G47" s="2"/>
      <c r="H47" s="2"/>
      <c r="I47" s="2"/>
      <c r="J47" s="2"/>
      <c r="K47" s="2"/>
      <c r="L47" s="2"/>
      <c r="M47" s="2"/>
      <c r="N47" s="2"/>
      <c r="O47" s="2"/>
      <c r="P47" s="2"/>
      <c r="S47" s="2"/>
      <c r="AI47" s="47">
        <v>2005</v>
      </c>
      <c r="AJ47" s="47">
        <v>2010</v>
      </c>
      <c r="AK47" s="47">
        <v>2015</v>
      </c>
      <c r="AL47" s="47">
        <v>2020</v>
      </c>
      <c r="AM47" s="47">
        <v>2025</v>
      </c>
      <c r="AN47" s="47">
        <v>2030</v>
      </c>
    </row>
    <row r="48" spans="3:44">
      <c r="E48" s="52"/>
      <c r="S48" s="47" t="s">
        <v>137</v>
      </c>
      <c r="T48" s="47" t="s">
        <v>24</v>
      </c>
      <c r="U48" s="47" t="s">
        <v>18</v>
      </c>
      <c r="V48" s="47" t="s">
        <v>8</v>
      </c>
      <c r="W48" s="47" t="s">
        <v>234</v>
      </c>
      <c r="X48" s="47" t="s">
        <v>235</v>
      </c>
      <c r="Y48" s="47">
        <v>2015</v>
      </c>
      <c r="Z48" s="47">
        <v>2020</v>
      </c>
      <c r="AA48" s="47">
        <v>2025</v>
      </c>
      <c r="AB48" s="47">
        <v>2030</v>
      </c>
      <c r="AC48" s="47">
        <v>2035</v>
      </c>
      <c r="AD48" s="47">
        <v>2040</v>
      </c>
      <c r="AE48" s="47">
        <v>2045</v>
      </c>
      <c r="AF48" s="47">
        <v>2050</v>
      </c>
      <c r="AI48" s="41">
        <v>4</v>
      </c>
      <c r="AJ48" s="41">
        <v>8</v>
      </c>
      <c r="AK48" s="41">
        <v>39</v>
      </c>
      <c r="AL48" s="41">
        <v>92</v>
      </c>
      <c r="AM48" s="41">
        <v>274</v>
      </c>
      <c r="AN48" s="41">
        <v>549</v>
      </c>
    </row>
    <row r="49" spans="3:34" ht="70">
      <c r="S49" s="48" t="s">
        <v>148</v>
      </c>
      <c r="T49" s="41" t="s">
        <v>261</v>
      </c>
      <c r="U49" s="48" t="s">
        <v>249</v>
      </c>
      <c r="V49" s="49" t="s">
        <v>262</v>
      </c>
      <c r="W49" s="49" t="s">
        <v>251</v>
      </c>
      <c r="X49" s="270" t="s">
        <v>252</v>
      </c>
      <c r="Y49" s="218">
        <v>5.9</v>
      </c>
      <c r="Z49" s="218">
        <v>25.146711764705877</v>
      </c>
      <c r="AA49" s="218">
        <v>45.189976470588249</v>
      </c>
      <c r="AB49" s="218">
        <v>67.44424117647057</v>
      </c>
      <c r="AC49" s="218">
        <v>90.998505882352887</v>
      </c>
      <c r="AD49" s="218">
        <v>115.55277058823526</v>
      </c>
      <c r="AE49" s="218">
        <v>142.75734698900925</v>
      </c>
      <c r="AF49" s="218">
        <v>170.04432103559745</v>
      </c>
    </row>
    <row r="50" spans="3:34" ht="14.5">
      <c r="C50" s="45"/>
    </row>
    <row r="51" spans="3:34">
      <c r="C51" s="2"/>
      <c r="D51" s="2"/>
      <c r="E51" s="2"/>
      <c r="F51" s="2"/>
      <c r="G51" s="2"/>
      <c r="H51" s="2"/>
      <c r="I51" s="2"/>
      <c r="J51" s="2"/>
      <c r="K51" s="2"/>
      <c r="L51" s="2"/>
      <c r="M51" s="2"/>
      <c r="N51" s="2"/>
      <c r="O51" s="2"/>
      <c r="P51" s="2"/>
      <c r="S51" s="2" t="s">
        <v>263</v>
      </c>
    </row>
    <row r="52" spans="3:34">
      <c r="S52" s="47" t="s">
        <v>137</v>
      </c>
      <c r="T52" s="47" t="s">
        <v>24</v>
      </c>
      <c r="U52" s="47" t="s">
        <v>18</v>
      </c>
      <c r="V52" s="47" t="s">
        <v>8</v>
      </c>
      <c r="W52" s="47" t="s">
        <v>234</v>
      </c>
      <c r="X52" s="47" t="s">
        <v>235</v>
      </c>
      <c r="Y52" s="47">
        <v>2015</v>
      </c>
      <c r="Z52" s="47">
        <v>2020</v>
      </c>
      <c r="AA52" s="47">
        <v>2025</v>
      </c>
      <c r="AB52" s="47">
        <v>2030</v>
      </c>
      <c r="AC52" s="47">
        <v>2035</v>
      </c>
      <c r="AD52" s="47">
        <v>2040</v>
      </c>
      <c r="AE52" s="47">
        <v>2045</v>
      </c>
      <c r="AF52" s="47">
        <v>2050</v>
      </c>
    </row>
    <row r="53" spans="3:34" ht="70">
      <c r="S53" s="48" t="s">
        <v>148</v>
      </c>
      <c r="T53" s="41" t="s">
        <v>244</v>
      </c>
      <c r="U53" s="48" t="s">
        <v>249</v>
      </c>
      <c r="V53" s="49" t="s">
        <v>264</v>
      </c>
      <c r="W53" s="49" t="s">
        <v>251</v>
      </c>
      <c r="X53" s="270" t="s">
        <v>252</v>
      </c>
      <c r="Y53" s="218">
        <f t="shared" ref="Y53:AF53" si="7">Y77/Y78*Y49</f>
        <v>16.831789373264044</v>
      </c>
      <c r="Z53" s="218">
        <f t="shared" si="7"/>
        <v>87.411021800386749</v>
      </c>
      <c r="AA53" s="218">
        <f t="shared" si="7"/>
        <v>160.37312015989568</v>
      </c>
      <c r="AB53" s="218">
        <f t="shared" si="7"/>
        <v>253.28133475593683</v>
      </c>
      <c r="AC53" s="218">
        <f t="shared" si="7"/>
        <v>351.2723681936863</v>
      </c>
      <c r="AD53" s="218">
        <f t="shared" si="7"/>
        <v>457.36698173997343</v>
      </c>
      <c r="AE53" s="218">
        <f t="shared" si="7"/>
        <v>581.0327110309496</v>
      </c>
      <c r="AF53" s="218">
        <f t="shared" si="7"/>
        <v>701.81059763908058</v>
      </c>
    </row>
    <row r="55" spans="3:34">
      <c r="S55" s="2"/>
      <c r="AH55" s="187"/>
    </row>
    <row r="56" spans="3:34">
      <c r="S56" s="2"/>
      <c r="T56" s="2"/>
      <c r="U56" s="2"/>
      <c r="V56" s="2"/>
      <c r="W56" s="2"/>
      <c r="X56" s="2"/>
      <c r="Y56" s="2"/>
      <c r="Z56" s="2"/>
      <c r="AA56" s="2"/>
      <c r="AB56" s="2"/>
      <c r="AC56" s="2"/>
      <c r="AD56" s="2"/>
      <c r="AE56" s="2"/>
      <c r="AF56" s="2"/>
      <c r="AH56" s="75"/>
    </row>
    <row r="57" spans="3:34">
      <c r="S57" s="52"/>
      <c r="U57" s="52"/>
      <c r="V57" s="214"/>
      <c r="W57" s="214"/>
      <c r="X57" s="215"/>
      <c r="Y57" s="239"/>
      <c r="Z57" s="239"/>
      <c r="AA57" s="239"/>
      <c r="AB57" s="239"/>
      <c r="AC57" s="239"/>
      <c r="AD57" s="239"/>
      <c r="AE57" s="239"/>
      <c r="AF57" s="239"/>
      <c r="AH57" s="102"/>
    </row>
    <row r="58" spans="3:34" ht="14.5">
      <c r="S58" s="5"/>
      <c r="T58" s="5"/>
      <c r="U58" s="5"/>
      <c r="V58" s="5"/>
      <c r="W58" s="5"/>
      <c r="X58" s="5"/>
      <c r="Y58" s="5"/>
      <c r="Z58" s="5"/>
      <c r="AA58" s="5"/>
      <c r="AB58" s="5"/>
      <c r="AC58" s="5"/>
      <c r="AD58" s="5"/>
      <c r="AE58" s="5"/>
      <c r="AF58" s="5"/>
    </row>
    <row r="59" spans="3:34" ht="14.5">
      <c r="S59" s="266" t="s">
        <v>265</v>
      </c>
      <c r="T59" s="5"/>
      <c r="U59" s="5"/>
      <c r="V59" s="5"/>
      <c r="W59" s="5"/>
      <c r="X59" s="5"/>
      <c r="Y59" s="5"/>
      <c r="Z59" s="5"/>
      <c r="AA59" s="5"/>
      <c r="AB59" s="5"/>
      <c r="AC59" s="5"/>
      <c r="AD59" s="5"/>
      <c r="AE59" s="5"/>
      <c r="AF59" s="5"/>
      <c r="AH59" s="75"/>
    </row>
    <row r="60" spans="3:34">
      <c r="S60" s="2"/>
      <c r="AH60" s="75"/>
    </row>
    <row r="61" spans="3:34">
      <c r="S61" s="47" t="s">
        <v>137</v>
      </c>
      <c r="T61" s="47" t="s">
        <v>24</v>
      </c>
      <c r="U61" s="47" t="s">
        <v>18</v>
      </c>
      <c r="V61" s="47" t="s">
        <v>8</v>
      </c>
      <c r="W61" s="47" t="s">
        <v>234</v>
      </c>
      <c r="X61" s="47" t="s">
        <v>235</v>
      </c>
      <c r="Y61" s="47">
        <v>2015</v>
      </c>
      <c r="Z61" s="47">
        <v>2020</v>
      </c>
      <c r="AA61" s="47">
        <v>2025</v>
      </c>
      <c r="AB61" s="47">
        <v>2030</v>
      </c>
      <c r="AC61" s="47">
        <v>2035</v>
      </c>
      <c r="AD61" s="47">
        <v>2040</v>
      </c>
      <c r="AE61" s="47">
        <v>2045</v>
      </c>
      <c r="AF61" s="47">
        <v>2050</v>
      </c>
      <c r="AH61" s="102"/>
    </row>
    <row r="62" spans="3:34">
      <c r="S62" s="48" t="s">
        <v>148</v>
      </c>
      <c r="T62" s="41" t="s">
        <v>261</v>
      </c>
      <c r="U62" s="48" t="s">
        <v>266</v>
      </c>
      <c r="V62" s="49"/>
      <c r="W62" s="49" t="s">
        <v>251</v>
      </c>
      <c r="X62" s="270" t="s">
        <v>252</v>
      </c>
      <c r="Y62" s="218">
        <v>1.6</v>
      </c>
      <c r="Z62" s="164">
        <v>17.407966022602576</v>
      </c>
      <c r="AA62" s="164">
        <v>31.23130904218376</v>
      </c>
      <c r="AB62" s="164">
        <v>83.46372594329037</v>
      </c>
      <c r="AC62" s="164">
        <v>144.76364424107805</v>
      </c>
      <c r="AD62" s="164">
        <v>210.04300109550067</v>
      </c>
      <c r="AE62" s="164">
        <v>277.95139056875377</v>
      </c>
      <c r="AF62" s="164">
        <v>347.57880492863455</v>
      </c>
    </row>
    <row r="63" spans="3:34">
      <c r="AH63" s="102"/>
    </row>
    <row r="64" spans="3:34">
      <c r="S64" s="2" t="s">
        <v>267</v>
      </c>
    </row>
    <row r="65" spans="19:36">
      <c r="S65" s="47" t="s">
        <v>137</v>
      </c>
      <c r="T65" s="47" t="s">
        <v>24</v>
      </c>
      <c r="U65" s="47" t="s">
        <v>18</v>
      </c>
      <c r="V65" s="47" t="s">
        <v>8</v>
      </c>
      <c r="W65" s="47" t="s">
        <v>234</v>
      </c>
      <c r="X65" s="47" t="s">
        <v>235</v>
      </c>
      <c r="Y65" s="47">
        <v>2015</v>
      </c>
      <c r="Z65" s="47">
        <v>2020</v>
      </c>
      <c r="AA65" s="47">
        <v>2025</v>
      </c>
      <c r="AB65" s="47">
        <v>2030</v>
      </c>
      <c r="AC65" s="47">
        <v>2035</v>
      </c>
      <c r="AD65" s="47">
        <v>2040</v>
      </c>
      <c r="AE65" s="47">
        <v>2045</v>
      </c>
      <c r="AF65" s="47">
        <v>2050</v>
      </c>
    </row>
    <row r="66" spans="19:36">
      <c r="S66" s="48" t="s">
        <v>148</v>
      </c>
      <c r="T66" s="41" t="s">
        <v>244</v>
      </c>
      <c r="U66" s="48" t="s">
        <v>266</v>
      </c>
      <c r="V66" s="49"/>
      <c r="W66" s="49" t="s">
        <v>251</v>
      </c>
      <c r="X66" s="270" t="s">
        <v>252</v>
      </c>
      <c r="Y66" s="218">
        <f t="shared" ref="Y66:AF66" si="8">Y77/Y78*Y62</f>
        <v>4.5645530503766905</v>
      </c>
      <c r="Z66" s="218">
        <f t="shared" si="8"/>
        <v>60.510817944705671</v>
      </c>
      <c r="AA66" s="218">
        <f t="shared" si="8"/>
        <v>110.8356956333634</v>
      </c>
      <c r="AB66" s="218">
        <f t="shared" si="8"/>
        <v>313.44120034366091</v>
      </c>
      <c r="AC66" s="218">
        <f t="shared" si="8"/>
        <v>558.81651734650382</v>
      </c>
      <c r="AD66" s="218">
        <f t="shared" si="8"/>
        <v>831.36676825329084</v>
      </c>
      <c r="AE66" s="218">
        <f t="shared" si="8"/>
        <v>1131.2822310253423</v>
      </c>
      <c r="AF66" s="218">
        <f t="shared" si="8"/>
        <v>1434.5347573388037</v>
      </c>
    </row>
    <row r="68" spans="19:36">
      <c r="AJ68" s="75"/>
    </row>
    <row r="69" spans="19:36">
      <c r="S69" s="2"/>
      <c r="T69" s="2"/>
      <c r="U69" s="2"/>
      <c r="V69" s="2"/>
      <c r="W69" s="2"/>
      <c r="X69" s="2"/>
      <c r="Y69" s="2"/>
      <c r="Z69" s="2"/>
      <c r="AA69" s="2"/>
      <c r="AB69" s="2"/>
      <c r="AC69" s="2"/>
      <c r="AD69" s="2"/>
      <c r="AE69" s="2"/>
      <c r="AF69" s="2"/>
    </row>
    <row r="70" spans="19:36">
      <c r="S70" s="52"/>
      <c r="U70" s="52"/>
      <c r="V70" s="214"/>
      <c r="W70" s="214"/>
      <c r="X70" s="215"/>
      <c r="Y70" s="239"/>
      <c r="Z70" s="239"/>
      <c r="AA70" s="239"/>
      <c r="AB70" s="239"/>
      <c r="AC70" s="239"/>
      <c r="AD70" s="239"/>
      <c r="AE70" s="239"/>
      <c r="AF70" s="239"/>
    </row>
    <row r="71" spans="19:36" ht="14.5">
      <c r="S71" s="5"/>
      <c r="T71" s="5"/>
      <c r="U71" s="5"/>
      <c r="V71" s="5"/>
      <c r="W71"/>
      <c r="X71"/>
      <c r="Y71" s="5"/>
      <c r="Z71" s="5"/>
      <c r="AA71" s="5"/>
      <c r="AB71" s="5"/>
      <c r="AC71" s="5"/>
      <c r="AD71" s="5"/>
      <c r="AE71" s="5"/>
      <c r="AF71" s="5"/>
    </row>
    <row r="72" spans="19:36" ht="14.5">
      <c r="S72" s="5"/>
      <c r="T72" s="5"/>
      <c r="U72" s="5"/>
      <c r="V72" s="2"/>
      <c r="W72" s="5"/>
      <c r="X72" s="5"/>
      <c r="Y72" s="5"/>
      <c r="Z72" s="5"/>
      <c r="AA72" s="5"/>
      <c r="AB72" s="5"/>
      <c r="AC72" s="5"/>
      <c r="AD72" s="5"/>
      <c r="AE72" s="5"/>
      <c r="AF72" s="5"/>
    </row>
    <row r="73" spans="19:36" ht="14.5">
      <c r="S73" s="5"/>
      <c r="T73" s="5"/>
      <c r="U73" s="5"/>
      <c r="V73" s="5"/>
      <c r="W73" s="5"/>
      <c r="X73" s="5"/>
      <c r="Y73" s="5"/>
      <c r="Z73" s="5"/>
      <c r="AA73" s="5"/>
      <c r="AB73" s="5"/>
      <c r="AC73" s="5"/>
      <c r="AD73" s="5"/>
      <c r="AE73" s="5"/>
      <c r="AF73" s="5"/>
    </row>
    <row r="74" spans="19:36" ht="14.5">
      <c r="S74" s="5"/>
      <c r="T74" s="5"/>
      <c r="U74" s="5"/>
      <c r="V74" s="5"/>
      <c r="W74" s="5"/>
      <c r="X74" s="5"/>
      <c r="Y74" s="5"/>
      <c r="Z74" s="5"/>
      <c r="AA74" s="5"/>
      <c r="AB74" s="5"/>
      <c r="AC74" s="5"/>
      <c r="AD74" s="5"/>
      <c r="AE74" s="5"/>
      <c r="AF74" s="5"/>
    </row>
    <row r="75" spans="19:36" ht="15" thickBot="1">
      <c r="S75" s="5"/>
      <c r="T75" s="5"/>
      <c r="U75" s="5"/>
      <c r="V75" s="5"/>
      <c r="W75" s="5"/>
      <c r="X75" s="5"/>
      <c r="Y75" s="5"/>
      <c r="Z75" s="5"/>
      <c r="AA75" s="5"/>
      <c r="AB75" s="5"/>
      <c r="AC75" s="5"/>
      <c r="AD75" s="5"/>
      <c r="AE75" s="5"/>
      <c r="AF75" s="5"/>
    </row>
    <row r="76" spans="19:36">
      <c r="S76" s="274" t="s">
        <v>137</v>
      </c>
      <c r="T76" s="275" t="s">
        <v>24</v>
      </c>
      <c r="U76" s="275" t="s">
        <v>18</v>
      </c>
      <c r="V76" s="275" t="s">
        <v>8</v>
      </c>
      <c r="W76" s="275" t="s">
        <v>234</v>
      </c>
      <c r="X76" s="275" t="s">
        <v>235</v>
      </c>
      <c r="Y76" s="275">
        <v>2015</v>
      </c>
      <c r="Z76" s="275">
        <v>2020</v>
      </c>
      <c r="AA76" s="275">
        <v>2025</v>
      </c>
      <c r="AB76" s="275">
        <v>2030</v>
      </c>
      <c r="AC76" s="275">
        <v>2035</v>
      </c>
      <c r="AD76" s="275">
        <v>2040</v>
      </c>
      <c r="AE76" s="275">
        <v>2045</v>
      </c>
      <c r="AF76" s="275">
        <v>2050</v>
      </c>
      <c r="AG76" s="276"/>
    </row>
    <row r="77" spans="19:36">
      <c r="S77" s="277" t="s">
        <v>148</v>
      </c>
      <c r="T77" s="106" t="s">
        <v>244</v>
      </c>
      <c r="U77" s="105" t="s">
        <v>266</v>
      </c>
      <c r="V77" s="107" t="s">
        <v>268</v>
      </c>
      <c r="W77" s="107" t="s">
        <v>269</v>
      </c>
      <c r="X77" s="272">
        <f>AJ48</f>
        <v>8</v>
      </c>
      <c r="Y77" s="273">
        <v>25</v>
      </c>
      <c r="Z77" s="273">
        <f>Y77+(AA77-Y77)*6/11</f>
        <v>132.33551247151945</v>
      </c>
      <c r="AA77" s="273">
        <v>221.78177286445234</v>
      </c>
      <c r="AB77" s="273">
        <v>472.94020459164329</v>
      </c>
      <c r="AC77" s="273">
        <v>760.31550167874548</v>
      </c>
      <c r="AD77" s="273">
        <v>1051.8477542134247</v>
      </c>
      <c r="AE77" s="273">
        <v>1362.3921078008293</v>
      </c>
      <c r="AF77" s="273">
        <v>1693.2494071042897</v>
      </c>
      <c r="AG77" s="278"/>
    </row>
    <row r="78" spans="19:36">
      <c r="S78" s="277" t="s">
        <v>148</v>
      </c>
      <c r="T78" s="106" t="s">
        <v>261</v>
      </c>
      <c r="U78" s="105" t="s">
        <v>266</v>
      </c>
      <c r="V78" s="107" t="s">
        <v>268</v>
      </c>
      <c r="W78" s="107" t="s">
        <v>269</v>
      </c>
      <c r="X78" s="272">
        <f>AJ49</f>
        <v>0</v>
      </c>
      <c r="Y78" s="273">
        <v>8.7631800000000002</v>
      </c>
      <c r="Z78" s="273">
        <f>Y78+(AA78-Y78)*6/11</f>
        <v>38.070748056868219</v>
      </c>
      <c r="AA78" s="273">
        <v>62.493721437591738</v>
      </c>
      <c r="AB78" s="273">
        <v>125.93542769846947</v>
      </c>
      <c r="AC78" s="273">
        <v>196.96275857885988</v>
      </c>
      <c r="AD78" s="273">
        <v>265.74704141077598</v>
      </c>
      <c r="AE78" s="273">
        <v>334.73413660879203</v>
      </c>
      <c r="AF78" s="273">
        <v>410.26374743210852</v>
      </c>
      <c r="AG78" s="278"/>
    </row>
    <row r="79" spans="19:36" ht="14.5" thickBot="1">
      <c r="S79" s="279"/>
      <c r="T79" s="280"/>
      <c r="U79" s="280"/>
      <c r="V79" s="280"/>
      <c r="W79" s="280"/>
      <c r="X79" s="280"/>
      <c r="Y79" s="280">
        <v>4</v>
      </c>
      <c r="Z79" s="281">
        <f>(Z77-Y77)/5</f>
        <v>21.467102494303891</v>
      </c>
      <c r="AA79" s="281">
        <f t="shared" ref="AA79:AF79" si="9">(AA77-Z77)/5</f>
        <v>17.889252078586576</v>
      </c>
      <c r="AB79" s="281">
        <f t="shared" si="9"/>
        <v>50.231686345438192</v>
      </c>
      <c r="AC79" s="281">
        <f t="shared" si="9"/>
        <v>57.475059417420439</v>
      </c>
      <c r="AD79" s="281">
        <f t="shared" si="9"/>
        <v>58.306450506935832</v>
      </c>
      <c r="AE79" s="281">
        <f t="shared" si="9"/>
        <v>62.108870717480933</v>
      </c>
      <c r="AF79" s="281">
        <f t="shared" si="9"/>
        <v>66.171459860692082</v>
      </c>
      <c r="AG79" s="282"/>
    </row>
  </sheetData>
  <conditionalFormatting sqref="I34:M34">
    <cfRule type="expression" dxfId="240" priority="9">
      <formula>_xlfn.ISFORMULA(I34)</formula>
    </cfRule>
  </conditionalFormatting>
  <conditionalFormatting sqref="I39:M39">
    <cfRule type="expression" dxfId="239" priority="1">
      <formula>_xlfn.ISFORMULA(I39)</formula>
    </cfRule>
  </conditionalFormatting>
  <pageMargins left="0.7" right="0.7" top="0.75" bottom="0.75" header="0.3" footer="0.3"/>
  <pageSetup paperSize="9" orientation="portrait" horizontalDpi="4294967294" verticalDpi="4294967294"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77AC8-09D9-432B-B672-54F921AE860C}">
  <sheetPr>
    <tabColor theme="9" tint="0.39997558519241921"/>
  </sheetPr>
  <dimension ref="B1:U74"/>
  <sheetViews>
    <sheetView workbookViewId="0"/>
  </sheetViews>
  <sheetFormatPr defaultColWidth="8.81640625" defaultRowHeight="14"/>
  <cols>
    <col min="1" max="1" width="11.7265625" style="1" customWidth="1"/>
    <col min="2" max="2" width="21.81640625" style="1" customWidth="1"/>
    <col min="3" max="3" width="32.453125" style="1" customWidth="1"/>
    <col min="4" max="6" width="19.453125" style="1" customWidth="1"/>
    <col min="7" max="7" width="37.453125" style="1" customWidth="1"/>
    <col min="8" max="8" width="25.7265625" style="1" customWidth="1"/>
    <col min="9" max="9" width="20.81640625" style="1" customWidth="1"/>
    <col min="10" max="10" width="18.7265625" style="1" customWidth="1"/>
    <col min="11" max="11" width="20" style="1" customWidth="1"/>
    <col min="12" max="12" width="19.7265625" style="1" customWidth="1"/>
    <col min="13" max="13" width="16.453125" style="1" customWidth="1"/>
    <col min="14" max="14" width="16.26953125" style="1" customWidth="1"/>
    <col min="15" max="15" width="15.7265625" style="1" customWidth="1"/>
    <col min="16" max="16" width="14.81640625" style="1" customWidth="1"/>
    <col min="17" max="17" width="10.7265625" style="1" customWidth="1"/>
    <col min="18" max="19" width="8.81640625" style="1"/>
    <col min="20" max="20" width="11.1796875" style="1" bestFit="1" customWidth="1"/>
    <col min="21" max="16384" width="8.81640625" style="1"/>
  </cols>
  <sheetData>
    <row r="1" spans="2:20" s="3" customFormat="1" ht="49.5" customHeight="1">
      <c r="B1" s="304" t="s">
        <v>270</v>
      </c>
      <c r="C1" s="304"/>
      <c r="D1" s="304"/>
      <c r="E1" s="304"/>
      <c r="F1" s="304"/>
      <c r="G1" s="304"/>
      <c r="H1" s="304"/>
      <c r="I1" s="304"/>
      <c r="J1" s="304"/>
      <c r="K1" s="304"/>
      <c r="L1" s="304"/>
      <c r="M1" s="304"/>
      <c r="N1" s="304"/>
      <c r="O1" s="304"/>
      <c r="P1" s="304"/>
      <c r="Q1" s="304"/>
      <c r="R1" s="304"/>
      <c r="S1" s="304"/>
      <c r="T1" s="304"/>
    </row>
    <row r="11" spans="2:20">
      <c r="C11" s="2"/>
      <c r="D11" s="2"/>
      <c r="E11" s="2"/>
      <c r="F11" s="2"/>
      <c r="G11" s="2"/>
      <c r="H11" s="2"/>
    </row>
    <row r="12" spans="2:20" ht="14.5">
      <c r="C12" s="45" t="s">
        <v>243</v>
      </c>
      <c r="J12" s="1" t="s">
        <v>271</v>
      </c>
      <c r="K12" s="157">
        <f>J14-(J14-I14)*3/5</f>
        <v>3117.1164620562163</v>
      </c>
      <c r="T12" s="1" t="s">
        <v>272</v>
      </c>
    </row>
    <row r="13" spans="2:20">
      <c r="B13" s="47" t="s">
        <v>137</v>
      </c>
      <c r="C13" s="50" t="s">
        <v>273</v>
      </c>
      <c r="D13" s="50" t="s">
        <v>24</v>
      </c>
      <c r="E13" s="50" t="s">
        <v>18</v>
      </c>
      <c r="F13" s="50" t="s">
        <v>8</v>
      </c>
      <c r="G13" s="50" t="s">
        <v>234</v>
      </c>
      <c r="H13" s="50" t="s">
        <v>235</v>
      </c>
      <c r="I13" s="50">
        <v>2015</v>
      </c>
      <c r="J13" s="50">
        <v>2020</v>
      </c>
      <c r="K13" s="50">
        <v>2025</v>
      </c>
      <c r="L13" s="50">
        <v>2030</v>
      </c>
      <c r="M13" s="50">
        <v>2035</v>
      </c>
      <c r="N13" s="50">
        <v>2040</v>
      </c>
      <c r="O13" s="50">
        <v>2045</v>
      </c>
      <c r="P13" s="50">
        <v>2050</v>
      </c>
      <c r="S13" s="1" t="s">
        <v>274</v>
      </c>
      <c r="T13" s="159">
        <f>K12*4.331</f>
        <v>13500.231397165475</v>
      </c>
    </row>
    <row r="14" spans="2:20" ht="15" customHeight="1">
      <c r="B14" s="58" t="s">
        <v>148</v>
      </c>
      <c r="C14" s="105" t="s">
        <v>275</v>
      </c>
      <c r="D14" s="41" t="s">
        <v>276</v>
      </c>
      <c r="E14" s="49" t="s">
        <v>277</v>
      </c>
      <c r="F14" s="49" t="s">
        <v>278</v>
      </c>
      <c r="G14" s="49"/>
      <c r="H14" s="48"/>
      <c r="I14" s="143">
        <v>3141.0273972602736</v>
      </c>
      <c r="J14" s="172">
        <f t="shared" ref="J14:P15" si="0">$I14*J$29</f>
        <v>3081.2500592501301</v>
      </c>
      <c r="K14" s="172">
        <f t="shared" si="0"/>
        <v>3021.4727212399866</v>
      </c>
      <c r="L14" s="172">
        <f t="shared" si="0"/>
        <v>2901.9180452196988</v>
      </c>
      <c r="M14" s="172">
        <f t="shared" si="0"/>
        <v>2771.4947622884765</v>
      </c>
      <c r="N14" s="172">
        <f t="shared" si="0"/>
        <v>2706.2831208228654</v>
      </c>
      <c r="O14" s="172">
        <f t="shared" si="0"/>
        <v>2641.0714793572542</v>
      </c>
      <c r="P14" s="172">
        <f t="shared" si="0"/>
        <v>2510.648196426032</v>
      </c>
      <c r="S14" s="1" t="s">
        <v>279</v>
      </c>
      <c r="T14" s="186">
        <f>J15*Deployment!K34</f>
        <v>0</v>
      </c>
    </row>
    <row r="15" spans="2:20" ht="15" customHeight="1">
      <c r="C15" s="105" t="s">
        <v>280</v>
      </c>
      <c r="D15" s="41" t="s">
        <v>276</v>
      </c>
      <c r="E15" s="49" t="s">
        <v>277</v>
      </c>
      <c r="F15" s="49" t="s">
        <v>281</v>
      </c>
      <c r="G15" s="49"/>
      <c r="H15" s="48"/>
      <c r="I15" s="196">
        <v>100</v>
      </c>
      <c r="J15" s="172">
        <f t="shared" si="0"/>
        <v>98.096885813148788</v>
      </c>
      <c r="K15" s="172">
        <f t="shared" si="0"/>
        <v>96.19377162629759</v>
      </c>
      <c r="L15" s="172">
        <f t="shared" si="0"/>
        <v>92.387543252595151</v>
      </c>
      <c r="M15" s="172">
        <f t="shared" si="0"/>
        <v>88.235294117647058</v>
      </c>
      <c r="N15" s="172">
        <f t="shared" si="0"/>
        <v>86.159169550173004</v>
      </c>
      <c r="O15" s="172">
        <f t="shared" si="0"/>
        <v>84.083044982698965</v>
      </c>
      <c r="P15" s="172">
        <f t="shared" si="0"/>
        <v>79.930795847750872</v>
      </c>
    </row>
    <row r="16" spans="2:20">
      <c r="C16" s="52"/>
      <c r="D16" s="52"/>
      <c r="E16" s="52"/>
      <c r="F16" s="52"/>
      <c r="G16" s="52"/>
      <c r="H16" s="52"/>
      <c r="I16" s="52"/>
      <c r="J16" s="54"/>
      <c r="K16" s="55"/>
      <c r="L16" s="55"/>
      <c r="M16" s="55"/>
      <c r="N16" s="55"/>
      <c r="O16" s="55"/>
      <c r="P16" s="55"/>
    </row>
    <row r="17" spans="2:21" ht="14.5">
      <c r="C17" s="51" t="s">
        <v>282</v>
      </c>
      <c r="D17" s="52"/>
      <c r="E17" s="52"/>
      <c r="F17" s="52"/>
      <c r="G17" s="52"/>
      <c r="H17" s="52"/>
      <c r="I17" s="52"/>
      <c r="J17" s="52"/>
      <c r="K17" s="52"/>
      <c r="L17" s="52"/>
      <c r="M17" s="52"/>
      <c r="N17" s="52"/>
      <c r="O17" s="52"/>
      <c r="P17" s="52"/>
    </row>
    <row r="18" spans="2:21">
      <c r="B18" s="47" t="s">
        <v>137</v>
      </c>
      <c r="C18" s="50" t="s">
        <v>283</v>
      </c>
      <c r="D18" s="50" t="s">
        <v>24</v>
      </c>
      <c r="E18" s="50" t="s">
        <v>18</v>
      </c>
      <c r="F18" s="50" t="s">
        <v>284</v>
      </c>
      <c r="G18" s="50" t="s">
        <v>234</v>
      </c>
      <c r="H18" s="50" t="s">
        <v>235</v>
      </c>
      <c r="I18" s="50">
        <v>2015</v>
      </c>
      <c r="J18" s="50">
        <v>2020</v>
      </c>
      <c r="K18" s="50">
        <v>2025</v>
      </c>
      <c r="L18" s="50">
        <v>2030</v>
      </c>
      <c r="M18" s="50">
        <v>2035</v>
      </c>
      <c r="N18" s="50">
        <v>2040</v>
      </c>
      <c r="O18" s="50">
        <v>2045</v>
      </c>
      <c r="P18" s="50">
        <v>2050</v>
      </c>
    </row>
    <row r="19" spans="2:21">
      <c r="B19" s="58" t="s">
        <v>148</v>
      </c>
      <c r="C19" s="48" t="s">
        <v>285</v>
      </c>
      <c r="D19" s="106" t="s">
        <v>286</v>
      </c>
      <c r="E19" s="49" t="s">
        <v>277</v>
      </c>
      <c r="F19" s="78">
        <v>0.34146341463414637</v>
      </c>
      <c r="G19" s="107"/>
      <c r="H19" s="105"/>
      <c r="I19" s="108">
        <f>$F19*I$14</f>
        <v>1072.5459405278984</v>
      </c>
      <c r="J19" s="108">
        <f t="shared" ref="J19:P19" si="1">$F19*J$14</f>
        <v>1052.1341665732152</v>
      </c>
      <c r="K19" s="108">
        <f t="shared" si="1"/>
        <v>1031.722392618532</v>
      </c>
      <c r="L19" s="108">
        <f t="shared" si="1"/>
        <v>990.89884470916547</v>
      </c>
      <c r="M19" s="108">
        <f t="shared" si="1"/>
        <v>946.36406517167495</v>
      </c>
      <c r="N19" s="108">
        <f t="shared" si="1"/>
        <v>924.09667540292969</v>
      </c>
      <c r="O19" s="108">
        <f t="shared" si="1"/>
        <v>901.82928563418443</v>
      </c>
      <c r="P19" s="108">
        <f t="shared" si="1"/>
        <v>857.29450609669391</v>
      </c>
      <c r="T19" s="1" t="s">
        <v>287</v>
      </c>
      <c r="U19" s="1" t="s">
        <v>288</v>
      </c>
    </row>
    <row r="20" spans="2:21">
      <c r="C20" s="41" t="s">
        <v>289</v>
      </c>
      <c r="D20" s="106" t="s">
        <v>286</v>
      </c>
      <c r="E20" s="49" t="s">
        <v>277</v>
      </c>
      <c r="F20" s="78">
        <v>0.23170731707317074</v>
      </c>
      <c r="G20" s="107"/>
      <c r="H20" s="105"/>
      <c r="I20" s="108">
        <f t="shared" ref="I20:P22" si="2">$F20*I$14</f>
        <v>727.79903107250243</v>
      </c>
      <c r="J20" s="108">
        <f t="shared" si="2"/>
        <v>713.94818446039608</v>
      </c>
      <c r="K20" s="108">
        <f t="shared" si="2"/>
        <v>700.09733784828961</v>
      </c>
      <c r="L20" s="108">
        <f t="shared" si="2"/>
        <v>672.39564462407657</v>
      </c>
      <c r="M20" s="108">
        <f t="shared" si="2"/>
        <v>642.17561565220797</v>
      </c>
      <c r="N20" s="108">
        <f t="shared" si="2"/>
        <v>627.06560116627372</v>
      </c>
      <c r="O20" s="108">
        <f t="shared" si="2"/>
        <v>611.95558668033948</v>
      </c>
      <c r="P20" s="108">
        <f t="shared" si="2"/>
        <v>581.73555770847088</v>
      </c>
      <c r="T20" s="1" t="s">
        <v>290</v>
      </c>
      <c r="U20" s="1" t="s">
        <v>291</v>
      </c>
    </row>
    <row r="21" spans="2:21">
      <c r="C21" s="41" t="s">
        <v>292</v>
      </c>
      <c r="D21" s="106" t="s">
        <v>286</v>
      </c>
      <c r="E21" s="49" t="s">
        <v>277</v>
      </c>
      <c r="F21" s="78">
        <v>0.15853658536585366</v>
      </c>
      <c r="G21" s="107"/>
      <c r="H21" s="105"/>
      <c r="I21" s="108">
        <f t="shared" si="2"/>
        <v>497.96775810223852</v>
      </c>
      <c r="J21" s="108">
        <f t="shared" si="2"/>
        <v>488.49086305184989</v>
      </c>
      <c r="K21" s="108">
        <f t="shared" si="2"/>
        <v>479.01396800146131</v>
      </c>
      <c r="L21" s="108">
        <f t="shared" si="2"/>
        <v>460.06017790068398</v>
      </c>
      <c r="M21" s="108">
        <f t="shared" si="2"/>
        <v>439.38331597256337</v>
      </c>
      <c r="N21" s="108">
        <f t="shared" si="2"/>
        <v>429.04488500850306</v>
      </c>
      <c r="O21" s="108">
        <f t="shared" si="2"/>
        <v>418.70645404444275</v>
      </c>
      <c r="P21" s="108">
        <f t="shared" si="2"/>
        <v>398.02959211632214</v>
      </c>
      <c r="T21" s="1" t="s">
        <v>293</v>
      </c>
      <c r="U21" s="1" t="s">
        <v>294</v>
      </c>
    </row>
    <row r="22" spans="2:21">
      <c r="C22" s="41" t="s">
        <v>295</v>
      </c>
      <c r="D22" s="106" t="s">
        <v>286</v>
      </c>
      <c r="E22" s="49" t="s">
        <v>277</v>
      </c>
      <c r="F22" s="78">
        <v>0.26829268292682928</v>
      </c>
      <c r="G22" s="107" t="s">
        <v>296</v>
      </c>
      <c r="H22" s="105"/>
      <c r="I22" s="108">
        <f t="shared" si="2"/>
        <v>842.71466755763447</v>
      </c>
      <c r="J22" s="108">
        <f t="shared" si="2"/>
        <v>826.67684516466909</v>
      </c>
      <c r="K22" s="108">
        <f t="shared" si="2"/>
        <v>810.63902277170382</v>
      </c>
      <c r="L22" s="108">
        <f t="shared" si="2"/>
        <v>778.56337798577295</v>
      </c>
      <c r="M22" s="108">
        <f t="shared" si="2"/>
        <v>743.57176549203029</v>
      </c>
      <c r="N22" s="108">
        <f t="shared" si="2"/>
        <v>726.07595924515908</v>
      </c>
      <c r="O22" s="108">
        <f t="shared" si="2"/>
        <v>708.58015299828776</v>
      </c>
      <c r="P22" s="108">
        <f t="shared" si="2"/>
        <v>673.58854050454522</v>
      </c>
    </row>
    <row r="23" spans="2:21">
      <c r="C23" s="105" t="s">
        <v>280</v>
      </c>
      <c r="D23" s="106" t="s">
        <v>286</v>
      </c>
      <c r="E23" s="49" t="s">
        <v>277</v>
      </c>
      <c r="F23" s="78">
        <v>0.18</v>
      </c>
      <c r="G23" s="107" t="s">
        <v>297</v>
      </c>
      <c r="H23" s="105"/>
      <c r="I23" s="108">
        <f>I15</f>
        <v>100</v>
      </c>
      <c r="J23" s="108">
        <f t="shared" ref="J23:P23" si="3">J15</f>
        <v>98.096885813148788</v>
      </c>
      <c r="K23" s="108">
        <f t="shared" si="3"/>
        <v>96.19377162629759</v>
      </c>
      <c r="L23" s="108">
        <f t="shared" si="3"/>
        <v>92.387543252595151</v>
      </c>
      <c r="M23" s="108">
        <f t="shared" si="3"/>
        <v>88.235294117647058</v>
      </c>
      <c r="N23" s="108">
        <f t="shared" si="3"/>
        <v>86.159169550173004</v>
      </c>
      <c r="O23" s="108">
        <f t="shared" si="3"/>
        <v>84.083044982698965</v>
      </c>
      <c r="P23" s="108">
        <f t="shared" si="3"/>
        <v>79.930795847750872</v>
      </c>
    </row>
    <row r="24" spans="2:21">
      <c r="C24" s="41"/>
      <c r="D24" s="48"/>
      <c r="E24" s="49"/>
      <c r="F24" s="77"/>
      <c r="G24" s="41"/>
      <c r="H24" s="41"/>
      <c r="I24" s="76">
        <f t="shared" ref="I24:I25" si="4">F24*I$14</f>
        <v>0</v>
      </c>
      <c r="J24" s="76">
        <f t="shared" ref="J24:P25" si="5">$F24*J$14</f>
        <v>0</v>
      </c>
      <c r="K24" s="76">
        <f t="shared" si="5"/>
        <v>0</v>
      </c>
      <c r="L24" s="76">
        <f t="shared" si="5"/>
        <v>0</v>
      </c>
      <c r="M24" s="76">
        <f t="shared" si="5"/>
        <v>0</v>
      </c>
      <c r="N24" s="76">
        <f t="shared" si="5"/>
        <v>0</v>
      </c>
      <c r="O24" s="76">
        <f t="shared" si="5"/>
        <v>0</v>
      </c>
      <c r="P24" s="76">
        <f t="shared" si="5"/>
        <v>0</v>
      </c>
    </row>
    <row r="25" spans="2:21">
      <c r="C25" s="41"/>
      <c r="D25" s="41"/>
      <c r="E25" s="49"/>
      <c r="F25" s="78"/>
      <c r="G25" s="41"/>
      <c r="H25" s="41"/>
      <c r="I25" s="76">
        <f t="shared" si="4"/>
        <v>0</v>
      </c>
      <c r="J25" s="76">
        <f t="shared" si="5"/>
        <v>0</v>
      </c>
      <c r="K25" s="76">
        <f t="shared" si="5"/>
        <v>0</v>
      </c>
      <c r="L25" s="76">
        <f t="shared" si="5"/>
        <v>0</v>
      </c>
      <c r="M25" s="76">
        <f t="shared" si="5"/>
        <v>0</v>
      </c>
      <c r="N25" s="76">
        <f t="shared" si="5"/>
        <v>0</v>
      </c>
      <c r="O25" s="76">
        <f t="shared" si="5"/>
        <v>0</v>
      </c>
      <c r="P25" s="76">
        <f t="shared" si="5"/>
        <v>0</v>
      </c>
    </row>
    <row r="27" spans="2:21" ht="14.5">
      <c r="C27" s="81" t="s">
        <v>298</v>
      </c>
    </row>
    <row r="28" spans="2:21">
      <c r="C28" s="41"/>
      <c r="D28" s="50" t="s">
        <v>24</v>
      </c>
      <c r="E28" s="50" t="s">
        <v>18</v>
      </c>
      <c r="F28" s="50" t="s">
        <v>8</v>
      </c>
      <c r="G28" s="50" t="s">
        <v>234</v>
      </c>
      <c r="H28" s="50" t="s">
        <v>235</v>
      </c>
      <c r="I28" s="50">
        <v>2015</v>
      </c>
      <c r="J28" s="50">
        <v>2020</v>
      </c>
      <c r="K28" s="50">
        <v>2025</v>
      </c>
      <c r="L28" s="50">
        <v>2030</v>
      </c>
      <c r="M28" s="50">
        <v>2035</v>
      </c>
      <c r="N28" s="50">
        <v>2040</v>
      </c>
      <c r="O28" s="50">
        <v>2045</v>
      </c>
      <c r="P28" s="50">
        <v>2050</v>
      </c>
    </row>
    <row r="29" spans="2:21">
      <c r="C29" s="41" t="s">
        <v>275</v>
      </c>
      <c r="D29" s="41" t="s">
        <v>299</v>
      </c>
      <c r="E29" s="41" t="s">
        <v>300</v>
      </c>
      <c r="F29" s="41" t="s">
        <v>301</v>
      </c>
      <c r="G29" s="41"/>
      <c r="H29" s="41"/>
      <c r="I29" s="41">
        <v>1</v>
      </c>
      <c r="J29" s="59">
        <f>J32/$I$32</f>
        <v>0.98096885813148793</v>
      </c>
      <c r="K29" s="59">
        <f t="shared" ref="K29:P29" si="6">K32/$I$32</f>
        <v>0.96193771626297586</v>
      </c>
      <c r="L29" s="59">
        <f t="shared" si="6"/>
        <v>0.9238754325259515</v>
      </c>
      <c r="M29" s="59">
        <f t="shared" si="6"/>
        <v>0.88235294117647056</v>
      </c>
      <c r="N29" s="59">
        <f t="shared" si="6"/>
        <v>0.86159169550173009</v>
      </c>
      <c r="O29" s="59">
        <f t="shared" si="6"/>
        <v>0.84083044982698962</v>
      </c>
      <c r="P29" s="59">
        <f t="shared" si="6"/>
        <v>0.79930795847750868</v>
      </c>
    </row>
    <row r="31" spans="2:21">
      <c r="H31" s="47">
        <v>2010</v>
      </c>
      <c r="I31" s="47">
        <v>2015</v>
      </c>
      <c r="J31" s="47">
        <v>2020</v>
      </c>
      <c r="K31" s="47">
        <v>2025</v>
      </c>
      <c r="L31" s="47">
        <v>2030</v>
      </c>
      <c r="M31" s="47">
        <v>2035</v>
      </c>
      <c r="N31" s="47">
        <v>2040</v>
      </c>
      <c r="O31" s="47">
        <v>2045</v>
      </c>
      <c r="P31" s="47">
        <v>2050</v>
      </c>
    </row>
    <row r="32" spans="2:21">
      <c r="H32" s="41">
        <v>1</v>
      </c>
      <c r="I32" s="59">
        <f>(2*H32+L32)/3</f>
        <v>0.96333333333333337</v>
      </c>
      <c r="J32" s="78">
        <f>AVERAGE(H32,L32)</f>
        <v>0.94500000000000006</v>
      </c>
      <c r="K32" s="59">
        <f>(H32+2*L32)/3</f>
        <v>0.92666666666666675</v>
      </c>
      <c r="L32" s="78">
        <v>0.89</v>
      </c>
      <c r="M32" s="59">
        <f>(2*L32+P32)/3</f>
        <v>0.85</v>
      </c>
      <c r="N32" s="78">
        <f>AVERAGE(L32,P32)</f>
        <v>0.83000000000000007</v>
      </c>
      <c r="O32" s="59">
        <f>(L32+2*P32)/3</f>
        <v>0.81</v>
      </c>
      <c r="P32" s="78">
        <v>0.77</v>
      </c>
    </row>
    <row r="33" spans="3:16">
      <c r="I33" s="75"/>
      <c r="J33" s="174"/>
      <c r="K33" s="75"/>
      <c r="L33" s="174"/>
      <c r="M33" s="75"/>
      <c r="N33" s="174"/>
      <c r="O33" s="75"/>
      <c r="P33" s="174"/>
    </row>
    <row r="34" spans="3:16">
      <c r="I34" s="75"/>
      <c r="J34" s="174"/>
      <c r="K34" s="75"/>
      <c r="L34" s="174"/>
      <c r="M34" s="75"/>
      <c r="N34" s="174"/>
      <c r="O34" s="75"/>
      <c r="P34" s="174"/>
    </row>
    <row r="35" spans="3:16">
      <c r="I35" s="75"/>
      <c r="J35" s="174"/>
      <c r="K35" s="75"/>
      <c r="L35" s="174"/>
      <c r="M35" s="75"/>
      <c r="N35" s="174"/>
      <c r="O35" s="75"/>
      <c r="P35" s="174"/>
    </row>
    <row r="36" spans="3:16">
      <c r="I36" s="75"/>
      <c r="J36" s="174"/>
      <c r="K36" s="75"/>
      <c r="L36" s="174"/>
      <c r="M36" s="75"/>
      <c r="N36" s="174"/>
      <c r="O36" s="75"/>
      <c r="P36" s="174"/>
    </row>
    <row r="37" spans="3:16">
      <c r="I37" s="75"/>
      <c r="J37" s="174"/>
      <c r="K37" s="75"/>
      <c r="L37" s="174"/>
      <c r="M37" s="75"/>
      <c r="N37" s="174"/>
      <c r="O37" s="75"/>
      <c r="P37" s="174"/>
    </row>
    <row r="38" spans="3:16">
      <c r="D38" s="75" t="s">
        <v>302</v>
      </c>
      <c r="E38" s="1" t="s">
        <v>303</v>
      </c>
      <c r="I38" s="75"/>
      <c r="J38" s="174"/>
      <c r="K38" s="75"/>
      <c r="L38" s="174"/>
      <c r="M38" s="75"/>
      <c r="N38" s="174"/>
      <c r="O38" s="75"/>
      <c r="P38" s="174"/>
    </row>
    <row r="39" spans="3:16">
      <c r="C39" s="48" t="s">
        <v>285</v>
      </c>
      <c r="D39" s="78">
        <v>0.28000000000000003</v>
      </c>
      <c r="E39" s="59">
        <f>D50/D$47</f>
        <v>0.34146341463414637</v>
      </c>
      <c r="I39" s="75"/>
      <c r="J39" s="174"/>
      <c r="K39" s="75"/>
      <c r="L39" s="174"/>
      <c r="M39" s="75"/>
      <c r="N39" s="174"/>
      <c r="O39" s="75"/>
      <c r="P39" s="174"/>
    </row>
    <row r="40" spans="3:16">
      <c r="C40" s="41" t="s">
        <v>289</v>
      </c>
      <c r="D40" s="78">
        <v>0.19</v>
      </c>
      <c r="E40" s="59">
        <f t="shared" ref="E40:E42" si="7">D51/D$47</f>
        <v>0.23170731707317074</v>
      </c>
      <c r="I40" s="75"/>
      <c r="J40" s="174"/>
      <c r="K40" s="75"/>
      <c r="L40" s="174"/>
      <c r="M40" s="75"/>
      <c r="N40" s="174"/>
      <c r="O40" s="75"/>
      <c r="P40" s="174"/>
    </row>
    <row r="41" spans="3:16">
      <c r="C41" s="41" t="s">
        <v>292</v>
      </c>
      <c r="D41" s="78">
        <v>0.13</v>
      </c>
      <c r="E41" s="59">
        <f t="shared" si="7"/>
        <v>0.15853658536585366</v>
      </c>
      <c r="I41" s="75"/>
      <c r="J41" s="174"/>
      <c r="K41" s="75"/>
      <c r="L41" s="174"/>
      <c r="M41" s="75"/>
      <c r="N41" s="174"/>
      <c r="O41" s="75"/>
      <c r="P41" s="174"/>
    </row>
    <row r="42" spans="3:16">
      <c r="C42" s="41" t="s">
        <v>295</v>
      </c>
      <c r="D42" s="78">
        <v>0.22</v>
      </c>
      <c r="E42" s="59">
        <f t="shared" si="7"/>
        <v>0.26829268292682928</v>
      </c>
      <c r="I42" s="75"/>
      <c r="J42" s="174"/>
      <c r="K42" s="75"/>
      <c r="L42" s="174"/>
      <c r="M42" s="75"/>
      <c r="N42" s="174"/>
      <c r="O42" s="75"/>
      <c r="P42" s="174"/>
    </row>
    <row r="43" spans="3:16">
      <c r="C43" s="192" t="s">
        <v>280</v>
      </c>
      <c r="D43" s="193">
        <v>0.05</v>
      </c>
      <c r="E43" s="59"/>
      <c r="G43" s="1">
        <v>56</v>
      </c>
      <c r="H43" s="186">
        <f>I14*0.18</f>
        <v>565.38493150684917</v>
      </c>
      <c r="I43" s="75"/>
      <c r="J43" s="174"/>
      <c r="K43" s="75"/>
      <c r="L43" s="174"/>
      <c r="M43" s="75"/>
      <c r="N43" s="174"/>
      <c r="O43" s="75"/>
      <c r="P43" s="174"/>
    </row>
    <row r="44" spans="3:16">
      <c r="C44" s="194"/>
      <c r="D44" s="195"/>
      <c r="H44" s="46">
        <f>H43/0.82</f>
        <v>689.49381891079167</v>
      </c>
      <c r="I44" s="75"/>
      <c r="J44" s="174"/>
      <c r="K44" s="75"/>
      <c r="L44" s="174"/>
      <c r="M44" s="75"/>
      <c r="N44" s="174"/>
      <c r="O44" s="75"/>
      <c r="P44" s="174"/>
    </row>
    <row r="45" spans="3:16">
      <c r="I45" s="75"/>
      <c r="J45" s="174"/>
      <c r="K45" s="75"/>
      <c r="L45" s="174"/>
      <c r="M45" s="75"/>
      <c r="N45" s="174"/>
      <c r="O45" s="75"/>
      <c r="P45" s="174"/>
    </row>
    <row r="46" spans="3:16">
      <c r="D46" s="1" t="s">
        <v>304</v>
      </c>
      <c r="E46" s="1" t="s">
        <v>305</v>
      </c>
      <c r="I46" s="75"/>
      <c r="J46" s="174"/>
      <c r="K46" s="75"/>
      <c r="L46" s="174"/>
      <c r="M46" s="75"/>
      <c r="N46" s="174"/>
      <c r="O46" s="75"/>
      <c r="P46" s="174"/>
    </row>
    <row r="47" spans="3:16">
      <c r="C47" s="2" t="s">
        <v>306</v>
      </c>
      <c r="D47" s="143">
        <v>3141.0273972602736</v>
      </c>
      <c r="E47" s="102">
        <f>D47*E57</f>
        <v>62820.547945205471</v>
      </c>
      <c r="I47" s="75"/>
      <c r="J47" s="174"/>
      <c r="K47" s="75"/>
      <c r="L47" s="174"/>
      <c r="M47" s="75"/>
      <c r="N47" s="174"/>
      <c r="O47" s="75"/>
      <c r="P47" s="174"/>
    </row>
    <row r="48" spans="3:16">
      <c r="C48" s="1" t="s">
        <v>307</v>
      </c>
      <c r="D48" s="173">
        <v>689.49381891079167</v>
      </c>
      <c r="E48" s="102">
        <f>D48</f>
        <v>689.49381891079167</v>
      </c>
      <c r="I48" s="75"/>
      <c r="J48" s="174"/>
      <c r="K48" s="75"/>
      <c r="L48" s="174"/>
      <c r="M48" s="75"/>
      <c r="N48" s="174"/>
      <c r="O48" s="75"/>
      <c r="P48" s="174"/>
    </row>
    <row r="49" spans="3:16">
      <c r="I49" s="75"/>
      <c r="J49" s="174"/>
      <c r="K49" s="75"/>
      <c r="L49" s="174"/>
      <c r="M49" s="75"/>
      <c r="N49" s="174"/>
      <c r="O49" s="75"/>
      <c r="P49" s="174"/>
    </row>
    <row r="50" spans="3:16">
      <c r="C50" s="48" t="s">
        <v>285</v>
      </c>
      <c r="D50" s="46">
        <f>($D$47+$D$48)*D39</f>
        <v>1072.5459405278984</v>
      </c>
      <c r="I50" s="75"/>
      <c r="J50" s="174"/>
      <c r="K50" s="75"/>
      <c r="L50" s="174"/>
      <c r="M50" s="75"/>
      <c r="N50" s="174"/>
      <c r="O50" s="75"/>
      <c r="P50" s="174"/>
    </row>
    <row r="51" spans="3:16">
      <c r="C51" s="41" t="s">
        <v>289</v>
      </c>
      <c r="D51" s="46">
        <f t="shared" ref="D51:D55" si="8">($D$47+$D$48)*D40</f>
        <v>727.79903107250243</v>
      </c>
      <c r="I51" s="75"/>
      <c r="J51" s="174"/>
      <c r="K51" s="75"/>
      <c r="L51" s="174"/>
      <c r="M51" s="75"/>
      <c r="N51" s="174"/>
      <c r="O51" s="75"/>
      <c r="P51" s="174"/>
    </row>
    <row r="52" spans="3:16">
      <c r="C52" s="41" t="s">
        <v>292</v>
      </c>
      <c r="D52" s="46">
        <f t="shared" si="8"/>
        <v>497.96775810223846</v>
      </c>
      <c r="E52" s="186"/>
    </row>
    <row r="53" spans="3:16">
      <c r="C53" s="41" t="s">
        <v>295</v>
      </c>
      <c r="D53" s="46">
        <f t="shared" si="8"/>
        <v>842.71466755763436</v>
      </c>
      <c r="E53" s="186"/>
    </row>
    <row r="54" spans="3:16">
      <c r="C54" s="192" t="s">
        <v>280</v>
      </c>
      <c r="D54" s="46">
        <f>($D$47+$D$48)*D43</f>
        <v>191.52606080855327</v>
      </c>
      <c r="E54" s="186"/>
    </row>
    <row r="55" spans="3:16">
      <c r="C55" s="194"/>
      <c r="D55" s="46">
        <f t="shared" si="8"/>
        <v>0</v>
      </c>
      <c r="E55" s="186"/>
    </row>
    <row r="57" spans="3:16">
      <c r="C57" s="1" t="s">
        <v>308</v>
      </c>
      <c r="D57" s="2"/>
      <c r="E57" s="1">
        <v>20</v>
      </c>
    </row>
    <row r="58" spans="3:16">
      <c r="D58" s="2"/>
    </row>
    <row r="67" spans="3:7" ht="15" thickBot="1">
      <c r="C67" s="203" t="s">
        <v>309</v>
      </c>
      <c r="D67"/>
      <c r="F67" s="203" t="s">
        <v>310</v>
      </c>
      <c r="G67"/>
    </row>
    <row r="68" spans="3:7" ht="28" customHeight="1" thickBot="1">
      <c r="C68" s="204" t="s">
        <v>311</v>
      </c>
      <c r="D68" s="205">
        <v>0.03</v>
      </c>
      <c r="F68" s="204" t="s">
        <v>312</v>
      </c>
      <c r="G68" s="205">
        <v>0.22</v>
      </c>
    </row>
    <row r="69" spans="3:7" ht="28" customHeight="1" thickBot="1">
      <c r="C69" s="206" t="s">
        <v>285</v>
      </c>
      <c r="D69" s="207">
        <v>0.28000000000000003</v>
      </c>
      <c r="F69" s="206" t="s">
        <v>313</v>
      </c>
      <c r="G69" s="207">
        <v>0.06</v>
      </c>
    </row>
    <row r="70" spans="3:7" ht="28" customHeight="1" thickBot="1">
      <c r="C70" s="206" t="s">
        <v>314</v>
      </c>
      <c r="D70" s="207">
        <v>0.19</v>
      </c>
      <c r="F70" s="206" t="s">
        <v>315</v>
      </c>
      <c r="G70" s="207">
        <v>0.02</v>
      </c>
    </row>
    <row r="71" spans="3:7" ht="28" customHeight="1" thickBot="1">
      <c r="C71" s="206" t="s">
        <v>316</v>
      </c>
      <c r="D71" s="207">
        <v>0.12</v>
      </c>
      <c r="F71" s="206" t="s">
        <v>317</v>
      </c>
      <c r="G71" s="207">
        <v>0.13</v>
      </c>
    </row>
    <row r="72" spans="3:7" ht="28" customHeight="1" thickBot="1">
      <c r="C72" s="206" t="s">
        <v>318</v>
      </c>
      <c r="D72" s="207">
        <v>0.4</v>
      </c>
      <c r="F72" s="206" t="s">
        <v>285</v>
      </c>
      <c r="G72" s="207">
        <v>0.41</v>
      </c>
    </row>
    <row r="73" spans="3:7" ht="28" customHeight="1" thickBot="1">
      <c r="C73" s="206" t="s">
        <v>319</v>
      </c>
      <c r="D73" s="207">
        <v>0.04</v>
      </c>
      <c r="F73" s="206" t="s">
        <v>320</v>
      </c>
      <c r="G73" s="207">
        <v>0.13</v>
      </c>
    </row>
    <row r="74" spans="3:7" ht="19" customHeight="1" thickBot="1">
      <c r="F74" s="206" t="s">
        <v>319</v>
      </c>
      <c r="G74" s="207">
        <v>0.03</v>
      </c>
    </row>
  </sheetData>
  <conditionalFormatting sqref="D14 D19:D23">
    <cfRule type="expression" dxfId="238" priority="5">
      <formula>_xlfn.ISFORMULA(D14)</formula>
    </cfRule>
  </conditionalFormatting>
  <conditionalFormatting sqref="D15">
    <cfRule type="expression" dxfId="237" priority="4">
      <formula>_xlfn.ISFORMULA(D15)</formula>
    </cfRule>
  </conditionalFormatting>
  <conditionalFormatting sqref="B13:B14">
    <cfRule type="expression" dxfId="236" priority="3">
      <formula>_xlfn.ISFORMULA(B13)</formula>
    </cfRule>
  </conditionalFormatting>
  <conditionalFormatting sqref="B18:B19">
    <cfRule type="expression" dxfId="235" priority="2">
      <formula>_xlfn.ISFORMULA(B18)</formula>
    </cfRule>
  </conditionalFormatting>
  <conditionalFormatting sqref="K12">
    <cfRule type="expression" dxfId="234" priority="1">
      <formula>_xlfn.ISFORMULA(K12)</formula>
    </cfRule>
  </conditionalFormatting>
  <pageMargins left="0.7" right="0.7" top="0.75" bottom="0.75" header="0.3" footer="0.3"/>
  <pageSetup paperSize="9"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39997558519241921"/>
  </sheetPr>
  <dimension ref="B1:T57"/>
  <sheetViews>
    <sheetView zoomScale="70" zoomScaleNormal="70" workbookViewId="0">
      <selection activeCell="J19" sqref="J19"/>
    </sheetView>
  </sheetViews>
  <sheetFormatPr defaultColWidth="8.81640625" defaultRowHeight="14"/>
  <cols>
    <col min="1" max="1" width="11.7265625" style="1" customWidth="1"/>
    <col min="2" max="2" width="21.81640625" style="1" customWidth="1"/>
    <col min="3" max="3" width="32.453125" style="1" customWidth="1"/>
    <col min="4" max="6" width="19.453125" style="1" customWidth="1"/>
    <col min="7" max="7" width="37.453125" style="1" customWidth="1"/>
    <col min="8" max="8" width="25.7265625" style="1" customWidth="1"/>
    <col min="9" max="9" width="20.81640625" style="1" customWidth="1"/>
    <col min="10" max="10" width="18.7265625" style="1" customWidth="1"/>
    <col min="11" max="11" width="20" style="1" customWidth="1"/>
    <col min="12" max="12" width="19.7265625" style="1" customWidth="1"/>
    <col min="13" max="13" width="16.453125" style="1" customWidth="1"/>
    <col min="14" max="14" width="16.26953125" style="1" customWidth="1"/>
    <col min="15" max="15" width="15.7265625" style="1" customWidth="1"/>
    <col min="16" max="16" width="14.81640625" style="1" customWidth="1"/>
    <col min="17" max="17" width="10.7265625" style="1" customWidth="1"/>
    <col min="18" max="19" width="8.81640625" style="1"/>
    <col min="20" max="20" width="11.1796875" style="1" bestFit="1" customWidth="1"/>
    <col min="21" max="16384" width="8.81640625" style="1"/>
  </cols>
  <sheetData>
    <row r="1" spans="2:20" s="3" customFormat="1" ht="49.5" customHeight="1">
      <c r="B1" s="304" t="s">
        <v>270</v>
      </c>
      <c r="C1" s="304"/>
      <c r="D1" s="304"/>
      <c r="E1" s="304"/>
      <c r="F1" s="304"/>
      <c r="G1" s="304"/>
      <c r="H1" s="304"/>
      <c r="I1" s="304"/>
      <c r="J1" s="304"/>
      <c r="K1" s="304"/>
      <c r="L1" s="304"/>
      <c r="M1" s="304"/>
      <c r="N1" s="304"/>
      <c r="O1" s="304"/>
      <c r="P1" s="304"/>
      <c r="Q1" s="304"/>
      <c r="R1" s="304"/>
      <c r="S1" s="304"/>
      <c r="T1" s="304"/>
    </row>
    <row r="11" spans="2:20">
      <c r="C11" s="2"/>
      <c r="D11" s="2"/>
      <c r="E11" s="2"/>
      <c r="F11" s="2"/>
      <c r="G11" s="2"/>
      <c r="H11" s="2"/>
    </row>
    <row r="12" spans="2:20" ht="14.5">
      <c r="C12" s="45" t="s">
        <v>243</v>
      </c>
      <c r="K12" s="157"/>
    </row>
    <row r="13" spans="2:20">
      <c r="B13" s="47" t="s">
        <v>137</v>
      </c>
      <c r="C13" s="50" t="s">
        <v>273</v>
      </c>
      <c r="D13" s="50" t="s">
        <v>24</v>
      </c>
      <c r="E13" s="50" t="s">
        <v>18</v>
      </c>
      <c r="F13" s="50" t="s">
        <v>8</v>
      </c>
      <c r="G13" s="50" t="s">
        <v>234</v>
      </c>
      <c r="H13" s="50" t="s">
        <v>235</v>
      </c>
      <c r="I13" s="50">
        <v>2015</v>
      </c>
      <c r="J13" s="50">
        <v>2020</v>
      </c>
      <c r="K13" s="50">
        <v>2025</v>
      </c>
      <c r="L13" s="50">
        <v>2030</v>
      </c>
      <c r="M13" s="50">
        <v>2035</v>
      </c>
      <c r="N13" s="50">
        <v>2040</v>
      </c>
      <c r="O13" s="50">
        <v>2045</v>
      </c>
      <c r="P13" s="50">
        <v>2050</v>
      </c>
      <c r="T13" s="159"/>
    </row>
    <row r="14" spans="2:20" ht="15" customHeight="1">
      <c r="B14" s="58" t="s">
        <v>148</v>
      </c>
      <c r="C14" s="105" t="s">
        <v>275</v>
      </c>
      <c r="D14" s="106" t="s">
        <v>321</v>
      </c>
      <c r="E14" s="49" t="s">
        <v>322</v>
      </c>
      <c r="F14" s="49"/>
      <c r="G14" s="49" t="s">
        <v>323</v>
      </c>
      <c r="H14" s="48" t="s">
        <v>324</v>
      </c>
      <c r="I14" s="76">
        <f>J14/J28</f>
        <v>44.662962962962965</v>
      </c>
      <c r="J14" s="172">
        <f>D45</f>
        <v>43.400000000000006</v>
      </c>
      <c r="K14" s="172">
        <f t="shared" ref="K14:P15" si="0">$I14*K$28</f>
        <v>42.13703703703704</v>
      </c>
      <c r="L14" s="172">
        <f t="shared" si="0"/>
        <v>40.874074074074073</v>
      </c>
      <c r="M14" s="172">
        <f t="shared" si="0"/>
        <v>39.496296296296293</v>
      </c>
      <c r="N14" s="172">
        <f t="shared" si="0"/>
        <v>38.11851851851852</v>
      </c>
      <c r="O14" s="172">
        <f>$I14*O$28</f>
        <v>36.74074074074074</v>
      </c>
      <c r="P14" s="172">
        <f t="shared" si="0"/>
        <v>35.36296296296296</v>
      </c>
      <c r="T14" s="186"/>
    </row>
    <row r="15" spans="2:20" ht="15" customHeight="1">
      <c r="C15" s="105" t="s">
        <v>280</v>
      </c>
      <c r="D15" s="106" t="s">
        <v>321</v>
      </c>
      <c r="E15" s="49" t="s">
        <v>322</v>
      </c>
      <c r="F15" s="49"/>
      <c r="G15" s="49" t="s">
        <v>323</v>
      </c>
      <c r="H15" s="48" t="s">
        <v>324</v>
      </c>
      <c r="I15" s="76">
        <f>J15/J28</f>
        <v>19.141269841269839</v>
      </c>
      <c r="J15" s="172">
        <f>D46</f>
        <v>18.599999999999998</v>
      </c>
      <c r="K15" s="172">
        <f t="shared" si="0"/>
        <v>18.058730158730157</v>
      </c>
      <c r="L15" s="172">
        <f t="shared" si="0"/>
        <v>17.517460317460316</v>
      </c>
      <c r="M15" s="172">
        <f t="shared" si="0"/>
        <v>16.926984126984124</v>
      </c>
      <c r="N15" s="172">
        <f t="shared" si="0"/>
        <v>16.336507936507935</v>
      </c>
      <c r="O15" s="172">
        <f t="shared" si="0"/>
        <v>15.746031746031745</v>
      </c>
      <c r="P15" s="172">
        <f t="shared" si="0"/>
        <v>15.155555555555553</v>
      </c>
    </row>
    <row r="16" spans="2:20">
      <c r="C16" s="52"/>
      <c r="D16" s="52"/>
      <c r="E16" s="52"/>
      <c r="F16" s="52"/>
      <c r="G16" s="52"/>
      <c r="H16" s="52"/>
      <c r="I16" s="52"/>
      <c r="J16" s="54"/>
      <c r="K16" s="55"/>
      <c r="L16" s="55"/>
      <c r="M16" s="55"/>
      <c r="N16" s="55"/>
      <c r="O16" s="55"/>
      <c r="P16" s="55"/>
    </row>
    <row r="17" spans="2:16" ht="14.5">
      <c r="C17" s="51" t="s">
        <v>282</v>
      </c>
      <c r="D17" s="52"/>
      <c r="E17" s="52"/>
      <c r="F17" s="52"/>
      <c r="G17" s="52"/>
      <c r="H17" s="52"/>
      <c r="I17" s="52"/>
      <c r="J17" s="52"/>
      <c r="K17" s="52"/>
      <c r="L17" s="52"/>
      <c r="M17" s="52"/>
      <c r="N17" s="52"/>
      <c r="O17" s="52"/>
      <c r="P17" s="52"/>
    </row>
    <row r="18" spans="2:16">
      <c r="B18" s="47" t="s">
        <v>137</v>
      </c>
      <c r="C18" s="50" t="s">
        <v>283</v>
      </c>
      <c r="D18" s="50" t="s">
        <v>24</v>
      </c>
      <c r="E18" s="50" t="s">
        <v>18</v>
      </c>
      <c r="F18" s="50" t="s">
        <v>284</v>
      </c>
      <c r="G18" s="50" t="s">
        <v>234</v>
      </c>
      <c r="H18" s="50" t="s">
        <v>235</v>
      </c>
      <c r="I18" s="50">
        <v>2015</v>
      </c>
      <c r="J18" s="50">
        <v>2020</v>
      </c>
      <c r="K18" s="50">
        <v>2025</v>
      </c>
      <c r="L18" s="50">
        <v>2030</v>
      </c>
      <c r="M18" s="50">
        <v>2035</v>
      </c>
      <c r="N18" s="50">
        <v>2040</v>
      </c>
      <c r="O18" s="50">
        <v>2045</v>
      </c>
      <c r="P18" s="50">
        <v>2050</v>
      </c>
    </row>
    <row r="19" spans="2:16" ht="28">
      <c r="B19" s="58" t="s">
        <v>148</v>
      </c>
      <c r="C19" s="48" t="s">
        <v>285</v>
      </c>
      <c r="D19" s="106" t="s">
        <v>321</v>
      </c>
      <c r="E19" s="49" t="s">
        <v>322</v>
      </c>
      <c r="F19" s="78">
        <f>E36</f>
        <v>0.4</v>
      </c>
      <c r="G19" s="107" t="s">
        <v>325</v>
      </c>
      <c r="H19" s="105" t="s">
        <v>326</v>
      </c>
      <c r="I19" s="108">
        <f>$F19*I$14</f>
        <v>17.865185185185187</v>
      </c>
      <c r="J19" s="108">
        <f t="shared" ref="J19:P19" si="1">$F19*J$14</f>
        <v>17.360000000000003</v>
      </c>
      <c r="K19" s="108">
        <f t="shared" si="1"/>
        <v>16.854814814814816</v>
      </c>
      <c r="L19" s="108">
        <f t="shared" si="1"/>
        <v>16.349629629629629</v>
      </c>
      <c r="M19" s="108">
        <f t="shared" si="1"/>
        <v>15.798518518518518</v>
      </c>
      <c r="N19" s="108">
        <f t="shared" si="1"/>
        <v>15.247407407407408</v>
      </c>
      <c r="O19" s="108">
        <f t="shared" si="1"/>
        <v>14.696296296296296</v>
      </c>
      <c r="P19" s="108">
        <f t="shared" si="1"/>
        <v>14.145185185185184</v>
      </c>
    </row>
    <row r="20" spans="2:16" ht="28">
      <c r="C20" s="41" t="s">
        <v>327</v>
      </c>
      <c r="D20" s="106" t="s">
        <v>321</v>
      </c>
      <c r="E20" s="49" t="s">
        <v>322</v>
      </c>
      <c r="F20" s="78">
        <f>E37</f>
        <v>0.28999999999999998</v>
      </c>
      <c r="G20" s="107" t="s">
        <v>325</v>
      </c>
      <c r="H20" s="105" t="s">
        <v>326</v>
      </c>
      <c r="I20" s="108">
        <f t="shared" ref="I20:I21" si="2">$F20*I$14</f>
        <v>12.952259259259259</v>
      </c>
      <c r="J20" s="108">
        <f t="shared" ref="J20:P23" si="3">$F20*J$14</f>
        <v>12.586</v>
      </c>
      <c r="K20" s="108">
        <f t="shared" si="3"/>
        <v>12.219740740740741</v>
      </c>
      <c r="L20" s="108">
        <f t="shared" si="3"/>
        <v>11.853481481481481</v>
      </c>
      <c r="M20" s="108">
        <f t="shared" si="3"/>
        <v>11.453925925925924</v>
      </c>
      <c r="N20" s="108">
        <f t="shared" si="3"/>
        <v>11.05437037037037</v>
      </c>
      <c r="O20" s="108">
        <f t="shared" si="3"/>
        <v>10.654814814814815</v>
      </c>
      <c r="P20" s="108">
        <f t="shared" si="3"/>
        <v>10.255259259259258</v>
      </c>
    </row>
    <row r="21" spans="2:16" ht="28">
      <c r="C21" s="41" t="s">
        <v>320</v>
      </c>
      <c r="D21" s="106" t="s">
        <v>321</v>
      </c>
      <c r="E21" s="49" t="s">
        <v>322</v>
      </c>
      <c r="F21" s="78">
        <f>E39</f>
        <v>8.4999999999999992E-2</v>
      </c>
      <c r="G21" s="107" t="s">
        <v>325</v>
      </c>
      <c r="H21" s="105" t="s">
        <v>326</v>
      </c>
      <c r="I21" s="108">
        <f t="shared" si="2"/>
        <v>3.7963518518518518</v>
      </c>
      <c r="J21" s="108">
        <f t="shared" si="3"/>
        <v>3.6890000000000001</v>
      </c>
      <c r="K21" s="108">
        <f t="shared" si="3"/>
        <v>3.5816481481481479</v>
      </c>
      <c r="L21" s="108">
        <f t="shared" si="3"/>
        <v>3.4742962962962958</v>
      </c>
      <c r="M21" s="108">
        <f t="shared" si="3"/>
        <v>3.3571851851851848</v>
      </c>
      <c r="N21" s="108">
        <f t="shared" si="3"/>
        <v>3.2400740740740739</v>
      </c>
      <c r="O21" s="108">
        <f t="shared" si="3"/>
        <v>3.1229629629629625</v>
      </c>
      <c r="P21" s="108">
        <f t="shared" si="3"/>
        <v>3.0058518518518516</v>
      </c>
    </row>
    <row r="22" spans="2:16" ht="28">
      <c r="C22" s="41" t="s">
        <v>317</v>
      </c>
      <c r="D22" s="106" t="s">
        <v>321</v>
      </c>
      <c r="E22" s="49" t="s">
        <v>322</v>
      </c>
      <c r="F22" s="78">
        <f>E38</f>
        <v>0.18999999999999997</v>
      </c>
      <c r="G22" s="107" t="s">
        <v>325</v>
      </c>
      <c r="H22" s="105" t="s">
        <v>326</v>
      </c>
      <c r="I22" s="108">
        <f>$F22*I$14</f>
        <v>8.4859629629629616</v>
      </c>
      <c r="J22" s="108">
        <f t="shared" si="3"/>
        <v>8.2460000000000004</v>
      </c>
      <c r="K22" s="108">
        <f t="shared" si="3"/>
        <v>8.0060370370370357</v>
      </c>
      <c r="L22" s="108">
        <f t="shared" si="3"/>
        <v>7.7660740740740728</v>
      </c>
      <c r="M22" s="108">
        <f t="shared" si="3"/>
        <v>7.5042962962962951</v>
      </c>
      <c r="N22" s="108">
        <f t="shared" si="3"/>
        <v>7.2425185185185184</v>
      </c>
      <c r="O22" s="108">
        <f>$F22*O$14</f>
        <v>6.9807407407407398</v>
      </c>
      <c r="P22" s="108">
        <f t="shared" si="3"/>
        <v>6.7189629629629612</v>
      </c>
    </row>
    <row r="23" spans="2:16" ht="28">
      <c r="C23" s="41" t="s">
        <v>328</v>
      </c>
      <c r="D23" s="106" t="s">
        <v>321</v>
      </c>
      <c r="E23" s="49" t="s">
        <v>322</v>
      </c>
      <c r="F23" s="78">
        <f>E40</f>
        <v>3.4999999999999996E-2</v>
      </c>
      <c r="G23" s="107" t="s">
        <v>325</v>
      </c>
      <c r="H23" s="105" t="s">
        <v>326</v>
      </c>
      <c r="I23" s="108">
        <f>$F23*I$14</f>
        <v>1.5632037037037037</v>
      </c>
      <c r="J23" s="108">
        <f t="shared" si="3"/>
        <v>1.5190000000000001</v>
      </c>
      <c r="K23" s="108">
        <f t="shared" si="3"/>
        <v>1.4747962962962962</v>
      </c>
      <c r="L23" s="108">
        <f t="shared" si="3"/>
        <v>1.4305925925925924</v>
      </c>
      <c r="M23" s="108">
        <f t="shared" si="3"/>
        <v>1.38237037037037</v>
      </c>
      <c r="N23" s="108">
        <f t="shared" si="3"/>
        <v>1.3341481481481481</v>
      </c>
      <c r="O23" s="108">
        <f t="shared" si="3"/>
        <v>1.2859259259259257</v>
      </c>
      <c r="P23" s="108">
        <f t="shared" si="3"/>
        <v>1.2377037037037035</v>
      </c>
    </row>
    <row r="24" spans="2:16" ht="28">
      <c r="C24" s="105" t="s">
        <v>280</v>
      </c>
      <c r="D24" s="106" t="s">
        <v>321</v>
      </c>
      <c r="E24" s="49" t="s">
        <v>322</v>
      </c>
      <c r="F24" s="78"/>
      <c r="G24" s="107" t="s">
        <v>325</v>
      </c>
      <c r="H24" s="105" t="s">
        <v>326</v>
      </c>
      <c r="I24" s="108">
        <f>I15</f>
        <v>19.141269841269839</v>
      </c>
      <c r="J24" s="108">
        <f t="shared" ref="J24:P24" si="4">J15</f>
        <v>18.599999999999998</v>
      </c>
      <c r="K24" s="108">
        <f t="shared" si="4"/>
        <v>18.058730158730157</v>
      </c>
      <c r="L24" s="108">
        <f t="shared" si="4"/>
        <v>17.517460317460316</v>
      </c>
      <c r="M24" s="108">
        <f t="shared" si="4"/>
        <v>16.926984126984124</v>
      </c>
      <c r="N24" s="108">
        <f t="shared" si="4"/>
        <v>16.336507936507935</v>
      </c>
      <c r="O24" s="108">
        <f t="shared" si="4"/>
        <v>15.746031746031745</v>
      </c>
      <c r="P24" s="108">
        <f t="shared" si="4"/>
        <v>15.155555555555553</v>
      </c>
    </row>
    <row r="26" spans="2:16" ht="14.5">
      <c r="C26" s="81" t="s">
        <v>298</v>
      </c>
    </row>
    <row r="27" spans="2:16">
      <c r="C27" s="41"/>
      <c r="D27" s="50" t="s">
        <v>24</v>
      </c>
      <c r="E27" s="50" t="s">
        <v>18</v>
      </c>
      <c r="F27" s="50" t="s">
        <v>8</v>
      </c>
      <c r="G27" s="50" t="s">
        <v>234</v>
      </c>
      <c r="H27" s="50" t="s">
        <v>235</v>
      </c>
      <c r="I27" s="50">
        <v>2015</v>
      </c>
      <c r="J27" s="50">
        <v>2020</v>
      </c>
      <c r="K27" s="50">
        <v>2025</v>
      </c>
      <c r="L27" s="50">
        <v>2030</v>
      </c>
      <c r="M27" s="50">
        <v>2035</v>
      </c>
      <c r="N27" s="50">
        <v>2040</v>
      </c>
      <c r="O27" s="50">
        <v>2045</v>
      </c>
      <c r="P27" s="50">
        <v>2050</v>
      </c>
    </row>
    <row r="28" spans="2:16">
      <c r="C28" s="41" t="s">
        <v>275</v>
      </c>
      <c r="D28" s="41" t="s">
        <v>299</v>
      </c>
      <c r="E28" s="41" t="s">
        <v>329</v>
      </c>
      <c r="F28" s="41" t="s">
        <v>301</v>
      </c>
      <c r="G28" s="41"/>
      <c r="H28" s="41"/>
      <c r="I28" s="41">
        <v>1</v>
      </c>
      <c r="J28" s="59">
        <f>J31/$I$31</f>
        <v>0.97172236503856046</v>
      </c>
      <c r="K28" s="59">
        <f t="shared" ref="K28:P28" si="5">K31/$I$31</f>
        <v>0.94344473007712082</v>
      </c>
      <c r="L28" s="59">
        <f t="shared" si="5"/>
        <v>0.91516709511568117</v>
      </c>
      <c r="M28" s="59">
        <f t="shared" si="5"/>
        <v>0.88431876606683801</v>
      </c>
      <c r="N28" s="59">
        <f t="shared" si="5"/>
        <v>0.85347043701799485</v>
      </c>
      <c r="O28" s="59">
        <f>O31/$I$31</f>
        <v>0.82262210796915169</v>
      </c>
      <c r="P28" s="59">
        <f t="shared" si="5"/>
        <v>0.79177377892030842</v>
      </c>
    </row>
    <row r="30" spans="2:16">
      <c r="H30" s="47">
        <v>2010</v>
      </c>
      <c r="I30" s="47">
        <v>2015</v>
      </c>
      <c r="J30" s="47">
        <v>2020</v>
      </c>
      <c r="K30" s="47">
        <v>2025</v>
      </c>
      <c r="L30" s="47">
        <v>2030</v>
      </c>
      <c r="M30" s="47">
        <v>2035</v>
      </c>
      <c r="N30" s="47">
        <v>2040</v>
      </c>
      <c r="O30" s="47">
        <v>2045</v>
      </c>
      <c r="P30" s="47">
        <v>2050</v>
      </c>
    </row>
    <row r="31" spans="2:16">
      <c r="H31" s="41">
        <v>1</v>
      </c>
      <c r="I31" s="59">
        <f>(3*H31+L31)/4</f>
        <v>0.97250000000000003</v>
      </c>
      <c r="J31" s="78">
        <f>AVERAGE(H31,L31)</f>
        <v>0.94500000000000006</v>
      </c>
      <c r="K31" s="59">
        <f>(H31+3*L31)/4</f>
        <v>0.91749999999999998</v>
      </c>
      <c r="L31" s="78">
        <v>0.89</v>
      </c>
      <c r="M31" s="59">
        <f>(3*L31+P31)/4</f>
        <v>0.86</v>
      </c>
      <c r="N31" s="78">
        <f>AVERAGE(L31,P31)</f>
        <v>0.83000000000000007</v>
      </c>
      <c r="O31" s="59">
        <f>(L31+3*P31)/4</f>
        <v>0.8</v>
      </c>
      <c r="P31" s="78">
        <v>0.77</v>
      </c>
    </row>
    <row r="32" spans="2:16">
      <c r="I32" s="75"/>
      <c r="J32" s="174"/>
      <c r="K32" s="75"/>
      <c r="L32" s="174"/>
      <c r="M32" s="75"/>
      <c r="N32" s="174"/>
      <c r="O32" s="75"/>
      <c r="P32" s="174"/>
    </row>
    <row r="33" spans="3:16">
      <c r="I33" s="75"/>
      <c r="J33" s="174"/>
      <c r="K33" s="75"/>
      <c r="L33" s="174"/>
      <c r="M33" s="75"/>
      <c r="N33" s="174"/>
      <c r="O33" s="75"/>
      <c r="P33" s="174"/>
    </row>
    <row r="34" spans="3:16" ht="14.5" thickBot="1">
      <c r="I34" s="75"/>
      <c r="J34" s="174"/>
      <c r="K34" s="75"/>
      <c r="L34" s="174"/>
      <c r="M34" s="75"/>
      <c r="N34" s="174"/>
      <c r="O34" s="75"/>
      <c r="P34" s="174"/>
    </row>
    <row r="35" spans="3:16" ht="14.5" thickBot="1">
      <c r="C35" s="220" t="s">
        <v>330</v>
      </c>
      <c r="D35" s="221" t="s">
        <v>331</v>
      </c>
      <c r="E35" s="222" t="s">
        <v>332</v>
      </c>
      <c r="F35" s="75"/>
      <c r="G35" s="174"/>
      <c r="H35" s="75"/>
      <c r="I35" s="174"/>
      <c r="J35" s="75"/>
      <c r="K35" s="174"/>
      <c r="L35" s="75"/>
      <c r="M35" s="174"/>
    </row>
    <row r="36" spans="3:16" ht="14.5" thickBot="1">
      <c r="C36" s="223" t="s">
        <v>285</v>
      </c>
      <c r="D36" s="224">
        <v>0.28000000000000003</v>
      </c>
      <c r="E36" s="225">
        <f>D48/D$45</f>
        <v>0.4</v>
      </c>
      <c r="F36" s="75"/>
      <c r="G36" s="174"/>
      <c r="H36" s="75"/>
      <c r="I36" s="240"/>
      <c r="J36" s="75"/>
      <c r="K36" s="174"/>
      <c r="L36" s="75"/>
      <c r="M36" s="174"/>
    </row>
    <row r="37" spans="3:16" ht="14.5" thickBot="1">
      <c r="C37" s="226" t="s">
        <v>333</v>
      </c>
      <c r="D37" s="227">
        <v>0.20300000000000001</v>
      </c>
      <c r="E37" s="225">
        <f>D49/D$45</f>
        <v>0.28999999999999998</v>
      </c>
      <c r="F37" s="75"/>
      <c r="G37" s="174"/>
      <c r="H37" s="75"/>
      <c r="I37" s="240"/>
      <c r="J37" s="75"/>
      <c r="K37" s="174"/>
      <c r="L37" s="75"/>
      <c r="M37" s="174"/>
    </row>
    <row r="38" spans="3:16" ht="15.75" customHeight="1" thickBot="1">
      <c r="C38" s="226" t="s">
        <v>317</v>
      </c>
      <c r="D38" s="227">
        <v>0.13300000000000001</v>
      </c>
      <c r="E38" s="225">
        <f>D50/D$45</f>
        <v>0.18999999999999997</v>
      </c>
      <c r="F38" s="75"/>
      <c r="G38" s="174"/>
      <c r="H38" s="75"/>
      <c r="I38" s="174"/>
      <c r="J38" s="75"/>
      <c r="K38" s="174"/>
      <c r="L38" s="75"/>
      <c r="M38" s="174"/>
    </row>
    <row r="39" spans="3:16" ht="14.5" thickBot="1">
      <c r="C39" s="223" t="s">
        <v>320</v>
      </c>
      <c r="D39" s="228">
        <v>5.9499999999999997E-2</v>
      </c>
      <c r="E39" s="225">
        <f>D51/D$45</f>
        <v>8.4999999999999992E-2</v>
      </c>
      <c r="F39" s="75"/>
      <c r="G39" s="174"/>
      <c r="H39" s="75"/>
      <c r="I39" s="174"/>
      <c r="J39" s="75"/>
      <c r="K39" s="174"/>
      <c r="L39" s="75"/>
      <c r="M39" s="174"/>
    </row>
    <row r="40" spans="3:16" ht="14.5" thickBot="1">
      <c r="C40" s="226" t="s">
        <v>319</v>
      </c>
      <c r="D40" s="227">
        <v>2.4500000000000001E-2</v>
      </c>
      <c r="E40" s="225">
        <f>D52/D$45</f>
        <v>3.4999999999999996E-2</v>
      </c>
      <c r="F40" s="75"/>
      <c r="G40" s="174"/>
      <c r="H40" s="75"/>
      <c r="I40" s="174"/>
      <c r="J40" s="75"/>
      <c r="K40" s="174"/>
      <c r="L40" s="75"/>
      <c r="M40" s="174"/>
    </row>
    <row r="41" spans="3:16" ht="14.5" thickBot="1">
      <c r="C41" s="223" t="s">
        <v>334</v>
      </c>
      <c r="D41" s="224">
        <v>0.3</v>
      </c>
      <c r="E41" s="222"/>
      <c r="F41" s="75"/>
      <c r="G41" s="174"/>
      <c r="H41" s="75"/>
      <c r="I41" s="174"/>
      <c r="J41" s="75"/>
      <c r="K41" s="174"/>
      <c r="L41" s="75"/>
      <c r="M41" s="174"/>
    </row>
    <row r="42" spans="3:16">
      <c r="C42" s="222"/>
      <c r="D42" s="222"/>
      <c r="E42" s="222"/>
      <c r="H42" s="75"/>
      <c r="I42" s="174"/>
      <c r="J42" s="75"/>
      <c r="K42" s="174"/>
      <c r="L42" s="75"/>
      <c r="M42" s="174"/>
      <c r="N42" s="75"/>
      <c r="O42" s="174"/>
    </row>
    <row r="43" spans="3:16">
      <c r="F43" s="222"/>
      <c r="I43" s="75"/>
      <c r="J43" s="174"/>
      <c r="K43" s="75"/>
      <c r="L43" s="174"/>
      <c r="M43" s="75"/>
      <c r="N43" s="174"/>
      <c r="O43" s="75"/>
      <c r="P43" s="174"/>
    </row>
    <row r="44" spans="3:16">
      <c r="D44" s="1" t="s">
        <v>335</v>
      </c>
      <c r="I44" s="75"/>
      <c r="J44" s="174"/>
      <c r="K44" s="75"/>
      <c r="L44" s="174"/>
      <c r="M44" s="75"/>
      <c r="N44" s="174"/>
      <c r="O44" s="75"/>
      <c r="P44" s="174"/>
    </row>
    <row r="45" spans="3:16">
      <c r="D45" s="143">
        <f>62-D46</f>
        <v>43.400000000000006</v>
      </c>
      <c r="I45" s="75"/>
      <c r="J45" s="174"/>
      <c r="K45" s="75"/>
      <c r="L45" s="174"/>
      <c r="M45" s="75"/>
      <c r="N45" s="174"/>
      <c r="O45" s="75"/>
      <c r="P45" s="174"/>
    </row>
    <row r="46" spans="3:16">
      <c r="D46" s="173">
        <f>D53</f>
        <v>18.599999999999998</v>
      </c>
      <c r="I46" s="75"/>
      <c r="J46" s="174"/>
      <c r="K46" s="75"/>
      <c r="L46" s="174"/>
      <c r="M46" s="75"/>
      <c r="N46" s="174"/>
      <c r="O46" s="75"/>
      <c r="P46" s="174"/>
    </row>
    <row r="47" spans="3:16">
      <c r="D47" s="219"/>
      <c r="I47" s="75"/>
      <c r="J47" s="174"/>
      <c r="K47" s="75"/>
      <c r="L47" s="174"/>
      <c r="M47" s="75"/>
      <c r="N47" s="174"/>
      <c r="O47" s="75"/>
      <c r="P47" s="174"/>
    </row>
    <row r="48" spans="3:16">
      <c r="C48" s="1" t="s">
        <v>285</v>
      </c>
      <c r="D48" s="46">
        <f>62*D36</f>
        <v>17.360000000000003</v>
      </c>
      <c r="I48" s="75"/>
      <c r="J48" s="174"/>
      <c r="K48" s="75"/>
      <c r="L48" s="174"/>
      <c r="M48" s="75"/>
      <c r="N48" s="174"/>
      <c r="O48" s="75"/>
      <c r="P48" s="174"/>
    </row>
    <row r="49" spans="3:16">
      <c r="C49" s="1" t="s">
        <v>333</v>
      </c>
      <c r="D49" s="46">
        <f>62*D37</f>
        <v>12.586</v>
      </c>
      <c r="I49" s="75"/>
      <c r="J49" s="174"/>
      <c r="K49" s="75"/>
      <c r="L49" s="174"/>
      <c r="M49" s="75"/>
      <c r="N49" s="174"/>
      <c r="O49" s="75"/>
      <c r="P49" s="174"/>
    </row>
    <row r="50" spans="3:16">
      <c r="C50" s="1" t="s">
        <v>317</v>
      </c>
      <c r="D50" s="46">
        <f t="shared" ref="D50:D53" si="6">62*D38</f>
        <v>8.2460000000000004</v>
      </c>
      <c r="I50" s="75"/>
      <c r="J50" s="174"/>
      <c r="K50" s="75"/>
      <c r="L50" s="174"/>
      <c r="M50" s="75"/>
      <c r="N50" s="174"/>
      <c r="O50" s="75"/>
      <c r="P50" s="174"/>
    </row>
    <row r="51" spans="3:16">
      <c r="C51" s="1" t="s">
        <v>320</v>
      </c>
      <c r="D51" s="46">
        <f t="shared" si="6"/>
        <v>3.6890000000000001</v>
      </c>
      <c r="I51" s="75"/>
      <c r="J51" s="174"/>
      <c r="K51" s="75"/>
      <c r="L51" s="174"/>
      <c r="M51" s="75"/>
      <c r="N51" s="174"/>
      <c r="O51" s="75"/>
      <c r="P51" s="174"/>
    </row>
    <row r="52" spans="3:16">
      <c r="C52" s="1" t="s">
        <v>319</v>
      </c>
      <c r="D52" s="46">
        <f t="shared" si="6"/>
        <v>1.5190000000000001</v>
      </c>
      <c r="I52" s="75"/>
      <c r="J52" s="174"/>
      <c r="K52" s="75"/>
      <c r="L52" s="174"/>
      <c r="M52" s="75"/>
      <c r="N52" s="174"/>
      <c r="O52" s="75"/>
      <c r="P52" s="174"/>
    </row>
    <row r="53" spans="3:16">
      <c r="C53" s="1" t="s">
        <v>334</v>
      </c>
      <c r="D53" s="46">
        <f t="shared" si="6"/>
        <v>18.599999999999998</v>
      </c>
      <c r="I53" s="75"/>
      <c r="J53" s="174"/>
      <c r="K53" s="75"/>
      <c r="L53" s="174"/>
      <c r="M53" s="75"/>
      <c r="N53" s="174"/>
      <c r="O53" s="75"/>
      <c r="P53" s="174"/>
    </row>
    <row r="54" spans="3:16">
      <c r="I54" s="75"/>
      <c r="J54" s="174"/>
      <c r="K54" s="75"/>
      <c r="L54" s="174"/>
      <c r="M54" s="75"/>
      <c r="N54" s="174"/>
      <c r="O54" s="75"/>
      <c r="P54" s="174"/>
    </row>
    <row r="55" spans="3:16">
      <c r="I55" s="75"/>
      <c r="J55" s="174"/>
      <c r="K55" s="75"/>
      <c r="L55" s="174"/>
      <c r="M55" s="75"/>
      <c r="N55" s="174"/>
      <c r="O55" s="75"/>
      <c r="P55" s="174"/>
    </row>
    <row r="56" spans="3:16">
      <c r="H56" s="75"/>
    </row>
    <row r="57" spans="3:16">
      <c r="H57" s="75"/>
    </row>
  </sheetData>
  <conditionalFormatting sqref="D19:D24">
    <cfRule type="expression" dxfId="233" priority="11">
      <formula>_xlfn.ISFORMULA(D19)</formula>
    </cfRule>
  </conditionalFormatting>
  <conditionalFormatting sqref="B13:B14">
    <cfRule type="expression" dxfId="232" priority="5">
      <formula>_xlfn.ISFORMULA(B13)</formula>
    </cfRule>
  </conditionalFormatting>
  <conditionalFormatting sqref="B18:B19">
    <cfRule type="expression" dxfId="231" priority="4">
      <formula>_xlfn.ISFORMULA(B18)</formula>
    </cfRule>
  </conditionalFormatting>
  <conditionalFormatting sqref="K12">
    <cfRule type="expression" dxfId="230" priority="3">
      <formula>_xlfn.ISFORMULA(K12)</formula>
    </cfRule>
  </conditionalFormatting>
  <conditionalFormatting sqref="D14:D15">
    <cfRule type="expression" dxfId="229" priority="1">
      <formula>_xlfn.ISFORMULA(D14)</formula>
    </cfRule>
  </conditionalFormatting>
  <pageMargins left="0.7" right="0.7" top="0.75" bottom="0.75" header="0.3" footer="0.3"/>
  <pageSetup paperSize="9" orientation="portrait" horizontalDpi="4294967294" verticalDpi="4294967294"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7FA7AFB55CF947B37BC109F6568DD9" ma:contentTypeVersion="22" ma:contentTypeDescription="Create a new document." ma:contentTypeScope="" ma:versionID="c40134b7fa34bbce3d17e3ea0203342d">
  <xsd:schema xmlns:xsd="http://www.w3.org/2001/XMLSchema" xmlns:xs="http://www.w3.org/2001/XMLSchema" xmlns:p="http://schemas.microsoft.com/office/2006/metadata/properties" xmlns:ns2="a1361757-8279-4b51-8caa-f5711e9f829f" xmlns:ns3="0063f72e-ace3-48fb-9c1f-5b513408b31f" xmlns:ns4="b413c3fd-5a3b-4239-b985-69032e371c04" xmlns:ns5="a8f60570-4bd3-4f2b-950b-a996de8ab151" xmlns:ns6="aaacb922-5235-4a66-b188-303b9b46fbd7" xmlns:ns7="0108faec-1722-4a19-9783-b49c1c73083a" targetNamespace="http://schemas.microsoft.com/office/2006/metadata/properties" ma:root="true" ma:fieldsID="7bd313d15de91aad1a96610fc20eb934" ns2:_="" ns3:_="" ns4:_="" ns5:_="" ns6:_="" ns7:_="">
    <xsd:import namespace="a1361757-8279-4b51-8caa-f5711e9f829f"/>
    <xsd:import namespace="0063f72e-ace3-48fb-9c1f-5b513408b31f"/>
    <xsd:import namespace="b413c3fd-5a3b-4239-b985-69032e371c04"/>
    <xsd:import namespace="a8f60570-4bd3-4f2b-950b-a996de8ab151"/>
    <xsd:import namespace="aaacb922-5235-4a66-b188-303b9b46fbd7"/>
    <xsd:import namespace="0108faec-1722-4a19-9783-b49c1c73083a"/>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61757-8279-4b51-8caa-f5711e9f829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Strategic and International Analysis|04eb65d3-7a45-4bfe-8784-5dd7a80cdbe9"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505542a3-cb0c-4180-a32c-8eccd5d289aa}" ma:internalName="TaxCatchAll" ma:showField="CatchAllData" ma:web="a1361757-8279-4b51-8caa-f5711e9f829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505542a3-cb0c-4180-a32c-8eccd5d289aa}" ma:internalName="TaxCatchAllLabel" ma:readOnly="true" ma:showField="CatchAllDataLabel" ma:web="a1361757-8279-4b51-8caa-f5711e9f829f">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08faec-1722-4a19-9783-b49c1c73083a"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2020-02-09T11:04:30+00:00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m975189f4ba442ecbf67d4147307b177 xmlns="a1361757-8279-4b51-8caa-f5711e9f829f">
      <Terms xmlns="http://schemas.microsoft.com/office/infopath/2007/PartnerControls">
        <TermInfo xmlns="http://schemas.microsoft.com/office/infopath/2007/PartnerControls">
          <TermName xmlns="http://schemas.microsoft.com/office/infopath/2007/PartnerControls">Head of Energy Innovation</TermName>
          <TermId xmlns="http://schemas.microsoft.com/office/infopath/2007/PartnerControls">095a941e-9775-45f2-b48c-2823c74c3a97</TermId>
        </TermInfo>
      </Terms>
    </m975189f4ba442ecbf67d4147307b177>
    <TaxCatchAll xmlns="a1361757-8279-4b51-8caa-f5711e9f829f">
      <Value>2</Value>
    </TaxCatchAll>
    <_dlc_DocId xmlns="a1361757-8279-4b51-8caa-f5711e9f829f">XCPV4XZJX7Q3-1276910870-20461</_dlc_DocId>
    <_dlc_DocIdUrl xmlns="a1361757-8279-4b51-8caa-f5711e9f829f">
      <Url>https://beisgov.sharepoint.com/sites/CGInnovationAndHydrogen/_layouts/15/DocIdRedir.aspx?ID=XCPV4XZJX7Q3-1276910870-20461</Url>
      <Description>XCPV4XZJX7Q3-1276910870-20461</Description>
    </_dlc_DocIdUrl>
    <SharedWithUsers xmlns="a1361757-8279-4b51-8caa-f5711e9f829f">
      <UserInfo>
        <DisplayName/>
        <AccountId xsi:nil="true"/>
        <AccountType/>
      </UserInfo>
    </SharedWithUsers>
    <lcf76f155ced4ddcb4097134ff3c332f xmlns="0108faec-1722-4a19-9783-b49c1c73083a">
      <Terms xmlns="http://schemas.microsoft.com/office/infopath/2007/PartnerControls"/>
    </lcf76f155ced4ddcb4097134ff3c332f>
    <MediaLengthInSeconds xmlns="0108faec-1722-4a19-9783-b49c1c73083a" xsi:nil="true"/>
    <_dlc_DocIdPersistId xmlns="a1361757-8279-4b51-8caa-f5711e9f829f">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D a t a M a s h u p   x m l n s = " h t t p : / / s c h e m a s . m i c r o s o f t . c o m / D a t a M a s h u p " > A A A A A M s E A A B Q S w M E F A A C A A g A X X p E T u A + T f 6 o A A A A + A A A A B I A H A B D b 2 5 m a W c v U G F j a 2 F n Z S 5 4 b W w g o h g A K K A U A A A A A A A A A A A A A A A A A A A A A A A A A A A A h Y / N C o J A G E V f R W b v / C i G y O c I t W i T E A T R d p g m H d I x n L H x 3 V r 0 S L 1 C Q l n t W t 7 L u X D u 4 3 a H Y m y b 4 K p 6 q z u T I 4 Y p C p S R 3 V G b K k e D O 4 U p K j h s h T y L S g U T b G w 2 W p 2 j 2 r l L R o j 3 H v s Y d 3 1 F I k o Z O Z S b n a x V K 0 J t r B N G K v R Z H f + v E I f 9 S 4 Z H e J H g J G Y x Z i k D M t d Q a v N F o s k Y U y A / J a y G x g 2 9 4 s q E 6 y W Q O Q J 5 v + B P U E s D B B Q A A g A I A F 1 6 R 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e k R O t S i B H 8 E B A A A d B g A A E w A c A E Z v c m 1 1 b G F z L 1 N l Y 3 R p b 2 4 x L m 0 g o h g A K K A U A A A A A A A A A A A A A A A A A A A A A A A A A A A A 7 V N R a 9 s w E H 4 P 5 D 8 I 9 c U G z d j e W t i K H 4 a 9 s o y S d n W 6 U p I y F O v S G G S p S H K z N O S / 9 1 y n S 7 q 4 M P a 0 h + p F 0 n 2 6 7 + 4 7 3 V k o X K k V y d s 9 O u 7 3 + j 0 7 5 w Y E O a A Z d / y b n g 6 y d 9 F h d P Q x j H 8 + 7 2 e z m Z 1 r A 1 e l E j E l C Z H g + j 2 C K 9 e 1 K Q A t q b 0 P M l 3 U F S j n n Z Q S g l Q r h x f r 0 f T T 5 N K C s Z P T 8 u F h S V L N x S T T C y X x Y C d / G T Y o 7 D 3 1 2 T g D W V a l A 5 N Q R h m S y b p S N o l C R r 6 o Q o t S 3 S Z R f B g z 8 r 3 W D n K 3 l J B s j 8 F Q K 7 j x W Z v + A T 0 3 u k J M k K / A B e b Y q B v x K T 7 c I B u 7 1 y p l Z L y x f 5 Y y L 7 j k x i b O 1 L u U 6 Z y r W 2 Q c L e 9 g S z c y X N m Z N l W b c Q N a r y M + W 6 3 o U G M Z C 8 l d b Q A 1 O n x L H P x y a 0 Z W 9 A L u t E H 9 g / z s / R 6 I d K I u X K p F 4 z h Q 7 u h D 0 I R 6 4 T n k 1 T 7 t O T d O v c b a Y p 1 + 1 8 D N f i h U K + B E 6 k W n z 2 + 0 O 8 8 n + A e X N Z B S k S g M Q 3 K Z Z 8 8 s q q 6 m Y N b r b c G x 3 V A V 1 v B C L 3 Y + M A e J f d 7 Y v D 8 + h R H g x Z x 4 4 x 3 R N + h H r 0 4 z 6 v v 9 X q m 6 u f 9 p Y I g X + 2 9 D 8 z Y 0 / 8 X Q 7 P b 2 i 5 o f P w J Q S w E C L Q A U A A I A C A B d e k R O 4 D 5 N / q g A A A D 4 A A A A E g A A A A A A A A A A A A A A A A A A A A A A Q 2 9 u Z m l n L 1 B h Y 2 t h Z 2 U u e G 1 s U E s B A i 0 A F A A C A A g A X X p E T g / K 6 a u k A A A A 6 Q A A A B M A A A A A A A A A A A A A A A A A 9 A A A A F t D b 2 5 0 Z W 5 0 X 1 R 5 c G V z X S 5 4 b W x Q S w E C L Q A U A A I A C A B d e k R O t S i B H 8 E B A A A d B g A A E w A A A A A A A A A A A A A A A A D l A Q A A R m 9 y b X V s Y X M v U 2 V j d G l v b j E u b V B L B Q Y A A A A A A w A D A M I A A A D z 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I A A A A A A A A E Q g 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R G F 0 Y U p v Y k l E L T E 1 M T Y 5 M D J f M T U x N j k w M l 9 P Z m Z z a G 9 y Z V d p b m Q y 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w I i A v P j x F b n R y e S B U e X B l P S J G a W x s R X J y b 3 J D b 2 R l I i B W Y W x 1 Z T 0 i c 1 V u a 2 5 v d 2 4 i I C 8 + P E V u d H J 5 I F R 5 c G U 9 I k Z p b G x F c n J v c k N v d W 5 0 I i B W Y W x 1 Z T 0 i b D A i I C 8 + P E V u d H J 5 I F R 5 c G U 9 I k Z p b G x M Y X N 0 V X B k Y X R l Z C I g V m F s d W U 9 I m Q y M D E 5 L T A y L T A 0 V D E z O j E 4 O j Q 3 L j A 3 M z E 0 O D V a I i A v P j x F b n R y e S B U e X B l P S J G a W x s Q 2 9 s d W 1 u V H l w Z X M i I F Z h b H V l P S J z Q m d Z R E J n W U d B d 1 l E Q l E 9 P S I g L z 4 8 R W 5 0 c n k g V H l w Z T 0 i R m l s b E N v b H V t b k 5 h b W V z I i B W Y W x 1 Z T 0 i c 1 s m c X V v d D t O b 2 1 l b m N s Y X R 1 c m U m c X V v d D s s J n F 1 b 3 Q 7 U m V w b 3 J 0 Z X J J U 0 8 z J n F 1 b 3 Q 7 L C Z x d W 9 0 O 1 B y b 2 R 1 Y 3 R D b 2 R l J n F 1 b 3 Q 7 L C Z x d W 9 0 O 1 J l c G 9 y d G V y T m F t Z S Z x d W 9 0 O y w m c X V v d D t Q Y X J 0 b m V y S V N P M y Z x d W 9 0 O y w m c X V v d D t Q Y X J 0 b m V y T m F t Z S Z x d W 9 0 O y w m c X V v d D t Z Z W F y J n F 1 b 3 Q 7 L C Z x d W 9 0 O 1 R y Y W R l R m x v d 0 5 h b W U m c X V v d D s s J n F 1 b 3 Q 7 V H J h Z G V G b G 9 3 Q 2 9 k Z S Z x d W 9 0 O y w m c X V v d D t U c m F k Z V Z h b H V l I G l u I D E w M D A g V V N E J n F 1 b 3 Q 7 X S 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0 R h d G F K b 2 J J R C 0 x N T E 2 O T A y X z E 1 M T Y 5 M D J f T 2 Z m c 2 h v c m V X a W 5 k M i 9 D a G F u Z 2 V k I F R 5 c G U u e 0 5 v b W V u Y 2 x h d H V y Z S w w f S Z x d W 9 0 O y w m c X V v d D t T Z W N 0 a W 9 u M S 9 E Y X R h S m 9 i S U Q t M T U x N j k w M l 8 x N T E 2 O T A y X 0 9 m Z n N o b 3 J l V 2 l u Z D I v Q 2 h h b m d l Z C B U e X B l L n t S Z X B v c n R l c k l T T z M s M X 0 m c X V v d D s s J n F 1 b 3 Q 7 U 2 V j d G l v b j E v R G F 0 Y U p v Y k l E L T E 1 M T Y 5 M D J f M T U x N j k w M l 9 P Z m Z z a G 9 y Z V d p b m Q y L 0 N o Y W 5 n Z W Q g V H l w Z S 5 7 U H J v Z H V j d E N v Z G U s M n 0 m c X V v d D s s J n F 1 b 3 Q 7 U 2 V j d G l v b j E v R G F 0 Y U p v Y k l E L T E 1 M T Y 5 M D J f M T U x N j k w M l 9 P Z m Z z a G 9 y Z V d p b m Q y L 0 N o Y W 5 n Z W Q g V H l w Z S 5 7 U m V w b 3 J 0 Z X J O Y W 1 l L D N 9 J n F 1 b 3 Q 7 L C Z x d W 9 0 O 1 N l Y 3 R p b 2 4 x L 0 R h d G F K b 2 J J R C 0 x N T E 2 O T A y X z E 1 M T Y 5 M D J f T 2 Z m c 2 h v c m V X a W 5 k M i 9 D a G F u Z 2 V k I F R 5 c G U u e 1 B h c n R u Z X J J U 0 8 z L D R 9 J n F 1 b 3 Q 7 L C Z x d W 9 0 O 1 N l Y 3 R p b 2 4 x L 0 R h d G F K b 2 J J R C 0 x N T E 2 O T A y X z E 1 M T Y 5 M D J f T 2 Z m c 2 h v c m V X a W 5 k M i 9 D a G F u Z 2 V k I F R 5 c G U u e 1 B h c n R u Z X J O Y W 1 l L D V 9 J n F 1 b 3 Q 7 L C Z x d W 9 0 O 1 N l Y 3 R p b 2 4 x L 0 R h d G F K b 2 J J R C 0 x N T E 2 O T A y X z E 1 M T Y 5 M D J f T 2 Z m c 2 h v c m V X a W 5 k M i 9 D a G F u Z 2 V k I F R 5 c G U u e 1 l l Y X I s N n 0 m c X V v d D s s J n F 1 b 3 Q 7 U 2 V j d G l v b j E v R G F 0 Y U p v Y k l E L T E 1 M T Y 5 M D J f M T U x N j k w M l 9 P Z m Z z a G 9 y Z V d p b m Q y L 0 N o Y W 5 n Z W Q g V H l w Z S 5 7 V H J h Z G V G b G 9 3 T m F t Z S w 3 f S Z x d W 9 0 O y w m c X V v d D t T Z W N 0 a W 9 u M S 9 E Y X R h S m 9 i S U Q t M T U x N j k w M l 8 x N T E 2 O T A y X 0 9 m Z n N o b 3 J l V 2 l u Z D I v Q 2 h h b m d l Z C B U e X B l L n t U c m F k Z U Z s b 3 d D b 2 R l L D h 9 J n F 1 b 3 Q 7 L C Z x d W 9 0 O 1 N l Y 3 R p b 2 4 x L 0 R h d G F K b 2 J J R C 0 x N T E 2 O T A y X z E 1 M T Y 5 M D J f T 2 Z m c 2 h v c m V X a W 5 k M i 9 D a G F u Z 2 V k I F R 5 c G U u e 1 R y Y W R l V m F s d W U g a W 4 g M T A w M C B V U 0 Q s O X 0 m c X V v d D t d L C Z x d W 9 0 O 0 N v b H V t b k N v d W 5 0 J n F 1 b 3 Q 7 O j E w L C Z x d W 9 0 O 0 t l e U N v b H V t b k 5 h b W V z J n F 1 b 3 Q 7 O l t d L C Z x d W 9 0 O 0 N v b H V t b k l k Z W 5 0 a X R p Z X M m c X V v d D s 6 W y Z x d W 9 0 O 1 N l Y 3 R p b 2 4 x L 0 R h d G F K b 2 J J R C 0 x N T E 2 O T A y X z E 1 M T Y 5 M D J f T 2 Z m c 2 h v c m V X a W 5 k M i 9 D a G F u Z 2 V k I F R 5 c G U u e 0 5 v b W V u Y 2 x h d H V y Z S w w f S Z x d W 9 0 O y w m c X V v d D t T Z W N 0 a W 9 u M S 9 E Y X R h S m 9 i S U Q t M T U x N j k w M l 8 x N T E 2 O T A y X 0 9 m Z n N o b 3 J l V 2 l u Z D I v Q 2 h h b m d l Z C B U e X B l L n t S Z X B v c n R l c k l T T z M s M X 0 m c X V v d D s s J n F 1 b 3 Q 7 U 2 V j d G l v b j E v R G F 0 Y U p v Y k l E L T E 1 M T Y 5 M D J f M T U x N j k w M l 9 P Z m Z z a G 9 y Z V d p b m Q y L 0 N o Y W 5 n Z W Q g V H l w Z S 5 7 U H J v Z H V j d E N v Z G U s M n 0 m c X V v d D s s J n F 1 b 3 Q 7 U 2 V j d G l v b j E v R G F 0 Y U p v Y k l E L T E 1 M T Y 5 M D J f M T U x N j k w M l 9 P Z m Z z a G 9 y Z V d p b m Q y L 0 N o Y W 5 n Z W Q g V H l w Z S 5 7 U m V w b 3 J 0 Z X J O Y W 1 l L D N 9 J n F 1 b 3 Q 7 L C Z x d W 9 0 O 1 N l Y 3 R p b 2 4 x L 0 R h d G F K b 2 J J R C 0 x N T E 2 O T A y X z E 1 M T Y 5 M D J f T 2 Z m c 2 h v c m V X a W 5 k M i 9 D a G F u Z 2 V k I F R 5 c G U u e 1 B h c n R u Z X J J U 0 8 z L D R 9 J n F 1 b 3 Q 7 L C Z x d W 9 0 O 1 N l Y 3 R p b 2 4 x L 0 R h d G F K b 2 J J R C 0 x N T E 2 O T A y X z E 1 M T Y 5 M D J f T 2 Z m c 2 h v c m V X a W 5 k M i 9 D a G F u Z 2 V k I F R 5 c G U u e 1 B h c n R u Z X J O Y W 1 l L D V 9 J n F 1 b 3 Q 7 L C Z x d W 9 0 O 1 N l Y 3 R p b 2 4 x L 0 R h d G F K b 2 J J R C 0 x N T E 2 O T A y X z E 1 M T Y 5 M D J f T 2 Z m c 2 h v c m V X a W 5 k M i 9 D a G F u Z 2 V k I F R 5 c G U u e 1 l l Y X I s N n 0 m c X V v d D s s J n F 1 b 3 Q 7 U 2 V j d G l v b j E v R G F 0 Y U p v Y k l E L T E 1 M T Y 5 M D J f M T U x N j k w M l 9 P Z m Z z a G 9 y Z V d p b m Q y L 0 N o Y W 5 n Z W Q g V H l w Z S 5 7 V H J h Z G V G b G 9 3 T m F t Z S w 3 f S Z x d W 9 0 O y w m c X V v d D t T Z W N 0 a W 9 u M S 9 E Y X R h S m 9 i S U Q t M T U x N j k w M l 8 x N T E 2 O T A y X 0 9 m Z n N o b 3 J l V 2 l u Z D I v Q 2 h h b m d l Z C B U e X B l L n t U c m F k Z U Z s b 3 d D b 2 R l L D h 9 J n F 1 b 3 Q 7 L C Z x d W 9 0 O 1 N l Y 3 R p b 2 4 x L 0 R h d G F K b 2 J J R C 0 x N T E 2 O T A y X z E 1 M T Y 5 M D J f T 2 Z m c 2 h v c m V X a W 5 k M i 9 D a G F u Z 2 V k I F R 5 c G U u e 1 R y Y W R l V m F s d W U g a W 4 g M T A w M C B V U 0 Q s O X 0 m c X V v d D t d L C Z x d W 9 0 O 1 J l b G F 0 a W 9 u c 2 h p c E l u Z m 8 m c X V v d D s 6 W 1 1 9 I i A v P j w v U 3 R h Y m x l R W 5 0 c m l l c z 4 8 L 0 l 0 Z W 0 + P E l 0 Z W 0 + P E l 0 Z W 1 M b 2 N h d G l v b j 4 8 S X R l b V R 5 c G U + R m 9 y b X V s Y T w v S X R l b V R 5 c G U + P E l 0 Z W 1 Q Y X R o P l N l Y 3 R p b 2 4 x L 0 R h d G F K b 2 J J R C 0 x N T E 2 O T A y X z E 1 M T Y 5 M D J f T 2 Z m c 2 h v c m V X a W 5 k M i 9 T b 3 V y Y 2 U 8 L 0 l 0 Z W 1 Q Y X R o P j w v S X R l b U x v Y 2 F 0 a W 9 u P j x T d G F i b G V F b n R y a W V z I C 8 + P C 9 J d G V t P j x J d G V t P j x J d G V t T G 9 j Y X R p b 2 4 + P E l 0 Z W 1 U e X B l P k Z v c m 1 1 b G E 8 L 0 l 0 Z W 1 U e X B l P j x J d G V t U G F 0 a D 5 T Z W N 0 a W 9 u M S 9 E Y X R h S m 9 i S U Q t M T U x N j k w M l 8 x N T E 2 O T A y X 0 9 m Z n N o b 3 J l V 2 l u Z D I v U H J v b W 9 0 Z W Q l M j B I Z W F k Z X J z P C 9 J d G V t U G F 0 a D 4 8 L 0 l 0 Z W 1 M b 2 N h d G l v b j 4 8 U 3 R h Y m x l R W 5 0 c m l l c y A v P j w v S X R l b T 4 8 S X R l b T 4 8 S X R l b U x v Y 2 F 0 a W 9 u P j x J d G V t V H l w Z T 5 G b 3 J t d W x h P C 9 J d G V t V H l w Z T 4 8 S X R l b V B h d G g + U 2 V j d G l v b j E v R G F 0 Y U p v Y k l E L T E 1 M T Y 5 M D J f M T U x N j k w M l 9 P Z m Z z a G 9 y Z V d p b m Q y L 0 N o Y W 5 n Z W Q l M j B U e X B l P C 9 J d G V t U G F 0 a D 4 8 L 0 l 0 Z W 1 M b 2 N h d G l v b j 4 8 U 3 R h Y m x l R W 5 0 c m l l c y A v P j w v S X R l b T 4 8 S X R l b T 4 8 S X R l b U x v Y 2 F 0 a W 9 u P j x J d G V t V H l w Z T 5 G b 3 J t d W x h P C 9 J d G V t V H l w Z T 4 8 S X R l b V B h d G g + U 2 V j d G l v b j E v R G F 0 Y U p v Y k l E L T E 1 M T Y 5 M D J f M T U x N j k w M l 9 P Z m Z z a G 9 y Z V d p b m Q y L 0 Z p b H R l c m V k J T I w U m 9 3 c z w v S X R l b V B h d G g + P C 9 J d G V t T G 9 j Y X R p b 2 4 + P F N 0 Y W J s Z U V u d H J p Z X M g L z 4 8 L 0 l 0 Z W 0 + P E l 0 Z W 0 + P E l 0 Z W 1 M b 2 N h d G l v b j 4 8 S X R l b V R 5 c G U + R m 9 y b X V s Y T w v S X R l b V R 5 c G U + P E l 0 Z W 1 Q Y X R o P l N l Y 3 R p b 2 4 x L 0 R h d G F K b 2 J J R C 0 x N T E 2 O T A y X z E 1 M T Y 5 M D J f T 2 Z m c 2 h v c m V X a W 5 k M 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U 5 I i A v P j x F b n R y e S B U e X B l P S J G a W x s R X J y b 3 J D b 2 R l I i B W Y W x 1 Z T 0 i c 1 V u a 2 5 v d 2 4 i I C 8 + P E V u d H J 5 I F R 5 c G U 9 I k Z p b G x F c n J v c k N v d W 5 0 I i B W Y W x 1 Z T 0 i b D A i I C 8 + P E V u d H J 5 I F R 5 c G U 9 I k Z p b G x M Y X N 0 V X B k Y X R l Z C I g V m F s d W U 9 I m Q y M D E 5 L T A y L T A 0 V D E z O j E 5 O j U x L j Q 4 N j c 1 N D V a I i A v P j x F b n R y e S B U e X B l P S J G a W x s Q 2 9 s d W 1 u V H l w Z X M i I F Z h b H V l P S J z Q m d Z R E J n W U d B d 1 l E Q l E 9 P S I g L z 4 8 R W 5 0 c n k g V H l w Z T 0 i R m l s b E N v b H V t b k 5 h b W V z I i B W Y W x 1 Z T 0 i c 1 s m c X V v d D t O b 2 1 l b m N s Y X R 1 c m U m c X V v d D s s J n F 1 b 3 Q 7 U m V w b 3 J 0 Z X J J U 0 8 z J n F 1 b 3 Q 7 L C Z x d W 9 0 O 1 B y b 2 R 1 Y 3 R D b 2 R l J n F 1 b 3 Q 7 L C Z x d W 9 0 O 1 J l c G 9 y d G V y T m F t Z S Z x d W 9 0 O y w m c X V v d D t Q Y X J 0 b m V y S V N P M y Z x d W 9 0 O y w m c X V v d D t Q Y X J 0 b m V y T m F t Z S Z x d W 9 0 O y w m c X V v d D t Z Z W F y J n F 1 b 3 Q 7 L C Z x d W 9 0 O 1 R y Y W R l R m x v d 0 5 h b W U m c X V v d D s s J n F 1 b 3 Q 7 V H J h Z G V G b G 9 3 Q 2 9 k Z S Z x d W 9 0 O y w m c X V v d D t U c m F k Z V Z h b H V l I G l u I D E w M D A g V V N E J n F 1 b 3 Q 7 X S 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0 R h d G F K b 2 J J R C 0 x N T E 2 O T A y X z E 1 M T Y 5 M D J f T 2 Z m c 2 h v c m V X a W 5 k M i A o M i k v Q 2 h h b m d l Z C B U e X B l L n t O b 2 1 l b m N s Y X R 1 c m U s M H 0 m c X V v d D s s J n F 1 b 3 Q 7 U 2 V j d G l v b j E v R G F 0 Y U p v Y k l E L T E 1 M T Y 5 M D J f M T U x N j k w M l 9 P Z m Z z a G 9 y Z V d p b m Q y I C g y K S 9 D a G F u Z 2 V k I F R 5 c G U u e 1 J l c G 9 y d G V y S V N P M y w x f S Z x d W 9 0 O y w m c X V v d D t T Z W N 0 a W 9 u M S 9 E Y X R h S m 9 i S U Q t M T U x N j k w M l 8 x N T E 2 O T A y X 0 9 m Z n N o b 3 J l V 2 l u Z D I g K D I p L 0 N o Y W 5 n Z W Q g V H l w Z S 5 7 U H J v Z H V j d E N v Z G U s M n 0 m c X V v d D s s J n F 1 b 3 Q 7 U 2 V j d G l v b j E v R G F 0 Y U p v Y k l E L T E 1 M T Y 5 M D J f M T U x N j k w M l 9 P Z m Z z a G 9 y Z V d p b m Q y I C g y K S 9 D a G F u Z 2 V k I F R 5 c G U u e 1 J l c G 9 y d G V y T m F t Z S w z f S Z x d W 9 0 O y w m c X V v d D t T Z W N 0 a W 9 u M S 9 E Y X R h S m 9 i S U Q t M T U x N j k w M l 8 x N T E 2 O T A y X 0 9 m Z n N o b 3 J l V 2 l u Z D I g K D I p L 0 N o Y W 5 n Z W Q g V H l w Z S 5 7 U G F y d G 5 l c k l T T z M s N H 0 m c X V v d D s s J n F 1 b 3 Q 7 U 2 V j d G l v b j E v R G F 0 Y U p v Y k l E L T E 1 M T Y 5 M D J f M T U x N j k w M l 9 P Z m Z z a G 9 y Z V d p b m Q y I C g y K S 9 D a G F u Z 2 V k I F R 5 c G U u e 1 B h c n R u Z X J O Y W 1 l L D V 9 J n F 1 b 3 Q 7 L C Z x d W 9 0 O 1 N l Y 3 R p b 2 4 x L 0 R h d G F K b 2 J J R C 0 x N T E 2 O T A y X z E 1 M T Y 5 M D J f T 2 Z m c 2 h v c m V X a W 5 k M i A o M i k v Q 2 h h b m d l Z C B U e X B l L n t Z Z W F y L D Z 9 J n F 1 b 3 Q 7 L C Z x d W 9 0 O 1 N l Y 3 R p b 2 4 x L 0 R h d G F K b 2 J J R C 0 x N T E 2 O T A y X z E 1 M T Y 5 M D J f T 2 Z m c 2 h v c m V X a W 5 k M i A o M i k v Q 2 h h b m d l Z C B U e X B l L n t U c m F k Z U Z s b 3 d O Y W 1 l L D d 9 J n F 1 b 3 Q 7 L C Z x d W 9 0 O 1 N l Y 3 R p b 2 4 x L 0 R h d G F K b 2 J J R C 0 x N T E 2 O T A y X z E 1 M T Y 5 M D J f T 2 Z m c 2 h v c m V X a W 5 k M i A o M i k v Q 2 h h b m d l Z C B U e X B l L n t U c m F k Z U Z s b 3 d D b 2 R l L D h 9 J n F 1 b 3 Q 7 L C Z x d W 9 0 O 1 N l Y 3 R p b 2 4 x L 0 R h d G F K b 2 J J R C 0 x N T E 2 O T A y X z E 1 M T Y 5 M D J f T 2 Z m c 2 h v c m V X a W 5 k M i A o M i k v Q 2 h h b m d l Z C B U e X B l L n t U c m F k Z V Z h b H V l I G l u I D E w M D A g V V N E L D l 9 J n F 1 b 3 Q 7 X S w m c X V v d D t D b 2 x 1 b W 5 D b 3 V u d C Z x d W 9 0 O z o x M C w m c X V v d D t L Z X l D b 2 x 1 b W 5 O Y W 1 l c y Z x d W 9 0 O z p b X S w m c X V v d D t D b 2 x 1 b W 5 J Z G V u d G l 0 a W V z J n F 1 b 3 Q 7 O l s m c X V v d D t T Z W N 0 a W 9 u M S 9 E Y X R h S m 9 i S U Q t M T U x N j k w M l 8 x N T E 2 O T A y X 0 9 m Z n N o b 3 J l V 2 l u Z D I g K D I p L 0 N o Y W 5 n Z W Q g V H l w Z S 5 7 T m 9 t Z W 5 j b G F 0 d X J l L D B 9 J n F 1 b 3 Q 7 L C Z x d W 9 0 O 1 N l Y 3 R p b 2 4 x L 0 R h d G F K b 2 J J R C 0 x N T E 2 O T A y X z E 1 M T Y 5 M D J f T 2 Z m c 2 h v c m V X a W 5 k M i A o M i k v Q 2 h h b m d l Z C B U e X B l L n t S Z X B v c n R l c k l T T z M s M X 0 m c X V v d D s s J n F 1 b 3 Q 7 U 2 V j d G l v b j E v R G F 0 Y U p v Y k l E L T E 1 M T Y 5 M D J f M T U x N j k w M l 9 P Z m Z z a G 9 y Z V d p b m Q y I C g y K S 9 D a G F u Z 2 V k I F R 5 c G U u e 1 B y b 2 R 1 Y 3 R D b 2 R l L D J 9 J n F 1 b 3 Q 7 L C Z x d W 9 0 O 1 N l Y 3 R p b 2 4 x L 0 R h d G F K b 2 J J R C 0 x N T E 2 O T A y X z E 1 M T Y 5 M D J f T 2 Z m c 2 h v c m V X a W 5 k M i A o M i k v Q 2 h h b m d l Z C B U e X B l L n t S Z X B v c n R l c k 5 h b W U s M 3 0 m c X V v d D s s J n F 1 b 3 Q 7 U 2 V j d G l v b j E v R G F 0 Y U p v Y k l E L T E 1 M T Y 5 M D J f M T U x N j k w M l 9 P Z m Z z a G 9 y Z V d p b m Q y I C g y K S 9 D a G F u Z 2 V k I F R 5 c G U u e 1 B h c n R u Z X J J U 0 8 z L D R 9 J n F 1 b 3 Q 7 L C Z x d W 9 0 O 1 N l Y 3 R p b 2 4 x L 0 R h d G F K b 2 J J R C 0 x N T E 2 O T A y X z E 1 M T Y 5 M D J f T 2 Z m c 2 h v c m V X a W 5 k M i A o M i k v Q 2 h h b m d l Z C B U e X B l L n t Q Y X J 0 b m V y T m F t Z S w 1 f S Z x d W 9 0 O y w m c X V v d D t T Z W N 0 a W 9 u M S 9 E Y X R h S m 9 i S U Q t M T U x N j k w M l 8 x N T E 2 O T A y X 0 9 m Z n N o b 3 J l V 2 l u Z D I g K D I p L 0 N o Y W 5 n Z W Q g V H l w Z S 5 7 W W V h c i w 2 f S Z x d W 9 0 O y w m c X V v d D t T Z W N 0 a W 9 u M S 9 E Y X R h S m 9 i S U Q t M T U x N j k w M l 8 x N T E 2 O T A y X 0 9 m Z n N o b 3 J l V 2 l u Z D I g K D I p L 0 N o Y W 5 n Z W Q g V H l w Z S 5 7 V H J h Z G V G b G 9 3 T m F t Z S w 3 f S Z x d W 9 0 O y w m c X V v d D t T Z W N 0 a W 9 u M S 9 E Y X R h S m 9 i S U Q t M T U x N j k w M l 8 x N T E 2 O T A y X 0 9 m Z n N o b 3 J l V 2 l u Z D I g K D I p L 0 N o Y W 5 n Z W Q g V H l w Z S 5 7 V H J h Z G V G b G 9 3 Q 2 9 k Z S w 4 f S Z x d W 9 0 O y w m c X V v d D t T Z W N 0 a W 9 u M S 9 E Y X R h S m 9 i S U Q t M T U x N j k w M l 8 x N T E 2 O T A y X 0 9 m Z n N o b 3 J l V 2 l u Z D I g K D I p L 0 N o Y W 5 n Z W Q g V H l w Z S 5 7 V H J h Z G V W Y W x 1 Z S B p b i A x M D A w I F V T R C w 5 f S Z x d W 9 0 O 1 0 s J n F 1 b 3 Q 7 U m V s Y X R p b 2 5 z a G l w S W 5 m b y Z x d W 9 0 O z p b X X 0 i I C 8 + P C 9 T d G F i b G V F b n R y a W V z P j w v S X R l b T 4 8 S X R l b T 4 8 S X R l b U x v Y 2 F 0 a W 9 u P j x J d G V t V H l w Z T 5 G b 3 J t d W x h P C 9 J d G V t V H l w Z T 4 8 S X R l b V B h d G g + U 2 V j d G l v b j E v R G F 0 Y U p v Y k l E L T E 1 M T Y 5 M D J f M T U x N j k w M l 9 P Z m Z z a G 9 y Z V d p b m Q y J T I w K D I p L 1 N v d X J j Z T w v S X R l b V B h d G g + P C 9 J d G V t T G 9 j Y X R p b 2 4 + P F N 0 Y W J s Z U V u d H J p Z X M g L z 4 8 L 0 l 0 Z W 0 + P E l 0 Z W 0 + P E l 0 Z W 1 M b 2 N h d G l v b j 4 8 S X R l b V R 5 c G U + R m 9 y b X V s Y T w v S X R l b V R 5 c G U + P E l 0 Z W 1 Q Y X R o P l N l Y 3 R p b 2 4 x L 0 R h d G F K b 2 J J R C 0 x N T E 2 O T A y X z E 1 M T Y 5 M D J f T 2 Z m c 2 h v c m V X a W 5 k M i U y M C g y K S 9 Q c m 9 t b 3 R l Z C U y M E h l Y W R l c n M 8 L 0 l 0 Z W 1 Q Y X R o P j w v S X R l b U x v Y 2 F 0 a W 9 u P j x T d G F i b G V F b n R y a W V z I C 8 + P C 9 J d G V t P j x J d G V t P j x J d G V t T G 9 j Y X R p b 2 4 + P E l 0 Z W 1 U e X B l P k Z v c m 1 1 b G E 8 L 0 l 0 Z W 1 U e X B l P j x J d G V t U G F 0 a D 5 T Z W N 0 a W 9 u M S 9 E Y X R h S m 9 i S U Q t M T U x N j k w M l 8 x N T E 2 O T A y X 0 9 m Z n N o b 3 J l V 2 l u Z D I l M j A o M i k v Q 2 h h b m d l Z C U y M F R 5 c G U 8 L 0 l 0 Z W 1 Q Y X R o P j w v S X R l b U x v Y 2 F 0 a W 9 u P j x T d G F i b G V F b n R y a W V z I C 8 + P C 9 J d G V t P j w v S X R l b X M + P C 9 M b 2 N h b F B h Y 2 t h Z 2 V N Z X R h Z G F 0 Y U Z p b G U + F g A A A F B L B Q Y A A A A A A A A A A A A A A A A A A A A A A A A m A Q A A A Q A A A N C M n d 8 B F d E R j H o A w E / C l + s B A A A A N C a y E 1 F n Y U C Z u r p V m U F Z 0 w A A A A A C A A A A A A A Q Z g A A A A E A A C A A A A A y D 5 k I b u X h g M 5 L I E 4 c m a 8 w I o 4 9 k r 5 J C 6 X a V B + W X r 8 L l w A A A A A O g A A A A A I A A C A A A A C c w t j R O k D v 3 Z J X d g E l C l L g l 1 P X G f R 8 q i X T K R B f e N t 9 h V A A A A A g r C w v 6 w R k i a h N I G R L 2 v U b o y Q C B W S l 8 u 9 w b C X X m J R + p 8 W 9 L i I V q C Q M d L z l R O h P L z w a q K k B 6 U W y X d W i Z + b 6 u X z k 5 I n x e 2 z o d b K A K T c Z 9 P S o H U A A A A A Z k H Z V a x / t Y p N m 0 s 0 d m 2 X m 5 m A t O E V Y t d v h 4 S n K i w 3 g l J Z e G 6 G 2 f 8 6 O j N W j 3 f r K D j p 0 M B n q k F v d p b 7 W 3 I M U 6 o V / < / D a t a M a s h u p > 
</file>

<file path=customXml/itemProps1.xml><?xml version="1.0" encoding="utf-8"?>
<ds:datastoreItem xmlns:ds="http://schemas.openxmlformats.org/officeDocument/2006/customXml" ds:itemID="{8DBBAD04-3896-4E1B-BFCE-3CFABE212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61757-8279-4b51-8caa-f5711e9f829f"/>
    <ds:schemaRef ds:uri="0063f72e-ace3-48fb-9c1f-5b513408b31f"/>
    <ds:schemaRef ds:uri="b413c3fd-5a3b-4239-b985-69032e371c04"/>
    <ds:schemaRef ds:uri="a8f60570-4bd3-4f2b-950b-a996de8ab151"/>
    <ds:schemaRef ds:uri="aaacb922-5235-4a66-b188-303b9b46fbd7"/>
    <ds:schemaRef ds:uri="0108faec-1722-4a19-9783-b49c1c730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C1667C-D128-41F2-BB5D-7EE5FCCD0ADE}">
  <ds:schemaRefs>
    <ds:schemaRef ds:uri="http://www.w3.org/XML/1998/namespace"/>
    <ds:schemaRef ds:uri="http://schemas.microsoft.com/office/infopath/2007/PartnerControls"/>
    <ds:schemaRef ds:uri="0108faec-1722-4a19-9783-b49c1c73083a"/>
    <ds:schemaRef ds:uri="http://schemas.openxmlformats.org/package/2006/metadata/core-properties"/>
    <ds:schemaRef ds:uri="aaacb922-5235-4a66-b188-303b9b46fbd7"/>
    <ds:schemaRef ds:uri="http://schemas.microsoft.com/office/2006/documentManagement/types"/>
    <ds:schemaRef ds:uri="http://schemas.microsoft.com/office/2006/metadata/properties"/>
    <ds:schemaRef ds:uri="http://purl.org/dc/dcmitype/"/>
    <ds:schemaRef ds:uri="http://purl.org/dc/terms/"/>
    <ds:schemaRef ds:uri="a1361757-8279-4b51-8caa-f5711e9f829f"/>
    <ds:schemaRef ds:uri="a8f60570-4bd3-4f2b-950b-a996de8ab151"/>
    <ds:schemaRef ds:uri="b413c3fd-5a3b-4239-b985-69032e371c04"/>
    <ds:schemaRef ds:uri="0063f72e-ace3-48fb-9c1f-5b513408b31f"/>
    <ds:schemaRef ds:uri="http://purl.org/dc/elements/1.1/"/>
  </ds:schemaRefs>
</ds:datastoreItem>
</file>

<file path=customXml/itemProps3.xml><?xml version="1.0" encoding="utf-8"?>
<ds:datastoreItem xmlns:ds="http://schemas.openxmlformats.org/officeDocument/2006/customXml" ds:itemID="{5E9115F3-7959-4110-BC63-72845B5D1A1C}">
  <ds:schemaRefs>
    <ds:schemaRef ds:uri="http://schemas.microsoft.com/sharepoint/v3/contenttype/forms"/>
  </ds:schemaRefs>
</ds:datastoreItem>
</file>

<file path=customXml/itemProps4.xml><?xml version="1.0" encoding="utf-8"?>
<ds:datastoreItem xmlns:ds="http://schemas.openxmlformats.org/officeDocument/2006/customXml" ds:itemID="{F3589EEA-1EF4-4356-95A6-3AA1541507EA}">
  <ds:schemaRefs>
    <ds:schemaRef ds:uri="http://schemas.microsoft.com/sharepoint/events"/>
  </ds:schemaRefs>
</ds:datastoreItem>
</file>

<file path=customXml/itemProps5.xml><?xml version="1.0" encoding="utf-8"?>
<ds:datastoreItem xmlns:ds="http://schemas.openxmlformats.org/officeDocument/2006/customXml" ds:itemID="{4908E83C-F90B-45AD-940B-7797B7571DC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vt:i4>
      </vt:variant>
    </vt:vector>
  </HeadingPairs>
  <TitlesOfParts>
    <vt:vector size="37" baseType="lpstr">
      <vt:lpstr>Summary</vt:lpstr>
      <vt:lpstr>Contents</vt:lpstr>
      <vt:lpstr>QA check</vt:lpstr>
      <vt:lpstr>Assumptions log</vt:lpstr>
      <vt:lpstr>Offshore wind &gt;&gt;</vt:lpstr>
      <vt:lpstr>Export analysis</vt:lpstr>
      <vt:lpstr>Deployment</vt:lpstr>
      <vt:lpstr>Tech costs (x)</vt:lpstr>
      <vt:lpstr>Tech costs</vt:lpstr>
      <vt:lpstr>Market turnover</vt:lpstr>
      <vt:lpstr>Tradeable %</vt:lpstr>
      <vt:lpstr>Total tradeable turnover</vt:lpstr>
      <vt:lpstr>UK market share</vt:lpstr>
      <vt:lpstr>Competitor market shares</vt:lpstr>
      <vt:lpstr>UK captured turnover</vt:lpstr>
      <vt:lpstr>GVA turnover multiplier</vt:lpstr>
      <vt:lpstr>GVA</vt:lpstr>
      <vt:lpstr>GVA per worker</vt:lpstr>
      <vt:lpstr>Jobs supported</vt:lpstr>
      <vt:lpstr>Background Step 4.1.3</vt:lpstr>
      <vt:lpstr>HS data</vt:lpstr>
      <vt:lpstr>Domestic analysis</vt:lpstr>
      <vt:lpstr>Deployment (2)</vt:lpstr>
      <vt:lpstr>Tech costs (2)</vt:lpstr>
      <vt:lpstr>Market turnover (2)</vt:lpstr>
      <vt:lpstr>UK market share (2)</vt:lpstr>
      <vt:lpstr>UK captured turnover (2)</vt:lpstr>
      <vt:lpstr>GVA turnover multiplier (2)</vt:lpstr>
      <vt:lpstr>GVA (2)</vt:lpstr>
      <vt:lpstr>GVA per worker (2)</vt:lpstr>
      <vt:lpstr>Jobs supported (2)</vt:lpstr>
      <vt:lpstr>'HS data'!DataJobID_1476767_1476767_OffshoreWind</vt:lpstr>
      <vt:lpstr>'HS data'!DataJobID_1476778_1476778_TotalExports</vt:lpstr>
      <vt:lpstr>'HS data'!DataJobID_1480951_1480951_OffshoreWind2</vt:lpstr>
      <vt:lpstr>'HS data'!DataJobID_1480965_1480965_TotalExports</vt:lpstr>
      <vt:lpstr>'HS data'!DataJobID_1486558_1486558_TotalExports</vt:lpstr>
      <vt:lpstr>'HS data'!DataJobID_1486578_1486578_OffshoreWind2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Maarten Hage</dc:creator>
  <cp:keywords/>
  <dc:description/>
  <cp:lastModifiedBy>Karavieh, Reza (Topps - Analysis Directorate)</cp:lastModifiedBy>
  <cp:revision/>
  <dcterms:created xsi:type="dcterms:W3CDTF">2016-04-28T13:13:34Z</dcterms:created>
  <dcterms:modified xsi:type="dcterms:W3CDTF">2023-04-28T07:34:10Z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0x0101006A7FA7AFB55CF947B37BC109F6568DD9</vt:lpwstr>
  </property>
  <property fmtid="{D5CDD505-2E9C-101B-9397-08002B2CF9AE}" pid="3" name="AuthorIds_UIVersion_113152">
    <vt:lpwstr>3379</vt:lpwstr>
  </property>
  <property fmtid="{D5CDD505-2E9C-101B-9397-08002B2CF9AE}" pid="4" name="Business Unit">
    <vt:lpwstr>2;#Head of Energy Innovation|095a941e-9775-45f2-b48c-2823c74c3a97</vt:lpwstr>
  </property>
  <property fmtid="{D5CDD505-2E9C-101B-9397-08002B2CF9AE}" pid="5" name="_dlc_DocIdItemGuid">
    <vt:lpwstr>e57d60e2-c6b1-4a2d-b70e-cb97faa2daf2</vt:lpwstr>
  </property>
  <property fmtid="{D5CDD505-2E9C-101B-9397-08002B2CF9AE}" pid="6" name="MSIP_Label_ba62f585-b40f-4ab9-bafe-39150f03d124_Enabled">
    <vt:lpwstr>true</vt:lpwstr>
  </property>
  <property fmtid="{D5CDD505-2E9C-101B-9397-08002B2CF9AE}" pid="7" name="MSIP_Label_ba62f585-b40f-4ab9-bafe-39150f03d124_SetDate">
    <vt:lpwstr>2020-10-08T13:44:58Z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ea8ae8ec-af58-4072-bc8c-000031a5ba49</vt:lpwstr>
  </property>
  <property fmtid="{D5CDD505-2E9C-101B-9397-08002B2CF9AE}" pid="12" name="MSIP_Label_ba62f585-b40f-4ab9-bafe-39150f03d124_ContentBits">
    <vt:lpwstr>0</vt:lpwstr>
  </property>
  <property fmtid="{D5CDD505-2E9C-101B-9397-08002B2CF9AE}" pid="13" name="_ExtendedDescription">
    <vt:lpwstr/>
  </property>
  <property fmtid="{D5CDD505-2E9C-101B-9397-08002B2CF9AE}" pid="14" name="MediaServiceImageTags">
    <vt:lpwstr/>
  </property>
  <property fmtid="{D5CDD505-2E9C-101B-9397-08002B2CF9AE}" pid="15" name="Order">
    <vt:r8>285300</vt:r8>
  </property>
  <property fmtid="{D5CDD505-2E9C-101B-9397-08002B2CF9AE}" pid="16" name="xd_ProgID">
    <vt:lpwstr/>
  </property>
  <property fmtid="{D5CDD505-2E9C-101B-9397-08002B2CF9AE}" pid="17" name="_ColorHex">
    <vt:lpwstr/>
  </property>
  <property fmtid="{D5CDD505-2E9C-101B-9397-08002B2CF9AE}" pid="18" name="_Emoji">
    <vt:lpwstr/>
  </property>
  <property fmtid="{D5CDD505-2E9C-101B-9397-08002B2CF9AE}" pid="19" name="ComplianceAssetId">
    <vt:lpwstr/>
  </property>
  <property fmtid="{D5CDD505-2E9C-101B-9397-08002B2CF9AE}" pid="20" name="TemplateUrl">
    <vt:lpwstr/>
  </property>
  <property fmtid="{D5CDD505-2E9C-101B-9397-08002B2CF9AE}" pid="21" name="_ColorTag">
    <vt:lpwstr/>
  </property>
  <property fmtid="{D5CDD505-2E9C-101B-9397-08002B2CF9AE}" pid="22" name="TriggerFlowInfo">
    <vt:lpwstr/>
  </property>
  <property fmtid="{D5CDD505-2E9C-101B-9397-08002B2CF9AE}" pid="23" name="xd_Signature">
    <vt:bool>false</vt:bool>
  </property>
</Properties>
</file>