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xs2297\Desktop\"/>
    </mc:Choice>
  </mc:AlternateContent>
  <bookViews>
    <workbookView xWindow="120" yWindow="90" windowWidth="28620" windowHeight="12915"/>
  </bookViews>
  <sheets>
    <sheet name="Total Costs" sheetId="1" r:id="rId1"/>
    <sheet name="Key stage 1" sheetId="9" r:id="rId2"/>
    <sheet name="KS2 Schools" sheetId="10" r:id="rId3"/>
    <sheet name="KS2 Reference Sets" sheetId="11" r:id="rId4"/>
    <sheet name="Phonics" sheetId="12" r:id="rId5"/>
    <sheet name="KM1 Mobilisation" sheetId="4" r:id="rId6"/>
    <sheet name="KM2 Key stage 1" sheetId="5" r:id="rId7"/>
    <sheet name="KM3 Key stage 2" sheetId="6" r:id="rId8"/>
    <sheet name="KM4 Phonics" sheetId="7" r:id="rId9"/>
    <sheet name="KM5 Closedown" sheetId="8" r:id="rId10"/>
  </sheets>
  <externalReferences>
    <externalReference r:id="rId11"/>
  </externalReferences>
  <definedNames>
    <definedName name="PDQ_ACQs" localSheetId="3">#REF!</definedName>
    <definedName name="PDQ_ACQs" localSheetId="2">#REF!</definedName>
    <definedName name="PDQ_ACQs" localSheetId="4">'[1]Pack Definitions and Quantities'!$J$28:$J$34</definedName>
    <definedName name="PDQ_ACQs">#REF!</definedName>
    <definedName name="PDQ_Component_Refs" localSheetId="3">#REF!</definedName>
    <definedName name="PDQ_Component_Refs" localSheetId="2">#REF!</definedName>
    <definedName name="PDQ_Component_Refs" localSheetId="4">'[1]Pack Definitions and Quantities'!$B$28:$B$34</definedName>
    <definedName name="PDQ_Component_Refs">#REF!</definedName>
    <definedName name="PDQ_MDQs" localSheetId="3">#REF!</definedName>
    <definedName name="PDQ_MDQs" localSheetId="2">#REF!</definedName>
    <definedName name="PDQ_MDQs" localSheetId="4">#REF!</definedName>
    <definedName name="PDQ_MDQs">#REF!</definedName>
    <definedName name="Spec_Component_Ref" localSheetId="3">#REF!</definedName>
    <definedName name="Spec_Component_Ref" localSheetId="2">#REF!</definedName>
    <definedName name="Spec_Component_Ref" localSheetId="4">Phonics!$B1</definedName>
    <definedName name="Spec_Component_Ref">'Key stage 1'!$B1</definedName>
  </definedNames>
  <calcPr calcId="152511"/>
</workbook>
</file>

<file path=xl/calcChain.xml><?xml version="1.0" encoding="utf-8"?>
<calcChain xmlns="http://schemas.openxmlformats.org/spreadsheetml/2006/main">
  <c r="V17" i="12" l="1"/>
  <c r="V15" i="12"/>
  <c r="S11" i="12"/>
  <c r="R11" i="12"/>
  <c r="S10" i="12"/>
  <c r="R10" i="12"/>
  <c r="S9" i="12"/>
  <c r="R9" i="12"/>
  <c r="S8" i="12"/>
  <c r="R8" i="12"/>
  <c r="S7" i="12"/>
  <c r="R7" i="12"/>
  <c r="S6" i="12"/>
  <c r="R6" i="12"/>
  <c r="S5" i="12"/>
  <c r="R5" i="12"/>
  <c r="T6" i="12" l="1"/>
  <c r="T8" i="12"/>
  <c r="U8" i="12" s="1"/>
  <c r="T10" i="12"/>
  <c r="U10" i="12" s="1"/>
  <c r="T5" i="12"/>
  <c r="U5" i="12" s="1"/>
  <c r="T7" i="12"/>
  <c r="T9" i="12"/>
  <c r="T11" i="12"/>
  <c r="U11" i="12" s="1"/>
  <c r="U6" i="12"/>
  <c r="U7" i="12"/>
  <c r="U9" i="12"/>
  <c r="B5" i="11" l="1"/>
  <c r="B6" i="11" l="1"/>
  <c r="B7" i="11"/>
  <c r="B8" i="11" l="1"/>
  <c r="B9" i="11" l="1"/>
  <c r="B10" i="11"/>
  <c r="B11" i="11" l="1"/>
  <c r="B12" i="11"/>
  <c r="B13" i="11" s="1"/>
  <c r="B14" i="11" l="1"/>
  <c r="B15" i="11" l="1"/>
  <c r="B16" i="11" s="1"/>
  <c r="B17" i="11" s="1"/>
  <c r="B18" i="11" s="1"/>
  <c r="B19" i="11" s="1"/>
  <c r="W93" i="10" l="1"/>
  <c r="W96" i="10" s="1"/>
  <c r="F89" i="10"/>
  <c r="B89" i="10" s="1"/>
  <c r="F87" i="10"/>
  <c r="B87" i="10" s="1"/>
  <c r="O86" i="10"/>
  <c r="F85" i="10"/>
  <c r="B85" i="10" s="1"/>
  <c r="F84" i="10"/>
  <c r="O89" i="10" s="1"/>
  <c r="B84" i="10"/>
  <c r="P83" i="10"/>
  <c r="F83" i="10"/>
  <c r="P84" i="10" s="1"/>
  <c r="F81" i="10"/>
  <c r="B81" i="10" s="1"/>
  <c r="F80" i="10"/>
  <c r="F75" i="10"/>
  <c r="O81" i="10" s="1"/>
  <c r="F74" i="10"/>
  <c r="P75" i="10" s="1"/>
  <c r="F72" i="10"/>
  <c r="B72" i="10" s="1"/>
  <c r="F71" i="10"/>
  <c r="O72" i="10" s="1"/>
  <c r="B71" i="10"/>
  <c r="P70" i="10"/>
  <c r="F70" i="10"/>
  <c r="P71" i="10" s="1"/>
  <c r="F68" i="10"/>
  <c r="B68" i="10" s="1"/>
  <c r="F67" i="10"/>
  <c r="O68" i="10" s="1"/>
  <c r="F66" i="10"/>
  <c r="B66" i="10"/>
  <c r="F63" i="10"/>
  <c r="P67" i="10" s="1"/>
  <c r="P62" i="10"/>
  <c r="F62" i="10"/>
  <c r="P63" i="10" s="1"/>
  <c r="B62" i="10"/>
  <c r="F60" i="10"/>
  <c r="B60" i="10" s="1"/>
  <c r="O59" i="10"/>
  <c r="F59" i="10"/>
  <c r="O60" i="10" s="1"/>
  <c r="B59" i="10"/>
  <c r="P58" i="10"/>
  <c r="F58" i="10"/>
  <c r="P59" i="10" s="1"/>
  <c r="F56" i="10"/>
  <c r="B56" i="10" s="1"/>
  <c r="P55" i="10"/>
  <c r="F55" i="10"/>
  <c r="P56" i="10" s="1"/>
  <c r="B55" i="10"/>
  <c r="P53" i="10"/>
  <c r="F53" i="10"/>
  <c r="F52" i="10"/>
  <c r="P51" i="10" s="1"/>
  <c r="B52" i="10"/>
  <c r="F51" i="10"/>
  <c r="P52" i="10" s="1"/>
  <c r="F49" i="10"/>
  <c r="B49" i="10" s="1"/>
  <c r="P48" i="10"/>
  <c r="F48" i="10"/>
  <c r="P49" i="10" s="1"/>
  <c r="B48" i="10"/>
  <c r="F46" i="10"/>
  <c r="B46" i="10"/>
  <c r="F45" i="10"/>
  <c r="P46" i="10" s="1"/>
  <c r="P44" i="10"/>
  <c r="F44" i="10"/>
  <c r="P45" i="10" s="1"/>
  <c r="B44" i="10"/>
  <c r="F42" i="10"/>
  <c r="B42" i="10"/>
  <c r="P41" i="10"/>
  <c r="F41" i="10"/>
  <c r="P42" i="10" s="1"/>
  <c r="F39" i="10"/>
  <c r="B39" i="10" s="1"/>
  <c r="P38" i="10"/>
  <c r="F38" i="10"/>
  <c r="P39" i="10" s="1"/>
  <c r="B38" i="10"/>
  <c r="F36" i="10"/>
  <c r="B36" i="10"/>
  <c r="P35" i="10"/>
  <c r="F35" i="10"/>
  <c r="P36" i="10" s="1"/>
  <c r="F33" i="10"/>
  <c r="B33" i="10" s="1"/>
  <c r="P32" i="10"/>
  <c r="F32" i="10"/>
  <c r="P33" i="10" s="1"/>
  <c r="B32" i="10"/>
  <c r="F30" i="10"/>
  <c r="B30" i="10"/>
  <c r="P29" i="10"/>
  <c r="F29" i="10"/>
  <c r="B29" i="10" s="1"/>
  <c r="F27" i="10"/>
  <c r="B27" i="10" s="1"/>
  <c r="F26" i="10"/>
  <c r="P27" i="10" s="1"/>
  <c r="P25" i="10"/>
  <c r="F25" i="10"/>
  <c r="P26" i="10" s="1"/>
  <c r="F23" i="10"/>
  <c r="P22" i="10" s="1"/>
  <c r="F22" i="10"/>
  <c r="P23" i="10" s="1"/>
  <c r="B22" i="10"/>
  <c r="F20" i="10"/>
  <c r="B20" i="10"/>
  <c r="P19" i="10"/>
  <c r="F19" i="10"/>
  <c r="B19" i="10" s="1"/>
  <c r="B5" i="10"/>
  <c r="B6" i="10" s="1"/>
  <c r="F1" i="10"/>
  <c r="P74" i="10" l="1"/>
  <c r="O77" i="10"/>
  <c r="P80" i="10"/>
  <c r="B75" i="10"/>
  <c r="F78" i="10"/>
  <c r="B78" i="10" s="1"/>
  <c r="F88" i="10"/>
  <c r="B88" i="10" s="1"/>
  <c r="O79" i="10"/>
  <c r="B26" i="10"/>
  <c r="F76" i="10"/>
  <c r="B76" i="10" s="1"/>
  <c r="P20" i="10"/>
  <c r="P30" i="10"/>
  <c r="B7" i="10"/>
  <c r="B8" i="10" s="1"/>
  <c r="B23" i="10"/>
  <c r="B25" i="10"/>
  <c r="B35" i="10"/>
  <c r="B41" i="10"/>
  <c r="B45" i="10"/>
  <c r="B51" i="10"/>
  <c r="B58" i="10"/>
  <c r="B63" i="10"/>
  <c r="F64" i="10"/>
  <c r="B64" i="10" s="1"/>
  <c r="O65" i="10"/>
  <c r="B67" i="10"/>
  <c r="O67" i="10"/>
  <c r="B70" i="10"/>
  <c r="B74" i="10"/>
  <c r="O76" i="10"/>
  <c r="F77" i="10"/>
  <c r="B77" i="10" s="1"/>
  <c r="O78" i="10"/>
  <c r="F79" i="10"/>
  <c r="B79" i="10" s="1"/>
  <c r="B83" i="10"/>
  <c r="O85" i="10"/>
  <c r="F86" i="10"/>
  <c r="B86" i="10" s="1"/>
  <c r="O64" i="10"/>
  <c r="F65" i="10"/>
  <c r="B65" i="10" s="1"/>
  <c r="O66" i="10"/>
  <c r="B9" i="10" l="1"/>
  <c r="B10" i="10"/>
  <c r="B11" i="10" l="1"/>
  <c r="B12" i="10" l="1"/>
  <c r="B13" i="10" l="1"/>
  <c r="B14" i="10" l="1"/>
  <c r="B15" i="10" s="1"/>
  <c r="B16" i="10" l="1"/>
  <c r="B17" i="10" s="1"/>
  <c r="B18" i="10" l="1"/>
  <c r="B34" i="10" s="1"/>
  <c r="B37" i="10" s="1"/>
  <c r="B40" i="10" s="1"/>
  <c r="B43" i="10" s="1"/>
  <c r="B47" i="10" s="1"/>
  <c r="B50" i="10" s="1"/>
  <c r="B54" i="10" s="1"/>
  <c r="B57" i="10" s="1"/>
  <c r="B61" i="10" s="1"/>
  <c r="B69" i="10" s="1"/>
  <c r="B73" i="10" s="1"/>
  <c r="B82" i="10" s="1"/>
  <c r="B21" i="10"/>
  <c r="B24" i="10" s="1"/>
  <c r="B28" i="10" s="1"/>
  <c r="B31" i="10" s="1"/>
  <c r="W68" i="9"/>
  <c r="W70" i="9" s="1"/>
  <c r="F64" i="9"/>
  <c r="B64" i="9" s="1"/>
  <c r="F63" i="9"/>
  <c r="B63" i="9"/>
  <c r="F58" i="9"/>
  <c r="O63" i="9" s="1"/>
  <c r="F57" i="9"/>
  <c r="P58" i="9" s="1"/>
  <c r="B57" i="9"/>
  <c r="F55" i="9"/>
  <c r="B55" i="9" s="1"/>
  <c r="O54" i="9"/>
  <c r="F54" i="9"/>
  <c r="B54" i="9" s="1"/>
  <c r="F53" i="9"/>
  <c r="P54" i="9" s="1"/>
  <c r="F51" i="9"/>
  <c r="B51" i="9" s="1"/>
  <c r="F48" i="9"/>
  <c r="O51" i="9" s="1"/>
  <c r="B48" i="9"/>
  <c r="F47" i="9"/>
  <c r="B47" i="9" s="1"/>
  <c r="O46" i="9"/>
  <c r="F46" i="9"/>
  <c r="P48" i="9" s="1"/>
  <c r="F45" i="9"/>
  <c r="P46" i="9" s="1"/>
  <c r="B45" i="9"/>
  <c r="F43" i="9"/>
  <c r="B43" i="9" s="1"/>
  <c r="F40" i="9"/>
  <c r="O43" i="9" s="1"/>
  <c r="P39" i="9"/>
  <c r="F39" i="9"/>
  <c r="P40" i="9" s="1"/>
  <c r="F37" i="9"/>
  <c r="B37" i="9"/>
  <c r="O36" i="9"/>
  <c r="F36" i="9"/>
  <c r="O37" i="9" s="1"/>
  <c r="B36" i="9"/>
  <c r="P35" i="9"/>
  <c r="F35" i="9"/>
  <c r="P36" i="9" s="1"/>
  <c r="F32" i="9"/>
  <c r="P33" i="9" s="1"/>
  <c r="B32" i="9"/>
  <c r="P31" i="9"/>
  <c r="F31" i="9"/>
  <c r="P32" i="9" s="1"/>
  <c r="F29" i="9"/>
  <c r="B29" i="9" s="1"/>
  <c r="P28" i="9"/>
  <c r="F28" i="9"/>
  <c r="P29" i="9" s="1"/>
  <c r="F26" i="9"/>
  <c r="B26" i="9"/>
  <c r="F25" i="9"/>
  <c r="P26" i="9" s="1"/>
  <c r="F24" i="9"/>
  <c r="P25" i="9" s="1"/>
  <c r="F22" i="9"/>
  <c r="P21" i="9" s="1"/>
  <c r="B22" i="9"/>
  <c r="F21" i="9"/>
  <c r="B21" i="9" s="1"/>
  <c r="F19" i="9"/>
  <c r="B19" i="9" s="1"/>
  <c r="P18" i="9"/>
  <c r="F18" i="9"/>
  <c r="P19" i="9" s="1"/>
  <c r="F16" i="9"/>
  <c r="P15" i="9" s="1"/>
  <c r="B16" i="9"/>
  <c r="F15" i="9"/>
  <c r="B15" i="9" s="1"/>
  <c r="B5" i="9"/>
  <c r="B6" i="9" s="1"/>
  <c r="B18" i="9" l="1"/>
  <c r="B24" i="9"/>
  <c r="F49" i="9"/>
  <c r="B49" i="9" s="1"/>
  <c r="P53" i="9"/>
  <c r="O55" i="9"/>
  <c r="B28" i="9"/>
  <c r="B39" i="9"/>
  <c r="P45" i="9"/>
  <c r="O50" i="9"/>
  <c r="P57" i="9"/>
  <c r="P16" i="9"/>
  <c r="P22" i="9"/>
  <c r="B7" i="9"/>
  <c r="B25" i="9"/>
  <c r="B31" i="9"/>
  <c r="B35" i="9"/>
  <c r="B40" i="9"/>
  <c r="F41" i="9"/>
  <c r="B41" i="9" s="1"/>
  <c r="O42" i="9"/>
  <c r="B46" i="9"/>
  <c r="O47" i="9"/>
  <c r="O49" i="9"/>
  <c r="F50" i="9"/>
  <c r="B50" i="9" s="1"/>
  <c r="B53" i="9"/>
  <c r="B58" i="9"/>
  <c r="F59" i="9"/>
  <c r="B59" i="9" s="1"/>
  <c r="O60" i="9"/>
  <c r="F61" i="9"/>
  <c r="B61" i="9" s="1"/>
  <c r="O62" i="9"/>
  <c r="P64" i="9"/>
  <c r="P24" i="9"/>
  <c r="O41" i="9"/>
  <c r="F42" i="9"/>
  <c r="B42" i="9" s="1"/>
  <c r="O59" i="9"/>
  <c r="F60" i="9"/>
  <c r="B60" i="9" s="1"/>
  <c r="O61" i="9"/>
  <c r="F62" i="9"/>
  <c r="B62" i="9" s="1"/>
  <c r="B8" i="9" l="1"/>
  <c r="B9" i="9" l="1"/>
  <c r="B11" i="9" l="1"/>
  <c r="B12" i="9" s="1"/>
  <c r="B13" i="9" s="1"/>
  <c r="B10" i="9"/>
  <c r="B14" i="9" l="1"/>
  <c r="B23" i="9" l="1"/>
  <c r="B27" i="9" s="1"/>
  <c r="B30" i="9" s="1"/>
  <c r="B34" i="9" s="1"/>
  <c r="B38" i="9" s="1"/>
  <c r="B44" i="9" s="1"/>
  <c r="B52" i="9" s="1"/>
  <c r="B56" i="9" s="1"/>
  <c r="B17" i="9"/>
  <c r="B20" i="9" s="1"/>
  <c r="M58" i="8" l="1"/>
  <c r="L58" i="8"/>
  <c r="J58" i="8"/>
  <c r="I58" i="8"/>
  <c r="H58" i="8"/>
  <c r="G58" i="8"/>
  <c r="F58" i="8"/>
  <c r="E58" i="8"/>
  <c r="D58" i="8"/>
  <c r="C58" i="8"/>
  <c r="B58" i="8"/>
  <c r="N57" i="8"/>
  <c r="N56" i="8"/>
  <c r="N55" i="8"/>
  <c r="K54" i="8"/>
  <c r="N54" i="8" s="1"/>
  <c r="N53" i="8"/>
  <c r="N52" i="8"/>
  <c r="N51" i="8"/>
  <c r="N50" i="8"/>
  <c r="E43" i="8"/>
  <c r="E42" i="8"/>
  <c r="E41" i="8"/>
  <c r="E40" i="8"/>
  <c r="E39" i="8"/>
  <c r="E38" i="8"/>
  <c r="E37" i="8"/>
  <c r="E36" i="8"/>
  <c r="E35" i="8"/>
  <c r="E34" i="8"/>
  <c r="E33" i="8"/>
  <c r="E32" i="8"/>
  <c r="E31" i="8"/>
  <c r="J24" i="8"/>
  <c r="H24" i="8"/>
  <c r="F24" i="8"/>
  <c r="J23" i="8"/>
  <c r="H23" i="8"/>
  <c r="F23" i="8"/>
  <c r="K23" i="8" s="1"/>
  <c r="M23" i="8" s="1"/>
  <c r="J22" i="8"/>
  <c r="H22" i="8"/>
  <c r="F22" i="8"/>
  <c r="J21" i="8"/>
  <c r="H21" i="8"/>
  <c r="F21" i="8"/>
  <c r="K21" i="8" s="1"/>
  <c r="M21" i="8" s="1"/>
  <c r="J20" i="8"/>
  <c r="H20" i="8"/>
  <c r="F20" i="8"/>
  <c r="J19" i="8"/>
  <c r="H19" i="8"/>
  <c r="F19" i="8"/>
  <c r="K19" i="8" s="1"/>
  <c r="M19" i="8" s="1"/>
  <c r="J18" i="8"/>
  <c r="H18" i="8"/>
  <c r="F18" i="8"/>
  <c r="J17" i="8"/>
  <c r="H17" i="8"/>
  <c r="F17" i="8"/>
  <c r="K17" i="8" s="1"/>
  <c r="M17" i="8" s="1"/>
  <c r="J16" i="8"/>
  <c r="H16" i="8"/>
  <c r="F16" i="8"/>
  <c r="J15" i="8"/>
  <c r="H15" i="8"/>
  <c r="F15" i="8"/>
  <c r="K15" i="8" s="1"/>
  <c r="M15" i="8" s="1"/>
  <c r="J14" i="8"/>
  <c r="H14" i="8"/>
  <c r="F14" i="8"/>
  <c r="J13" i="8"/>
  <c r="H13" i="8"/>
  <c r="F13" i="8"/>
  <c r="K13" i="8" s="1"/>
  <c r="M13" i="8" s="1"/>
  <c r="J12" i="8"/>
  <c r="H12" i="8"/>
  <c r="F12" i="8"/>
  <c r="J11" i="8"/>
  <c r="H11" i="8"/>
  <c r="F11" i="8"/>
  <c r="K11" i="8" s="1"/>
  <c r="M11" i="8" s="1"/>
  <c r="J10" i="8"/>
  <c r="H10" i="8"/>
  <c r="F10" i="8"/>
  <c r="J9" i="8"/>
  <c r="H9" i="8"/>
  <c r="F9" i="8"/>
  <c r="K9" i="8" s="1"/>
  <c r="M9" i="8" s="1"/>
  <c r="J8" i="8"/>
  <c r="H8" i="8"/>
  <c r="F8" i="8"/>
  <c r="M55" i="7"/>
  <c r="L55" i="7"/>
  <c r="I55" i="7"/>
  <c r="H55" i="7"/>
  <c r="G55" i="7"/>
  <c r="F55" i="7"/>
  <c r="E55" i="7"/>
  <c r="D55" i="7"/>
  <c r="C55" i="7"/>
  <c r="B55" i="7"/>
  <c r="K53" i="7"/>
  <c r="N53" i="7" s="1"/>
  <c r="N46" i="7"/>
  <c r="E34" i="7"/>
  <c r="J54" i="7" s="1"/>
  <c r="E33" i="7"/>
  <c r="E32" i="7"/>
  <c r="E31" i="7"/>
  <c r="J52" i="7" s="1"/>
  <c r="N52" i="7" s="1"/>
  <c r="E30" i="7"/>
  <c r="E29" i="7"/>
  <c r="E28" i="7"/>
  <c r="K16" i="7"/>
  <c r="J51" i="7" s="1"/>
  <c r="N51" i="7" s="1"/>
  <c r="K15" i="7"/>
  <c r="K14" i="7"/>
  <c r="K13" i="7"/>
  <c r="K11" i="7"/>
  <c r="I11" i="7"/>
  <c r="J11" i="7" s="1"/>
  <c r="F11" i="7"/>
  <c r="K10" i="7"/>
  <c r="K48" i="7" s="1"/>
  <c r="I10" i="7"/>
  <c r="J10" i="7" s="1"/>
  <c r="F10" i="7"/>
  <c r="K9" i="7"/>
  <c r="I9" i="7"/>
  <c r="F9" i="7"/>
  <c r="K8" i="7"/>
  <c r="J49" i="7" s="1"/>
  <c r="N49" i="7" s="1"/>
  <c r="I8" i="7"/>
  <c r="F8" i="7"/>
  <c r="M57" i="6"/>
  <c r="L57" i="6"/>
  <c r="K57" i="6"/>
  <c r="G57" i="6"/>
  <c r="F57" i="6"/>
  <c r="E57" i="6"/>
  <c r="D57" i="6"/>
  <c r="C57" i="6"/>
  <c r="B57" i="6"/>
  <c r="N48" i="6"/>
  <c r="E41" i="6"/>
  <c r="E40" i="6"/>
  <c r="E39" i="6"/>
  <c r="E38" i="6"/>
  <c r="E37" i="6"/>
  <c r="E36" i="6"/>
  <c r="I56" i="6" s="1"/>
  <c r="B36" i="6"/>
  <c r="E32" i="6"/>
  <c r="H49" i="6" s="1"/>
  <c r="E31" i="6"/>
  <c r="E30" i="6"/>
  <c r="I49" i="6" s="1"/>
  <c r="K24" i="6"/>
  <c r="H53" i="6" s="1"/>
  <c r="N53" i="6" s="1"/>
  <c r="K23" i="6"/>
  <c r="B21" i="6"/>
  <c r="K21" i="6" s="1"/>
  <c r="K19" i="6"/>
  <c r="J55" i="6" s="1"/>
  <c r="N55" i="6" s="1"/>
  <c r="I19" i="6"/>
  <c r="J19" i="6" s="1"/>
  <c r="F19" i="6"/>
  <c r="K18" i="6"/>
  <c r="I50" i="6" s="1"/>
  <c r="J18" i="6"/>
  <c r="I18" i="6"/>
  <c r="F18" i="6"/>
  <c r="K17" i="6"/>
  <c r="I17" i="6"/>
  <c r="J17" i="6" s="1"/>
  <c r="F17" i="6"/>
  <c r="J16" i="6"/>
  <c r="I16" i="6"/>
  <c r="F16" i="6"/>
  <c r="E16" i="6"/>
  <c r="B22" i="6" s="1"/>
  <c r="K15" i="6"/>
  <c r="I15" i="6"/>
  <c r="J15" i="6" s="1"/>
  <c r="F15" i="6"/>
  <c r="K14" i="6"/>
  <c r="I14" i="6"/>
  <c r="J14" i="6" s="1"/>
  <c r="F14" i="6"/>
  <c r="K13" i="6"/>
  <c r="J13" i="6"/>
  <c r="I13" i="6"/>
  <c r="F13" i="6"/>
  <c r="K12" i="6"/>
  <c r="I12" i="6"/>
  <c r="J12" i="6" s="1"/>
  <c r="F12" i="6"/>
  <c r="K11" i="6"/>
  <c r="I11" i="6"/>
  <c r="J11" i="6" s="1"/>
  <c r="F11" i="6"/>
  <c r="K10" i="6"/>
  <c r="I10" i="6"/>
  <c r="J10" i="6" s="1"/>
  <c r="F10" i="6"/>
  <c r="K9" i="6"/>
  <c r="J9" i="6"/>
  <c r="I9" i="6"/>
  <c r="F9" i="6"/>
  <c r="K8" i="6"/>
  <c r="L8" i="6" s="1"/>
  <c r="L9" i="6" s="1"/>
  <c r="I8" i="6"/>
  <c r="J8" i="6" s="1"/>
  <c r="F8" i="6"/>
  <c r="M57" i="5"/>
  <c r="L57" i="5"/>
  <c r="K57" i="5"/>
  <c r="J57" i="5"/>
  <c r="E57" i="5"/>
  <c r="D57" i="5"/>
  <c r="C57" i="5"/>
  <c r="B57" i="5"/>
  <c r="N50" i="5"/>
  <c r="N48" i="5"/>
  <c r="E36" i="5"/>
  <c r="H56" i="5" s="1"/>
  <c r="B36" i="5"/>
  <c r="E33" i="5"/>
  <c r="E32" i="5"/>
  <c r="G49" i="5" s="1"/>
  <c r="E31" i="5"/>
  <c r="E30" i="5"/>
  <c r="K24" i="5"/>
  <c r="H53" i="5" s="1"/>
  <c r="N53" i="5" s="1"/>
  <c r="K23" i="5"/>
  <c r="B22" i="5"/>
  <c r="B35" i="5" s="1"/>
  <c r="E35" i="5" s="1"/>
  <c r="B21" i="5"/>
  <c r="K21" i="5" s="1"/>
  <c r="K19" i="5"/>
  <c r="I55" i="5" s="1"/>
  <c r="N55" i="5" s="1"/>
  <c r="I19" i="5"/>
  <c r="J19" i="5" s="1"/>
  <c r="F19" i="5"/>
  <c r="K18" i="5"/>
  <c r="I18" i="5"/>
  <c r="J18" i="5" s="1"/>
  <c r="F18" i="5"/>
  <c r="K17" i="5"/>
  <c r="I17" i="5"/>
  <c r="J17" i="5" s="1"/>
  <c r="F17" i="5"/>
  <c r="K16" i="5"/>
  <c r="I16" i="5"/>
  <c r="J16" i="5" s="1"/>
  <c r="F16" i="5"/>
  <c r="K15" i="5"/>
  <c r="I15" i="5"/>
  <c r="J15" i="5" s="1"/>
  <c r="F15" i="5"/>
  <c r="K14" i="5"/>
  <c r="J14" i="5"/>
  <c r="I14" i="5"/>
  <c r="F14" i="5"/>
  <c r="K13" i="5"/>
  <c r="I13" i="5"/>
  <c r="J13" i="5" s="1"/>
  <c r="F13" i="5"/>
  <c r="K12" i="5"/>
  <c r="I12" i="5"/>
  <c r="J12" i="5" s="1"/>
  <c r="F12" i="5"/>
  <c r="K11" i="5"/>
  <c r="I11" i="5"/>
  <c r="J11" i="5" s="1"/>
  <c r="F11" i="5"/>
  <c r="K10" i="5"/>
  <c r="J10" i="5"/>
  <c r="I10" i="5"/>
  <c r="F10" i="5"/>
  <c r="K9" i="5"/>
  <c r="I9" i="5"/>
  <c r="J9" i="5" s="1"/>
  <c r="F9" i="5"/>
  <c r="L8" i="5"/>
  <c r="L9" i="5" s="1"/>
  <c r="L10" i="5" s="1"/>
  <c r="K8" i="5"/>
  <c r="J8" i="5"/>
  <c r="I8" i="5"/>
  <c r="F8" i="5"/>
  <c r="M58" i="4"/>
  <c r="L58" i="4"/>
  <c r="K58" i="4"/>
  <c r="J58" i="4"/>
  <c r="I58" i="4"/>
  <c r="H58" i="4"/>
  <c r="G58" i="4"/>
  <c r="F58" i="4"/>
  <c r="E58" i="4"/>
  <c r="D58" i="4"/>
  <c r="C58" i="4"/>
  <c r="B58" i="4"/>
  <c r="B59" i="4" s="1"/>
  <c r="C59" i="4" s="1"/>
  <c r="N57" i="4"/>
  <c r="N56" i="4"/>
  <c r="N55" i="4"/>
  <c r="N54" i="4"/>
  <c r="N53" i="4"/>
  <c r="N52" i="4"/>
  <c r="N51" i="4"/>
  <c r="N50" i="4"/>
  <c r="E43" i="4"/>
  <c r="E42" i="4"/>
  <c r="E41" i="4"/>
  <c r="E40" i="4"/>
  <c r="E39" i="4"/>
  <c r="E38" i="4"/>
  <c r="E37" i="4"/>
  <c r="E36" i="4"/>
  <c r="E35" i="4"/>
  <c r="E34" i="4"/>
  <c r="E33" i="4"/>
  <c r="E32" i="4"/>
  <c r="E31" i="4"/>
  <c r="J24" i="4"/>
  <c r="H24" i="4"/>
  <c r="F24" i="4"/>
  <c r="K24" i="4" s="1"/>
  <c r="J23" i="4"/>
  <c r="H23" i="4"/>
  <c r="F23" i="4"/>
  <c r="J22" i="4"/>
  <c r="H22" i="4"/>
  <c r="F22" i="4"/>
  <c r="K22" i="4" s="1"/>
  <c r="J21" i="4"/>
  <c r="H21" i="4"/>
  <c r="F21" i="4"/>
  <c r="J20" i="4"/>
  <c r="H20" i="4"/>
  <c r="F20" i="4"/>
  <c r="K20" i="4" s="1"/>
  <c r="J19" i="4"/>
  <c r="H19" i="4"/>
  <c r="F19" i="4"/>
  <c r="J18" i="4"/>
  <c r="H18" i="4"/>
  <c r="F18" i="4"/>
  <c r="K18" i="4" s="1"/>
  <c r="J17" i="4"/>
  <c r="H17" i="4"/>
  <c r="F17" i="4"/>
  <c r="J16" i="4"/>
  <c r="H16" i="4"/>
  <c r="F16" i="4"/>
  <c r="K16" i="4" s="1"/>
  <c r="J15" i="4"/>
  <c r="H15" i="4"/>
  <c r="F15" i="4"/>
  <c r="J14" i="4"/>
  <c r="H14" i="4"/>
  <c r="F14" i="4"/>
  <c r="K14" i="4" s="1"/>
  <c r="J13" i="4"/>
  <c r="H13" i="4"/>
  <c r="F13" i="4"/>
  <c r="J12" i="4"/>
  <c r="H12" i="4"/>
  <c r="F12" i="4"/>
  <c r="K12" i="4" s="1"/>
  <c r="J11" i="4"/>
  <c r="H11" i="4"/>
  <c r="F11" i="4"/>
  <c r="J10" i="4"/>
  <c r="H10" i="4"/>
  <c r="F10" i="4"/>
  <c r="K10" i="4" s="1"/>
  <c r="J9" i="4"/>
  <c r="H9" i="4"/>
  <c r="F9" i="4"/>
  <c r="K8" i="4"/>
  <c r="L8" i="4" s="1"/>
  <c r="K9" i="4" l="1"/>
  <c r="L9" i="4" s="1"/>
  <c r="L10" i="4" s="1"/>
  <c r="L11" i="4" s="1"/>
  <c r="L12" i="4" s="1"/>
  <c r="L13" i="4" s="1"/>
  <c r="L14" i="4" s="1"/>
  <c r="L15" i="4" s="1"/>
  <c r="L16" i="4" s="1"/>
  <c r="L17" i="4" s="1"/>
  <c r="L18" i="4" s="1"/>
  <c r="L19" i="4" s="1"/>
  <c r="L20" i="4" s="1"/>
  <c r="L21" i="4" s="1"/>
  <c r="L22" i="4" s="1"/>
  <c r="L23" i="4" s="1"/>
  <c r="L24" i="4" s="1"/>
  <c r="K13" i="4"/>
  <c r="K17" i="4"/>
  <c r="K21" i="4"/>
  <c r="H51" i="5"/>
  <c r="N51" i="5" s="1"/>
  <c r="L10" i="6"/>
  <c r="L11" i="6" s="1"/>
  <c r="L12" i="6" s="1"/>
  <c r="L13" i="6" s="1"/>
  <c r="L14" i="6" s="1"/>
  <c r="L15" i="6" s="1"/>
  <c r="H51" i="6"/>
  <c r="N51" i="6" s="1"/>
  <c r="J8" i="7"/>
  <c r="J50" i="7"/>
  <c r="N50" i="7" s="1"/>
  <c r="J47" i="7"/>
  <c r="K8" i="8"/>
  <c r="M8" i="8" s="1"/>
  <c r="N8" i="8" s="1"/>
  <c r="N9" i="8" s="1"/>
  <c r="N10" i="8" s="1"/>
  <c r="N11" i="8" s="1"/>
  <c r="N12" i="8" s="1"/>
  <c r="N13" i="8" s="1"/>
  <c r="N14" i="8" s="1"/>
  <c r="N15" i="8" s="1"/>
  <c r="N16" i="8" s="1"/>
  <c r="N17" i="8" s="1"/>
  <c r="N18" i="8" s="1"/>
  <c r="N19" i="8" s="1"/>
  <c r="N20" i="8" s="1"/>
  <c r="N21" i="8" s="1"/>
  <c r="N22" i="8" s="1"/>
  <c r="N23" i="8" s="1"/>
  <c r="N24" i="8" s="1"/>
  <c r="K12" i="8"/>
  <c r="M12" i="8" s="1"/>
  <c r="K16" i="8"/>
  <c r="M16" i="8" s="1"/>
  <c r="K20" i="8"/>
  <c r="M20" i="8" s="1"/>
  <c r="K24" i="8"/>
  <c r="M24" i="8" s="1"/>
  <c r="D59" i="4"/>
  <c r="E59" i="4" s="1"/>
  <c r="F59" i="4" s="1"/>
  <c r="G59" i="4" s="1"/>
  <c r="H59" i="4" s="1"/>
  <c r="I59" i="4" s="1"/>
  <c r="J59" i="4" s="1"/>
  <c r="K59" i="4" s="1"/>
  <c r="L59" i="4" s="1"/>
  <c r="L11" i="5"/>
  <c r="L12" i="5" s="1"/>
  <c r="L13" i="5" s="1"/>
  <c r="L14" i="5" s="1"/>
  <c r="L15" i="5" s="1"/>
  <c r="L16" i="5" s="1"/>
  <c r="L17" i="5" s="1"/>
  <c r="L18" i="5" s="1"/>
  <c r="L19" i="5" s="1"/>
  <c r="L21" i="5" s="1"/>
  <c r="K11" i="4"/>
  <c r="K15" i="4"/>
  <c r="K19" i="4"/>
  <c r="K23" i="4"/>
  <c r="J9" i="7"/>
  <c r="K10" i="8"/>
  <c r="M10" i="8" s="1"/>
  <c r="K14" i="8"/>
  <c r="M14" i="8" s="1"/>
  <c r="K18" i="8"/>
  <c r="M18" i="8" s="1"/>
  <c r="K22" i="8"/>
  <c r="M22" i="8" s="1"/>
  <c r="H49" i="5"/>
  <c r="N49" i="5"/>
  <c r="K22" i="5"/>
  <c r="L22" i="5" s="1"/>
  <c r="L23" i="5" s="1"/>
  <c r="L24" i="5" s="1"/>
  <c r="B34" i="5"/>
  <c r="E34" i="5" s="1"/>
  <c r="H54" i="5" s="1"/>
  <c r="N54" i="5" s="1"/>
  <c r="G56" i="5"/>
  <c r="G57" i="5" s="1"/>
  <c r="N49" i="6"/>
  <c r="F56" i="5"/>
  <c r="K22" i="6"/>
  <c r="B35" i="6"/>
  <c r="E35" i="6" s="1"/>
  <c r="B34" i="6"/>
  <c r="E34" i="6" s="1"/>
  <c r="B33" i="6"/>
  <c r="E33" i="6" s="1"/>
  <c r="N47" i="7"/>
  <c r="K16" i="6"/>
  <c r="L16" i="6" s="1"/>
  <c r="L17" i="6" s="1"/>
  <c r="L18" i="6" s="1"/>
  <c r="L19" i="6" s="1"/>
  <c r="L21" i="6" s="1"/>
  <c r="L22" i="6" s="1"/>
  <c r="L23" i="6" s="1"/>
  <c r="L24" i="6" s="1"/>
  <c r="J50" i="6"/>
  <c r="J57" i="6" s="1"/>
  <c r="H56" i="6"/>
  <c r="N56" i="6" s="1"/>
  <c r="L8" i="7"/>
  <c r="L9" i="7" s="1"/>
  <c r="L10" i="7" s="1"/>
  <c r="L11" i="7" s="1"/>
  <c r="L13" i="7" s="1"/>
  <c r="L14" i="7" s="1"/>
  <c r="L15" i="7" s="1"/>
  <c r="L16" i="7" s="1"/>
  <c r="J48" i="7"/>
  <c r="N48" i="7" s="1"/>
  <c r="K54" i="7"/>
  <c r="K55" i="7" s="1"/>
  <c r="K58" i="8"/>
  <c r="N58" i="8" s="1"/>
  <c r="H54" i="6" l="1"/>
  <c r="N54" i="6" s="1"/>
  <c r="N54" i="7"/>
  <c r="N50" i="6"/>
  <c r="N56" i="5"/>
  <c r="F57" i="5"/>
  <c r="H57" i="6"/>
  <c r="I52" i="6"/>
  <c r="H57" i="5"/>
  <c r="J55" i="7"/>
  <c r="N55" i="7" s="1"/>
  <c r="I52" i="5"/>
  <c r="N52" i="6" l="1"/>
  <c r="I57" i="6"/>
  <c r="I57" i="5"/>
  <c r="N57" i="5" s="1"/>
  <c r="N52" i="5"/>
  <c r="N57" i="6"/>
  <c r="C11" i="1" l="1"/>
  <c r="C12" i="1" s="1"/>
  <c r="C13" i="1" s="1"/>
  <c r="C27" i="1"/>
  <c r="C28" i="1" s="1"/>
  <c r="C29" i="1" s="1"/>
  <c r="C32" i="1" l="1"/>
</calcChain>
</file>

<file path=xl/comments1.xml><?xml version="1.0" encoding="utf-8"?>
<comments xmlns="http://schemas.openxmlformats.org/spreadsheetml/2006/main">
  <authors>
    <author>LUCAS, Ryan</author>
  </authors>
  <commentList>
    <comment ref="E34" authorId="0" shapeId="0">
      <text>
        <r>
          <rPr>
            <b/>
            <sz val="9"/>
            <color indexed="81"/>
            <rFont val="Tahoma"/>
            <family val="2"/>
          </rPr>
          <t>LUCAS, Ryan:</t>
        </r>
        <r>
          <rPr>
            <sz val="9"/>
            <color indexed="81"/>
            <rFont val="Tahoma"/>
            <family val="2"/>
          </rPr>
          <t xml:space="preserve">
A4 labels to be cut out by teacher (Pagination 2) TBC and added to spec</t>
        </r>
      </text>
    </comment>
    <comment ref="K64" authorId="0" shapeId="0">
      <text>
        <r>
          <rPr>
            <b/>
            <sz val="9"/>
            <color indexed="81"/>
            <rFont val="Tahoma"/>
            <family val="2"/>
          </rPr>
          <t>LUCAS, Ryan:</t>
        </r>
        <r>
          <rPr>
            <sz val="9"/>
            <color indexed="81"/>
            <rFont val="Tahoma"/>
            <family val="2"/>
          </rPr>
          <t xml:space="preserve">
Review materials used after costing</t>
        </r>
      </text>
    </comment>
  </commentList>
</comments>
</file>

<file path=xl/comments2.xml><?xml version="1.0" encoding="utf-8"?>
<comments xmlns="http://schemas.openxmlformats.org/spreadsheetml/2006/main">
  <authors>
    <author>LUCAS, Ryan</author>
  </authors>
  <commentList>
    <comment ref="K53" authorId="0" shapeId="0">
      <text>
        <r>
          <rPr>
            <b/>
            <sz val="9"/>
            <color indexed="81"/>
            <rFont val="Tahoma"/>
            <family val="2"/>
          </rPr>
          <t>LUCAS, Ryan:</t>
        </r>
        <r>
          <rPr>
            <sz val="9"/>
            <color indexed="81"/>
            <rFont val="Tahoma"/>
            <family val="2"/>
          </rPr>
          <t xml:space="preserve">
Or other suitable material, such as plastic</t>
        </r>
      </text>
    </comment>
    <comment ref="E75" authorId="0" shapeId="0">
      <text>
        <r>
          <rPr>
            <b/>
            <sz val="9"/>
            <color indexed="81"/>
            <rFont val="Tahoma"/>
            <family val="2"/>
          </rPr>
          <t>LUCAS, Ryan:</t>
        </r>
        <r>
          <rPr>
            <sz val="9"/>
            <color indexed="81"/>
            <rFont val="Tahoma"/>
            <family val="2"/>
          </rPr>
          <t xml:space="preserve">
TBC. Film, Braillon and Minolta are required</t>
        </r>
      </text>
    </comment>
    <comment ref="K80" authorId="0" shapeId="0">
      <text>
        <r>
          <rPr>
            <b/>
            <sz val="9"/>
            <color indexed="81"/>
            <rFont val="Tahoma"/>
            <family val="2"/>
          </rPr>
          <t>LUCAS, Ryan:</t>
        </r>
        <r>
          <rPr>
            <sz val="9"/>
            <color indexed="81"/>
            <rFont val="Tahoma"/>
            <family val="2"/>
          </rPr>
          <t xml:space="preserve">
Wood or plastic will be confirmed after costings.</t>
        </r>
      </text>
    </comment>
    <comment ref="O80" authorId="0" shapeId="0">
      <text>
        <r>
          <rPr>
            <b/>
            <sz val="9"/>
            <color indexed="81"/>
            <rFont val="Tahoma"/>
            <family val="2"/>
          </rPr>
          <t>LUCAS, Ryan:</t>
        </r>
        <r>
          <rPr>
            <sz val="9"/>
            <color indexed="81"/>
            <rFont val="Tahoma"/>
            <family val="2"/>
          </rPr>
          <t xml:space="preserve">
There are two options for this model. The STA would like the easiest/most cost effective to source. </t>
        </r>
      </text>
    </comment>
    <comment ref="E84" authorId="0" shapeId="0">
      <text>
        <r>
          <rPr>
            <b/>
            <sz val="9"/>
            <color indexed="81"/>
            <rFont val="Tahoma"/>
            <family val="2"/>
          </rPr>
          <t>LUCAS, Ryan:</t>
        </r>
        <r>
          <rPr>
            <sz val="9"/>
            <color indexed="81"/>
            <rFont val="Tahoma"/>
            <family val="2"/>
          </rPr>
          <t xml:space="preserve">
TBC. Film, Braillon and Minolta are required</t>
        </r>
      </text>
    </comment>
  </commentList>
</comments>
</file>

<file path=xl/comments3.xml><?xml version="1.0" encoding="utf-8"?>
<comments xmlns="http://schemas.openxmlformats.org/spreadsheetml/2006/main">
  <authors>
    <author>Andrew Gregson</author>
  </authors>
  <commentList>
    <comment ref="B18" authorId="0" shapeId="0">
      <text>
        <r>
          <rPr>
            <b/>
            <sz val="9"/>
            <color indexed="81"/>
            <rFont val="Tahoma"/>
            <family val="2"/>
          </rPr>
          <t>Andrew Gregson:</t>
        </r>
        <r>
          <rPr>
            <sz val="9"/>
            <color indexed="81"/>
            <rFont val="Tahoma"/>
            <family val="2"/>
          </rPr>
          <t xml:space="preserve">
assumes 59 man days for single manned provision x 24/7. 28 for Feb, 31
 for March
</t>
        </r>
      </text>
    </comment>
    <comment ref="B19" authorId="0" shapeId="0">
      <text>
        <r>
          <rPr>
            <b/>
            <sz val="9"/>
            <color indexed="81"/>
            <rFont val="Tahoma"/>
            <family val="2"/>
          </rPr>
          <t>Andrew Gregson:</t>
        </r>
        <r>
          <rPr>
            <sz val="9"/>
            <color indexed="81"/>
            <rFont val="Tahoma"/>
            <family val="2"/>
          </rPr>
          <t xml:space="preserve">
3 people for last 10 days of April</t>
        </r>
      </text>
    </comment>
    <comment ref="B36" authorId="0" shapeId="0">
      <text>
        <r>
          <rPr>
            <b/>
            <sz val="9"/>
            <color indexed="81"/>
            <rFont val="Tahoma"/>
            <family val="2"/>
          </rPr>
          <t>Andrew Gregson:</t>
        </r>
        <r>
          <rPr>
            <sz val="9"/>
            <color indexed="81"/>
            <rFont val="Tahoma"/>
            <family val="2"/>
          </rPr>
          <t xml:space="preserve">
assumes 443 pallets for 12 weeks
</t>
        </r>
      </text>
    </comment>
  </commentList>
</comments>
</file>

<file path=xl/comments4.xml><?xml version="1.0" encoding="utf-8"?>
<comments xmlns="http://schemas.openxmlformats.org/spreadsheetml/2006/main">
  <authors>
    <author>Andrew Gregson</author>
  </authors>
  <commentList>
    <comment ref="B18" authorId="0" shapeId="0">
      <text>
        <r>
          <rPr>
            <b/>
            <sz val="9"/>
            <color indexed="81"/>
            <rFont val="Tahoma"/>
            <family val="2"/>
          </rPr>
          <t>Andrew Gregson:</t>
        </r>
        <r>
          <rPr>
            <sz val="9"/>
            <color indexed="81"/>
            <rFont val="Tahoma"/>
            <family val="2"/>
          </rPr>
          <t xml:space="preserve">
Assumes 30 days April and 10 days May</t>
        </r>
      </text>
    </comment>
    <comment ref="B19" authorId="0" shapeId="0">
      <text>
        <r>
          <rPr>
            <b/>
            <sz val="9"/>
            <color indexed="81"/>
            <rFont val="Tahoma"/>
            <family val="2"/>
          </rPr>
          <t>Andrew Gregson:</t>
        </r>
        <r>
          <rPr>
            <sz val="9"/>
            <color indexed="81"/>
            <rFont val="Tahoma"/>
            <family val="2"/>
          </rPr>
          <t xml:space="preserve">
Assumes May - 5 people x 9 days and 2 people x 10 days</t>
        </r>
      </text>
    </comment>
    <comment ref="B32" authorId="0" shapeId="0">
      <text>
        <r>
          <rPr>
            <b/>
            <sz val="9"/>
            <color indexed="81"/>
            <rFont val="Tahoma"/>
            <family val="2"/>
          </rPr>
          <t>Andrew Gregson:</t>
        </r>
        <r>
          <rPr>
            <sz val="9"/>
            <color indexed="81"/>
            <rFont val="Tahoma"/>
            <family val="2"/>
          </rPr>
          <t xml:space="preserve">
assumes 30,000 modified bags also required
</t>
        </r>
      </text>
    </comment>
    <comment ref="B36" authorId="0" shapeId="0">
      <text>
        <r>
          <rPr>
            <b/>
            <sz val="9"/>
            <color indexed="81"/>
            <rFont val="Tahoma"/>
            <family val="2"/>
          </rPr>
          <t>Andrew Gregson:</t>
        </r>
        <r>
          <rPr>
            <sz val="9"/>
            <color indexed="81"/>
            <rFont val="Tahoma"/>
            <family val="2"/>
          </rPr>
          <t xml:space="preserve">
assumes 447 pallets for 8 weeks</t>
        </r>
      </text>
    </comment>
  </commentList>
</comments>
</file>

<file path=xl/comments5.xml><?xml version="1.0" encoding="utf-8"?>
<comments xmlns="http://schemas.openxmlformats.org/spreadsheetml/2006/main">
  <authors>
    <author>Andrew Gregson</author>
  </authors>
  <commentList>
    <comment ref="B10" authorId="0" shapeId="0">
      <text>
        <r>
          <rPr>
            <b/>
            <sz val="9"/>
            <color indexed="81"/>
            <rFont val="Tahoma"/>
            <family val="2"/>
          </rPr>
          <t>Andrew Gregson:</t>
        </r>
        <r>
          <rPr>
            <sz val="9"/>
            <color indexed="81"/>
            <rFont val="Tahoma"/>
            <family val="2"/>
          </rPr>
          <t xml:space="preserve">
30 days x single manned provision x 24/7</t>
        </r>
      </text>
    </comment>
    <comment ref="B11" authorId="0" shapeId="0">
      <text>
        <r>
          <rPr>
            <b/>
            <sz val="9"/>
            <color indexed="81"/>
            <rFont val="Tahoma"/>
            <family val="2"/>
          </rPr>
          <t>Andrew Gregson:</t>
        </r>
        <r>
          <rPr>
            <sz val="9"/>
            <color indexed="81"/>
            <rFont val="Tahoma"/>
            <family val="2"/>
          </rPr>
          <t xml:space="preserve">
20 days x 1 person x 8 hours per day</t>
        </r>
      </text>
    </comment>
    <comment ref="B34" authorId="0" shapeId="0">
      <text>
        <r>
          <rPr>
            <b/>
            <sz val="9"/>
            <color indexed="81"/>
            <rFont val="Tahoma"/>
            <family val="2"/>
          </rPr>
          <t>Andrew Gregson:</t>
        </r>
        <r>
          <rPr>
            <sz val="9"/>
            <color indexed="81"/>
            <rFont val="Tahoma"/>
            <family val="2"/>
          </rPr>
          <t xml:space="preserve">
26 pallets x 6 weeks
</t>
        </r>
      </text>
    </comment>
  </commentList>
</comments>
</file>

<file path=xl/sharedStrings.xml><?xml version="1.0" encoding="utf-8"?>
<sst xmlns="http://schemas.openxmlformats.org/spreadsheetml/2006/main" count="2021" uniqueCount="585">
  <si>
    <t>Ref</t>
  </si>
  <si>
    <t>APS KS1 2018</t>
  </si>
  <si>
    <t>Key Stage 1</t>
  </si>
  <si>
    <t>Title</t>
  </si>
  <si>
    <t>APS KS2 2018</t>
  </si>
  <si>
    <t>Key Stage 2</t>
  </si>
  <si>
    <t>APS KS2 Reference Sets 2018</t>
  </si>
  <si>
    <t>APS Phonics</t>
  </si>
  <si>
    <t>Key stage 2 Marker and stakeholder</t>
  </si>
  <si>
    <t>Phonics</t>
  </si>
  <si>
    <t>Price</t>
  </si>
  <si>
    <t>All materials are quoted at current rates. We are anticipating increases during the remainder of 2017 therefore  pricing is subject to review.</t>
  </si>
  <si>
    <t>Supporting Action Charges</t>
  </si>
  <si>
    <t xml:space="preserve">Mobilisation </t>
  </si>
  <si>
    <t xml:space="preserve">Key Stage 1  </t>
  </si>
  <si>
    <t xml:space="preserve">Key Stage 2 </t>
  </si>
  <si>
    <t xml:space="preserve">Phonics </t>
  </si>
  <si>
    <t xml:space="preserve">Closedown </t>
  </si>
  <si>
    <t>Printing</t>
  </si>
  <si>
    <t>Fulfilment</t>
  </si>
  <si>
    <t>Total Costs</t>
  </si>
  <si>
    <t>FINAL Total Costs</t>
  </si>
  <si>
    <t>Printing and Fulfilment Costs</t>
  </si>
  <si>
    <t xml:space="preserve">Standards Testing Agency </t>
  </si>
  <si>
    <t xml:space="preserve"> per drop</t>
  </si>
  <si>
    <t>Communisis notes:</t>
  </si>
  <si>
    <t>Additional charges - dedicated 2 man courier - Leeds to STA (Coventry)</t>
  </si>
  <si>
    <t>Additional charges - dedicated 2 man courier - Leeds to Granby (Blackburn)</t>
  </si>
  <si>
    <t>APS Service Charge</t>
  </si>
  <si>
    <t>Total</t>
  </si>
  <si>
    <t>KM1 Mobilisation costs</t>
  </si>
  <si>
    <t xml:space="preserve">To support clear calculation of the collation costs, STA would like the supplier to populate the light blue areas of the tables below using the metrics data from the Workpackages in the Statement of Requirements and their expertise for output rates, shift lengths and resource charges. STA will use these tables in conjunction with the supplier estimate to confirm any cost changes throughout the year.
The following tables contain example items only and STA expects the supplier to detail all costs associated with their collation solution for of each programme of work. </t>
  </si>
  <si>
    <t xml:space="preserve">Table 1 - Resource </t>
  </si>
  <si>
    <t>This table should be populated with details of all effort driven resources for the delivery of the work, be this people or machinery (e.g. an automated collation line).</t>
  </si>
  <si>
    <t>Resource type - Fixed</t>
  </si>
  <si>
    <t>Number of Components</t>
  </si>
  <si>
    <t>Cost per pack</t>
  </si>
  <si>
    <t>Number per hour</t>
  </si>
  <si>
    <t>Volume Required</t>
  </si>
  <si>
    <t>Man hours required</t>
  </si>
  <si>
    <t>Number of days complete</t>
  </si>
  <si>
    <t>Number of hours per day</t>
  </si>
  <si>
    <t>Total Man hours</t>
  </si>
  <si>
    <t>Total Number of Staff</t>
  </si>
  <si>
    <t>Total Cost</t>
  </si>
  <si>
    <t>Running total</t>
  </si>
  <si>
    <t>Account Management (monthly)</t>
  </si>
  <si>
    <t>n/a</t>
  </si>
  <si>
    <t>Table 2 - Consumables and peripheral items</t>
  </si>
  <si>
    <t xml:space="preserve">This table should be populated with the cost estimate for consumable items, such as tape and cartons, and peripherals such as pallet storage costs. </t>
  </si>
  <si>
    <t xml:space="preserve">Item </t>
  </si>
  <si>
    <t>Quantity</t>
  </si>
  <si>
    <t xml:space="preserve">Unit type </t>
  </si>
  <si>
    <t xml:space="preserve">Unit cost </t>
  </si>
  <si>
    <t xml:space="preserve">Total cost </t>
  </si>
  <si>
    <t>Table 3 - Profile</t>
  </si>
  <si>
    <t>The following table can be used to outline the costs profile for the workplackage although Tables 1 and 2 form the basis of the cost proposal.</t>
  </si>
  <si>
    <t>PROJECT  MANAGEMENT Contractor</t>
  </si>
  <si>
    <t>PACKAGING</t>
  </si>
  <si>
    <t>SECURITY</t>
  </si>
  <si>
    <t>PRIMARY COLLATION</t>
  </si>
  <si>
    <t>CONSIGNMENT COLLATION</t>
  </si>
  <si>
    <t>DATA HANDLING</t>
  </si>
  <si>
    <t>PRINTING</t>
  </si>
  <si>
    <t>STORAGE OF STOCK</t>
  </si>
  <si>
    <t>Monthly Total</t>
  </si>
  <si>
    <t>Cumulative total</t>
  </si>
  <si>
    <t>KM2 Key stage 1 costs</t>
  </si>
  <si>
    <t xml:space="preserve">To support clear calculation of the collation costs, STA would like the supplier to populate the light blue areas of the tables 1 and 2 below using the metrics data from the Workpackages in the Statement of Requirements and their expertise for output rates, shift lengths and resource charges. STA will use these tables in conjunction with the supplier estimate to confirm any cost changes throughout the year.
The following tables contain example items only and STA expects the supplier to detail all costs associated with their collation solution for of each programme of work. </t>
  </si>
  <si>
    <t>Resource type - Variable</t>
  </si>
  <si>
    <t>Primary Collation</t>
  </si>
  <si>
    <t>1-5</t>
  </si>
  <si>
    <t>6-10</t>
  </si>
  <si>
    <t>11-15</t>
  </si>
  <si>
    <t>16-20</t>
  </si>
  <si>
    <t>21-25</t>
  </si>
  <si>
    <t>25+</t>
  </si>
  <si>
    <t>Consignment Collation</t>
  </si>
  <si>
    <t>1-10</t>
  </si>
  <si>
    <t>11-20</t>
  </si>
  <si>
    <t>21-40</t>
  </si>
  <si>
    <t>41+</t>
  </si>
  <si>
    <t>Security (hourly)</t>
  </si>
  <si>
    <t>1416</t>
  </si>
  <si>
    <t>Helpdesk Provision (bureau)</t>
  </si>
  <si>
    <t>240</t>
  </si>
  <si>
    <t>Primary Collation QA</t>
  </si>
  <si>
    <t>Consignment Collation QA</t>
  </si>
  <si>
    <t>1</t>
  </si>
  <si>
    <t>Data Handling (hourly)</t>
  </si>
  <si>
    <t>Tape - invoiced as packaging</t>
  </si>
  <si>
    <t>per 1000</t>
  </si>
  <si>
    <t>Carton - invoiced as packaging</t>
  </si>
  <si>
    <t>Bag type - invoiced as packaging</t>
  </si>
  <si>
    <t>Delivery notes - invoiced as printing</t>
  </si>
  <si>
    <t>Address labels - invoiced as printing</t>
  </si>
  <si>
    <t>Carton identification labels - invoiced as printing</t>
  </si>
  <si>
    <t>Pallet storage</t>
  </si>
  <si>
    <t>per week</t>
  </si>
  <si>
    <t>HELPDESK PROVISION</t>
  </si>
  <si>
    <t>KM3 Key stage 2 costs</t>
  </si>
  <si>
    <t>960</t>
  </si>
  <si>
    <t>520</t>
  </si>
  <si>
    <t>KM4 Phonics costs</t>
  </si>
  <si>
    <t>720</t>
  </si>
  <si>
    <t>Helpdesk Provision</t>
  </si>
  <si>
    <t>160</t>
  </si>
  <si>
    <t>KM5 Closedown costs</t>
  </si>
  <si>
    <t>Resource type</t>
  </si>
  <si>
    <t>Work unit</t>
  </si>
  <si>
    <t>Total work</t>
  </si>
  <si>
    <t>Total output per shift</t>
  </si>
  <si>
    <t>Shifts per day</t>
  </si>
  <si>
    <t>Working days</t>
  </si>
  <si>
    <t>Shift output per resource</t>
  </si>
  <si>
    <t>Resource required per shift</t>
  </si>
  <si>
    <t>Shift length</t>
  </si>
  <si>
    <t>Hourly output per resource</t>
  </si>
  <si>
    <t>Total chargeable hours</t>
  </si>
  <si>
    <t>Chargeable Hourly Rate</t>
  </si>
  <si>
    <t>Preparation of surplus stock for recycling</t>
  </si>
  <si>
    <t>Key stage 1 production specifications</t>
  </si>
  <si>
    <t>Product Description</t>
  </si>
  <si>
    <t>Production Quantity</t>
  </si>
  <si>
    <t>Quick Ref</t>
  </si>
  <si>
    <t>ISBN</t>
  </si>
  <si>
    <t>Product Code</t>
  </si>
  <si>
    <t xml:space="preserve">Product Name </t>
  </si>
  <si>
    <t>SKU</t>
  </si>
  <si>
    <t>Lot code</t>
  </si>
  <si>
    <t>Artwork supplied</t>
  </si>
  <si>
    <t>Finished Size</t>
  </si>
  <si>
    <t>Pagination (pp)</t>
  </si>
  <si>
    <t xml:space="preserve">Material </t>
  </si>
  <si>
    <t>Material Weight (gsm)</t>
  </si>
  <si>
    <t>Scanned (Y/N)?</t>
  </si>
  <si>
    <t xml:space="preserve">Finishing </t>
  </si>
  <si>
    <t>Packing requirements</t>
  </si>
  <si>
    <t xml:space="preserve">Proof Required </t>
  </si>
  <si>
    <t>Minimum Delivery Quantity</t>
  </si>
  <si>
    <t>File copies for STA</t>
  </si>
  <si>
    <t>Advance Copies to Collation Provider</t>
  </si>
  <si>
    <t>Estimated finishing QA copies</t>
  </si>
  <si>
    <t>Total Production Qty</t>
  </si>
  <si>
    <t>Total Component Quote (Paper + Production)</t>
  </si>
  <si>
    <t>978-1-78644-406-6</t>
  </si>
  <si>
    <t>STA/17/7762/p</t>
  </si>
  <si>
    <t>KS1 Reading Pupil Pack 1 Administration instructions</t>
  </si>
  <si>
    <t>Standard</t>
  </si>
  <si>
    <t>PDF</t>
  </si>
  <si>
    <t>297 x 210 mm</t>
  </si>
  <si>
    <t>Uncoated</t>
  </si>
  <si>
    <t>2/2 - Black &amp; PMS Yellow u</t>
  </si>
  <si>
    <t>No</t>
  </si>
  <si>
    <t>Trim, fold, gather, stitch and trim; turn in 10s</t>
  </si>
  <si>
    <t>Carton pack (no mixed products), label, pallet stack and wrap</t>
  </si>
  <si>
    <t>Digital Proof</t>
  </si>
  <si>
    <t>978-1-78644-151-5</t>
  </si>
  <si>
    <t>STA/17/7720/p</t>
  </si>
  <si>
    <t>KS1 Reading Paper 1: Prompt and Answer booklet</t>
  </si>
  <si>
    <t>4/4 Process colours</t>
  </si>
  <si>
    <t>978-1-78644-407-3</t>
  </si>
  <si>
    <t>STA/17/7763/p</t>
  </si>
  <si>
    <t>KS1 Reading Pupil Pack 2 Administration instructions</t>
  </si>
  <si>
    <t>Trim, fold, box by kind</t>
  </si>
  <si>
    <t>978-1-78644-179-9</t>
  </si>
  <si>
    <t>STA/17/7722/p</t>
  </si>
  <si>
    <t>KS1 Reading Paper 2: Texts</t>
  </si>
  <si>
    <t>978-1-78644-166-9</t>
  </si>
  <si>
    <t>STA/17/7721/p</t>
  </si>
  <si>
    <t>KS1 Reading Paper 2: Answer booklet</t>
  </si>
  <si>
    <t>978-1-78644-411-0</t>
  </si>
  <si>
    <t>STA/17/7767/p</t>
  </si>
  <si>
    <t>KS1 Maths Pupil Pack 1 Administration instructions</t>
  </si>
  <si>
    <t>2/2 - Black &amp; PMS 293u</t>
  </si>
  <si>
    <t>978-1-78644-266-6</t>
  </si>
  <si>
    <t>STA/17/7727/p</t>
  </si>
  <si>
    <t>KS1 Maths Paper 1: Arithmetic</t>
  </si>
  <si>
    <t>978-1-78644-412-7</t>
  </si>
  <si>
    <t>STA/17/7768/p</t>
  </si>
  <si>
    <t>KS1 Maths Pupil Pack 2 Administration instructions</t>
  </si>
  <si>
    <t>978-1-78644-267-3</t>
  </si>
  <si>
    <t>STA/17/7728/p</t>
  </si>
  <si>
    <t>KS1 Maths Paper 2: Reasoning</t>
  </si>
  <si>
    <t>STA/17/7724/MLp</t>
  </si>
  <si>
    <t>KS1 GPS MLP Pupil Pack 1</t>
  </si>
  <si>
    <t>SRD</t>
  </si>
  <si>
    <t>978-1-78644-465-3</t>
  </si>
  <si>
    <t>STA/17/7793/p</t>
  </si>
  <si>
    <t>KS1 GPS MLP Pupil Pack 1 Administration instructions</t>
  </si>
  <si>
    <t>2/2 - Black &amp; PMS 129u</t>
  </si>
  <si>
    <t>Trim to size</t>
  </si>
  <si>
    <t>978-1-78644-330-4</t>
  </si>
  <si>
    <t>KS1 GPS MLP Paper 1: spelling</t>
  </si>
  <si>
    <t>Trim, fold, gather, stitch and trim</t>
  </si>
  <si>
    <t>STA/17/7725/MLp</t>
  </si>
  <si>
    <t>KS1 GPS MLP Pupil Pack 2</t>
  </si>
  <si>
    <t>978-1-78644-466-0</t>
  </si>
  <si>
    <t>STA/17/7794/p</t>
  </si>
  <si>
    <t>KS1 GPS MLP Pupil Pack 2 Administration instructions</t>
  </si>
  <si>
    <t>978-1-78644-331-1</t>
  </si>
  <si>
    <t>KS1 GPS MLP Paper 2: Grammar, punctuation and vocabulary</t>
  </si>
  <si>
    <t>STA/17/7720/MLp</t>
  </si>
  <si>
    <t>KS1 Reading MLP Pupil Pack 1</t>
  </si>
  <si>
    <t>978-1-78644-462-2</t>
  </si>
  <si>
    <t>STA/17/7790/p</t>
  </si>
  <si>
    <t>KS1 Reading MLP Pupil Pack 1 Administration instructions</t>
  </si>
  <si>
    <t>978-1-78644-327-4</t>
  </si>
  <si>
    <t>KS1 Reading MLP Paper 1: Prompt and Answer booklet</t>
  </si>
  <si>
    <t>STA/17/7722/MLp</t>
  </si>
  <si>
    <t>KS1 Reading MLP Pupil Pack 2</t>
  </si>
  <si>
    <t>978-1-78644-463-9</t>
  </si>
  <si>
    <t>STA/17/7791/p</t>
  </si>
  <si>
    <t>KS1 Reading MLP Pupil Pack 2 Administration instructions</t>
  </si>
  <si>
    <t>978-1-78644-329-8</t>
  </si>
  <si>
    <t>KS1 Reading MLP Paper 2: Texts</t>
  </si>
  <si>
    <t>978-1-78644-328-1</t>
  </si>
  <si>
    <t>STA/17/7721/MLp</t>
  </si>
  <si>
    <t>KS1 Reading MLP Paper 2: Answer booklet</t>
  </si>
  <si>
    <t>STA/17/7727/MLp</t>
  </si>
  <si>
    <t>KS1 Maths MLP Pupil Pack 1</t>
  </si>
  <si>
    <t>978-1-78644-467-7</t>
  </si>
  <si>
    <t>STA/17/7795/p</t>
  </si>
  <si>
    <t>KS1 Maths MLP Pupil Pack 1 Administration instructions</t>
  </si>
  <si>
    <t>978-1-78644-332-8</t>
  </si>
  <si>
    <t>KS1 Maths MLP Paper 1: Arithmetic</t>
  </si>
  <si>
    <t>STA/17/7728/MLp</t>
  </si>
  <si>
    <t>KS1 Maths MLP Pupil Pack 2</t>
  </si>
  <si>
    <t>978-1-78644-468-4</t>
  </si>
  <si>
    <t>STA/17/7796/p</t>
  </si>
  <si>
    <t>KS1 Maths MLP Pupil Pack 2 Administration instructions</t>
  </si>
  <si>
    <t>978-1-78644-333-5</t>
  </si>
  <si>
    <t>KS1 Maths MLP Paper 2: Reasoning</t>
  </si>
  <si>
    <t>KS1 Maths MLP Model pack for Q29</t>
  </si>
  <si>
    <t xml:space="preserve">1 x cylinder (labelled P); 1 x cube (labelled Q); 1 x triangular prism (labelled R); 1 xTriangle-based pyramid (tetrahedron) (Labelled S); </t>
  </si>
  <si>
    <t>STA/17/7725/BRp</t>
  </si>
  <si>
    <t>KS1 GPS Universal English Braille Pupil Pack 2</t>
  </si>
  <si>
    <t>Braille</t>
  </si>
  <si>
    <t>978-1-78644-494-3</t>
  </si>
  <si>
    <t>STA/17/7808/p</t>
  </si>
  <si>
    <t>KS1 GPS Universal English Braille Pupil Pack 2 Administration instructions</t>
  </si>
  <si>
    <t>Trim to leaves; corner stitch</t>
  </si>
  <si>
    <t>978-1-78644-545-2</t>
  </si>
  <si>
    <t>KS1 GPS Universal English Braille Paper 2: Grammar, punctuation and vocabulary</t>
  </si>
  <si>
    <t>PDF &amp; .doc &amp; .brf</t>
  </si>
  <si>
    <t>B/Paper</t>
  </si>
  <si>
    <t>Braille &amp; 1/1 - Black to cover pages only</t>
  </si>
  <si>
    <t>978-1-78644-368-7</t>
  </si>
  <si>
    <t>STA/17/7743/p</t>
  </si>
  <si>
    <t>KS1 GPS UEB Paper 2 transcript</t>
  </si>
  <si>
    <t>1/1 - Black only</t>
  </si>
  <si>
    <t>N/A</t>
  </si>
  <si>
    <t>STA/17/7720/BRp</t>
  </si>
  <si>
    <t>KS1 Reading Universal English Braille Pupil Pack 1</t>
  </si>
  <si>
    <t>978-1-78644-490-5</t>
  </si>
  <si>
    <t>STA/17/7804/p</t>
  </si>
  <si>
    <t>KS1 Reading Universal English Braille Pupil Pack 1 Administration instructions</t>
  </si>
  <si>
    <t>294 x 275mm</t>
  </si>
  <si>
    <t>978-1-78644-355-7</t>
  </si>
  <si>
    <t>KS1 Reading Universal English Braille Paper 1: Prompt and Answer booklet</t>
  </si>
  <si>
    <t>Braille &amp; 1/1 - Black only</t>
  </si>
  <si>
    <t>978-1-78644-365-6</t>
  </si>
  <si>
    <t>STA/17/7740/p</t>
  </si>
  <si>
    <t>KS1 Reading UEB Paper 1 transcript</t>
  </si>
  <si>
    <t>STA/17/7721/BRp</t>
  </si>
  <si>
    <t>KS1 Reading Universal English Braille Pupil Pack 2</t>
  </si>
  <si>
    <t>978-1-78644-491-2</t>
  </si>
  <si>
    <t>STA/17/7805/p</t>
  </si>
  <si>
    <t>KS1 Reading Universal English Braille Pupil Pack 2 Administration instructions</t>
  </si>
  <si>
    <t>Trim to leaves; corner stich</t>
  </si>
  <si>
    <t>978-1-78644-356-4</t>
  </si>
  <si>
    <t>KS1 Reading Universal English Braille Paper 2: Texts</t>
  </si>
  <si>
    <t>978-1-78644-366-3</t>
  </si>
  <si>
    <t>STA/17/7741/p</t>
  </si>
  <si>
    <t>KS1 Reading UEB Paper 2: Texts transcript</t>
  </si>
  <si>
    <t>978-1-78644-357-1</t>
  </si>
  <si>
    <t>STA/17/7722/BRp</t>
  </si>
  <si>
    <t>KS1 Reading Universal English Braille Paper 2: Questions booklet</t>
  </si>
  <si>
    <t>978-1-78644-367-0</t>
  </si>
  <si>
    <t>STA/17/7742/p</t>
  </si>
  <si>
    <t>KS1 Reading UEB Paper 2: Questions transcript</t>
  </si>
  <si>
    <t>STA/17/7727/BRp</t>
  </si>
  <si>
    <t>KS1 Maths Universal English Braille Pupil Pack 1</t>
  </si>
  <si>
    <t>978-1-78644-495-0</t>
  </si>
  <si>
    <t>STA/17/7809/p</t>
  </si>
  <si>
    <t>KS1 Maths Universal English Braille Pupil Pack 1 Administration instructions</t>
  </si>
  <si>
    <t>978-1-78644-358-8</t>
  </si>
  <si>
    <t>KS1 Maths Universal English Braille Paper 1: Arithmetic</t>
  </si>
  <si>
    <t>978-1-78644-369-4</t>
  </si>
  <si>
    <t>STA/17/7744/p</t>
  </si>
  <si>
    <t>KS1 Maths UEB Paper 1 transcript</t>
  </si>
  <si>
    <t>STA/17/7728/BRp</t>
  </si>
  <si>
    <t>KS1 Maths Universal English Braille Pupil Pack 2</t>
  </si>
  <si>
    <t>978-1-78644-496-7</t>
  </si>
  <si>
    <t>STA/17/7810/p</t>
  </si>
  <si>
    <t>KS1 Maths Universal English Braille Pupil Pack 2 Administration instructions</t>
  </si>
  <si>
    <t>978-1-78644-359-5</t>
  </si>
  <si>
    <t>KS1 Maths Universal English Braille Paper 2: Reasoning</t>
  </si>
  <si>
    <t>B/Minolta</t>
  </si>
  <si>
    <t>Tactile diagrams</t>
  </si>
  <si>
    <t>B/Braillon</t>
  </si>
  <si>
    <t>B/Film</t>
  </si>
  <si>
    <t>978-1-78644-370-0</t>
  </si>
  <si>
    <t>STA/17/7745/p</t>
  </si>
  <si>
    <t>KS1 Maths UEB Paper 2 transcript</t>
  </si>
  <si>
    <t>KS1 Maths UEB Paper 2 Models for Q29</t>
  </si>
  <si>
    <t>Wood or Plastic</t>
  </si>
  <si>
    <t>Please Note:</t>
  </si>
  <si>
    <t>Key stage 2 production specifications</t>
  </si>
  <si>
    <t>Variable data</t>
  </si>
  <si>
    <t>978-1-78644-415-8</t>
  </si>
  <si>
    <t>STA/17/7771/p</t>
  </si>
  <si>
    <t>KS2 GPS Pupil Pack 1 Administration instructions</t>
  </si>
  <si>
    <t>Trim, fold,</t>
  </si>
  <si>
    <t>978-1-78644-272-7</t>
  </si>
  <si>
    <t>STA/17/7733/p</t>
  </si>
  <si>
    <t>KS2 GPS Paper 1: Questions</t>
  </si>
  <si>
    <t>PEL Spec v12.1</t>
  </si>
  <si>
    <t>978-1-78644-416-5</t>
  </si>
  <si>
    <t>STA/17/7772/p</t>
  </si>
  <si>
    <t>KS2 GPS Pupil Pack 2 Administration instructions</t>
  </si>
  <si>
    <t>978-1-78644-273-4</t>
  </si>
  <si>
    <t>STA/17/7734/p</t>
  </si>
  <si>
    <t>KS2 GPS Paper 2: spelling</t>
  </si>
  <si>
    <t>Trim and fold; tab in 30s</t>
  </si>
  <si>
    <t>978-1-78644-413-4</t>
  </si>
  <si>
    <t>STA/17/7769/p</t>
  </si>
  <si>
    <t>KS2 Reading Pupil Pack Administration instructions</t>
  </si>
  <si>
    <t>978-1-78644-270-3</t>
  </si>
  <si>
    <t>STA/17/7731/p</t>
  </si>
  <si>
    <t>KS2 Reading prompt booklet</t>
  </si>
  <si>
    <t>978-1-78644-269-7</t>
  </si>
  <si>
    <t>STA/17/7730/p</t>
  </si>
  <si>
    <t>KS2 Reading answer booklet</t>
  </si>
  <si>
    <t>978-1-78644-417-2</t>
  </si>
  <si>
    <t>STA/17/7773/p</t>
  </si>
  <si>
    <t>KS2 Maths Pupil Pack 1 Administration instructions</t>
  </si>
  <si>
    <t>978-1-78644-275-8</t>
  </si>
  <si>
    <t>STA/17/7736/p</t>
  </si>
  <si>
    <t>KS2 Maths Paper 1: Arithmetic</t>
  </si>
  <si>
    <t>3/3 - Black &amp; PMS 293u &amp; PMS 180u</t>
  </si>
  <si>
    <t>978-1-78644-418-9</t>
  </si>
  <si>
    <t>STA/17/7774/p</t>
  </si>
  <si>
    <t>KS2 Maths Pupil Pack 2 Administration instructions</t>
  </si>
  <si>
    <t>978-1-78644-276-5</t>
  </si>
  <si>
    <t>STA/17/7737/p</t>
  </si>
  <si>
    <t>KS2 Maths Paper 2: Fluency, problem solving and reasoning</t>
  </si>
  <si>
    <t>978-1-78644-419-6</t>
  </si>
  <si>
    <t>STA/17/7775/p</t>
  </si>
  <si>
    <t>KS2 Maths Pupil Pack 3 Administration instructions</t>
  </si>
  <si>
    <t>978-1-78644-277-2</t>
  </si>
  <si>
    <t>STA/17/7738/p</t>
  </si>
  <si>
    <t>KS2 Maths Paper 3: Fluency, problem solving and reasoning</t>
  </si>
  <si>
    <t>978-1-78644-308-3</t>
  </si>
  <si>
    <t>STA/17/7733/Ep</t>
  </si>
  <si>
    <t>KS2 GPS EP Pupil Pack 1</t>
  </si>
  <si>
    <t>978-1-78644-443-1</t>
  </si>
  <si>
    <t>STA/17/7785/p</t>
  </si>
  <si>
    <t>KS2 GPS EP Pupil Pack 1 topsheet</t>
  </si>
  <si>
    <t>364 x 257 mm</t>
  </si>
  <si>
    <t>KS2 GPS EP Paper 1: Questions</t>
  </si>
  <si>
    <t>Trim, gather, wiro</t>
  </si>
  <si>
    <t>978-1-78644-309-0</t>
  </si>
  <si>
    <t>STA/17/7734/Ep</t>
  </si>
  <si>
    <t>KS2 GPS EP Pupil Pack 2</t>
  </si>
  <si>
    <t>978-1-78644-444-8</t>
  </si>
  <si>
    <t>STA/17/7786/p</t>
  </si>
  <si>
    <t>KS2 GPS EP Pupil Pack 2 topsheet</t>
  </si>
  <si>
    <t>KS2 GPS EP Paper 2: spelling</t>
  </si>
  <si>
    <t>978-1-78644-307-6</t>
  </si>
  <si>
    <t>STA/17/7731/Ep</t>
  </si>
  <si>
    <t>KS2 Reading EP Pupil Pack</t>
  </si>
  <si>
    <t>978-1-78644-441-7</t>
  </si>
  <si>
    <t>STA/17/7783/p</t>
  </si>
  <si>
    <t>KS2 Reading EP Pupil Pack topsheet</t>
  </si>
  <si>
    <t>KS2 Reading EP prompt booklet</t>
  </si>
  <si>
    <t>978-1-78644-306-9</t>
  </si>
  <si>
    <t>STA/17/7730/Ep</t>
  </si>
  <si>
    <t>KS2 Reading EP answer booklet</t>
  </si>
  <si>
    <t>978-1-78644-310-6</t>
  </si>
  <si>
    <t>STA/17/7736/Ep</t>
  </si>
  <si>
    <t>KS2 Maths EP Pupil Pack 1</t>
  </si>
  <si>
    <t>978-1-78644-445-5</t>
  </si>
  <si>
    <t>STA/17/7787/p</t>
  </si>
  <si>
    <t>KS2 Maths EP Pupil Pack 1 topsheet</t>
  </si>
  <si>
    <t>KS2 Maths EP Paper 1: Arithmetic</t>
  </si>
  <si>
    <t>978-1-78644-311-3</t>
  </si>
  <si>
    <t>STA/17/7737/Ep</t>
  </si>
  <si>
    <t>KS2 Maths EP Pupil Pack 2</t>
  </si>
  <si>
    <t>978-1-78644-446-2</t>
  </si>
  <si>
    <t>STA/17/7788/p</t>
  </si>
  <si>
    <t>KS2 Maths EP Pupil Pack 2 topsheet</t>
  </si>
  <si>
    <t>KS2 Maths EP Paper 2: Fluency, problem solving and reasoning</t>
  </si>
  <si>
    <t>978-1-78644-312-0</t>
  </si>
  <si>
    <t>STA/17/7738/Ep</t>
  </si>
  <si>
    <t>KS2 Maths EP Pupil Pack 3</t>
  </si>
  <si>
    <t>978-1-78644-447-9</t>
  </si>
  <si>
    <t>STA/17/7789/p</t>
  </si>
  <si>
    <t>KS2 Maths EP Pupil Pack 3 topsheet</t>
  </si>
  <si>
    <t>KS2 Maths EP Paper 3: Fluency, problem solving and reasoning</t>
  </si>
  <si>
    <t>978-1-78644-336-6</t>
  </si>
  <si>
    <t>STA/17/7733/MLp</t>
  </si>
  <si>
    <t>KS2 GPS MLP Pupil Pack 1</t>
  </si>
  <si>
    <t>978-1-78644-471-4</t>
  </si>
  <si>
    <t>STA/17/7799/p</t>
  </si>
  <si>
    <t>KS2 GPS MLP Pupil Pack 1 Administration instructions</t>
  </si>
  <si>
    <t>KS2 GPS MLP Paper 1: Questions</t>
  </si>
  <si>
    <t>978-1-78644-337-3</t>
  </si>
  <si>
    <t>STA/17/7734/MLp</t>
  </si>
  <si>
    <t>KS2 GPS MLP Pupil Pack 2</t>
  </si>
  <si>
    <t>978-1-78644-472-1</t>
  </si>
  <si>
    <t>STA/17/7800/p</t>
  </si>
  <si>
    <t>KS2 GPS MLP Pupil Pack 2 Administration instructions</t>
  </si>
  <si>
    <t>KS2 GPS MLP Paper 2: spelling</t>
  </si>
  <si>
    <t>978-1-78644-335-9</t>
  </si>
  <si>
    <t>STA/17/7731/MLp</t>
  </si>
  <si>
    <t>KS2 Reading MLP Pupil Pack</t>
  </si>
  <si>
    <t>978-1-78644-469-1</t>
  </si>
  <si>
    <t>STA/17/7797/p</t>
  </si>
  <si>
    <t>KS2 Reading MLP Pupil Pack Administration instructions</t>
  </si>
  <si>
    <t>KS2 Reading MLP prompt booklet</t>
  </si>
  <si>
    <t>978-1-78644-334-2</t>
  </si>
  <si>
    <t>STA/17/7730/MLp</t>
  </si>
  <si>
    <t>KS2 Reading MLP answer booklet</t>
  </si>
  <si>
    <t>978-1-78644-338-0</t>
  </si>
  <si>
    <t>STA/17/7736/MLp</t>
  </si>
  <si>
    <t>KS2 Maths MLP Pupil Pack 1</t>
  </si>
  <si>
    <t>978-1-78644-473-8</t>
  </si>
  <si>
    <t>STA/17/7801/p</t>
  </si>
  <si>
    <t>KS2 Maths MLP Pupil Pack 1 Administration instructions</t>
  </si>
  <si>
    <t>KS2 Maths MLP Paper 1: Arithmetic</t>
  </si>
  <si>
    <t>978-1-78644-339-7</t>
  </si>
  <si>
    <t>STA/17/7737/MLp</t>
  </si>
  <si>
    <t>KS2 Maths MLP Pupil Pack 2</t>
  </si>
  <si>
    <t>978-1-78644-474-5</t>
  </si>
  <si>
    <t>STA/17/7802/p</t>
  </si>
  <si>
    <t>KS2 Maths MLP Pupil Pack 2 Administration instructions</t>
  </si>
  <si>
    <t>KS2 Maths MLP Paper 2: Fluency, problem solving and reasoning</t>
  </si>
  <si>
    <t>KS2 Maths MLP Paper 2 Models for Q12</t>
  </si>
  <si>
    <t>Wood</t>
  </si>
  <si>
    <t xml:space="preserve"> 1x hexagonal prism</t>
  </si>
  <si>
    <t>978-1-78644-340-3</t>
  </si>
  <si>
    <t>STA/17/7738/MLp</t>
  </si>
  <si>
    <t>KS2 Maths MLP Pupil Pack 3</t>
  </si>
  <si>
    <t>978-1-78644-475-2</t>
  </si>
  <si>
    <t>STA/17/7803/p</t>
  </si>
  <si>
    <t>KS2 Maths MLP Pupil Pack 3 Administration instructions</t>
  </si>
  <si>
    <t>KS2 Maths MLP Paper 3: Fluency, problem solving and reasoning</t>
  </si>
  <si>
    <t>978-1-78644-546-9</t>
  </si>
  <si>
    <t>STA/17/7733/BRp</t>
  </si>
  <si>
    <t>KS2 GPS UEB Pupil Pack 1</t>
  </si>
  <si>
    <t>Pre-production sample</t>
  </si>
  <si>
    <t>978-1-78644-499-8</t>
  </si>
  <si>
    <t>STA/17/7813/p</t>
  </si>
  <si>
    <t>KS2 GPS UEB Pupil Pack 1 Administration instructions</t>
  </si>
  <si>
    <t>.brf .pdf + hardcopy</t>
  </si>
  <si>
    <t>297 x 275 mm</t>
  </si>
  <si>
    <t>Print as leaves; corner stitch</t>
  </si>
  <si>
    <t>KS2 GPS UEB Paper 1: Questions</t>
  </si>
  <si>
    <t>Impression produced</t>
  </si>
  <si>
    <t>978-1-78644-373-1</t>
  </si>
  <si>
    <t>STA/17/7748/p</t>
  </si>
  <si>
    <t>KS2 GPS UEB Paper 1 transcript</t>
  </si>
  <si>
    <t>PDF + hard copy</t>
  </si>
  <si>
    <t>978-1-78644-361-8</t>
  </si>
  <si>
    <t>STA/17/7731/BRp</t>
  </si>
  <si>
    <t>KS2 Reading UEB Pupil Pack</t>
  </si>
  <si>
    <t>978-1-78644-497-4</t>
  </si>
  <si>
    <t>STA/17/7811/p</t>
  </si>
  <si>
    <t>KS2 Reading UEB Pupil Pack Administration instructions</t>
  </si>
  <si>
    <t>KS2 Reading UEB prompt booklet</t>
  </si>
  <si>
    <t>978-1-78644-372-4</t>
  </si>
  <si>
    <t>STA/17/7747/p</t>
  </si>
  <si>
    <t>KS2 Reading UEB prompt booklet transcript</t>
  </si>
  <si>
    <t>978-1-78644-360-1</t>
  </si>
  <si>
    <t>STA/17/7730/BRp</t>
  </si>
  <si>
    <t>KS2 Reading UEB answer booklet</t>
  </si>
  <si>
    <t>978-1-78644-371-7</t>
  </si>
  <si>
    <t>STA/17/7746/p</t>
  </si>
  <si>
    <t>KS2 Reading UEB answer booklet transcript</t>
  </si>
  <si>
    <t>978-1-78644-362-5</t>
  </si>
  <si>
    <t>STA/17/7736/BRp</t>
  </si>
  <si>
    <t>KS2 Maths UEB Pupil Pack 1</t>
  </si>
  <si>
    <t>978-1-78644-501-8</t>
  </si>
  <si>
    <t>STA/17/7815/p</t>
  </si>
  <si>
    <t>KS2 Maths UEB Pupil Pack 1 Administration instructions</t>
  </si>
  <si>
    <t>KS2 Maths UEB Paper 1: Arithmetic</t>
  </si>
  <si>
    <t>Drill, collate and treasury tag as per production sample</t>
  </si>
  <si>
    <t>978-1-78644-374-8</t>
  </si>
  <si>
    <t>STA/17/7749/p</t>
  </si>
  <si>
    <t>KS2 Maths UEB Paper 1 transcript</t>
  </si>
  <si>
    <t>978-1-78644-363-2</t>
  </si>
  <si>
    <t>STA/17/7737/BRp</t>
  </si>
  <si>
    <t>KS2 Maths UEB Pupil Pack 2</t>
  </si>
  <si>
    <t>978-1-78644-502-5</t>
  </si>
  <si>
    <t>STA/17/7816/p</t>
  </si>
  <si>
    <t>KS2 Maths UEB Pupil Pack 2 Administration instructions</t>
  </si>
  <si>
    <t>KS2 Maths UEB Paper 2: Fluency, problem solving and reasoning</t>
  </si>
  <si>
    <t>135gsm</t>
  </si>
  <si>
    <t>60gsm</t>
  </si>
  <si>
    <t>130gsm</t>
  </si>
  <si>
    <t>200gsm</t>
  </si>
  <si>
    <t>KS2 Maths UEB Paper 2 Models for Q12</t>
  </si>
  <si>
    <t>60mm x 60mm x 60mm</t>
  </si>
  <si>
    <t>1x pentagonal prism or 1x hexagonal prism</t>
  </si>
  <si>
    <t>978-1-78644-375-5</t>
  </si>
  <si>
    <t>STA/17/7750/p</t>
  </si>
  <si>
    <t>KS2 Maths UEB Paper 2 transcript</t>
  </si>
  <si>
    <t>978-1-78644-364-9</t>
  </si>
  <si>
    <t>STA/17/7738/BRp</t>
  </si>
  <si>
    <t>KS2 Maths UEB Pupil Pack 3</t>
  </si>
  <si>
    <t>978-1-78644-503-2</t>
  </si>
  <si>
    <t>STA/17/7817/p</t>
  </si>
  <si>
    <t>KS2 Maths UEB Pupil Pack 3 Administration instructions</t>
  </si>
  <si>
    <t>KS2 Maths UEB Paper 3: Fluency, problem solving and reasoning</t>
  </si>
  <si>
    <t>978-1-78644-376-2</t>
  </si>
  <si>
    <t>STA/17/7751/p</t>
  </si>
  <si>
    <t>KS2 Maths UEB Paper 3 transcript</t>
  </si>
  <si>
    <t>Key stage 2 Marker and stakeholder production specifications</t>
  </si>
  <si>
    <t>Finished Size (H x W)</t>
  </si>
  <si>
    <t>978-1-78644-536-0</t>
  </si>
  <si>
    <t>STA/17/7836/p</t>
  </si>
  <si>
    <t>KS2 GPS Marker Pack topsheet</t>
  </si>
  <si>
    <t>978-1-78644-274-1</t>
  </si>
  <si>
    <t>STA/17/7735/p</t>
  </si>
  <si>
    <t>KS2 GPS Mark Scheme</t>
  </si>
  <si>
    <t>KS2 GPS Paper 1: grammar, punctuation and vocabulary</t>
  </si>
  <si>
    <t>978-1-78644-535-3</t>
  </si>
  <si>
    <t>STA/17/7835/p</t>
  </si>
  <si>
    <t>KS2 Reading Marker Pack topsheet</t>
  </si>
  <si>
    <t>978-1-78644-271-0</t>
  </si>
  <si>
    <t>STA/17/7732/p</t>
  </si>
  <si>
    <t>KS2 Reading Mark Scheme</t>
  </si>
  <si>
    <t>KS2 Reading stimulus booklet</t>
  </si>
  <si>
    <t>978-1-78644-537-7</t>
  </si>
  <si>
    <t>STA/17/7837/p</t>
  </si>
  <si>
    <t>KS2 Maths Marker Pack topsheet</t>
  </si>
  <si>
    <t>978-1-78644-278-9</t>
  </si>
  <si>
    <t>STA/17/7739/p</t>
  </si>
  <si>
    <t>KS2 Maths Mark Scheme</t>
  </si>
  <si>
    <t>978-1-78644-530-8</t>
  </si>
  <si>
    <t>STA/17/7830/p</t>
  </si>
  <si>
    <t>KS2 Reference set incl. markscheme topsheet</t>
  </si>
  <si>
    <t>2/2 - PMS Green u</t>
  </si>
  <si>
    <t>978-1-78644-531-5</t>
  </si>
  <si>
    <t>STA/17/7831/p</t>
  </si>
  <si>
    <t>KS2 Reference set no markscheme topsheet</t>
  </si>
  <si>
    <t>Phonics Specification</t>
  </si>
  <si>
    <t>.</t>
  </si>
  <si>
    <t>978-1-78644-389-2</t>
  </si>
  <si>
    <t>STA/17/7752/p</t>
  </si>
  <si>
    <t>2016 Phonics Screening Check - Coversheet (standard)</t>
  </si>
  <si>
    <t>1/1 - Black &amp; PMS</t>
  </si>
  <si>
    <t>978-1-78644-393-9</t>
  </si>
  <si>
    <t>STA/17/7756/p</t>
  </si>
  <si>
    <t>2016 Phonics screening check - Practice sheet</t>
  </si>
  <si>
    <t xml:space="preserve">Silk </t>
  </si>
  <si>
    <t>4/4 - 4 Colour Process + 1PMS (2593U) + standard aquious coating</t>
  </si>
  <si>
    <t>978-1-78644-390-8</t>
  </si>
  <si>
    <t>STA/17/7753/p</t>
  </si>
  <si>
    <t>2016 Phonics screening check - Children's materials booklet (standard)</t>
  </si>
  <si>
    <t>4/4 - 4 Colour process + 1PMS (2593U) + standard aquious coating</t>
  </si>
  <si>
    <t>Fold, stitch and trim to size</t>
  </si>
  <si>
    <t>978-1-78644-391-5</t>
  </si>
  <si>
    <t>STA/17/7754/p</t>
  </si>
  <si>
    <t xml:space="preserve">2016 Phonics screening check - Answer sheet </t>
  </si>
  <si>
    <t>1/0 - Black</t>
  </si>
  <si>
    <t>Trim to leaves, gather 30 leaves and create pad on grey back board</t>
  </si>
  <si>
    <t>978-1-78644-392-2</t>
  </si>
  <si>
    <t>STA/17/7755/p</t>
  </si>
  <si>
    <t>2016 Phonics Screening Check - Scoring guidance</t>
  </si>
  <si>
    <t>2/2 - Black &amp; PMS</t>
  </si>
  <si>
    <t>978-1-78644-394-6</t>
  </si>
  <si>
    <t>STA/17/7753/BRp</t>
  </si>
  <si>
    <t>2016 Phonics screening check - Children's materials - braille tactile</t>
  </si>
  <si>
    <t>.doc, .brf and hard copy</t>
  </si>
  <si>
    <t>B/paper</t>
  </si>
  <si>
    <t>Collate leaves and treasury tag; insert to polybag</t>
  </si>
  <si>
    <t>Production sample</t>
  </si>
  <si>
    <t>978-1-78644-378-6</t>
  </si>
  <si>
    <t>STA/17/7908/p</t>
  </si>
  <si>
    <t>2016 Phonics Screening Check - Children's materials - braille tactile pack</t>
  </si>
  <si>
    <t>Quick Ref 5) Phonics Screening Check - Scoring Guidance:  Amended from 4pp to 2pp to match final specification from 2017 (highlighted above in yellow).</t>
  </si>
  <si>
    <t>Granby</t>
  </si>
  <si>
    <t>Communisis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</si>
</sst>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43" formatCode="_-* #,##0.00_-;\-* #,##0.00_-;_-* &quot;-&quot;??_-;_-@_-"/>
    <numFmt numFmtId="164" formatCode="&quot;£&quot;#,##0.00"/>
    <numFmt numFmtId="165" formatCode="&quot;£&quot;#,##0.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0"/>
      <color theme="1"/>
      <name val="Arial"/>
      <family val="2"/>
    </font>
    <font>
      <sz val="11"/>
      <color theme="0"/>
      <name val="Calibri"/>
      <family val="2"/>
      <scheme val="minor"/>
    </font>
    <font>
      <sz val="10"/>
      <name val="Arial"/>
    </font>
    <font>
      <b/>
      <sz val="10"/>
      <name val="Arial"/>
      <family val="2"/>
    </font>
    <font>
      <sz val="10"/>
      <name val="Arial"/>
      <family val="2"/>
    </font>
    <font>
      <b/>
      <sz val="12"/>
      <name val="Arial"/>
      <family val="2"/>
    </font>
    <font>
      <sz val="10"/>
      <color indexed="8"/>
      <name val="Arial"/>
      <family val="2"/>
    </font>
    <font>
      <sz val="10"/>
      <color rgb="FFFF0000"/>
      <name val="Arial"/>
      <family val="2"/>
    </font>
    <font>
      <b/>
      <sz val="9"/>
      <color indexed="81"/>
      <name val="Tahoma"/>
      <family val="2"/>
    </font>
    <font>
      <sz val="9"/>
      <color indexed="81"/>
      <name val="Tahoma"/>
      <family val="2"/>
    </font>
    <font>
      <b/>
      <sz val="20"/>
      <color theme="1"/>
      <name val="Calibri"/>
      <family val="2"/>
      <scheme val="minor"/>
    </font>
    <font>
      <sz val="10"/>
      <name val="Calibri"/>
      <family val="2"/>
      <scheme val="minor"/>
    </font>
    <font>
      <b/>
      <sz val="16"/>
      <name val="Calibri"/>
      <family val="2"/>
      <scheme val="minor"/>
    </font>
    <font>
      <b/>
      <sz val="16"/>
      <color indexed="62"/>
      <name val="Calibri"/>
      <family val="2"/>
      <scheme val="minor"/>
    </font>
    <font>
      <sz val="10"/>
      <color indexed="9"/>
      <name val="Calibri"/>
      <family val="2"/>
      <scheme val="minor"/>
    </font>
    <font>
      <sz val="10"/>
      <color theme="0"/>
      <name val="Calibri"/>
      <family val="2"/>
      <scheme val="minor"/>
    </font>
    <font>
      <sz val="8"/>
      <name val="Verdana"/>
      <family val="2"/>
    </font>
    <font>
      <b/>
      <sz val="12"/>
      <color indexed="9"/>
      <name val="Calibri"/>
      <family val="2"/>
      <scheme val="minor"/>
    </font>
    <font>
      <b/>
      <sz val="11"/>
      <color indexed="9"/>
      <name val="Calibri"/>
      <family val="2"/>
      <scheme val="minor"/>
    </font>
    <font>
      <sz val="11"/>
      <name val="Calibri"/>
      <family val="2"/>
      <scheme val="minor"/>
    </font>
    <font>
      <sz val="10"/>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DCE6F1"/>
        <bgColor indexed="64"/>
      </patternFill>
    </fill>
    <fill>
      <patternFill patternType="solid">
        <fgColor theme="4" tint="0.79998168889431442"/>
        <bgColor indexed="64"/>
      </patternFill>
    </fill>
    <fill>
      <patternFill patternType="solid">
        <fgColor theme="0"/>
        <bgColor indexed="64"/>
      </patternFill>
    </fill>
    <fill>
      <patternFill patternType="solid">
        <fgColor indexed="6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bgColor indexed="64"/>
      </patternFill>
    </fill>
    <fill>
      <patternFill patternType="solid">
        <fgColor theme="8"/>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theme="0" tint="-0.499984740745262"/>
      </right>
      <top style="thin">
        <color indexed="23"/>
      </top>
      <bottom style="thin">
        <color indexed="23"/>
      </bottom>
      <diagonal/>
    </border>
    <border>
      <left/>
      <right style="thin">
        <color indexed="23"/>
      </right>
      <top style="thin">
        <color indexed="23"/>
      </top>
      <bottom/>
      <diagonal/>
    </border>
    <border>
      <left style="thin">
        <color indexed="23"/>
      </left>
      <right style="thin">
        <color indexed="23"/>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8">
    <xf numFmtId="0" fontId="0" fillId="0" borderId="0"/>
    <xf numFmtId="44" fontId="1" fillId="0" borderId="0" applyFont="0" applyFill="0" applyBorder="0" applyAlignment="0" applyProtection="0"/>
    <xf numFmtId="0" fontId="9" fillId="0" borderId="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applyNumberFormat="0" applyFill="0" applyBorder="0" applyAlignment="0" applyProtection="0"/>
    <xf numFmtId="0" fontId="23" fillId="0" borderId="0"/>
  </cellStyleXfs>
  <cellXfs count="162">
    <xf numFmtId="0" fontId="0" fillId="0" borderId="0" xfId="0"/>
    <xf numFmtId="0" fontId="2" fillId="0" borderId="0" xfId="0" applyFont="1"/>
    <xf numFmtId="0" fontId="0" fillId="0" borderId="1" xfId="0" applyBorder="1"/>
    <xf numFmtId="44" fontId="0" fillId="0" borderId="1" xfId="1" applyFont="1" applyBorder="1"/>
    <xf numFmtId="44" fontId="0" fillId="0" borderId="1" xfId="0" applyNumberFormat="1" applyBorder="1"/>
    <xf numFmtId="8" fontId="0" fillId="0" borderId="0" xfId="0" applyNumberFormat="1"/>
    <xf numFmtId="8" fontId="0" fillId="0" borderId="1" xfId="0" applyNumberFormat="1" applyBorder="1"/>
    <xf numFmtId="0" fontId="0" fillId="0" borderId="1" xfId="0" applyFill="1" applyBorder="1"/>
    <xf numFmtId="9" fontId="0" fillId="0" borderId="1" xfId="0" applyNumberFormat="1" applyBorder="1"/>
    <xf numFmtId="0" fontId="4" fillId="0" borderId="1" xfId="0" applyFont="1" applyBorder="1"/>
    <xf numFmtId="0" fontId="5" fillId="0" borderId="1" xfId="0" applyFont="1" applyBorder="1"/>
    <xf numFmtId="0" fontId="3" fillId="0" borderId="1" xfId="0" applyFont="1" applyBorder="1"/>
    <xf numFmtId="0" fontId="3" fillId="0" borderId="1" xfId="0" applyFont="1" applyFill="1" applyBorder="1"/>
    <xf numFmtId="44" fontId="0" fillId="2" borderId="1" xfId="0" applyNumberFormat="1" applyFill="1" applyBorder="1"/>
    <xf numFmtId="44" fontId="5" fillId="2" borderId="1" xfId="0" applyNumberFormat="1" applyFont="1" applyFill="1" applyBorder="1"/>
    <xf numFmtId="0" fontId="6" fillId="0" borderId="0" xfId="0" applyFont="1"/>
    <xf numFmtId="8" fontId="7" fillId="0" borderId="0" xfId="0" applyNumberFormat="1" applyFont="1"/>
    <xf numFmtId="0" fontId="7" fillId="0" borderId="0" xfId="0" applyFont="1"/>
    <xf numFmtId="0" fontId="3" fillId="0" borderId="0" xfId="0" applyFont="1" applyFill="1" applyBorder="1"/>
    <xf numFmtId="0" fontId="0" fillId="0" borderId="0" xfId="0" applyBorder="1"/>
    <xf numFmtId="0" fontId="0" fillId="0" borderId="0" xfId="0" applyFont="1"/>
    <xf numFmtId="0" fontId="10" fillId="0" borderId="0" xfId="2" applyFont="1"/>
    <xf numFmtId="0" fontId="9" fillId="0" borderId="0" xfId="2"/>
    <xf numFmtId="0" fontId="11" fillId="0" borderId="0" xfId="2" applyFont="1"/>
    <xf numFmtId="0" fontId="12" fillId="0" borderId="0" xfId="2" applyFont="1"/>
    <xf numFmtId="0" fontId="9" fillId="0" borderId="0" xfId="2" applyAlignment="1">
      <alignment horizontal="center"/>
    </xf>
    <xf numFmtId="0" fontId="11" fillId="0" borderId="0" xfId="2" applyFont="1" applyAlignment="1">
      <alignment horizontal="left" vertical="center"/>
    </xf>
    <xf numFmtId="0" fontId="11" fillId="0" borderId="2" xfId="2" applyFont="1" applyBorder="1" applyAlignment="1">
      <alignment vertical="top"/>
    </xf>
    <xf numFmtId="0" fontId="9" fillId="0" borderId="2" xfId="2" applyBorder="1" applyAlignment="1">
      <alignment horizontal="center" vertical="top" wrapText="1"/>
    </xf>
    <xf numFmtId="0" fontId="9" fillId="0" borderId="2" xfId="2" applyBorder="1" applyAlignment="1">
      <alignment vertical="top" wrapText="1"/>
    </xf>
    <xf numFmtId="0" fontId="9" fillId="3" borderId="3" xfId="2" applyFill="1" applyBorder="1"/>
    <xf numFmtId="49" fontId="9" fillId="3" borderId="3" xfId="2" applyNumberFormat="1" applyFill="1" applyBorder="1" applyAlignment="1">
      <alignment horizontal="left"/>
    </xf>
    <xf numFmtId="0" fontId="9" fillId="3" borderId="3" xfId="2" applyFill="1" applyBorder="1" applyAlignment="1" applyProtection="1">
      <alignment horizontal="right"/>
      <protection locked="0"/>
    </xf>
    <xf numFmtId="0" fontId="9" fillId="0" borderId="3" xfId="2" applyBorder="1" applyAlignment="1" applyProtection="1">
      <alignment horizontal="right"/>
      <protection locked="0"/>
    </xf>
    <xf numFmtId="164" fontId="9" fillId="0" borderId="3" xfId="2" applyNumberFormat="1" applyBorder="1" applyProtection="1">
      <protection locked="0"/>
    </xf>
    <xf numFmtId="164" fontId="9" fillId="0" borderId="3" xfId="2" applyNumberFormat="1" applyBorder="1"/>
    <xf numFmtId="0" fontId="9" fillId="4" borderId="4" xfId="2" applyFill="1" applyBorder="1" applyProtection="1">
      <protection locked="0"/>
    </xf>
    <xf numFmtId="0" fontId="9" fillId="0" borderId="4" xfId="2" applyBorder="1"/>
    <xf numFmtId="164" fontId="0" fillId="4" borderId="4" xfId="3" applyNumberFormat="1" applyFont="1" applyFill="1" applyBorder="1" applyProtection="1">
      <protection locked="0"/>
    </xf>
    <xf numFmtId="0" fontId="9" fillId="4" borderId="3" xfId="2" applyFill="1" applyBorder="1" applyProtection="1">
      <protection locked="0"/>
    </xf>
    <xf numFmtId="0" fontId="9" fillId="0" borderId="3" xfId="2" applyBorder="1"/>
    <xf numFmtId="164" fontId="0" fillId="4" borderId="3" xfId="3" applyNumberFormat="1" applyFont="1" applyFill="1" applyBorder="1" applyProtection="1">
      <protection locked="0"/>
    </xf>
    <xf numFmtId="0" fontId="11" fillId="4" borderId="3" xfId="2" applyFont="1" applyFill="1" applyBorder="1" applyProtection="1">
      <protection locked="0"/>
    </xf>
    <xf numFmtId="0" fontId="9" fillId="5" borderId="3" xfId="2" applyFill="1" applyBorder="1"/>
    <xf numFmtId="17" fontId="9" fillId="0" borderId="5" xfId="2" applyNumberFormat="1" applyBorder="1"/>
    <xf numFmtId="0" fontId="11" fillId="0" borderId="5" xfId="2" applyFont="1" applyBorder="1"/>
    <xf numFmtId="0" fontId="13" fillId="4" borderId="6" xfId="2" applyFont="1" applyFill="1" applyBorder="1" applyAlignment="1" applyProtection="1">
      <alignment horizontal="left"/>
      <protection locked="0"/>
    </xf>
    <xf numFmtId="44" fontId="9" fillId="4" borderId="5" xfId="2" applyNumberFormat="1" applyFill="1" applyBorder="1" applyProtection="1">
      <protection locked="0"/>
    </xf>
    <xf numFmtId="44" fontId="9" fillId="0" borderId="5" xfId="2" applyNumberFormat="1" applyBorder="1"/>
    <xf numFmtId="0" fontId="13" fillId="4" borderId="7" xfId="2" applyFont="1" applyFill="1" applyBorder="1" applyAlignment="1" applyProtection="1">
      <alignment horizontal="left"/>
      <protection locked="0"/>
    </xf>
    <xf numFmtId="0" fontId="11" fillId="0" borderId="6" xfId="2" applyFont="1" applyBorder="1" applyAlignment="1">
      <alignment horizontal="left" wrapText="1"/>
    </xf>
    <xf numFmtId="44" fontId="9" fillId="0" borderId="8" xfId="2" applyNumberFormat="1" applyBorder="1"/>
    <xf numFmtId="165" fontId="9" fillId="0" borderId="0" xfId="2" applyNumberFormat="1"/>
    <xf numFmtId="0" fontId="11" fillId="0" borderId="3" xfId="2" applyFont="1" applyBorder="1" applyAlignment="1">
      <alignment vertical="top"/>
    </xf>
    <xf numFmtId="0" fontId="9" fillId="0" borderId="3" xfId="2" applyBorder="1" applyAlignment="1">
      <alignment horizontal="center" vertical="top" wrapText="1"/>
    </xf>
    <xf numFmtId="0" fontId="9" fillId="0" borderId="3" xfId="2" applyBorder="1" applyAlignment="1">
      <alignment vertical="top" wrapText="1"/>
    </xf>
    <xf numFmtId="0" fontId="14" fillId="0" borderId="0" xfId="2" applyFont="1"/>
    <xf numFmtId="0" fontId="11" fillId="3" borderId="3" xfId="2" applyFont="1" applyFill="1" applyBorder="1"/>
    <xf numFmtId="49" fontId="11" fillId="3" borderId="3" xfId="2" applyNumberFormat="1" applyFont="1" applyFill="1" applyBorder="1" applyAlignment="1">
      <alignment horizontal="left"/>
    </xf>
    <xf numFmtId="0" fontId="9" fillId="3" borderId="3" xfId="2" applyFill="1" applyBorder="1" applyProtection="1"/>
    <xf numFmtId="0" fontId="11" fillId="3" borderId="3" xfId="2" applyFont="1" applyFill="1" applyBorder="1" applyAlignment="1" applyProtection="1">
      <alignment horizontal="right"/>
      <protection locked="0"/>
    </xf>
    <xf numFmtId="1" fontId="9" fillId="0" borderId="3" xfId="2" applyNumberFormat="1" applyBorder="1" applyAlignment="1" applyProtection="1">
      <alignment horizontal="right"/>
      <protection locked="0"/>
    </xf>
    <xf numFmtId="0" fontId="9" fillId="0" borderId="3" xfId="2" applyBorder="1" applyProtection="1">
      <protection locked="0"/>
    </xf>
    <xf numFmtId="1" fontId="9" fillId="0" borderId="3" xfId="2" applyNumberFormat="1" applyBorder="1" applyProtection="1">
      <protection locked="0"/>
    </xf>
    <xf numFmtId="164" fontId="14" fillId="0" borderId="0" xfId="2" applyNumberFormat="1" applyFont="1"/>
    <xf numFmtId="1" fontId="11" fillId="3" borderId="3" xfId="2" applyNumberFormat="1" applyFont="1" applyFill="1" applyBorder="1" applyAlignment="1" applyProtection="1">
      <alignment horizontal="right"/>
      <protection locked="0"/>
    </xf>
    <xf numFmtId="49" fontId="11" fillId="3" borderId="3" xfId="2" applyNumberFormat="1" applyFont="1" applyFill="1" applyBorder="1" applyAlignment="1" applyProtection="1">
      <alignment horizontal="right"/>
      <protection locked="0"/>
    </xf>
    <xf numFmtId="0" fontId="9" fillId="0" borderId="3" xfId="2" applyBorder="1" applyAlignment="1">
      <alignment horizontal="center" vertical="top"/>
    </xf>
    <xf numFmtId="1" fontId="9" fillId="3" borderId="3" xfId="2" applyNumberFormat="1" applyFill="1" applyBorder="1" applyAlignment="1">
      <alignment horizontal="left"/>
    </xf>
    <xf numFmtId="1" fontId="9" fillId="4" borderId="3" xfId="2" applyNumberFormat="1" applyFill="1" applyBorder="1" applyProtection="1">
      <protection locked="0"/>
    </xf>
    <xf numFmtId="43" fontId="0" fillId="5" borderId="0" xfId="4" applyFont="1" applyFill="1" applyBorder="1"/>
    <xf numFmtId="165" fontId="9" fillId="0" borderId="5" xfId="2" applyNumberFormat="1" applyBorder="1"/>
    <xf numFmtId="164" fontId="9" fillId="4" borderId="5" xfId="2" applyNumberFormat="1" applyFill="1" applyBorder="1" applyProtection="1">
      <protection locked="0"/>
    </xf>
    <xf numFmtId="165" fontId="9" fillId="0" borderId="9" xfId="2" applyNumberFormat="1" applyBorder="1"/>
    <xf numFmtId="44" fontId="9" fillId="0" borderId="10" xfId="2" applyNumberFormat="1" applyBorder="1"/>
    <xf numFmtId="44" fontId="9" fillId="0" borderId="1" xfId="2" applyNumberFormat="1" applyBorder="1"/>
    <xf numFmtId="1" fontId="9" fillId="3" borderId="3" xfId="2" applyNumberFormat="1" applyFill="1" applyBorder="1" applyAlignment="1" applyProtection="1">
      <alignment horizontal="right"/>
      <protection locked="0"/>
    </xf>
    <xf numFmtId="49" fontId="9" fillId="3" borderId="3" xfId="2" applyNumberFormat="1" applyFill="1" applyBorder="1" applyAlignment="1" applyProtection="1">
      <alignment horizontal="right"/>
      <protection locked="0"/>
    </xf>
    <xf numFmtId="0" fontId="9" fillId="0" borderId="5" xfId="2" applyBorder="1"/>
    <xf numFmtId="0" fontId="9" fillId="0" borderId="0" xfId="2" applyBorder="1" applyAlignment="1">
      <alignment vertical="top" wrapText="1"/>
    </xf>
    <xf numFmtId="49" fontId="11" fillId="3" borderId="3" xfId="2" applyNumberFormat="1" applyFont="1" applyFill="1" applyBorder="1" applyProtection="1"/>
    <xf numFmtId="164" fontId="9" fillId="0" borderId="0" xfId="2" applyNumberFormat="1" applyBorder="1"/>
    <xf numFmtId="49" fontId="11" fillId="3" borderId="3" xfId="2" applyNumberFormat="1" applyFont="1" applyFill="1" applyBorder="1"/>
    <xf numFmtId="0" fontId="9" fillId="0" borderId="3" xfId="2" applyFill="1" applyBorder="1" applyAlignment="1">
      <alignment horizontal="center" vertical="top" wrapText="1"/>
    </xf>
    <xf numFmtId="0" fontId="9" fillId="0" borderId="3" xfId="2" applyFill="1" applyBorder="1" applyAlignment="1">
      <alignment vertical="top" wrapText="1"/>
    </xf>
    <xf numFmtId="0" fontId="9" fillId="0" borderId="0" xfId="2" applyBorder="1"/>
    <xf numFmtId="44" fontId="9" fillId="0" borderId="3" xfId="2" applyNumberFormat="1" applyBorder="1"/>
    <xf numFmtId="44" fontId="9" fillId="0" borderId="0" xfId="2" applyNumberFormat="1" applyBorder="1"/>
    <xf numFmtId="0" fontId="9" fillId="0" borderId="3" xfId="2" applyBorder="1" applyAlignment="1">
      <alignment vertical="top"/>
    </xf>
    <xf numFmtId="44" fontId="0" fillId="4" borderId="3" xfId="3" applyFont="1" applyFill="1" applyBorder="1" applyProtection="1">
      <protection locked="0"/>
    </xf>
    <xf numFmtId="44" fontId="0" fillId="0" borderId="3" xfId="3" applyFont="1" applyBorder="1"/>
    <xf numFmtId="0" fontId="17" fillId="0" borderId="0" xfId="0" applyFont="1"/>
    <xf numFmtId="14" fontId="0" fillId="0" borderId="0" xfId="0" applyNumberFormat="1"/>
    <xf numFmtId="0" fontId="0" fillId="0" borderId="0" xfId="0" applyAlignment="1">
      <alignment horizontal="center"/>
    </xf>
    <xf numFmtId="0" fontId="18" fillId="0" borderId="0" xfId="6" applyFont="1"/>
    <xf numFmtId="0" fontId="19" fillId="0" borderId="5" xfId="6" applyFont="1" applyBorder="1" applyAlignment="1">
      <alignment horizontal="center"/>
    </xf>
    <xf numFmtId="0" fontId="20" fillId="0" borderId="0" xfId="6" applyFont="1" applyBorder="1" applyAlignment="1">
      <alignment horizontal="center"/>
    </xf>
    <xf numFmtId="0" fontId="18" fillId="0" borderId="0" xfId="6" applyFont="1" applyAlignment="1">
      <alignment horizontal="left" vertical="top"/>
    </xf>
    <xf numFmtId="0" fontId="18" fillId="0" borderId="3" xfId="6" applyFont="1" applyBorder="1" applyAlignment="1">
      <alignment horizontal="left" vertical="top" wrapText="1"/>
    </xf>
    <xf numFmtId="0" fontId="21" fillId="6" borderId="13" xfId="6" applyFont="1" applyFill="1" applyBorder="1" applyAlignment="1">
      <alignment horizontal="left" vertical="top"/>
    </xf>
    <xf numFmtId="0" fontId="21" fillId="6" borderId="9" xfId="6" applyFont="1" applyFill="1" applyBorder="1" applyAlignment="1">
      <alignment horizontal="left" vertical="top" wrapText="1"/>
    </xf>
    <xf numFmtId="0" fontId="22" fillId="6" borderId="9" xfId="6" applyFont="1" applyFill="1" applyBorder="1" applyAlignment="1">
      <alignment horizontal="left" vertical="top"/>
    </xf>
    <xf numFmtId="0" fontId="21" fillId="6" borderId="9" xfId="6" applyFont="1" applyFill="1" applyBorder="1" applyAlignment="1">
      <alignment horizontal="center" vertical="top"/>
    </xf>
    <xf numFmtId="0" fontId="21" fillId="6" borderId="9" xfId="6" applyFont="1" applyFill="1" applyBorder="1" applyAlignment="1">
      <alignment horizontal="left" vertical="top"/>
    </xf>
    <xf numFmtId="0" fontId="21" fillId="6" borderId="9" xfId="6" applyFont="1" applyFill="1" applyBorder="1" applyAlignment="1">
      <alignment horizontal="center" vertical="top" wrapText="1"/>
    </xf>
    <xf numFmtId="0" fontId="22" fillId="6" borderId="9" xfId="6" applyFont="1" applyFill="1" applyBorder="1" applyAlignment="1">
      <alignment horizontal="left" vertical="top" wrapText="1"/>
    </xf>
    <xf numFmtId="0" fontId="24" fillId="6" borderId="14" xfId="7" applyFont="1" applyFill="1" applyBorder="1" applyAlignment="1">
      <alignment vertical="top" wrapText="1"/>
    </xf>
    <xf numFmtId="0" fontId="24" fillId="6" borderId="9" xfId="6" applyFont="1" applyFill="1" applyBorder="1" applyAlignment="1">
      <alignment horizontal="left" vertical="top" wrapText="1"/>
    </xf>
    <xf numFmtId="0" fontId="25" fillId="6" borderId="9" xfId="6" applyFont="1" applyFill="1" applyBorder="1" applyAlignment="1">
      <alignment horizontal="left" vertical="top" wrapText="1"/>
    </xf>
    <xf numFmtId="0" fontId="18" fillId="0" borderId="15" xfId="6" applyFont="1" applyBorder="1" applyAlignment="1">
      <alignment horizontal="left" vertical="top"/>
    </xf>
    <xf numFmtId="0" fontId="0" fillId="7" borderId="3" xfId="0" applyFill="1" applyBorder="1"/>
    <xf numFmtId="0" fontId="0" fillId="0" borderId="3" xfId="0" applyBorder="1"/>
    <xf numFmtId="0" fontId="26" fillId="7" borderId="3" xfId="0" applyFont="1" applyFill="1" applyBorder="1"/>
    <xf numFmtId="0" fontId="0" fillId="0" borderId="16" xfId="0"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3" xfId="0" applyFill="1" applyBorder="1"/>
    <xf numFmtId="3" fontId="0" fillId="0" borderId="3" xfId="0" applyNumberFormat="1" applyBorder="1"/>
    <xf numFmtId="3" fontId="0" fillId="0" borderId="3" xfId="0" applyNumberFormat="1" applyFill="1" applyBorder="1"/>
    <xf numFmtId="164" fontId="0" fillId="0" borderId="3" xfId="0" applyNumberFormat="1" applyBorder="1"/>
    <xf numFmtId="0" fontId="0" fillId="5" borderId="3" xfId="0" applyFill="1" applyBorder="1"/>
    <xf numFmtId="3" fontId="8" fillId="0" borderId="3" xfId="0" applyNumberFormat="1" applyFont="1" applyBorder="1"/>
    <xf numFmtId="3" fontId="8" fillId="0" borderId="3" xfId="0" applyNumberFormat="1" applyFont="1" applyFill="1" applyBorder="1"/>
    <xf numFmtId="0" fontId="0" fillId="5" borderId="3" xfId="0" applyFill="1" applyBorder="1" applyAlignment="1">
      <alignment horizontal="center"/>
    </xf>
    <xf numFmtId="0" fontId="0" fillId="5" borderId="3" xfId="0" applyNumberFormat="1" applyFill="1" applyBorder="1" applyAlignment="1">
      <alignment horizontal="center"/>
    </xf>
    <xf numFmtId="0" fontId="0" fillId="0" borderId="2" xfId="0" applyFill="1" applyBorder="1" applyAlignment="1">
      <alignment horizontal="center"/>
    </xf>
    <xf numFmtId="0" fontId="0" fillId="0" borderId="2" xfId="0" applyBorder="1" applyAlignment="1">
      <alignment horizontal="center"/>
    </xf>
    <xf numFmtId="0" fontId="0" fillId="0" borderId="2" xfId="0" applyFill="1" applyBorder="1"/>
    <xf numFmtId="0" fontId="27" fillId="5" borderId="3" xfId="0" applyFont="1" applyFill="1" applyBorder="1" applyAlignment="1">
      <alignment vertical="center"/>
    </xf>
    <xf numFmtId="164" fontId="0" fillId="0" borderId="0" xfId="0" applyNumberFormat="1"/>
    <xf numFmtId="0" fontId="26" fillId="0" borderId="3" xfId="0" applyFont="1" applyFill="1" applyBorder="1"/>
    <xf numFmtId="164" fontId="0" fillId="0" borderId="3" xfId="0" applyNumberFormat="1" applyFill="1" applyBorder="1"/>
    <xf numFmtId="14" fontId="0" fillId="0" borderId="0" xfId="0" applyNumberFormat="1" applyAlignment="1">
      <alignment horizontal="center"/>
    </xf>
    <xf numFmtId="164" fontId="18" fillId="0" borderId="0" xfId="6" applyNumberFormat="1" applyFont="1" applyAlignment="1">
      <alignment horizontal="left" vertical="top"/>
    </xf>
    <xf numFmtId="9" fontId="0" fillId="0" borderId="0" xfId="0" applyNumberFormat="1" applyAlignment="1">
      <alignment horizontal="right"/>
    </xf>
    <xf numFmtId="0" fontId="0" fillId="0" borderId="0" xfId="0" applyAlignment="1">
      <alignment horizontal="right"/>
    </xf>
    <xf numFmtId="0" fontId="18" fillId="0" borderId="3" xfId="6" applyFont="1" applyBorder="1" applyAlignment="1">
      <alignment horizontal="left" vertical="top"/>
    </xf>
    <xf numFmtId="0" fontId="0" fillId="7" borderId="16" xfId="0" applyFill="1" applyBorder="1"/>
    <xf numFmtId="44" fontId="0" fillId="0" borderId="3" xfId="0" applyNumberFormat="1" applyBorder="1"/>
    <xf numFmtId="0" fontId="0" fillId="8" borderId="3" xfId="0" applyFill="1" applyBorder="1"/>
    <xf numFmtId="0" fontId="18" fillId="0" borderId="0" xfId="6" applyFont="1" applyBorder="1" applyAlignment="1">
      <alignment horizontal="left" vertical="top"/>
    </xf>
    <xf numFmtId="0" fontId="3" fillId="0" borderId="0" xfId="0" applyFont="1"/>
    <xf numFmtId="44" fontId="0" fillId="0" borderId="0" xfId="0" applyNumberFormat="1"/>
    <xf numFmtId="0" fontId="3" fillId="9" borderId="0" xfId="0" applyFont="1" applyFill="1"/>
    <xf numFmtId="0" fontId="3" fillId="10" borderId="0" xfId="0" applyFont="1" applyFill="1"/>
    <xf numFmtId="164" fontId="3" fillId="0" borderId="0" xfId="0" applyNumberFormat="1" applyFont="1"/>
    <xf numFmtId="44" fontId="3" fillId="0" borderId="0" xfId="0" applyNumberFormat="1" applyFont="1"/>
    <xf numFmtId="164" fontId="0" fillId="0" borderId="2" xfId="0" applyNumberFormat="1" applyBorder="1" applyAlignment="1">
      <alignment vertical="center"/>
    </xf>
    <xf numFmtId="164" fontId="0" fillId="0" borderId="17" xfId="0" applyNumberFormat="1" applyBorder="1" applyAlignment="1">
      <alignment vertical="center"/>
    </xf>
    <xf numFmtId="164" fontId="0" fillId="0" borderId="4" xfId="0" applyNumberFormat="1" applyBorder="1" applyAlignment="1">
      <alignment vertical="center"/>
    </xf>
    <xf numFmtId="0" fontId="19" fillId="0" borderId="10" xfId="6" applyFont="1" applyBorder="1" applyAlignment="1">
      <alignment horizontal="center"/>
    </xf>
    <xf numFmtId="0" fontId="19" fillId="0" borderId="11" xfId="6" applyFont="1" applyBorder="1" applyAlignment="1">
      <alignment horizontal="center"/>
    </xf>
    <xf numFmtId="0" fontId="19" fillId="0" borderId="8" xfId="6" applyFont="1" applyBorder="1" applyAlignment="1">
      <alignment horizontal="center"/>
    </xf>
    <xf numFmtId="0" fontId="19" fillId="0" borderId="12" xfId="6" applyFont="1" applyBorder="1" applyAlignment="1">
      <alignment horizontal="center"/>
    </xf>
    <xf numFmtId="164" fontId="0" fillId="0" borderId="2" xfId="0" applyNumberFormat="1" applyFill="1" applyBorder="1" applyAlignment="1">
      <alignment horizontal="right" vertical="center"/>
    </xf>
    <xf numFmtId="164" fontId="0" fillId="0" borderId="17" xfId="0" applyNumberFormat="1" applyFill="1" applyBorder="1" applyAlignment="1">
      <alignment horizontal="right" vertical="center"/>
    </xf>
    <xf numFmtId="164" fontId="0" fillId="0" borderId="4" xfId="0" applyNumberFormat="1" applyFill="1" applyBorder="1" applyAlignment="1">
      <alignment horizontal="right" vertical="center"/>
    </xf>
    <xf numFmtId="164" fontId="3" fillId="7" borderId="2" xfId="0" applyNumberFormat="1" applyFont="1" applyFill="1" applyBorder="1" applyAlignment="1">
      <alignment horizontal="center" vertical="center"/>
    </xf>
    <xf numFmtId="164" fontId="3" fillId="7" borderId="17" xfId="0" applyNumberFormat="1" applyFont="1" applyFill="1" applyBorder="1" applyAlignment="1">
      <alignment horizontal="center" vertical="center"/>
    </xf>
    <xf numFmtId="164" fontId="3" fillId="7" borderId="4" xfId="0" applyNumberFormat="1" applyFont="1" applyFill="1" applyBorder="1" applyAlignment="1">
      <alignment horizontal="center" vertical="center"/>
    </xf>
    <xf numFmtId="0" fontId="11" fillId="0" borderId="0" xfId="2" applyFont="1" applyAlignment="1">
      <alignment horizontal="left" vertical="center" wrapText="1"/>
    </xf>
    <xf numFmtId="0" fontId="9" fillId="0" borderId="0" xfId="2" applyAlignment="1">
      <alignment horizontal="center"/>
    </xf>
  </cellXfs>
  <cellStyles count="8">
    <cellStyle name="Comma 2" xfId="4"/>
    <cellStyle name="Currency" xfId="1" builtinId="4"/>
    <cellStyle name="Currency 2" xfId="3"/>
    <cellStyle name="Currency 3" xfId="5"/>
    <cellStyle name="Normal" xfId="0" builtinId="0"/>
    <cellStyle name="Normal 2" xfId="2"/>
    <cellStyle name="Normal 2 2" xfId="6"/>
    <cellStyle name="Normal_KS2 PIMS 2011 V1_2010_09_16 JB"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15</xdr:row>
      <xdr:rowOff>0</xdr:rowOff>
    </xdr:from>
    <xdr:to>
      <xdr:col>27</xdr:col>
      <xdr:colOff>104077</xdr:colOff>
      <xdr:row>20</xdr:row>
      <xdr:rowOff>18929</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72800" y="2095500"/>
          <a:ext cx="5590477" cy="9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yan/AppData/Local/Microsoft/Windows/Temporary%20Internet%20Files/Content.Outlook/32SYN7V1/2016_Phonics_PIMS_31%2003%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 Dashboard"/>
      <sheetName val="Pack Definitions and Quantities"/>
      <sheetName val="Specification"/>
      <sheetName val="Goods Receipt"/>
      <sheetName val="Primary Collation"/>
      <sheetName val="Consignment Collation"/>
    </sheetNames>
    <sheetDataSet>
      <sheetData sheetId="0" refreshError="1"/>
      <sheetData sheetId="1" refreshError="1">
        <row r="22">
          <cell r="F22">
            <v>36338</v>
          </cell>
        </row>
        <row r="28">
          <cell r="B28">
            <v>1</v>
          </cell>
          <cell r="J28">
            <v>4</v>
          </cell>
        </row>
        <row r="29">
          <cell r="B29">
            <v>2</v>
          </cell>
          <cell r="J29">
            <v>4</v>
          </cell>
        </row>
        <row r="30">
          <cell r="B30">
            <v>3</v>
          </cell>
          <cell r="J30">
            <v>4</v>
          </cell>
        </row>
        <row r="31">
          <cell r="B31">
            <v>4</v>
          </cell>
          <cell r="J31">
            <v>4</v>
          </cell>
        </row>
        <row r="32">
          <cell r="B32">
            <v>5</v>
          </cell>
          <cell r="J32">
            <v>4</v>
          </cell>
        </row>
        <row r="33">
          <cell r="B33">
            <v>6</v>
          </cell>
          <cell r="J33">
            <v>4</v>
          </cell>
        </row>
        <row r="34">
          <cell r="B34">
            <v>7</v>
          </cell>
          <cell r="J34">
            <v>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workbookViewId="0"/>
  </sheetViews>
  <sheetFormatPr defaultRowHeight="15" x14ac:dyDescent="0.25"/>
  <cols>
    <col min="1" max="1" width="52.28515625" customWidth="1"/>
    <col min="2" max="4" width="40.7109375" customWidth="1"/>
  </cols>
  <sheetData>
    <row r="1" spans="1:3" ht="15.75" x14ac:dyDescent="0.25">
      <c r="A1" s="15" t="s">
        <v>23</v>
      </c>
    </row>
    <row r="2" spans="1:3" ht="15.75" x14ac:dyDescent="0.25">
      <c r="A2" s="15"/>
    </row>
    <row r="3" spans="1:3" x14ac:dyDescent="0.25">
      <c r="A3" s="143" t="s">
        <v>584</v>
      </c>
    </row>
    <row r="4" spans="1:3" x14ac:dyDescent="0.25">
      <c r="A4" s="11" t="s">
        <v>18</v>
      </c>
      <c r="B4" s="2"/>
      <c r="C4" s="2"/>
    </row>
    <row r="5" spans="1:3" x14ac:dyDescent="0.25">
      <c r="A5" s="2" t="s">
        <v>0</v>
      </c>
      <c r="B5" s="2" t="s">
        <v>3</v>
      </c>
      <c r="C5" s="2" t="s">
        <v>10</v>
      </c>
    </row>
    <row r="6" spans="1:3" x14ac:dyDescent="0.25">
      <c r="A6" s="2" t="s">
        <v>1</v>
      </c>
      <c r="B6" s="2" t="s">
        <v>2</v>
      </c>
      <c r="C6" s="3">
        <v>628150.51345970866</v>
      </c>
    </row>
    <row r="7" spans="1:3" x14ac:dyDescent="0.25">
      <c r="A7" s="2" t="s">
        <v>4</v>
      </c>
      <c r="B7" s="2" t="s">
        <v>5</v>
      </c>
      <c r="C7" s="3">
        <v>1062818.2948175075</v>
      </c>
    </row>
    <row r="8" spans="1:3" x14ac:dyDescent="0.25">
      <c r="A8" s="2" t="s">
        <v>6</v>
      </c>
      <c r="B8" s="2" t="s">
        <v>8</v>
      </c>
      <c r="C8" s="3">
        <v>63948.029090909091</v>
      </c>
    </row>
    <row r="9" spans="1:3" x14ac:dyDescent="0.25">
      <c r="A9" s="2" t="s">
        <v>7</v>
      </c>
      <c r="B9" s="2" t="s">
        <v>9</v>
      </c>
      <c r="C9" s="4">
        <v>73966.56694726627</v>
      </c>
    </row>
    <row r="10" spans="1:3" x14ac:dyDescent="0.25">
      <c r="A10" s="2" t="s">
        <v>12</v>
      </c>
      <c r="B10" s="2" t="s">
        <v>12</v>
      </c>
      <c r="C10" s="3">
        <v>95151.52</v>
      </c>
    </row>
    <row r="11" spans="1:3" x14ac:dyDescent="0.25">
      <c r="A11" s="2" t="s">
        <v>20</v>
      </c>
      <c r="B11" s="2"/>
      <c r="C11" s="3">
        <f>SUM(C6:C10)</f>
        <v>1924034.9243153916</v>
      </c>
    </row>
    <row r="12" spans="1:3" x14ac:dyDescent="0.25">
      <c r="A12" s="7" t="s">
        <v>28</v>
      </c>
      <c r="B12" s="8">
        <v>0.04</v>
      </c>
      <c r="C12" s="4">
        <f>C11*B12</f>
        <v>76961.396972615665</v>
      </c>
    </row>
    <row r="13" spans="1:3" x14ac:dyDescent="0.25">
      <c r="A13" s="12" t="s">
        <v>21</v>
      </c>
      <c r="B13" s="2"/>
      <c r="C13" s="13">
        <f>SUM(C11:C12)</f>
        <v>2000996.3212880073</v>
      </c>
    </row>
    <row r="14" spans="1:3" x14ac:dyDescent="0.25">
      <c r="A14" s="18"/>
      <c r="B14" s="19"/>
      <c r="C14" s="19"/>
    </row>
    <row r="15" spans="1:3" x14ac:dyDescent="0.25">
      <c r="A15" s="18" t="s">
        <v>25</v>
      </c>
      <c r="B15" s="19"/>
      <c r="C15" s="19"/>
    </row>
    <row r="16" spans="1:3" x14ac:dyDescent="0.25">
      <c r="A16" s="20" t="s">
        <v>11</v>
      </c>
    </row>
    <row r="17" spans="1:4" x14ac:dyDescent="0.25">
      <c r="A17" t="s">
        <v>26</v>
      </c>
      <c r="C17" s="16">
        <v>464.64646464646466</v>
      </c>
      <c r="D17" s="17" t="s">
        <v>24</v>
      </c>
    </row>
    <row r="18" spans="1:4" x14ac:dyDescent="0.25">
      <c r="A18" t="s">
        <v>27</v>
      </c>
      <c r="C18" s="16">
        <v>252.52525252525254</v>
      </c>
      <c r="D18" s="17" t="s">
        <v>24</v>
      </c>
    </row>
    <row r="19" spans="1:4" x14ac:dyDescent="0.25">
      <c r="A19" s="1"/>
    </row>
    <row r="20" spans="1:4" x14ac:dyDescent="0.25">
      <c r="A20" s="144" t="s">
        <v>583</v>
      </c>
    </row>
    <row r="21" spans="1:4" x14ac:dyDescent="0.25">
      <c r="A21" s="11" t="s">
        <v>19</v>
      </c>
      <c r="B21" s="2"/>
      <c r="C21" s="2"/>
    </row>
    <row r="22" spans="1:4" x14ac:dyDescent="0.25">
      <c r="A22" s="2" t="s">
        <v>0</v>
      </c>
      <c r="B22" s="2" t="s">
        <v>3</v>
      </c>
      <c r="C22" s="2" t="s">
        <v>10</v>
      </c>
    </row>
    <row r="23" spans="1:4" x14ac:dyDescent="0.25">
      <c r="A23" s="2" t="s">
        <v>14</v>
      </c>
      <c r="B23" s="2"/>
      <c r="C23" s="6">
        <v>468248.02</v>
      </c>
    </row>
    <row r="24" spans="1:4" x14ac:dyDescent="0.25">
      <c r="A24" s="2" t="s">
        <v>15</v>
      </c>
      <c r="B24" s="2"/>
      <c r="C24" s="6">
        <v>554707.46</v>
      </c>
    </row>
    <row r="25" spans="1:4" x14ac:dyDescent="0.25">
      <c r="A25" s="2" t="s">
        <v>16</v>
      </c>
      <c r="B25" s="2"/>
      <c r="C25" s="6">
        <v>122643.52</v>
      </c>
    </row>
    <row r="26" spans="1:4" x14ac:dyDescent="0.25">
      <c r="A26" s="2" t="s">
        <v>17</v>
      </c>
      <c r="B26" s="2" t="s">
        <v>13</v>
      </c>
      <c r="C26" s="6">
        <v>3000</v>
      </c>
    </row>
    <row r="27" spans="1:4" x14ac:dyDescent="0.25">
      <c r="A27" s="2" t="s">
        <v>20</v>
      </c>
      <c r="B27" s="2"/>
      <c r="C27" s="6">
        <f>SUM(C23:C26)</f>
        <v>1148599</v>
      </c>
      <c r="D27" s="5"/>
    </row>
    <row r="28" spans="1:4" x14ac:dyDescent="0.25">
      <c r="A28" s="7" t="s">
        <v>28</v>
      </c>
      <c r="B28" s="8">
        <v>0.04</v>
      </c>
      <c r="C28" s="6">
        <f>C27*B28</f>
        <v>45943.96</v>
      </c>
      <c r="D28" s="5"/>
    </row>
    <row r="29" spans="1:4" x14ac:dyDescent="0.25">
      <c r="A29" s="12" t="s">
        <v>21</v>
      </c>
      <c r="B29" s="2"/>
      <c r="C29" s="13">
        <f>SUM(C27:C28)</f>
        <v>1194542.96</v>
      </c>
      <c r="D29" s="5"/>
    </row>
    <row r="30" spans="1:4" x14ac:dyDescent="0.25">
      <c r="D30" s="5"/>
    </row>
    <row r="31" spans="1:4" x14ac:dyDescent="0.25">
      <c r="D31" s="5"/>
    </row>
    <row r="32" spans="1:4" ht="18.75" x14ac:dyDescent="0.3">
      <c r="A32" s="10" t="s">
        <v>22</v>
      </c>
      <c r="B32" s="9"/>
      <c r="C32" s="14">
        <f>C13+C29</f>
        <v>3195539.2812880073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58"/>
  <sheetViews>
    <sheetView showGridLines="0" topLeftCell="A10" zoomScale="70" zoomScaleNormal="70" zoomScalePageLayoutView="70" workbookViewId="0">
      <selection activeCell="A26" sqref="A26"/>
    </sheetView>
  </sheetViews>
  <sheetFormatPr defaultColWidth="8.85546875" defaultRowHeight="12.75" x14ac:dyDescent="0.2"/>
  <cols>
    <col min="1" max="1" width="38.28515625" style="22" bestFit="1" customWidth="1"/>
    <col min="2" max="14" width="15.140625" style="22" customWidth="1"/>
    <col min="15" max="16384" width="8.85546875" style="22"/>
  </cols>
  <sheetData>
    <row r="1" spans="1:14" ht="15.75" x14ac:dyDescent="0.25">
      <c r="A1" s="24" t="s">
        <v>107</v>
      </c>
    </row>
    <row r="3" spans="1:14" ht="100.5" customHeight="1" x14ac:dyDescent="0.2">
      <c r="A3" s="160" t="s">
        <v>31</v>
      </c>
      <c r="B3" s="160"/>
      <c r="C3" s="160"/>
      <c r="D3" s="160"/>
      <c r="E3" s="160"/>
      <c r="F3" s="160"/>
      <c r="G3" s="160"/>
      <c r="H3" s="160"/>
      <c r="I3" s="160"/>
      <c r="J3" s="160"/>
    </row>
    <row r="4" spans="1:14" x14ac:dyDescent="0.2">
      <c r="A4" s="21" t="s">
        <v>32</v>
      </c>
      <c r="B4" s="25"/>
      <c r="C4" s="25"/>
      <c r="D4" s="25"/>
      <c r="E4" s="25"/>
    </row>
    <row r="5" spans="1:14" x14ac:dyDescent="0.2">
      <c r="A5" s="26" t="s">
        <v>33</v>
      </c>
      <c r="B5" s="25"/>
      <c r="C5" s="25"/>
      <c r="D5" s="25"/>
      <c r="E5" s="25"/>
    </row>
    <row r="7" spans="1:14" ht="25.5" x14ac:dyDescent="0.2">
      <c r="A7" s="88" t="s">
        <v>108</v>
      </c>
      <c r="B7" s="88" t="s">
        <v>109</v>
      </c>
      <c r="C7" s="55" t="s">
        <v>110</v>
      </c>
      <c r="D7" s="55" t="s">
        <v>111</v>
      </c>
      <c r="E7" s="55" t="s">
        <v>112</v>
      </c>
      <c r="F7" s="55" t="s">
        <v>113</v>
      </c>
      <c r="G7" s="55" t="s">
        <v>114</v>
      </c>
      <c r="H7" s="55" t="s">
        <v>115</v>
      </c>
      <c r="I7" s="55" t="s">
        <v>116</v>
      </c>
      <c r="J7" s="55" t="s">
        <v>117</v>
      </c>
      <c r="K7" s="55" t="s">
        <v>118</v>
      </c>
      <c r="L7" s="55" t="s">
        <v>119</v>
      </c>
      <c r="M7" s="55" t="s">
        <v>44</v>
      </c>
      <c r="N7" s="55" t="s">
        <v>45</v>
      </c>
    </row>
    <row r="8" spans="1:14" ht="15" x14ac:dyDescent="0.25">
      <c r="A8" s="39" t="s">
        <v>120</v>
      </c>
      <c r="B8" s="39"/>
      <c r="C8" s="39">
        <v>1</v>
      </c>
      <c r="D8" s="39">
        <v>1</v>
      </c>
      <c r="E8" s="39">
        <v>1</v>
      </c>
      <c r="F8" s="40">
        <f>IF(C8=0,0,CEILING(C8/(D8*E8),1))</f>
        <v>1</v>
      </c>
      <c r="G8" s="39">
        <v>1</v>
      </c>
      <c r="H8" s="40">
        <f>IF(OR(D8=0,G8=0),0,CEILING(D8/G8,1))</f>
        <v>1</v>
      </c>
      <c r="I8" s="39">
        <v>1</v>
      </c>
      <c r="J8" s="40">
        <f>IF(OR(G8=0,I8=0),0,G8/I8)</f>
        <v>1</v>
      </c>
      <c r="K8" s="40">
        <f>(E8*I8)*F8*H8</f>
        <v>1</v>
      </c>
      <c r="L8" s="89">
        <v>3000</v>
      </c>
      <c r="M8" s="90">
        <f>L8*K8</f>
        <v>3000</v>
      </c>
      <c r="N8" s="86">
        <f>M8</f>
        <v>3000</v>
      </c>
    </row>
    <row r="9" spans="1:14" ht="15" x14ac:dyDescent="0.25">
      <c r="A9" s="42"/>
      <c r="B9" s="39"/>
      <c r="C9" s="39"/>
      <c r="D9" s="39"/>
      <c r="E9" s="39"/>
      <c r="F9" s="40">
        <f t="shared" ref="F9:F24" si="0">IF(C9=0,0,CEILING(C9/(D9*E9),1))</f>
        <v>0</v>
      </c>
      <c r="G9" s="39"/>
      <c r="H9" s="40">
        <f t="shared" ref="H9:H24" si="1">IF(OR(D9=0,G9=0),0,CEILING(D9/G9,1))</f>
        <v>0</v>
      </c>
      <c r="I9" s="39"/>
      <c r="J9" s="40">
        <f t="shared" ref="J9:J24" si="2">IF(OR(G9=0,I9=0),0,G9/I9)</f>
        <v>0</v>
      </c>
      <c r="K9" s="40">
        <f t="shared" ref="K9:K24" si="3">(E9*I9)*F9*H9</f>
        <v>0</v>
      </c>
      <c r="L9" s="89"/>
      <c r="M9" s="90">
        <f t="shared" ref="M9:M24" si="4">L9*K9</f>
        <v>0</v>
      </c>
      <c r="N9" s="86">
        <f>M9+N8</f>
        <v>3000</v>
      </c>
    </row>
    <row r="10" spans="1:14" ht="15" x14ac:dyDescent="0.25">
      <c r="A10" s="39"/>
      <c r="B10" s="39"/>
      <c r="C10" s="39"/>
      <c r="D10" s="39"/>
      <c r="E10" s="39"/>
      <c r="F10" s="40">
        <f t="shared" si="0"/>
        <v>0</v>
      </c>
      <c r="G10" s="39"/>
      <c r="H10" s="40">
        <f t="shared" si="1"/>
        <v>0</v>
      </c>
      <c r="I10" s="39"/>
      <c r="J10" s="40">
        <f t="shared" si="2"/>
        <v>0</v>
      </c>
      <c r="K10" s="40">
        <f t="shared" si="3"/>
        <v>0</v>
      </c>
      <c r="L10" s="89"/>
      <c r="M10" s="90">
        <f t="shared" si="4"/>
        <v>0</v>
      </c>
      <c r="N10" s="86">
        <f t="shared" ref="N10:N24" si="5">M10+N9</f>
        <v>3000</v>
      </c>
    </row>
    <row r="11" spans="1:14" ht="15" x14ac:dyDescent="0.25">
      <c r="A11" s="39"/>
      <c r="B11" s="39"/>
      <c r="C11" s="39"/>
      <c r="D11" s="39"/>
      <c r="E11" s="39"/>
      <c r="F11" s="40">
        <f t="shared" si="0"/>
        <v>0</v>
      </c>
      <c r="G11" s="39"/>
      <c r="H11" s="40">
        <f t="shared" si="1"/>
        <v>0</v>
      </c>
      <c r="I11" s="39"/>
      <c r="J11" s="40">
        <f t="shared" si="2"/>
        <v>0</v>
      </c>
      <c r="K11" s="40">
        <f t="shared" si="3"/>
        <v>0</v>
      </c>
      <c r="L11" s="89"/>
      <c r="M11" s="90">
        <f t="shared" si="4"/>
        <v>0</v>
      </c>
      <c r="N11" s="86">
        <f t="shared" si="5"/>
        <v>3000</v>
      </c>
    </row>
    <row r="12" spans="1:14" ht="15" x14ac:dyDescent="0.25">
      <c r="A12" s="39"/>
      <c r="B12" s="39"/>
      <c r="C12" s="39"/>
      <c r="D12" s="39"/>
      <c r="E12" s="39"/>
      <c r="F12" s="40">
        <f t="shared" si="0"/>
        <v>0</v>
      </c>
      <c r="G12" s="39"/>
      <c r="H12" s="40">
        <f t="shared" si="1"/>
        <v>0</v>
      </c>
      <c r="I12" s="39"/>
      <c r="J12" s="40">
        <f t="shared" si="2"/>
        <v>0</v>
      </c>
      <c r="K12" s="40">
        <f t="shared" si="3"/>
        <v>0</v>
      </c>
      <c r="L12" s="89"/>
      <c r="M12" s="90">
        <f t="shared" si="4"/>
        <v>0</v>
      </c>
      <c r="N12" s="86">
        <f t="shared" si="5"/>
        <v>3000</v>
      </c>
    </row>
    <row r="13" spans="1:14" ht="15" x14ac:dyDescent="0.25">
      <c r="A13" s="42"/>
      <c r="B13" s="39"/>
      <c r="C13" s="39"/>
      <c r="D13" s="39"/>
      <c r="E13" s="39"/>
      <c r="F13" s="40">
        <f t="shared" si="0"/>
        <v>0</v>
      </c>
      <c r="G13" s="39"/>
      <c r="H13" s="40">
        <f t="shared" si="1"/>
        <v>0</v>
      </c>
      <c r="I13" s="39"/>
      <c r="J13" s="40">
        <f t="shared" si="2"/>
        <v>0</v>
      </c>
      <c r="K13" s="40">
        <f t="shared" si="3"/>
        <v>0</v>
      </c>
      <c r="L13" s="89"/>
      <c r="M13" s="90">
        <f t="shared" si="4"/>
        <v>0</v>
      </c>
      <c r="N13" s="86">
        <f t="shared" si="5"/>
        <v>3000</v>
      </c>
    </row>
    <row r="14" spans="1:14" ht="15" x14ac:dyDescent="0.25">
      <c r="A14" s="39"/>
      <c r="B14" s="39"/>
      <c r="C14" s="39"/>
      <c r="D14" s="39"/>
      <c r="E14" s="39"/>
      <c r="F14" s="40">
        <f t="shared" si="0"/>
        <v>0</v>
      </c>
      <c r="G14" s="39"/>
      <c r="H14" s="40">
        <f t="shared" si="1"/>
        <v>0</v>
      </c>
      <c r="I14" s="39"/>
      <c r="J14" s="40">
        <f t="shared" si="2"/>
        <v>0</v>
      </c>
      <c r="K14" s="40">
        <f t="shared" si="3"/>
        <v>0</v>
      </c>
      <c r="L14" s="89"/>
      <c r="M14" s="90">
        <f t="shared" si="4"/>
        <v>0</v>
      </c>
      <c r="N14" s="86">
        <f t="shared" si="5"/>
        <v>3000</v>
      </c>
    </row>
    <row r="15" spans="1:14" ht="15" x14ac:dyDescent="0.25">
      <c r="A15" s="39"/>
      <c r="B15" s="39"/>
      <c r="C15" s="39"/>
      <c r="D15" s="39"/>
      <c r="E15" s="39"/>
      <c r="F15" s="40">
        <f t="shared" si="0"/>
        <v>0</v>
      </c>
      <c r="G15" s="39"/>
      <c r="H15" s="40">
        <f t="shared" si="1"/>
        <v>0</v>
      </c>
      <c r="I15" s="39"/>
      <c r="J15" s="40">
        <f t="shared" si="2"/>
        <v>0</v>
      </c>
      <c r="K15" s="40">
        <f t="shared" si="3"/>
        <v>0</v>
      </c>
      <c r="L15" s="89"/>
      <c r="M15" s="90">
        <f t="shared" si="4"/>
        <v>0</v>
      </c>
      <c r="N15" s="86">
        <f t="shared" si="5"/>
        <v>3000</v>
      </c>
    </row>
    <row r="16" spans="1:14" ht="15" x14ac:dyDescent="0.25">
      <c r="A16" s="39"/>
      <c r="B16" s="39"/>
      <c r="C16" s="39"/>
      <c r="D16" s="39"/>
      <c r="E16" s="39"/>
      <c r="F16" s="40">
        <f t="shared" si="0"/>
        <v>0</v>
      </c>
      <c r="G16" s="39"/>
      <c r="H16" s="40">
        <f t="shared" si="1"/>
        <v>0</v>
      </c>
      <c r="I16" s="39"/>
      <c r="J16" s="40">
        <f t="shared" si="2"/>
        <v>0</v>
      </c>
      <c r="K16" s="40">
        <f t="shared" si="3"/>
        <v>0</v>
      </c>
      <c r="L16" s="89"/>
      <c r="M16" s="90">
        <f t="shared" si="4"/>
        <v>0</v>
      </c>
      <c r="N16" s="86">
        <f t="shared" si="5"/>
        <v>3000</v>
      </c>
    </row>
    <row r="17" spans="1:14" ht="15" x14ac:dyDescent="0.25">
      <c r="A17" s="39"/>
      <c r="B17" s="39"/>
      <c r="C17" s="39"/>
      <c r="D17" s="39"/>
      <c r="E17" s="39"/>
      <c r="F17" s="40">
        <f t="shared" si="0"/>
        <v>0</v>
      </c>
      <c r="G17" s="39"/>
      <c r="H17" s="40">
        <f t="shared" si="1"/>
        <v>0</v>
      </c>
      <c r="I17" s="39"/>
      <c r="J17" s="40">
        <f t="shared" si="2"/>
        <v>0</v>
      </c>
      <c r="K17" s="40">
        <f t="shared" si="3"/>
        <v>0</v>
      </c>
      <c r="L17" s="89"/>
      <c r="M17" s="90">
        <f t="shared" si="4"/>
        <v>0</v>
      </c>
      <c r="N17" s="86">
        <f t="shared" si="5"/>
        <v>3000</v>
      </c>
    </row>
    <row r="18" spans="1:14" ht="15" x14ac:dyDescent="0.25">
      <c r="A18" s="39"/>
      <c r="B18" s="39"/>
      <c r="C18" s="39"/>
      <c r="D18" s="39"/>
      <c r="E18" s="39"/>
      <c r="F18" s="40">
        <f t="shared" si="0"/>
        <v>0</v>
      </c>
      <c r="G18" s="39"/>
      <c r="H18" s="40">
        <f t="shared" si="1"/>
        <v>0</v>
      </c>
      <c r="I18" s="39"/>
      <c r="J18" s="40">
        <f t="shared" si="2"/>
        <v>0</v>
      </c>
      <c r="K18" s="40">
        <f t="shared" si="3"/>
        <v>0</v>
      </c>
      <c r="L18" s="89"/>
      <c r="M18" s="90">
        <f t="shared" si="4"/>
        <v>0</v>
      </c>
      <c r="N18" s="86">
        <f t="shared" si="5"/>
        <v>3000</v>
      </c>
    </row>
    <row r="19" spans="1:14" ht="15" x14ac:dyDescent="0.25">
      <c r="A19" s="39"/>
      <c r="B19" s="39"/>
      <c r="C19" s="39"/>
      <c r="D19" s="39"/>
      <c r="E19" s="39"/>
      <c r="F19" s="40">
        <f t="shared" si="0"/>
        <v>0</v>
      </c>
      <c r="G19" s="39"/>
      <c r="H19" s="40">
        <f t="shared" si="1"/>
        <v>0</v>
      </c>
      <c r="I19" s="39"/>
      <c r="J19" s="40">
        <f t="shared" si="2"/>
        <v>0</v>
      </c>
      <c r="K19" s="40">
        <f t="shared" si="3"/>
        <v>0</v>
      </c>
      <c r="L19" s="89"/>
      <c r="M19" s="90">
        <f t="shared" si="4"/>
        <v>0</v>
      </c>
      <c r="N19" s="86">
        <f t="shared" si="5"/>
        <v>3000</v>
      </c>
    </row>
    <row r="20" spans="1:14" ht="15" x14ac:dyDescent="0.25">
      <c r="A20" s="39"/>
      <c r="B20" s="39"/>
      <c r="C20" s="39"/>
      <c r="D20" s="39"/>
      <c r="E20" s="39"/>
      <c r="F20" s="40">
        <f t="shared" si="0"/>
        <v>0</v>
      </c>
      <c r="G20" s="39"/>
      <c r="H20" s="40">
        <f t="shared" si="1"/>
        <v>0</v>
      </c>
      <c r="I20" s="39"/>
      <c r="J20" s="40">
        <f t="shared" si="2"/>
        <v>0</v>
      </c>
      <c r="K20" s="40">
        <f t="shared" si="3"/>
        <v>0</v>
      </c>
      <c r="L20" s="89"/>
      <c r="M20" s="90">
        <f t="shared" si="4"/>
        <v>0</v>
      </c>
      <c r="N20" s="86">
        <f t="shared" si="5"/>
        <v>3000</v>
      </c>
    </row>
    <row r="21" spans="1:14" ht="15" x14ac:dyDescent="0.25">
      <c r="A21" s="39"/>
      <c r="B21" s="39"/>
      <c r="C21" s="39"/>
      <c r="D21" s="39"/>
      <c r="E21" s="39"/>
      <c r="F21" s="40">
        <f t="shared" si="0"/>
        <v>0</v>
      </c>
      <c r="G21" s="39"/>
      <c r="H21" s="40">
        <f t="shared" si="1"/>
        <v>0</v>
      </c>
      <c r="I21" s="39"/>
      <c r="J21" s="40">
        <f t="shared" si="2"/>
        <v>0</v>
      </c>
      <c r="K21" s="40">
        <f t="shared" si="3"/>
        <v>0</v>
      </c>
      <c r="L21" s="89"/>
      <c r="M21" s="90">
        <f t="shared" si="4"/>
        <v>0</v>
      </c>
      <c r="N21" s="86">
        <f t="shared" si="5"/>
        <v>3000</v>
      </c>
    </row>
    <row r="22" spans="1:14" ht="15" x14ac:dyDescent="0.25">
      <c r="A22" s="39"/>
      <c r="B22" s="39"/>
      <c r="C22" s="39"/>
      <c r="D22" s="39"/>
      <c r="E22" s="39"/>
      <c r="F22" s="40">
        <f t="shared" si="0"/>
        <v>0</v>
      </c>
      <c r="G22" s="39"/>
      <c r="H22" s="40">
        <f t="shared" si="1"/>
        <v>0</v>
      </c>
      <c r="I22" s="39"/>
      <c r="J22" s="40">
        <f t="shared" si="2"/>
        <v>0</v>
      </c>
      <c r="K22" s="40">
        <f t="shared" si="3"/>
        <v>0</v>
      </c>
      <c r="L22" s="89"/>
      <c r="M22" s="90">
        <f t="shared" si="4"/>
        <v>0</v>
      </c>
      <c r="N22" s="86">
        <f t="shared" si="5"/>
        <v>3000</v>
      </c>
    </row>
    <row r="23" spans="1:14" ht="15" x14ac:dyDescent="0.25">
      <c r="A23" s="39"/>
      <c r="B23" s="39"/>
      <c r="C23" s="39"/>
      <c r="D23" s="39"/>
      <c r="E23" s="39"/>
      <c r="F23" s="40">
        <f t="shared" si="0"/>
        <v>0</v>
      </c>
      <c r="G23" s="39"/>
      <c r="H23" s="40">
        <f t="shared" si="1"/>
        <v>0</v>
      </c>
      <c r="I23" s="39"/>
      <c r="J23" s="40">
        <f t="shared" si="2"/>
        <v>0</v>
      </c>
      <c r="K23" s="40">
        <f t="shared" si="3"/>
        <v>0</v>
      </c>
      <c r="L23" s="89"/>
      <c r="M23" s="90">
        <f t="shared" si="4"/>
        <v>0</v>
      </c>
      <c r="N23" s="86">
        <f t="shared" si="5"/>
        <v>3000</v>
      </c>
    </row>
    <row r="24" spans="1:14" ht="15" x14ac:dyDescent="0.25">
      <c r="A24" s="39"/>
      <c r="B24" s="39"/>
      <c r="C24" s="39"/>
      <c r="D24" s="39"/>
      <c r="E24" s="39"/>
      <c r="F24" s="40">
        <f t="shared" si="0"/>
        <v>0</v>
      </c>
      <c r="G24" s="39"/>
      <c r="H24" s="40">
        <f t="shared" si="1"/>
        <v>0</v>
      </c>
      <c r="I24" s="39"/>
      <c r="J24" s="40">
        <f t="shared" si="2"/>
        <v>0</v>
      </c>
      <c r="K24" s="40">
        <f t="shared" si="3"/>
        <v>0</v>
      </c>
      <c r="L24" s="89"/>
      <c r="M24" s="90">
        <f t="shared" si="4"/>
        <v>0</v>
      </c>
      <c r="N24" s="86">
        <f t="shared" si="5"/>
        <v>3000</v>
      </c>
    </row>
    <row r="27" spans="1:14" x14ac:dyDescent="0.2">
      <c r="A27" s="21" t="s">
        <v>48</v>
      </c>
    </row>
    <row r="28" spans="1:14" x14ac:dyDescent="0.2">
      <c r="A28" s="22" t="s">
        <v>49</v>
      </c>
    </row>
    <row r="30" spans="1:14" x14ac:dyDescent="0.2">
      <c r="A30" s="40" t="s">
        <v>50</v>
      </c>
      <c r="B30" s="40" t="s">
        <v>51</v>
      </c>
      <c r="C30" s="40" t="s">
        <v>52</v>
      </c>
      <c r="D30" s="40" t="s">
        <v>53</v>
      </c>
      <c r="E30" s="40" t="s">
        <v>54</v>
      </c>
    </row>
    <row r="31" spans="1:14" x14ac:dyDescent="0.2">
      <c r="A31" s="39" t="s">
        <v>47</v>
      </c>
      <c r="B31" s="39"/>
      <c r="C31" s="39"/>
      <c r="D31" s="39"/>
      <c r="E31" s="43">
        <f>D31*B31</f>
        <v>0</v>
      </c>
    </row>
    <row r="32" spans="1:14" x14ac:dyDescent="0.2">
      <c r="A32" s="39"/>
      <c r="B32" s="39"/>
      <c r="C32" s="39"/>
      <c r="D32" s="39"/>
      <c r="E32" s="43">
        <f t="shared" ref="E32:E43" si="6">D32*B32</f>
        <v>0</v>
      </c>
    </row>
    <row r="33" spans="1:5" x14ac:dyDescent="0.2">
      <c r="A33" s="39"/>
      <c r="B33" s="39"/>
      <c r="C33" s="39"/>
      <c r="D33" s="39"/>
      <c r="E33" s="43">
        <f t="shared" si="6"/>
        <v>0</v>
      </c>
    </row>
    <row r="34" spans="1:5" x14ac:dyDescent="0.2">
      <c r="A34" s="39"/>
      <c r="B34" s="39"/>
      <c r="C34" s="39"/>
      <c r="D34" s="39"/>
      <c r="E34" s="43">
        <f t="shared" si="6"/>
        <v>0</v>
      </c>
    </row>
    <row r="35" spans="1:5" x14ac:dyDescent="0.2">
      <c r="A35" s="39"/>
      <c r="B35" s="39"/>
      <c r="C35" s="39"/>
      <c r="D35" s="39"/>
      <c r="E35" s="43">
        <f t="shared" si="6"/>
        <v>0</v>
      </c>
    </row>
    <row r="36" spans="1:5" x14ac:dyDescent="0.2">
      <c r="A36" s="39"/>
      <c r="B36" s="39"/>
      <c r="C36" s="39"/>
      <c r="D36" s="39"/>
      <c r="E36" s="43">
        <f t="shared" si="6"/>
        <v>0</v>
      </c>
    </row>
    <row r="37" spans="1:5" x14ac:dyDescent="0.2">
      <c r="A37" s="42"/>
      <c r="B37" s="39"/>
      <c r="C37" s="39"/>
      <c r="D37" s="39"/>
      <c r="E37" s="43">
        <f t="shared" si="6"/>
        <v>0</v>
      </c>
    </row>
    <row r="38" spans="1:5" x14ac:dyDescent="0.2">
      <c r="A38" s="39"/>
      <c r="B38" s="39"/>
      <c r="C38" s="39"/>
      <c r="D38" s="39"/>
      <c r="E38" s="43">
        <f t="shared" si="6"/>
        <v>0</v>
      </c>
    </row>
    <row r="39" spans="1:5" x14ac:dyDescent="0.2">
      <c r="A39" s="39"/>
      <c r="B39" s="39"/>
      <c r="C39" s="39"/>
      <c r="D39" s="39"/>
      <c r="E39" s="43">
        <f t="shared" si="6"/>
        <v>0</v>
      </c>
    </row>
    <row r="40" spans="1:5" x14ac:dyDescent="0.2">
      <c r="A40" s="39"/>
      <c r="B40" s="39"/>
      <c r="C40" s="39"/>
      <c r="D40" s="39"/>
      <c r="E40" s="43">
        <f t="shared" si="6"/>
        <v>0</v>
      </c>
    </row>
    <row r="41" spans="1:5" x14ac:dyDescent="0.2">
      <c r="A41" s="39"/>
      <c r="B41" s="39"/>
      <c r="C41" s="39"/>
      <c r="D41" s="39"/>
      <c r="E41" s="43">
        <f t="shared" si="6"/>
        <v>0</v>
      </c>
    </row>
    <row r="42" spans="1:5" x14ac:dyDescent="0.2">
      <c r="A42" s="39"/>
      <c r="B42" s="39"/>
      <c r="C42" s="39"/>
      <c r="D42" s="39"/>
      <c r="E42" s="43">
        <f t="shared" si="6"/>
        <v>0</v>
      </c>
    </row>
    <row r="43" spans="1:5" x14ac:dyDescent="0.2">
      <c r="A43" s="39"/>
      <c r="B43" s="39"/>
      <c r="C43" s="39"/>
      <c r="D43" s="39"/>
      <c r="E43" s="43">
        <f t="shared" si="6"/>
        <v>0</v>
      </c>
    </row>
    <row r="46" spans="1:5" x14ac:dyDescent="0.2">
      <c r="A46" s="21" t="s">
        <v>55</v>
      </c>
    </row>
    <row r="47" spans="1:5" x14ac:dyDescent="0.2">
      <c r="A47" s="23" t="s">
        <v>56</v>
      </c>
    </row>
    <row r="49" spans="1:14" x14ac:dyDescent="0.2">
      <c r="B49" s="44">
        <v>42979</v>
      </c>
      <c r="C49" s="44">
        <v>43009</v>
      </c>
      <c r="D49" s="44">
        <v>43040</v>
      </c>
      <c r="E49" s="44">
        <v>43070</v>
      </c>
      <c r="F49" s="44">
        <v>43101</v>
      </c>
      <c r="G49" s="44">
        <v>43132</v>
      </c>
      <c r="H49" s="44">
        <v>43160</v>
      </c>
      <c r="I49" s="44">
        <v>43191</v>
      </c>
      <c r="J49" s="44">
        <v>43221</v>
      </c>
      <c r="K49" s="44">
        <v>43252</v>
      </c>
      <c r="L49" s="44">
        <v>43282</v>
      </c>
      <c r="M49" s="44">
        <v>43313</v>
      </c>
      <c r="N49" s="78" t="s">
        <v>29</v>
      </c>
    </row>
    <row r="50" spans="1:14" x14ac:dyDescent="0.2">
      <c r="A50" s="46" t="s">
        <v>57</v>
      </c>
      <c r="B50" s="47">
        <v>0</v>
      </c>
      <c r="C50" s="47">
        <v>0</v>
      </c>
      <c r="D50" s="47">
        <v>0</v>
      </c>
      <c r="E50" s="47">
        <v>0</v>
      </c>
      <c r="F50" s="47">
        <v>0</v>
      </c>
      <c r="G50" s="47">
        <v>0</v>
      </c>
      <c r="H50" s="47">
        <v>0</v>
      </c>
      <c r="I50" s="47">
        <v>0</v>
      </c>
      <c r="J50" s="47">
        <v>0</v>
      </c>
      <c r="K50" s="47">
        <v>0</v>
      </c>
      <c r="L50" s="47">
        <v>0</v>
      </c>
      <c r="M50" s="47">
        <v>0</v>
      </c>
      <c r="N50" s="48">
        <f t="shared" ref="N50:N58" si="7">SUM(B50:M50)</f>
        <v>0</v>
      </c>
    </row>
    <row r="51" spans="1:14" x14ac:dyDescent="0.2">
      <c r="A51" s="46" t="s">
        <v>58</v>
      </c>
      <c r="B51" s="47">
        <v>0</v>
      </c>
      <c r="C51" s="47">
        <v>0</v>
      </c>
      <c r="D51" s="47">
        <v>0</v>
      </c>
      <c r="E51" s="47">
        <v>0</v>
      </c>
      <c r="F51" s="47">
        <v>0</v>
      </c>
      <c r="G51" s="47">
        <v>0</v>
      </c>
      <c r="H51" s="47">
        <v>0</v>
      </c>
      <c r="I51" s="47">
        <v>0</v>
      </c>
      <c r="J51" s="47">
        <v>0</v>
      </c>
      <c r="K51" s="47">
        <v>0</v>
      </c>
      <c r="L51" s="47">
        <v>0</v>
      </c>
      <c r="M51" s="47">
        <v>0</v>
      </c>
      <c r="N51" s="48">
        <f t="shared" si="7"/>
        <v>0</v>
      </c>
    </row>
    <row r="52" spans="1:14" x14ac:dyDescent="0.2">
      <c r="A52" s="46" t="s">
        <v>59</v>
      </c>
      <c r="B52" s="47">
        <v>0</v>
      </c>
      <c r="C52" s="47">
        <v>0</v>
      </c>
      <c r="D52" s="47">
        <v>0</v>
      </c>
      <c r="E52" s="47">
        <v>0</v>
      </c>
      <c r="F52" s="47">
        <v>0</v>
      </c>
      <c r="G52" s="47">
        <v>0</v>
      </c>
      <c r="H52" s="47">
        <v>0</v>
      </c>
      <c r="I52" s="47">
        <v>0</v>
      </c>
      <c r="J52" s="47">
        <v>0</v>
      </c>
      <c r="K52" s="47">
        <v>0</v>
      </c>
      <c r="L52" s="47">
        <v>0</v>
      </c>
      <c r="M52" s="47">
        <v>0</v>
      </c>
      <c r="N52" s="48">
        <f t="shared" si="7"/>
        <v>0</v>
      </c>
    </row>
    <row r="53" spans="1:14" x14ac:dyDescent="0.2">
      <c r="A53" s="46" t="s">
        <v>60</v>
      </c>
      <c r="B53" s="47">
        <v>0</v>
      </c>
      <c r="C53" s="47">
        <v>0</v>
      </c>
      <c r="D53" s="47">
        <v>0</v>
      </c>
      <c r="E53" s="47">
        <v>0</v>
      </c>
      <c r="F53" s="47">
        <v>0</v>
      </c>
      <c r="G53" s="47">
        <v>0</v>
      </c>
      <c r="H53" s="47">
        <v>0</v>
      </c>
      <c r="I53" s="47">
        <v>0</v>
      </c>
      <c r="J53" s="47">
        <v>0</v>
      </c>
      <c r="K53" s="47">
        <v>0</v>
      </c>
      <c r="L53" s="47">
        <v>0</v>
      </c>
      <c r="M53" s="47">
        <v>0</v>
      </c>
      <c r="N53" s="48">
        <f t="shared" si="7"/>
        <v>0</v>
      </c>
    </row>
    <row r="54" spans="1:14" x14ac:dyDescent="0.2">
      <c r="A54" s="46" t="s">
        <v>61</v>
      </c>
      <c r="B54" s="47">
        <v>0</v>
      </c>
      <c r="C54" s="47">
        <v>0</v>
      </c>
      <c r="D54" s="47">
        <v>0</v>
      </c>
      <c r="E54" s="47">
        <v>0</v>
      </c>
      <c r="F54" s="47">
        <v>0</v>
      </c>
      <c r="G54" s="47">
        <v>0</v>
      </c>
      <c r="H54" s="47">
        <v>0</v>
      </c>
      <c r="I54" s="47">
        <v>0</v>
      </c>
      <c r="J54" s="47">
        <v>0</v>
      </c>
      <c r="K54" s="47">
        <f>L8</f>
        <v>3000</v>
      </c>
      <c r="L54" s="47">
        <v>0</v>
      </c>
      <c r="M54" s="47">
        <v>0</v>
      </c>
      <c r="N54" s="48">
        <f t="shared" si="7"/>
        <v>3000</v>
      </c>
    </row>
    <row r="55" spans="1:14" x14ac:dyDescent="0.2">
      <c r="A55" s="46" t="s">
        <v>62</v>
      </c>
      <c r="B55" s="47">
        <v>0</v>
      </c>
      <c r="C55" s="47">
        <v>0</v>
      </c>
      <c r="D55" s="47">
        <v>0</v>
      </c>
      <c r="E55" s="47">
        <v>0</v>
      </c>
      <c r="F55" s="47">
        <v>0</v>
      </c>
      <c r="G55" s="47">
        <v>0</v>
      </c>
      <c r="H55" s="47">
        <v>0</v>
      </c>
      <c r="I55" s="47">
        <v>0</v>
      </c>
      <c r="J55" s="47">
        <v>0</v>
      </c>
      <c r="K55" s="47">
        <v>0</v>
      </c>
      <c r="L55" s="47">
        <v>0</v>
      </c>
      <c r="M55" s="47">
        <v>0</v>
      </c>
      <c r="N55" s="48">
        <f t="shared" si="7"/>
        <v>0</v>
      </c>
    </row>
    <row r="56" spans="1:14" x14ac:dyDescent="0.2">
      <c r="A56" s="49" t="s">
        <v>63</v>
      </c>
      <c r="B56" s="47">
        <v>0</v>
      </c>
      <c r="C56" s="47">
        <v>0</v>
      </c>
      <c r="D56" s="47">
        <v>0</v>
      </c>
      <c r="E56" s="47">
        <v>0</v>
      </c>
      <c r="F56" s="47">
        <v>0</v>
      </c>
      <c r="G56" s="47">
        <v>0</v>
      </c>
      <c r="H56" s="47">
        <v>0</v>
      </c>
      <c r="I56" s="47">
        <v>0</v>
      </c>
      <c r="J56" s="47">
        <v>0</v>
      </c>
      <c r="K56" s="47">
        <v>0</v>
      </c>
      <c r="L56" s="47">
        <v>0</v>
      </c>
      <c r="M56" s="47">
        <v>0</v>
      </c>
      <c r="N56" s="48">
        <f t="shared" si="7"/>
        <v>0</v>
      </c>
    </row>
    <row r="57" spans="1:14" x14ac:dyDescent="0.2">
      <c r="A57" s="49" t="s">
        <v>64</v>
      </c>
      <c r="B57" s="47">
        <v>0</v>
      </c>
      <c r="C57" s="47">
        <v>0</v>
      </c>
      <c r="D57" s="47">
        <v>0</v>
      </c>
      <c r="E57" s="47">
        <v>0</v>
      </c>
      <c r="F57" s="47">
        <v>0</v>
      </c>
      <c r="G57" s="47">
        <v>0</v>
      </c>
      <c r="H57" s="47">
        <v>0</v>
      </c>
      <c r="I57" s="47">
        <v>0</v>
      </c>
      <c r="J57" s="47">
        <v>0</v>
      </c>
      <c r="K57" s="47">
        <v>0</v>
      </c>
      <c r="L57" s="47">
        <v>0</v>
      </c>
      <c r="M57" s="47">
        <v>0</v>
      </c>
      <c r="N57" s="48">
        <f t="shared" si="7"/>
        <v>0</v>
      </c>
    </row>
    <row r="58" spans="1:14" x14ac:dyDescent="0.2">
      <c r="A58" s="50" t="s">
        <v>65</v>
      </c>
      <c r="B58" s="48">
        <f t="shared" ref="B58:M58" si="8">SUM(B50:B57)</f>
        <v>0</v>
      </c>
      <c r="C58" s="48">
        <f t="shared" si="8"/>
        <v>0</v>
      </c>
      <c r="D58" s="48">
        <f t="shared" si="8"/>
        <v>0</v>
      </c>
      <c r="E58" s="48">
        <f t="shared" si="8"/>
        <v>0</v>
      </c>
      <c r="F58" s="48">
        <f t="shared" si="8"/>
        <v>0</v>
      </c>
      <c r="G58" s="48">
        <f t="shared" si="8"/>
        <v>0</v>
      </c>
      <c r="H58" s="48">
        <f t="shared" si="8"/>
        <v>0</v>
      </c>
      <c r="I58" s="48">
        <f t="shared" si="8"/>
        <v>0</v>
      </c>
      <c r="J58" s="48">
        <f t="shared" si="8"/>
        <v>0</v>
      </c>
      <c r="K58" s="48">
        <f t="shared" si="8"/>
        <v>3000</v>
      </c>
      <c r="L58" s="48">
        <f t="shared" si="8"/>
        <v>0</v>
      </c>
      <c r="M58" s="48">
        <f t="shared" si="8"/>
        <v>0</v>
      </c>
      <c r="N58" s="48">
        <f t="shared" si="7"/>
        <v>3000</v>
      </c>
    </row>
  </sheetData>
  <mergeCells count="1">
    <mergeCell ref="A3:J3"/>
  </mergeCells>
  <pageMargins left="0.7" right="0.7" top="0.75" bottom="0.75" header="0.3" footer="0.3"/>
  <pageSetup paperSize="9" scale="57"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A70"/>
  <sheetViews>
    <sheetView showGridLines="0" topLeftCell="M22" zoomScale="70" zoomScaleNormal="70" workbookViewId="0">
      <selection activeCell="W70" sqref="W70"/>
    </sheetView>
  </sheetViews>
  <sheetFormatPr defaultRowHeight="15" x14ac:dyDescent="0.25"/>
  <cols>
    <col min="1" max="1" width="7.5703125" customWidth="1"/>
    <col min="2" max="2" width="8.7109375" bestFit="1" customWidth="1"/>
    <col min="3" max="3" width="18" bestFit="1" customWidth="1"/>
    <col min="4" max="4" width="28.42578125" customWidth="1"/>
    <col min="5" max="5" width="81.7109375" bestFit="1" customWidth="1"/>
    <col min="6" max="6" width="10.85546875" style="93" bestFit="1" customWidth="1"/>
    <col min="7" max="7" width="11.28515625" bestFit="1" customWidth="1"/>
    <col min="8" max="8" width="18.5703125" bestFit="1" customWidth="1"/>
    <col min="9" max="9" width="13.7109375" bestFit="1" customWidth="1"/>
    <col min="10" max="10" width="14.5703125" style="93" bestFit="1" customWidth="1"/>
    <col min="11" max="11" width="11.28515625" bestFit="1" customWidth="1"/>
    <col min="12" max="12" width="15" style="93" customWidth="1"/>
    <col min="13" max="13" width="40.5703125" bestFit="1" customWidth="1"/>
    <col min="14" max="14" width="14.140625" bestFit="1" customWidth="1"/>
    <col min="15" max="15" width="122" bestFit="1" customWidth="1"/>
    <col min="16" max="16" width="62.7109375" bestFit="1" customWidth="1"/>
    <col min="17" max="17" width="13.5703125" customWidth="1"/>
    <col min="18" max="19" width="12.5703125" customWidth="1"/>
    <col min="20" max="21" width="12.7109375" customWidth="1"/>
    <col min="22" max="22" width="12.5703125" customWidth="1"/>
    <col min="23" max="23" width="25.28515625" bestFit="1" customWidth="1"/>
    <col min="24" max="24" width="2.85546875" customWidth="1"/>
    <col min="25" max="25" width="3" customWidth="1"/>
    <col min="26" max="26" width="12.5703125" customWidth="1"/>
  </cols>
  <sheetData>
    <row r="1" spans="1:27" ht="26.25" x14ac:dyDescent="0.4">
      <c r="A1" s="91" t="s">
        <v>121</v>
      </c>
      <c r="B1" s="91"/>
      <c r="E1" s="92">
        <v>42844</v>
      </c>
    </row>
    <row r="3" spans="1:27" s="94" customFormat="1" ht="21" customHeight="1" x14ac:dyDescent="0.35">
      <c r="C3" s="150" t="s">
        <v>122</v>
      </c>
      <c r="D3" s="151"/>
      <c r="E3" s="151"/>
      <c r="F3" s="151"/>
      <c r="G3" s="151"/>
      <c r="H3" s="151"/>
      <c r="I3" s="151"/>
      <c r="J3" s="151"/>
      <c r="K3" s="151"/>
      <c r="L3" s="151"/>
      <c r="M3" s="151"/>
      <c r="N3" s="151"/>
      <c r="O3" s="151"/>
      <c r="P3" s="151"/>
      <c r="Q3" s="152"/>
      <c r="R3" s="150" t="s">
        <v>123</v>
      </c>
      <c r="S3" s="151"/>
      <c r="T3" s="151"/>
      <c r="U3" s="151"/>
      <c r="V3" s="153"/>
      <c r="W3" s="95" t="s">
        <v>44</v>
      </c>
      <c r="Y3" s="96"/>
      <c r="Z3"/>
      <c r="AA3"/>
    </row>
    <row r="4" spans="1:27" s="97" customFormat="1" ht="60" customHeight="1" x14ac:dyDescent="0.25">
      <c r="B4" s="98" t="s">
        <v>124</v>
      </c>
      <c r="C4" s="99" t="s">
        <v>125</v>
      </c>
      <c r="D4" s="100" t="s">
        <v>126</v>
      </c>
      <c r="E4" s="101" t="s">
        <v>127</v>
      </c>
      <c r="F4" s="102" t="s">
        <v>128</v>
      </c>
      <c r="G4" s="103" t="s">
        <v>129</v>
      </c>
      <c r="H4" s="103" t="s">
        <v>130</v>
      </c>
      <c r="I4" s="100" t="s">
        <v>131</v>
      </c>
      <c r="J4" s="104" t="s">
        <v>132</v>
      </c>
      <c r="K4" s="100" t="s">
        <v>133</v>
      </c>
      <c r="L4" s="104" t="s">
        <v>134</v>
      </c>
      <c r="M4" s="105" t="s">
        <v>18</v>
      </c>
      <c r="N4" s="105" t="s">
        <v>135</v>
      </c>
      <c r="O4" s="103" t="s">
        <v>136</v>
      </c>
      <c r="P4" s="103" t="s">
        <v>137</v>
      </c>
      <c r="Q4" s="103" t="s">
        <v>138</v>
      </c>
      <c r="R4" s="106" t="s">
        <v>139</v>
      </c>
      <c r="S4" s="100" t="s">
        <v>140</v>
      </c>
      <c r="T4" s="100" t="s">
        <v>141</v>
      </c>
      <c r="U4" s="100" t="s">
        <v>142</v>
      </c>
      <c r="V4" s="107" t="s">
        <v>143</v>
      </c>
      <c r="W4" s="108" t="s">
        <v>144</v>
      </c>
      <c r="Z4"/>
      <c r="AA4"/>
    </row>
    <row r="5" spans="1:27" s="97" customFormat="1" x14ac:dyDescent="0.25">
      <c r="B5" s="109">
        <f>IF(LEN(F5)=6,MAX($B$4:B4)+1,"")</f>
        <v>1</v>
      </c>
      <c r="C5" s="110" t="s">
        <v>145</v>
      </c>
      <c r="D5" s="111" t="s">
        <v>146</v>
      </c>
      <c r="E5" s="112" t="s">
        <v>147</v>
      </c>
      <c r="F5" s="113">
        <v>633008</v>
      </c>
      <c r="G5" s="111" t="s">
        <v>148</v>
      </c>
      <c r="H5" s="111" t="s">
        <v>149</v>
      </c>
      <c r="I5" s="111" t="s">
        <v>150</v>
      </c>
      <c r="J5" s="114">
        <v>8</v>
      </c>
      <c r="K5" s="111" t="s">
        <v>151</v>
      </c>
      <c r="L5" s="115">
        <v>90</v>
      </c>
      <c r="M5" s="111" t="s">
        <v>152</v>
      </c>
      <c r="N5" s="111" t="s">
        <v>153</v>
      </c>
      <c r="O5" s="111" t="s">
        <v>154</v>
      </c>
      <c r="P5" s="116" t="s">
        <v>155</v>
      </c>
      <c r="Q5" s="116" t="s">
        <v>156</v>
      </c>
      <c r="R5" s="117">
        <v>81159</v>
      </c>
      <c r="S5" s="117">
        <v>10</v>
      </c>
      <c r="T5" s="118">
        <v>4</v>
      </c>
      <c r="U5" s="117">
        <v>82</v>
      </c>
      <c r="V5" s="117">
        <v>81260</v>
      </c>
      <c r="W5" s="119">
        <v>14339.990430696711</v>
      </c>
      <c r="X5"/>
      <c r="Z5"/>
      <c r="AA5"/>
    </row>
    <row r="6" spans="1:27" s="97" customFormat="1" x14ac:dyDescent="0.25">
      <c r="B6" s="109">
        <f>IF(LEN(F6)=6,MAX($B$4:B5)+1,"")</f>
        <v>2</v>
      </c>
      <c r="C6" s="110" t="s">
        <v>157</v>
      </c>
      <c r="D6" s="111" t="s">
        <v>158</v>
      </c>
      <c r="E6" s="112" t="s">
        <v>159</v>
      </c>
      <c r="F6" s="113">
        <v>633005</v>
      </c>
      <c r="G6" s="111" t="s">
        <v>148</v>
      </c>
      <c r="H6" s="111" t="s">
        <v>149</v>
      </c>
      <c r="I6" s="111" t="s">
        <v>150</v>
      </c>
      <c r="J6" s="114">
        <v>24</v>
      </c>
      <c r="K6" s="111" t="s">
        <v>151</v>
      </c>
      <c r="L6" s="115">
        <v>90</v>
      </c>
      <c r="M6" s="111" t="s">
        <v>160</v>
      </c>
      <c r="N6" s="111" t="s">
        <v>153</v>
      </c>
      <c r="O6" s="111" t="s">
        <v>154</v>
      </c>
      <c r="P6" s="116" t="s">
        <v>155</v>
      </c>
      <c r="Q6" s="116" t="s">
        <v>156</v>
      </c>
      <c r="R6" s="117">
        <v>811590</v>
      </c>
      <c r="S6" s="117">
        <v>10</v>
      </c>
      <c r="T6" s="118">
        <v>40</v>
      </c>
      <c r="U6" s="117">
        <v>812</v>
      </c>
      <c r="V6" s="117">
        <v>812460</v>
      </c>
      <c r="W6" s="119">
        <v>121839.74910593583</v>
      </c>
      <c r="X6"/>
      <c r="Z6"/>
      <c r="AA6"/>
    </row>
    <row r="7" spans="1:27" s="97" customFormat="1" x14ac:dyDescent="0.25">
      <c r="B7" s="109">
        <f>IF(LEN(F7)=6,MAX($B$4:B6)+1,"")</f>
        <v>3</v>
      </c>
      <c r="C7" s="110" t="s">
        <v>161</v>
      </c>
      <c r="D7" s="111" t="s">
        <v>162</v>
      </c>
      <c r="E7" s="112" t="s">
        <v>163</v>
      </c>
      <c r="F7" s="113">
        <v>633009</v>
      </c>
      <c r="G7" s="111" t="s">
        <v>148</v>
      </c>
      <c r="H7" s="111" t="s">
        <v>149</v>
      </c>
      <c r="I7" s="111" t="s">
        <v>150</v>
      </c>
      <c r="J7" s="114">
        <v>4</v>
      </c>
      <c r="K7" s="111" t="s">
        <v>151</v>
      </c>
      <c r="L7" s="115">
        <v>90</v>
      </c>
      <c r="M7" s="111" t="s">
        <v>152</v>
      </c>
      <c r="N7" s="111" t="s">
        <v>153</v>
      </c>
      <c r="O7" s="120" t="s">
        <v>164</v>
      </c>
      <c r="P7" s="116" t="s">
        <v>155</v>
      </c>
      <c r="Q7" s="116" t="s">
        <v>156</v>
      </c>
      <c r="R7" s="117">
        <v>81159</v>
      </c>
      <c r="S7" s="117">
        <v>10</v>
      </c>
      <c r="T7" s="118">
        <v>4</v>
      </c>
      <c r="U7" s="117">
        <v>82</v>
      </c>
      <c r="V7" s="117">
        <v>81260</v>
      </c>
      <c r="W7" s="119">
        <v>3619.1657174382558</v>
      </c>
      <c r="X7"/>
      <c r="Z7"/>
      <c r="AA7"/>
    </row>
    <row r="8" spans="1:27" s="97" customFormat="1" x14ac:dyDescent="0.25">
      <c r="B8" s="109">
        <f>IF(LEN(F8)=6,MAX($B$4:B7)+1,"")</f>
        <v>4</v>
      </c>
      <c r="C8" s="110" t="s">
        <v>165</v>
      </c>
      <c r="D8" s="111" t="s">
        <v>166</v>
      </c>
      <c r="E8" s="112" t="s">
        <v>167</v>
      </c>
      <c r="F8" s="113">
        <v>633006</v>
      </c>
      <c r="G8" s="111" t="s">
        <v>148</v>
      </c>
      <c r="H8" s="111" t="s">
        <v>149</v>
      </c>
      <c r="I8" s="111" t="s">
        <v>150</v>
      </c>
      <c r="J8" s="114">
        <v>12</v>
      </c>
      <c r="K8" s="111" t="s">
        <v>151</v>
      </c>
      <c r="L8" s="115">
        <v>90</v>
      </c>
      <c r="M8" s="111" t="s">
        <v>160</v>
      </c>
      <c r="N8" s="111" t="s">
        <v>153</v>
      </c>
      <c r="O8" s="111" t="s">
        <v>154</v>
      </c>
      <c r="P8" s="116" t="s">
        <v>155</v>
      </c>
      <c r="Q8" s="116" t="s">
        <v>156</v>
      </c>
      <c r="R8" s="117">
        <v>811590</v>
      </c>
      <c r="S8" s="117">
        <v>10</v>
      </c>
      <c r="T8" s="118">
        <v>40</v>
      </c>
      <c r="U8" s="117">
        <v>812</v>
      </c>
      <c r="V8" s="117">
        <v>812460</v>
      </c>
      <c r="W8" s="119">
        <v>63469.894242347626</v>
      </c>
      <c r="X8"/>
      <c r="Z8"/>
      <c r="AA8"/>
    </row>
    <row r="9" spans="1:27" s="97" customFormat="1" x14ac:dyDescent="0.25">
      <c r="B9" s="109">
        <f>IF(LEN(F9)=6,MAX($B$4:B8)+1,"")</f>
        <v>5</v>
      </c>
      <c r="C9" s="110" t="s">
        <v>168</v>
      </c>
      <c r="D9" s="111" t="s">
        <v>169</v>
      </c>
      <c r="E9" s="112" t="s">
        <v>170</v>
      </c>
      <c r="F9" s="113">
        <v>633007</v>
      </c>
      <c r="G9" s="111" t="s">
        <v>148</v>
      </c>
      <c r="H9" s="111" t="s">
        <v>149</v>
      </c>
      <c r="I9" s="111" t="s">
        <v>150</v>
      </c>
      <c r="J9" s="114">
        <v>12</v>
      </c>
      <c r="K9" s="111" t="s">
        <v>151</v>
      </c>
      <c r="L9" s="115">
        <v>90</v>
      </c>
      <c r="M9" s="111" t="s">
        <v>152</v>
      </c>
      <c r="N9" s="111" t="s">
        <v>153</v>
      </c>
      <c r="O9" s="111" t="s">
        <v>154</v>
      </c>
      <c r="P9" s="116" t="s">
        <v>155</v>
      </c>
      <c r="Q9" s="116" t="s">
        <v>156</v>
      </c>
      <c r="R9" s="117">
        <v>811590</v>
      </c>
      <c r="S9" s="117">
        <v>10</v>
      </c>
      <c r="T9" s="118">
        <v>40</v>
      </c>
      <c r="U9" s="117">
        <v>812</v>
      </c>
      <c r="V9" s="117">
        <v>812460</v>
      </c>
      <c r="W9" s="119">
        <v>62215.705372837991</v>
      </c>
      <c r="X9"/>
      <c r="Z9"/>
      <c r="AA9"/>
    </row>
    <row r="10" spans="1:27" s="97" customFormat="1" x14ac:dyDescent="0.25">
      <c r="B10" s="109">
        <f>IF(LEN(F10)=6,MAX($B$4:B9)+1,"")</f>
        <v>6</v>
      </c>
      <c r="C10" s="110" t="s">
        <v>171</v>
      </c>
      <c r="D10" s="111" t="s">
        <v>172</v>
      </c>
      <c r="E10" s="112" t="s">
        <v>173</v>
      </c>
      <c r="F10" s="113">
        <v>633003</v>
      </c>
      <c r="G10" s="111" t="s">
        <v>148</v>
      </c>
      <c r="H10" s="111" t="s">
        <v>149</v>
      </c>
      <c r="I10" s="111" t="s">
        <v>150</v>
      </c>
      <c r="J10" s="114">
        <v>4</v>
      </c>
      <c r="K10" s="111" t="s">
        <v>151</v>
      </c>
      <c r="L10" s="115">
        <v>90</v>
      </c>
      <c r="M10" s="111" t="s">
        <v>174</v>
      </c>
      <c r="N10" s="111" t="s">
        <v>153</v>
      </c>
      <c r="O10" s="120" t="s">
        <v>164</v>
      </c>
      <c r="P10" s="116" t="s">
        <v>155</v>
      </c>
      <c r="Q10" s="116" t="s">
        <v>156</v>
      </c>
      <c r="R10" s="117">
        <v>81162</v>
      </c>
      <c r="S10" s="117">
        <v>10</v>
      </c>
      <c r="T10" s="118">
        <v>4</v>
      </c>
      <c r="U10" s="117">
        <v>82</v>
      </c>
      <c r="V10" s="117">
        <v>81260</v>
      </c>
      <c r="W10" s="119">
        <v>3619.1657174382558</v>
      </c>
      <c r="X10"/>
      <c r="Z10"/>
      <c r="AA10"/>
    </row>
    <row r="11" spans="1:27" s="97" customFormat="1" x14ac:dyDescent="0.25">
      <c r="B11" s="109">
        <f>IF(LEN(F11)=6,MAX($B$4:B10)+1,"")</f>
        <v>7</v>
      </c>
      <c r="C11" s="110" t="s">
        <v>175</v>
      </c>
      <c r="D11" s="111" t="s">
        <v>176</v>
      </c>
      <c r="E11" s="112" t="s">
        <v>177</v>
      </c>
      <c r="F11" s="113">
        <v>633001</v>
      </c>
      <c r="G11" s="111" t="s">
        <v>148</v>
      </c>
      <c r="H11" s="111" t="s">
        <v>149</v>
      </c>
      <c r="I11" s="111" t="s">
        <v>150</v>
      </c>
      <c r="J11" s="114">
        <v>20</v>
      </c>
      <c r="K11" s="111" t="s">
        <v>151</v>
      </c>
      <c r="L11" s="115">
        <v>90</v>
      </c>
      <c r="M11" s="111" t="s">
        <v>174</v>
      </c>
      <c r="N11" s="111" t="s">
        <v>153</v>
      </c>
      <c r="O11" s="111" t="s">
        <v>154</v>
      </c>
      <c r="P11" s="116" t="s">
        <v>155</v>
      </c>
      <c r="Q11" s="116" t="s">
        <v>156</v>
      </c>
      <c r="R11" s="117">
        <v>811620</v>
      </c>
      <c r="S11" s="117">
        <v>10</v>
      </c>
      <c r="T11" s="118">
        <v>40</v>
      </c>
      <c r="U11" s="117">
        <v>812</v>
      </c>
      <c r="V11" s="117">
        <v>812490</v>
      </c>
      <c r="W11" s="119">
        <v>100958.6339613615</v>
      </c>
      <c r="X11"/>
      <c r="Z11"/>
      <c r="AA11"/>
    </row>
    <row r="12" spans="1:27" s="97" customFormat="1" x14ac:dyDescent="0.25">
      <c r="B12" s="109">
        <f>IF(LEN(F12)=6,MAX($B$4:B11)+1,"")</f>
        <v>8</v>
      </c>
      <c r="C12" s="110" t="s">
        <v>178</v>
      </c>
      <c r="D12" s="111" t="s">
        <v>179</v>
      </c>
      <c r="E12" s="112" t="s">
        <v>180</v>
      </c>
      <c r="F12" s="113">
        <v>633004</v>
      </c>
      <c r="G12" s="111" t="s">
        <v>148</v>
      </c>
      <c r="H12" s="111" t="s">
        <v>149</v>
      </c>
      <c r="I12" s="111" t="s">
        <v>150</v>
      </c>
      <c r="J12" s="114">
        <v>12</v>
      </c>
      <c r="K12" s="111" t="s">
        <v>151</v>
      </c>
      <c r="L12" s="115">
        <v>90</v>
      </c>
      <c r="M12" s="111" t="s">
        <v>174</v>
      </c>
      <c r="N12" s="111" t="s">
        <v>153</v>
      </c>
      <c r="O12" s="111" t="s">
        <v>154</v>
      </c>
      <c r="P12" s="116" t="s">
        <v>155</v>
      </c>
      <c r="Q12" s="116" t="s">
        <v>156</v>
      </c>
      <c r="R12" s="117">
        <v>81162</v>
      </c>
      <c r="S12" s="117">
        <v>10</v>
      </c>
      <c r="T12" s="118">
        <v>4</v>
      </c>
      <c r="U12" s="117">
        <v>82</v>
      </c>
      <c r="V12" s="117">
        <v>81260</v>
      </c>
      <c r="W12" s="119">
        <v>17960.801602680422</v>
      </c>
      <c r="X12"/>
      <c r="Z12"/>
      <c r="AA12"/>
    </row>
    <row r="13" spans="1:27" s="97" customFormat="1" x14ac:dyDescent="0.25">
      <c r="B13" s="109">
        <f>IF(LEN(F13)=6,MAX($B$4:B12)+1,"")</f>
        <v>9</v>
      </c>
      <c r="C13" s="110" t="s">
        <v>181</v>
      </c>
      <c r="D13" s="111" t="s">
        <v>182</v>
      </c>
      <c r="E13" s="112" t="s">
        <v>183</v>
      </c>
      <c r="F13" s="113">
        <v>633002</v>
      </c>
      <c r="G13" s="111" t="s">
        <v>148</v>
      </c>
      <c r="H13" s="111" t="s">
        <v>149</v>
      </c>
      <c r="I13" s="111" t="s">
        <v>150</v>
      </c>
      <c r="J13" s="114">
        <v>32</v>
      </c>
      <c r="K13" s="111" t="s">
        <v>151</v>
      </c>
      <c r="L13" s="115">
        <v>90</v>
      </c>
      <c r="M13" s="111" t="s">
        <v>174</v>
      </c>
      <c r="N13" s="111" t="s">
        <v>153</v>
      </c>
      <c r="O13" s="111" t="s">
        <v>154</v>
      </c>
      <c r="P13" s="116" t="s">
        <v>155</v>
      </c>
      <c r="Q13" s="116" t="s">
        <v>156</v>
      </c>
      <c r="R13" s="117">
        <v>811620</v>
      </c>
      <c r="S13" s="117">
        <v>10</v>
      </c>
      <c r="T13" s="118">
        <v>40</v>
      </c>
      <c r="U13" s="117">
        <v>812</v>
      </c>
      <c r="V13" s="117">
        <v>812490</v>
      </c>
      <c r="W13" s="119">
        <v>143497.61407126818</v>
      </c>
      <c r="X13"/>
      <c r="Z13"/>
      <c r="AA13"/>
    </row>
    <row r="14" spans="1:27" s="97" customFormat="1" x14ac:dyDescent="0.25">
      <c r="B14" s="109">
        <f>IF(LEN(F14)=6,MAX($B$4:B13)+1,"")</f>
        <v>10</v>
      </c>
      <c r="C14" s="110"/>
      <c r="D14" s="111" t="s">
        <v>184</v>
      </c>
      <c r="E14" s="112" t="s">
        <v>185</v>
      </c>
      <c r="F14" s="113">
        <v>633010</v>
      </c>
      <c r="G14" s="111" t="s">
        <v>186</v>
      </c>
      <c r="H14" s="111"/>
      <c r="I14" s="111"/>
      <c r="J14" s="114"/>
      <c r="K14" s="111"/>
      <c r="L14" s="115"/>
      <c r="M14" s="111"/>
      <c r="N14" s="111" t="s">
        <v>153</v>
      </c>
      <c r="O14" s="111"/>
      <c r="P14" s="116" t="s">
        <v>155</v>
      </c>
      <c r="Q14" s="116"/>
      <c r="R14" s="121">
        <v>1887</v>
      </c>
      <c r="S14" s="121">
        <v>10</v>
      </c>
      <c r="T14" s="122">
        <v>1</v>
      </c>
      <c r="U14" s="121">
        <v>2</v>
      </c>
      <c r="V14" s="121">
        <v>1900</v>
      </c>
      <c r="W14" s="119">
        <v>934.67818181818188</v>
      </c>
      <c r="X14"/>
      <c r="Z14"/>
      <c r="AA14"/>
    </row>
    <row r="15" spans="1:27" s="97" customFormat="1" x14ac:dyDescent="0.25">
      <c r="B15" s="109" t="str">
        <f>IF(LEN(F15)=6,MAX($B$4:B14)+1,"")</f>
        <v/>
      </c>
      <c r="C15" s="110" t="s">
        <v>187</v>
      </c>
      <c r="D15" s="111" t="s">
        <v>188</v>
      </c>
      <c r="E15" s="112" t="s">
        <v>189</v>
      </c>
      <c r="F15" s="113" t="str">
        <f>F14&amp;"-A"</f>
        <v>633010-A</v>
      </c>
      <c r="G15" s="111" t="s">
        <v>186</v>
      </c>
      <c r="H15" s="111" t="s">
        <v>149</v>
      </c>
      <c r="I15" s="111" t="s">
        <v>150</v>
      </c>
      <c r="J15" s="114">
        <v>8</v>
      </c>
      <c r="K15" s="111" t="s">
        <v>151</v>
      </c>
      <c r="L15" s="115">
        <v>120</v>
      </c>
      <c r="M15" s="111" t="s">
        <v>190</v>
      </c>
      <c r="N15" s="111" t="s">
        <v>153</v>
      </c>
      <c r="O15" s="116" t="s">
        <v>191</v>
      </c>
      <c r="P15" s="116" t="str">
        <f>"Insert into polybag in front of "&amp;F16&amp;" to form "&amp;F14</f>
        <v>Insert into polybag in front of 633010-B to form 633010</v>
      </c>
      <c r="Q15" s="116"/>
      <c r="R15" s="111">
        <v>1887</v>
      </c>
      <c r="S15" s="111">
        <v>10</v>
      </c>
      <c r="T15" s="111">
        <v>1</v>
      </c>
      <c r="U15" s="111">
        <v>2</v>
      </c>
      <c r="V15" s="111">
        <v>1900</v>
      </c>
      <c r="W15" s="119">
        <v>2739.9416873725959</v>
      </c>
      <c r="X15"/>
      <c r="Z15"/>
      <c r="AA15"/>
    </row>
    <row r="16" spans="1:27" s="97" customFormat="1" x14ac:dyDescent="0.25">
      <c r="B16" s="109" t="str">
        <f>IF(LEN(F16)=6,MAX($B$4:B15)+1,"")</f>
        <v/>
      </c>
      <c r="C16" s="110" t="s">
        <v>192</v>
      </c>
      <c r="D16" s="111" t="s">
        <v>184</v>
      </c>
      <c r="E16" s="112" t="s">
        <v>193</v>
      </c>
      <c r="F16" s="113" t="str">
        <f>F14&amp;"-B"</f>
        <v>633010-B</v>
      </c>
      <c r="G16" s="111" t="s">
        <v>186</v>
      </c>
      <c r="H16" s="111" t="s">
        <v>149</v>
      </c>
      <c r="I16" s="111" t="s">
        <v>150</v>
      </c>
      <c r="J16" s="114">
        <v>8</v>
      </c>
      <c r="K16" s="111" t="s">
        <v>151</v>
      </c>
      <c r="L16" s="115">
        <v>120</v>
      </c>
      <c r="M16" s="111" t="s">
        <v>190</v>
      </c>
      <c r="N16" s="111" t="s">
        <v>153</v>
      </c>
      <c r="O16" s="116" t="s">
        <v>194</v>
      </c>
      <c r="P16" s="116" t="str">
        <f>"Insert into polybag behind "&amp;F15&amp;" to form "&amp;F14</f>
        <v>Insert into polybag behind 633010-A to form 633010</v>
      </c>
      <c r="Q16" s="116"/>
      <c r="R16" s="111">
        <v>1887</v>
      </c>
      <c r="S16" s="111">
        <v>10</v>
      </c>
      <c r="T16" s="111">
        <v>1</v>
      </c>
      <c r="U16" s="111">
        <v>2</v>
      </c>
      <c r="V16" s="111">
        <v>1900</v>
      </c>
      <c r="W16" s="119">
        <v>2739.9416873725959</v>
      </c>
      <c r="X16"/>
      <c r="Z16"/>
      <c r="AA16"/>
    </row>
    <row r="17" spans="2:27" s="97" customFormat="1" x14ac:dyDescent="0.25">
      <c r="B17" s="109">
        <f>IF(LEN(F17)=6,MAX($B$4:B16)+1,"")</f>
        <v>11</v>
      </c>
      <c r="C17" s="110"/>
      <c r="D17" s="111" t="s">
        <v>195</v>
      </c>
      <c r="E17" s="112" t="s">
        <v>196</v>
      </c>
      <c r="F17" s="113">
        <v>633011</v>
      </c>
      <c r="G17" s="111" t="s">
        <v>186</v>
      </c>
      <c r="H17" s="111"/>
      <c r="I17" s="111"/>
      <c r="J17" s="114"/>
      <c r="K17" s="111"/>
      <c r="L17" s="115"/>
      <c r="M17" s="111"/>
      <c r="N17" s="111" t="s">
        <v>153</v>
      </c>
      <c r="O17" s="116"/>
      <c r="P17" s="116" t="s">
        <v>155</v>
      </c>
      <c r="Q17" s="116"/>
      <c r="R17" s="121">
        <v>1887</v>
      </c>
      <c r="S17" s="121">
        <v>10</v>
      </c>
      <c r="T17" s="122">
        <v>1</v>
      </c>
      <c r="U17" s="121">
        <v>2</v>
      </c>
      <c r="V17" s="121">
        <v>1900</v>
      </c>
      <c r="W17" s="119">
        <v>1145.7137373737376</v>
      </c>
      <c r="X17"/>
      <c r="Z17"/>
      <c r="AA17"/>
    </row>
    <row r="18" spans="2:27" s="97" customFormat="1" x14ac:dyDescent="0.25">
      <c r="B18" s="109" t="str">
        <f>IF(LEN(F18)=6,MAX($B$4:B17)+1,"")</f>
        <v/>
      </c>
      <c r="C18" s="110" t="s">
        <v>197</v>
      </c>
      <c r="D18" s="111" t="s">
        <v>198</v>
      </c>
      <c r="E18" s="112" t="s">
        <v>199</v>
      </c>
      <c r="F18" s="113" t="str">
        <f>F17&amp;"-A"</f>
        <v>633011-A</v>
      </c>
      <c r="G18" s="111" t="s">
        <v>186</v>
      </c>
      <c r="H18" s="111" t="s">
        <v>149</v>
      </c>
      <c r="I18" s="111" t="s">
        <v>150</v>
      </c>
      <c r="J18" s="114">
        <v>8</v>
      </c>
      <c r="K18" s="111" t="s">
        <v>151</v>
      </c>
      <c r="L18" s="115">
        <v>120</v>
      </c>
      <c r="M18" s="111" t="s">
        <v>190</v>
      </c>
      <c r="N18" s="111" t="s">
        <v>153</v>
      </c>
      <c r="O18" s="116" t="s">
        <v>191</v>
      </c>
      <c r="P18" s="116" t="str">
        <f>"Insert into polybag in front of "&amp;F19&amp;" to form "&amp;F17</f>
        <v>Insert into polybag in front of 633011-B to form 633011</v>
      </c>
      <c r="Q18" s="116"/>
      <c r="R18" s="111">
        <v>1887</v>
      </c>
      <c r="S18" s="111">
        <v>10</v>
      </c>
      <c r="T18" s="111">
        <v>1</v>
      </c>
      <c r="U18" s="111">
        <v>2</v>
      </c>
      <c r="V18" s="111">
        <v>1900</v>
      </c>
      <c r="W18" s="119">
        <v>2739.9416873725959</v>
      </c>
      <c r="X18"/>
      <c r="Z18"/>
      <c r="AA18"/>
    </row>
    <row r="19" spans="2:27" s="97" customFormat="1" x14ac:dyDescent="0.25">
      <c r="B19" s="109" t="str">
        <f>IF(LEN(F19)=6,MAX($B$4:B18)+1,"")</f>
        <v/>
      </c>
      <c r="C19" s="110" t="s">
        <v>200</v>
      </c>
      <c r="D19" s="111" t="s">
        <v>195</v>
      </c>
      <c r="E19" s="112" t="s">
        <v>201</v>
      </c>
      <c r="F19" s="113" t="str">
        <f>F17&amp;"-B"</f>
        <v>633011-B</v>
      </c>
      <c r="G19" s="111" t="s">
        <v>186</v>
      </c>
      <c r="H19" s="111" t="s">
        <v>149</v>
      </c>
      <c r="I19" s="111" t="s">
        <v>150</v>
      </c>
      <c r="J19" s="114">
        <v>20</v>
      </c>
      <c r="K19" s="111" t="s">
        <v>151</v>
      </c>
      <c r="L19" s="115">
        <v>120</v>
      </c>
      <c r="M19" s="111" t="s">
        <v>190</v>
      </c>
      <c r="N19" s="111" t="s">
        <v>153</v>
      </c>
      <c r="O19" s="116" t="s">
        <v>194</v>
      </c>
      <c r="P19" s="116" t="str">
        <f>"Insert into polybag behind "&amp;F18&amp;" to form "&amp;F17</f>
        <v>Insert into polybag behind 633011-A to form 633011</v>
      </c>
      <c r="Q19" s="116"/>
      <c r="R19" s="111">
        <v>1887</v>
      </c>
      <c r="S19" s="111">
        <v>10</v>
      </c>
      <c r="T19" s="111">
        <v>1</v>
      </c>
      <c r="U19" s="111">
        <v>2</v>
      </c>
      <c r="V19" s="111">
        <v>1900</v>
      </c>
      <c r="W19" s="119">
        <v>5605.0793258565736</v>
      </c>
      <c r="X19"/>
      <c r="Z19"/>
      <c r="AA19"/>
    </row>
    <row r="20" spans="2:27" s="97" customFormat="1" x14ac:dyDescent="0.25">
      <c r="B20" s="109">
        <f>IF(LEN(F20)=6,MAX($B$4:B19)+1,"")</f>
        <v>12</v>
      </c>
      <c r="C20" s="110"/>
      <c r="D20" s="111" t="s">
        <v>202</v>
      </c>
      <c r="E20" s="112" t="s">
        <v>203</v>
      </c>
      <c r="F20" s="113">
        <v>633012</v>
      </c>
      <c r="G20" s="111" t="s">
        <v>186</v>
      </c>
      <c r="H20" s="111"/>
      <c r="I20" s="111"/>
      <c r="J20" s="114"/>
      <c r="K20" s="111"/>
      <c r="L20" s="115"/>
      <c r="M20" s="111"/>
      <c r="N20" s="111" t="s">
        <v>153</v>
      </c>
      <c r="O20" s="116"/>
      <c r="P20" s="116" t="s">
        <v>155</v>
      </c>
      <c r="Q20" s="116"/>
      <c r="R20" s="121">
        <v>1904</v>
      </c>
      <c r="S20" s="121">
        <v>10</v>
      </c>
      <c r="T20" s="122">
        <v>1</v>
      </c>
      <c r="U20" s="121">
        <v>2</v>
      </c>
      <c r="V20" s="121">
        <v>1920</v>
      </c>
      <c r="W20" s="119">
        <v>1219.6760606060607</v>
      </c>
      <c r="X20"/>
      <c r="Z20"/>
      <c r="AA20"/>
    </row>
    <row r="21" spans="2:27" s="97" customFormat="1" x14ac:dyDescent="0.25">
      <c r="B21" s="109" t="str">
        <f>IF(LEN(F21)=6,MAX($B$4:B20)+1,"")</f>
        <v/>
      </c>
      <c r="C21" s="110" t="s">
        <v>204</v>
      </c>
      <c r="D21" s="111" t="s">
        <v>205</v>
      </c>
      <c r="E21" s="112" t="s">
        <v>206</v>
      </c>
      <c r="F21" s="113" t="str">
        <f>F20&amp;"-A"</f>
        <v>633012-A</v>
      </c>
      <c r="G21" s="111" t="s">
        <v>186</v>
      </c>
      <c r="H21" s="111" t="s">
        <v>149</v>
      </c>
      <c r="I21" s="111" t="s">
        <v>150</v>
      </c>
      <c r="J21" s="114">
        <v>8</v>
      </c>
      <c r="K21" s="111" t="s">
        <v>151</v>
      </c>
      <c r="L21" s="115">
        <v>120</v>
      </c>
      <c r="M21" s="111" t="s">
        <v>152</v>
      </c>
      <c r="N21" s="111" t="s">
        <v>153</v>
      </c>
      <c r="O21" s="116" t="s">
        <v>191</v>
      </c>
      <c r="P21" s="116" t="str">
        <f>"Insert into polybag in front of "&amp;F22&amp;" to form "&amp;F20</f>
        <v>Insert into polybag in front of 633012-B to form 633012</v>
      </c>
      <c r="Q21" s="116"/>
      <c r="R21" s="111">
        <v>1904</v>
      </c>
      <c r="S21" s="111">
        <v>10</v>
      </c>
      <c r="T21" s="111">
        <v>1</v>
      </c>
      <c r="U21" s="111">
        <v>2</v>
      </c>
      <c r="V21" s="111">
        <v>1920</v>
      </c>
      <c r="W21" s="119">
        <v>2762.5179155246019</v>
      </c>
      <c r="X21"/>
      <c r="Z21"/>
      <c r="AA21"/>
    </row>
    <row r="22" spans="2:27" s="97" customFormat="1" x14ac:dyDescent="0.25">
      <c r="B22" s="109" t="str">
        <f>IF(LEN(F22)=6,MAX($B$4:B21)+1,"")</f>
        <v/>
      </c>
      <c r="C22" s="110" t="s">
        <v>207</v>
      </c>
      <c r="D22" s="111" t="s">
        <v>202</v>
      </c>
      <c r="E22" s="112" t="s">
        <v>208</v>
      </c>
      <c r="F22" s="113" t="str">
        <f>F20&amp;"-B"</f>
        <v>633012-B</v>
      </c>
      <c r="G22" s="111" t="s">
        <v>186</v>
      </c>
      <c r="H22" s="111" t="s">
        <v>149</v>
      </c>
      <c r="I22" s="111" t="s">
        <v>150</v>
      </c>
      <c r="J22" s="114">
        <v>36</v>
      </c>
      <c r="K22" s="111" t="s">
        <v>151</v>
      </c>
      <c r="L22" s="115">
        <v>120</v>
      </c>
      <c r="M22" s="111" t="s">
        <v>160</v>
      </c>
      <c r="N22" s="111" t="s">
        <v>153</v>
      </c>
      <c r="O22" s="116" t="s">
        <v>194</v>
      </c>
      <c r="P22" s="116" t="str">
        <f>"Insert into polybag behind "&amp;F21&amp;" to form "&amp;F20</f>
        <v>Insert into polybag behind 633012-A to form 633012</v>
      </c>
      <c r="Q22" s="116"/>
      <c r="R22" s="111">
        <v>1904</v>
      </c>
      <c r="S22" s="111">
        <v>10</v>
      </c>
      <c r="T22" s="111">
        <v>1</v>
      </c>
      <c r="U22" s="111">
        <v>2</v>
      </c>
      <c r="V22" s="111">
        <v>1920</v>
      </c>
      <c r="W22" s="119">
        <v>9023.1224925910083</v>
      </c>
      <c r="X22"/>
      <c r="Z22"/>
      <c r="AA22"/>
    </row>
    <row r="23" spans="2:27" s="97" customFormat="1" x14ac:dyDescent="0.25">
      <c r="B23" s="109">
        <f>IF(LEN(F23)=6,MAX($B$4:B22)+1,"")</f>
        <v>13</v>
      </c>
      <c r="C23" s="110"/>
      <c r="D23" s="111" t="s">
        <v>209</v>
      </c>
      <c r="E23" s="112" t="s">
        <v>210</v>
      </c>
      <c r="F23" s="113">
        <v>633013</v>
      </c>
      <c r="G23" s="111" t="s">
        <v>186</v>
      </c>
      <c r="H23" s="111"/>
      <c r="I23" s="111"/>
      <c r="J23" s="114"/>
      <c r="K23" s="111"/>
      <c r="L23" s="115"/>
      <c r="M23" s="111"/>
      <c r="N23" s="111" t="s">
        <v>153</v>
      </c>
      <c r="O23" s="116"/>
      <c r="P23" s="116" t="s">
        <v>155</v>
      </c>
      <c r="Q23" s="116"/>
      <c r="R23" s="121">
        <v>1904</v>
      </c>
      <c r="S23" s="121">
        <v>10</v>
      </c>
      <c r="T23" s="122">
        <v>1</v>
      </c>
      <c r="U23" s="121">
        <v>2</v>
      </c>
      <c r="V23" s="121">
        <v>1920</v>
      </c>
      <c r="W23" s="119">
        <v>1561.2927272727275</v>
      </c>
      <c r="X23"/>
      <c r="Z23"/>
      <c r="AA23"/>
    </row>
    <row r="24" spans="2:27" s="97" customFormat="1" x14ac:dyDescent="0.25">
      <c r="B24" s="109" t="str">
        <f>IF(LEN(F24)=6,MAX($B$4:B23)+1,"")</f>
        <v/>
      </c>
      <c r="C24" s="110" t="s">
        <v>211</v>
      </c>
      <c r="D24" s="111" t="s">
        <v>212</v>
      </c>
      <c r="E24" s="112" t="s">
        <v>213</v>
      </c>
      <c r="F24" s="113" t="str">
        <f>F23&amp;"-A"</f>
        <v>633013-A</v>
      </c>
      <c r="G24" s="111" t="s">
        <v>186</v>
      </c>
      <c r="H24" s="111" t="s">
        <v>149</v>
      </c>
      <c r="I24" s="111" t="s">
        <v>150</v>
      </c>
      <c r="J24" s="123">
        <v>4</v>
      </c>
      <c r="K24" s="111" t="s">
        <v>151</v>
      </c>
      <c r="L24" s="115">
        <v>120</v>
      </c>
      <c r="M24" s="111" t="s">
        <v>152</v>
      </c>
      <c r="N24" s="111" t="s">
        <v>153</v>
      </c>
      <c r="O24" s="116" t="s">
        <v>191</v>
      </c>
      <c r="P24" s="116" t="str">
        <f>"Insert into polybag in front of "&amp;F25&amp;" to form "&amp;F23</f>
        <v>Insert into polybag in front of 633013-B to form 633013</v>
      </c>
      <c r="Q24" s="116"/>
      <c r="R24" s="111">
        <v>1904</v>
      </c>
      <c r="S24" s="111">
        <v>10</v>
      </c>
      <c r="T24" s="111">
        <v>1</v>
      </c>
      <c r="U24" s="111">
        <v>2</v>
      </c>
      <c r="V24" s="111">
        <v>1920</v>
      </c>
      <c r="W24" s="119">
        <v>1594.375893333927</v>
      </c>
      <c r="X24"/>
      <c r="Z24"/>
      <c r="AA24"/>
    </row>
    <row r="25" spans="2:27" s="97" customFormat="1" x14ac:dyDescent="0.25">
      <c r="B25" s="109" t="str">
        <f>IF(LEN(F25)=6,MAX($B$4:B24)+1,"")</f>
        <v/>
      </c>
      <c r="C25" s="110" t="s">
        <v>214</v>
      </c>
      <c r="D25" s="111" t="s">
        <v>209</v>
      </c>
      <c r="E25" s="112" t="s">
        <v>215</v>
      </c>
      <c r="F25" s="113" t="str">
        <f>F23&amp;"-B"</f>
        <v>633013-B</v>
      </c>
      <c r="G25" s="111" t="s">
        <v>186</v>
      </c>
      <c r="H25" s="111" t="s">
        <v>149</v>
      </c>
      <c r="I25" s="111" t="s">
        <v>150</v>
      </c>
      <c r="J25" s="124">
        <v>12</v>
      </c>
      <c r="K25" s="111" t="s">
        <v>151</v>
      </c>
      <c r="L25" s="115">
        <v>120</v>
      </c>
      <c r="M25" s="111" t="s">
        <v>160</v>
      </c>
      <c r="N25" s="111" t="s">
        <v>153</v>
      </c>
      <c r="O25" s="116" t="s">
        <v>194</v>
      </c>
      <c r="P25" s="116" t="str">
        <f>"Insert into polybag behind "&amp;F24&amp;" to form "&amp;F23</f>
        <v>Insert into polybag behind 633013-A to form 633013</v>
      </c>
      <c r="Q25" s="116"/>
      <c r="R25" s="111">
        <v>1904</v>
      </c>
      <c r="S25" s="111">
        <v>10</v>
      </c>
      <c r="T25" s="116">
        <v>1</v>
      </c>
      <c r="U25" s="111">
        <v>2</v>
      </c>
      <c r="V25" s="111">
        <v>1920</v>
      </c>
      <c r="W25" s="119">
        <v>3531.9407511920153</v>
      </c>
      <c r="X25"/>
      <c r="Z25"/>
      <c r="AA25"/>
    </row>
    <row r="26" spans="2:27" s="97" customFormat="1" x14ac:dyDescent="0.25">
      <c r="B26" s="109" t="str">
        <f>IF(LEN(F26)=6,MAX($B$4:B25)+1,"")</f>
        <v/>
      </c>
      <c r="C26" s="110" t="s">
        <v>216</v>
      </c>
      <c r="D26" s="111" t="s">
        <v>217</v>
      </c>
      <c r="E26" s="112" t="s">
        <v>218</v>
      </c>
      <c r="F26" s="113" t="str">
        <f>F23&amp;"-C"</f>
        <v>633013-C</v>
      </c>
      <c r="G26" s="111" t="s">
        <v>186</v>
      </c>
      <c r="H26" s="111" t="s">
        <v>149</v>
      </c>
      <c r="I26" s="111" t="s">
        <v>150</v>
      </c>
      <c r="J26" s="123">
        <v>16</v>
      </c>
      <c r="K26" s="111" t="s">
        <v>151</v>
      </c>
      <c r="L26" s="115">
        <v>120</v>
      </c>
      <c r="M26" s="111" t="s">
        <v>152</v>
      </c>
      <c r="N26" s="111" t="s">
        <v>153</v>
      </c>
      <c r="O26" s="116" t="s">
        <v>194</v>
      </c>
      <c r="P26" s="116" t="str">
        <f>"Insert into polybag behind "&amp;F25&amp;" to form "&amp;F23</f>
        <v>Insert into polybag behind 633013-B to form 633013</v>
      </c>
      <c r="Q26" s="116"/>
      <c r="R26" s="111">
        <v>1904</v>
      </c>
      <c r="S26" s="111">
        <v>10</v>
      </c>
      <c r="T26" s="116">
        <v>1</v>
      </c>
      <c r="U26" s="111">
        <v>2</v>
      </c>
      <c r="V26" s="111">
        <v>1920</v>
      </c>
      <c r="W26" s="119">
        <v>4469.288181883353</v>
      </c>
      <c r="X26"/>
      <c r="Z26"/>
      <c r="AA26"/>
    </row>
    <row r="27" spans="2:27" s="97" customFormat="1" x14ac:dyDescent="0.25">
      <c r="B27" s="109">
        <f>IF(LEN(F27)=6,MAX($B$4:B26)+1,"")</f>
        <v>14</v>
      </c>
      <c r="C27" s="110"/>
      <c r="D27" s="111" t="s">
        <v>219</v>
      </c>
      <c r="E27" s="112" t="s">
        <v>220</v>
      </c>
      <c r="F27" s="113">
        <v>633014</v>
      </c>
      <c r="G27" s="111" t="s">
        <v>186</v>
      </c>
      <c r="H27" s="111"/>
      <c r="I27" s="111"/>
      <c r="J27" s="125"/>
      <c r="K27" s="111"/>
      <c r="L27" s="126"/>
      <c r="M27" s="111"/>
      <c r="N27" s="111" t="s">
        <v>153</v>
      </c>
      <c r="O27" s="127"/>
      <c r="P27" s="116" t="s">
        <v>155</v>
      </c>
      <c r="Q27" s="127"/>
      <c r="R27" s="121">
        <v>1883</v>
      </c>
      <c r="S27" s="121">
        <v>10</v>
      </c>
      <c r="T27" s="122">
        <v>1</v>
      </c>
      <c r="U27" s="121">
        <v>2</v>
      </c>
      <c r="V27" s="121">
        <v>1900</v>
      </c>
      <c r="W27" s="119">
        <v>1062.3877777777777</v>
      </c>
      <c r="X27"/>
      <c r="Z27"/>
      <c r="AA27"/>
    </row>
    <row r="28" spans="2:27" s="97" customFormat="1" x14ac:dyDescent="0.25">
      <c r="B28" s="109" t="str">
        <f>IF(LEN(F28)=6,MAX($B$4:B27)+1,"")</f>
        <v/>
      </c>
      <c r="C28" s="110" t="s">
        <v>221</v>
      </c>
      <c r="D28" s="111" t="s">
        <v>222</v>
      </c>
      <c r="E28" s="112" t="s">
        <v>223</v>
      </c>
      <c r="F28" s="113" t="str">
        <f>F27&amp;"-A"</f>
        <v>633014-A</v>
      </c>
      <c r="G28" s="111" t="s">
        <v>186</v>
      </c>
      <c r="H28" s="111" t="s">
        <v>149</v>
      </c>
      <c r="I28" s="111" t="s">
        <v>150</v>
      </c>
      <c r="J28" s="114">
        <v>8</v>
      </c>
      <c r="K28" s="111" t="s">
        <v>151</v>
      </c>
      <c r="L28" s="115">
        <v>120</v>
      </c>
      <c r="M28" s="111" t="s">
        <v>174</v>
      </c>
      <c r="N28" s="111" t="s">
        <v>153</v>
      </c>
      <c r="O28" s="116" t="s">
        <v>191</v>
      </c>
      <c r="P28" s="116" t="str">
        <f>"Insert into polybag in front of "&amp;F29&amp;" to form "&amp;F27</f>
        <v>Insert into polybag in front of 633014-B to form 633014</v>
      </c>
      <c r="Q28" s="127"/>
      <c r="R28" s="111">
        <v>1883</v>
      </c>
      <c r="S28" s="111">
        <v>10</v>
      </c>
      <c r="T28" s="111">
        <v>1</v>
      </c>
      <c r="U28" s="111">
        <v>2</v>
      </c>
      <c r="V28" s="111">
        <v>1900</v>
      </c>
      <c r="W28" s="119">
        <v>2739.9416873725959</v>
      </c>
      <c r="X28" s="19"/>
      <c r="Z28"/>
      <c r="AA28"/>
    </row>
    <row r="29" spans="2:27" x14ac:dyDescent="0.25">
      <c r="B29" s="109" t="str">
        <f>IF(LEN(F29)=6,MAX($B$4:B28)+1,"")</f>
        <v/>
      </c>
      <c r="C29" s="110" t="s">
        <v>224</v>
      </c>
      <c r="D29" s="111" t="s">
        <v>219</v>
      </c>
      <c r="E29" s="112" t="s">
        <v>225</v>
      </c>
      <c r="F29" s="113" t="str">
        <f>F27&amp;"-B"</f>
        <v>633014-B</v>
      </c>
      <c r="G29" s="111" t="s">
        <v>186</v>
      </c>
      <c r="H29" s="111" t="s">
        <v>149</v>
      </c>
      <c r="I29" s="111" t="s">
        <v>150</v>
      </c>
      <c r="J29" s="123">
        <v>16</v>
      </c>
      <c r="K29" s="111" t="s">
        <v>151</v>
      </c>
      <c r="L29" s="115">
        <v>120</v>
      </c>
      <c r="M29" s="111" t="s">
        <v>174</v>
      </c>
      <c r="N29" s="111" t="s">
        <v>153</v>
      </c>
      <c r="O29" s="116" t="s">
        <v>194</v>
      </c>
      <c r="P29" s="116" t="str">
        <f>"Insert into polybag behind "&amp;F28&amp;" to form "&amp;F27</f>
        <v>Insert into polybag behind 633014-A to form 633014</v>
      </c>
      <c r="Q29" s="116"/>
      <c r="R29" s="111">
        <v>1883</v>
      </c>
      <c r="S29" s="111">
        <v>10</v>
      </c>
      <c r="T29" s="111">
        <v>1</v>
      </c>
      <c r="U29" s="111">
        <v>2</v>
      </c>
      <c r="V29" s="111">
        <v>1900</v>
      </c>
      <c r="W29" s="119">
        <v>4178.7108391732436</v>
      </c>
      <c r="X29" s="19"/>
    </row>
    <row r="30" spans="2:27" x14ac:dyDescent="0.25">
      <c r="B30" s="109">
        <f>IF(LEN(F30)=6,MAX($B$4:B29)+1,"")</f>
        <v>15</v>
      </c>
      <c r="C30" s="110"/>
      <c r="D30" s="111" t="s">
        <v>226</v>
      </c>
      <c r="E30" s="112" t="s">
        <v>227</v>
      </c>
      <c r="F30" s="113">
        <v>633015</v>
      </c>
      <c r="G30" s="111" t="s">
        <v>186</v>
      </c>
      <c r="H30" s="111"/>
      <c r="I30" s="111"/>
      <c r="J30" s="114"/>
      <c r="K30" s="111"/>
      <c r="L30" s="114"/>
      <c r="M30" s="111"/>
      <c r="N30" s="111" t="s">
        <v>153</v>
      </c>
      <c r="O30" s="116"/>
      <c r="P30" s="116" t="s">
        <v>155</v>
      </c>
      <c r="Q30" s="116"/>
      <c r="R30" s="121">
        <v>1883</v>
      </c>
      <c r="S30" s="121">
        <v>10</v>
      </c>
      <c r="T30" s="122">
        <v>1</v>
      </c>
      <c r="U30" s="121">
        <v>2</v>
      </c>
      <c r="V30" s="121">
        <v>1900</v>
      </c>
      <c r="W30" s="119">
        <v>3396.7111111111112</v>
      </c>
      <c r="X30" s="19"/>
    </row>
    <row r="31" spans="2:27" x14ac:dyDescent="0.25">
      <c r="B31" s="109" t="str">
        <f>IF(LEN(F31)=6,MAX($B$4:B30)+1,"")</f>
        <v/>
      </c>
      <c r="C31" s="110" t="s">
        <v>228</v>
      </c>
      <c r="D31" s="111" t="s">
        <v>229</v>
      </c>
      <c r="E31" s="112" t="s">
        <v>230</v>
      </c>
      <c r="F31" s="113" t="str">
        <f>F30&amp;"-A"</f>
        <v>633015-A</v>
      </c>
      <c r="G31" s="111" t="s">
        <v>186</v>
      </c>
      <c r="H31" s="111" t="s">
        <v>149</v>
      </c>
      <c r="I31" s="111" t="s">
        <v>150</v>
      </c>
      <c r="J31" s="114">
        <v>8</v>
      </c>
      <c r="K31" s="111" t="s">
        <v>151</v>
      </c>
      <c r="L31" s="115">
        <v>120</v>
      </c>
      <c r="M31" s="111" t="s">
        <v>174</v>
      </c>
      <c r="N31" s="111" t="s">
        <v>153</v>
      </c>
      <c r="O31" s="116" t="s">
        <v>191</v>
      </c>
      <c r="P31" s="116" t="str">
        <f>"Insert into polybag in front of "&amp;F32&amp;" to form "&amp;F30</f>
        <v>Insert into polybag in front of 633015-B to form 633015</v>
      </c>
      <c r="Q31" s="116"/>
      <c r="R31" s="111">
        <v>1883</v>
      </c>
      <c r="S31" s="111">
        <v>10</v>
      </c>
      <c r="T31" s="111">
        <v>1</v>
      </c>
      <c r="U31" s="111">
        <v>2</v>
      </c>
      <c r="V31" s="111">
        <v>1900</v>
      </c>
      <c r="W31" s="119">
        <v>2739.9416873725959</v>
      </c>
      <c r="X31" s="19"/>
    </row>
    <row r="32" spans="2:27" x14ac:dyDescent="0.25">
      <c r="B32" s="109" t="str">
        <f>IF(LEN(F32)=6,MAX($B$4:B31)+1,"")</f>
        <v/>
      </c>
      <c r="C32" s="110" t="s">
        <v>231</v>
      </c>
      <c r="D32" s="111" t="s">
        <v>226</v>
      </c>
      <c r="E32" s="112" t="s">
        <v>232</v>
      </c>
      <c r="F32" s="113" t="str">
        <f>F30&amp;"-B"</f>
        <v>633015-B</v>
      </c>
      <c r="G32" s="111" t="s">
        <v>186</v>
      </c>
      <c r="H32" s="111" t="s">
        <v>149</v>
      </c>
      <c r="I32" s="111" t="s">
        <v>150</v>
      </c>
      <c r="J32" s="114">
        <v>32</v>
      </c>
      <c r="K32" s="111" t="s">
        <v>151</v>
      </c>
      <c r="L32" s="115">
        <v>120</v>
      </c>
      <c r="M32" s="111" t="s">
        <v>174</v>
      </c>
      <c r="N32" s="111" t="s">
        <v>153</v>
      </c>
      <c r="O32" s="116" t="s">
        <v>194</v>
      </c>
      <c r="P32" s="116" t="str">
        <f>"Insert into polybag behind "&amp;F31&amp;" to form "&amp;F30</f>
        <v>Insert into polybag behind 633015-A to form 633015</v>
      </c>
      <c r="Q32" s="116"/>
      <c r="R32" s="111">
        <v>1883</v>
      </c>
      <c r="S32" s="111">
        <v>10</v>
      </c>
      <c r="T32" s="111">
        <v>1</v>
      </c>
      <c r="U32" s="111">
        <v>2</v>
      </c>
      <c r="V32" s="111">
        <v>1900</v>
      </c>
      <c r="W32" s="119">
        <v>7784.3596545135742</v>
      </c>
      <c r="X32" s="19"/>
    </row>
    <row r="33" spans="2:24" x14ac:dyDescent="0.25">
      <c r="B33" s="109"/>
      <c r="C33" s="110"/>
      <c r="D33" s="111"/>
      <c r="E33" s="112" t="s">
        <v>233</v>
      </c>
      <c r="F33" s="113"/>
      <c r="G33" s="111"/>
      <c r="H33" s="111"/>
      <c r="I33" s="111"/>
      <c r="J33" s="114"/>
      <c r="K33" s="111"/>
      <c r="L33" s="115"/>
      <c r="M33" s="111"/>
      <c r="N33" s="111"/>
      <c r="O33" s="116" t="s">
        <v>234</v>
      </c>
      <c r="P33" s="116" t="str">
        <f>"Insert into polybag behind "&amp;F32&amp;" to form "&amp;F30</f>
        <v>Insert into polybag behind 633015-B to form 633015</v>
      </c>
      <c r="Q33" s="116"/>
      <c r="R33" s="111">
        <v>1883</v>
      </c>
      <c r="S33" s="111">
        <v>10</v>
      </c>
      <c r="T33" s="111">
        <v>1</v>
      </c>
      <c r="U33" s="111">
        <v>2</v>
      </c>
      <c r="V33" s="111">
        <v>1900</v>
      </c>
      <c r="W33" s="119">
        <v>18689.121212121212</v>
      </c>
      <c r="X33" s="19"/>
    </row>
    <row r="34" spans="2:24" x14ac:dyDescent="0.25">
      <c r="B34" s="109">
        <f>IF(LEN(F34)=6,MAX($B$4:B32)+1,"")</f>
        <v>16</v>
      </c>
      <c r="C34" s="110"/>
      <c r="D34" s="111" t="s">
        <v>235</v>
      </c>
      <c r="E34" s="112" t="s">
        <v>236</v>
      </c>
      <c r="F34" s="113">
        <v>633016</v>
      </c>
      <c r="G34" s="111" t="s">
        <v>237</v>
      </c>
      <c r="H34" s="116"/>
      <c r="I34" s="128"/>
      <c r="J34" s="114"/>
      <c r="K34" s="116"/>
      <c r="L34" s="114"/>
      <c r="M34" s="111"/>
      <c r="N34" s="111" t="s">
        <v>153</v>
      </c>
      <c r="O34" s="116"/>
      <c r="P34" s="116" t="s">
        <v>155</v>
      </c>
      <c r="Q34" s="116"/>
      <c r="R34" s="121">
        <v>53</v>
      </c>
      <c r="S34" s="121">
        <v>3</v>
      </c>
      <c r="T34" s="122">
        <v>1</v>
      </c>
      <c r="U34" s="121">
        <v>1</v>
      </c>
      <c r="V34" s="121">
        <v>60</v>
      </c>
      <c r="W34" s="147">
        <v>3450.8243832183725</v>
      </c>
      <c r="X34" s="19"/>
    </row>
    <row r="35" spans="2:24" x14ac:dyDescent="0.25">
      <c r="B35" s="109" t="str">
        <f>IF(LEN(F35)=6,MAX($B$4:B34)+1,"")</f>
        <v/>
      </c>
      <c r="C35" s="110" t="s">
        <v>238</v>
      </c>
      <c r="D35" s="111" t="s">
        <v>239</v>
      </c>
      <c r="E35" s="112" t="s">
        <v>240</v>
      </c>
      <c r="F35" s="113" t="str">
        <f>F34&amp;"-A"</f>
        <v>633016-A</v>
      </c>
      <c r="G35" s="111" t="s">
        <v>237</v>
      </c>
      <c r="H35" s="111" t="s">
        <v>149</v>
      </c>
      <c r="I35" s="111" t="s">
        <v>150</v>
      </c>
      <c r="J35" s="114">
        <v>8</v>
      </c>
      <c r="K35" s="111" t="s">
        <v>151</v>
      </c>
      <c r="L35" s="114">
        <v>80</v>
      </c>
      <c r="M35" s="111" t="s">
        <v>190</v>
      </c>
      <c r="N35" s="111" t="s">
        <v>153</v>
      </c>
      <c r="O35" s="116" t="s">
        <v>241</v>
      </c>
      <c r="P35" s="116" t="str">
        <f>"Insert into polybag in front of "&amp;F36&amp;" to form "&amp;F34</f>
        <v>Insert into polybag in front of 633016-B to form 633016</v>
      </c>
      <c r="Q35" s="116"/>
      <c r="R35" s="111">
        <v>53</v>
      </c>
      <c r="S35" s="111">
        <v>3</v>
      </c>
      <c r="T35" s="111">
        <v>1</v>
      </c>
      <c r="U35" s="111">
        <v>1</v>
      </c>
      <c r="V35" s="111">
        <v>60</v>
      </c>
      <c r="W35" s="148"/>
      <c r="X35" s="19"/>
    </row>
    <row r="36" spans="2:24" x14ac:dyDescent="0.25">
      <c r="B36" s="109" t="str">
        <f>IF(LEN(F36)=6,MAX($B$4:B35)+1,"")</f>
        <v/>
      </c>
      <c r="C36" s="110" t="s">
        <v>242</v>
      </c>
      <c r="D36" s="111" t="s">
        <v>235</v>
      </c>
      <c r="E36" s="112" t="s">
        <v>243</v>
      </c>
      <c r="F36" s="113" t="str">
        <f>F34&amp;"-B"</f>
        <v>633016-B</v>
      </c>
      <c r="G36" s="111" t="s">
        <v>237</v>
      </c>
      <c r="H36" s="116" t="s">
        <v>244</v>
      </c>
      <c r="I36" s="111" t="s">
        <v>150</v>
      </c>
      <c r="J36" s="114">
        <v>16</v>
      </c>
      <c r="K36" s="116" t="s">
        <v>245</v>
      </c>
      <c r="L36" s="114">
        <v>135</v>
      </c>
      <c r="M36" s="111" t="s">
        <v>246</v>
      </c>
      <c r="N36" s="111" t="s">
        <v>153</v>
      </c>
      <c r="O36" s="111" t="str">
        <f>"Drill, collate and treasury tag as per production sample"</f>
        <v>Drill, collate and treasury tag as per production sample</v>
      </c>
      <c r="P36" s="116" t="str">
        <f>"Insert into polybag behind "&amp;F35&amp;" to form "&amp;F34</f>
        <v>Insert into polybag behind 633016-A to form 633016</v>
      </c>
      <c r="Q36" s="116"/>
      <c r="R36" s="111">
        <v>53</v>
      </c>
      <c r="S36" s="111">
        <v>3</v>
      </c>
      <c r="T36" s="111">
        <v>1</v>
      </c>
      <c r="U36" s="111">
        <v>1</v>
      </c>
      <c r="V36" s="111">
        <v>60</v>
      </c>
      <c r="W36" s="148"/>
      <c r="X36" s="19"/>
    </row>
    <row r="37" spans="2:24" x14ac:dyDescent="0.25">
      <c r="B37" s="109" t="str">
        <f>IF(LEN(F37)=6,MAX($B$4:B36)+1,"")</f>
        <v/>
      </c>
      <c r="C37" s="110" t="s">
        <v>247</v>
      </c>
      <c r="D37" s="111" t="s">
        <v>248</v>
      </c>
      <c r="E37" s="112" t="s">
        <v>249</v>
      </c>
      <c r="F37" s="113" t="str">
        <f>F34&amp;"-C"</f>
        <v>633016-C</v>
      </c>
      <c r="G37" s="111" t="s">
        <v>237</v>
      </c>
      <c r="H37" s="116"/>
      <c r="I37" s="111" t="s">
        <v>150</v>
      </c>
      <c r="J37" s="114">
        <v>4</v>
      </c>
      <c r="K37" s="116" t="s">
        <v>151</v>
      </c>
      <c r="L37" s="114">
        <v>80</v>
      </c>
      <c r="M37" s="111" t="s">
        <v>250</v>
      </c>
      <c r="N37" s="111" t="s">
        <v>153</v>
      </c>
      <c r="O37" s="116" t="str">
        <f>"Trim to leaves; corner stitch; insert behind cover of "&amp;F36</f>
        <v>Trim to leaves; corner stitch; insert behind cover of 633016-B</v>
      </c>
      <c r="P37" s="116" t="s">
        <v>251</v>
      </c>
      <c r="Q37" s="116"/>
      <c r="R37" s="111">
        <v>53</v>
      </c>
      <c r="S37" s="111">
        <v>3</v>
      </c>
      <c r="T37" s="111">
        <v>1</v>
      </c>
      <c r="U37" s="111">
        <v>1</v>
      </c>
      <c r="V37" s="111">
        <v>60</v>
      </c>
      <c r="W37" s="149"/>
      <c r="X37" s="19"/>
    </row>
    <row r="38" spans="2:24" x14ac:dyDescent="0.25">
      <c r="B38" s="109">
        <f>IF(LEN(F38)=6,MAX($B$4:B37)+1,"")</f>
        <v>17</v>
      </c>
      <c r="C38" s="110"/>
      <c r="D38" s="111" t="s">
        <v>252</v>
      </c>
      <c r="E38" s="112" t="s">
        <v>253</v>
      </c>
      <c r="F38" s="113">
        <v>633017</v>
      </c>
      <c r="G38" s="111" t="s">
        <v>237</v>
      </c>
      <c r="H38" s="116"/>
      <c r="I38" s="128"/>
      <c r="J38" s="114"/>
      <c r="K38" s="116"/>
      <c r="L38" s="114"/>
      <c r="M38" s="111"/>
      <c r="N38" s="111" t="s">
        <v>153</v>
      </c>
      <c r="O38" s="116"/>
      <c r="P38" s="116" t="s">
        <v>155</v>
      </c>
      <c r="Q38" s="116"/>
      <c r="R38" s="121">
        <v>56</v>
      </c>
      <c r="S38" s="121">
        <v>3</v>
      </c>
      <c r="T38" s="122">
        <v>1</v>
      </c>
      <c r="U38" s="121">
        <v>1</v>
      </c>
      <c r="V38" s="121">
        <v>70</v>
      </c>
      <c r="W38" s="147">
        <v>3989.9278487949</v>
      </c>
      <c r="X38" s="19"/>
    </row>
    <row r="39" spans="2:24" x14ac:dyDescent="0.25">
      <c r="B39" s="109" t="str">
        <f>IF(LEN(F39)=6,MAX($B$4:B38)+1,"")</f>
        <v/>
      </c>
      <c r="C39" s="110" t="s">
        <v>254</v>
      </c>
      <c r="D39" s="111" t="s">
        <v>255</v>
      </c>
      <c r="E39" s="112" t="s">
        <v>256</v>
      </c>
      <c r="F39" s="113" t="str">
        <f>F38&amp;"-A"</f>
        <v>633017-A</v>
      </c>
      <c r="G39" s="111" t="s">
        <v>237</v>
      </c>
      <c r="H39" s="111" t="s">
        <v>149</v>
      </c>
      <c r="I39" s="120" t="s">
        <v>257</v>
      </c>
      <c r="J39" s="114">
        <v>8</v>
      </c>
      <c r="K39" s="111" t="s">
        <v>151</v>
      </c>
      <c r="L39" s="114">
        <v>80</v>
      </c>
      <c r="M39" s="111" t="s">
        <v>152</v>
      </c>
      <c r="N39" s="111" t="s">
        <v>153</v>
      </c>
      <c r="O39" s="116" t="s">
        <v>241</v>
      </c>
      <c r="P39" s="116" t="str">
        <f>"Insert into polybag in front of "&amp;F40&amp;" to form "&amp;F38</f>
        <v>Insert into polybag in front of 633017-B to form 633017</v>
      </c>
      <c r="Q39" s="116"/>
      <c r="R39" s="111">
        <v>56</v>
      </c>
      <c r="S39" s="111">
        <v>3</v>
      </c>
      <c r="T39" s="111">
        <v>1</v>
      </c>
      <c r="U39" s="111">
        <v>1</v>
      </c>
      <c r="V39" s="111">
        <v>70</v>
      </c>
      <c r="W39" s="148"/>
      <c r="X39" s="19"/>
    </row>
    <row r="40" spans="2:24" x14ac:dyDescent="0.25">
      <c r="B40" s="109" t="str">
        <f>IF(LEN(F40)=6,MAX($B$4:B39)+1,"")</f>
        <v/>
      </c>
      <c r="C40" s="110" t="s">
        <v>258</v>
      </c>
      <c r="D40" s="111" t="s">
        <v>252</v>
      </c>
      <c r="E40" s="112" t="s">
        <v>259</v>
      </c>
      <c r="F40" s="113" t="str">
        <f>F38&amp;"-B"</f>
        <v>633017-B</v>
      </c>
      <c r="G40" s="111" t="s">
        <v>237</v>
      </c>
      <c r="H40" s="116" t="s">
        <v>244</v>
      </c>
      <c r="I40" s="128"/>
      <c r="J40" s="114"/>
      <c r="K40" s="116"/>
      <c r="L40" s="114"/>
      <c r="M40" s="111"/>
      <c r="N40" s="111" t="s">
        <v>153</v>
      </c>
      <c r="O40" s="116"/>
      <c r="P40" s="116" t="str">
        <f>"Insert into polybag behind "&amp;F39&amp;" to form "&amp;F38</f>
        <v>Insert into polybag behind 633017-A to form 633017</v>
      </c>
      <c r="Q40" s="116"/>
      <c r="R40" s="111">
        <v>56</v>
      </c>
      <c r="S40" s="111">
        <v>3</v>
      </c>
      <c r="T40" s="111">
        <v>1</v>
      </c>
      <c r="U40" s="111">
        <v>1</v>
      </c>
      <c r="V40" s="111">
        <v>70</v>
      </c>
      <c r="W40" s="148"/>
      <c r="X40" s="19"/>
    </row>
    <row r="41" spans="2:24" x14ac:dyDescent="0.25">
      <c r="B41" s="109" t="str">
        <f>IF(LEN(F41)=6,MAX($B$4:B40)+1,"")</f>
        <v/>
      </c>
      <c r="C41" s="110"/>
      <c r="D41" s="111"/>
      <c r="E41" s="112"/>
      <c r="F41" s="113" t="str">
        <f>F40&amp;"1"</f>
        <v>633017-B1</v>
      </c>
      <c r="G41" s="111" t="s">
        <v>237</v>
      </c>
      <c r="H41" s="116"/>
      <c r="I41" s="120" t="s">
        <v>257</v>
      </c>
      <c r="J41" s="114">
        <v>28</v>
      </c>
      <c r="K41" s="116" t="s">
        <v>245</v>
      </c>
      <c r="L41" s="114">
        <v>135</v>
      </c>
      <c r="M41" s="111" t="s">
        <v>246</v>
      </c>
      <c r="N41" s="111" t="s">
        <v>153</v>
      </c>
      <c r="O41" s="111" t="str">
        <f>"Drill, collate and treasury tag as per production sample to form "&amp;F40</f>
        <v>Drill, collate and treasury tag as per production sample to form 633017-B</v>
      </c>
      <c r="P41" s="116" t="s">
        <v>251</v>
      </c>
      <c r="Q41" s="116"/>
      <c r="R41" s="111"/>
      <c r="S41" s="111"/>
      <c r="T41" s="116"/>
      <c r="U41" s="111"/>
      <c r="V41" s="111"/>
      <c r="W41" s="148"/>
      <c r="X41" s="19"/>
    </row>
    <row r="42" spans="2:24" x14ac:dyDescent="0.25">
      <c r="B42" s="109" t="str">
        <f>IF(LEN(F42)=6,MAX($B$4:B41)+1,"")</f>
        <v/>
      </c>
      <c r="C42" s="110"/>
      <c r="D42" s="111"/>
      <c r="E42" s="112"/>
      <c r="F42" s="113" t="str">
        <f>F40&amp;"2"</f>
        <v>633017-B2</v>
      </c>
      <c r="G42" s="111" t="s">
        <v>237</v>
      </c>
      <c r="H42" s="116"/>
      <c r="I42" s="120" t="s">
        <v>150</v>
      </c>
      <c r="J42" s="114">
        <v>2</v>
      </c>
      <c r="K42" s="116" t="s">
        <v>245</v>
      </c>
      <c r="L42" s="114">
        <v>135</v>
      </c>
      <c r="M42" s="111" t="s">
        <v>260</v>
      </c>
      <c r="N42" s="111" t="s">
        <v>153</v>
      </c>
      <c r="O42" s="111" t="str">
        <f>"Drill, collate and treasury tag as per production sample to form "&amp;F40</f>
        <v>Drill, collate and treasury tag as per production sample to form 633017-B</v>
      </c>
      <c r="P42" s="116" t="s">
        <v>251</v>
      </c>
      <c r="Q42" s="116"/>
      <c r="R42" s="111"/>
      <c r="S42" s="111"/>
      <c r="T42" s="116"/>
      <c r="U42" s="111"/>
      <c r="V42" s="111"/>
      <c r="W42" s="148"/>
      <c r="X42" s="19"/>
    </row>
    <row r="43" spans="2:24" x14ac:dyDescent="0.25">
      <c r="B43" s="109" t="str">
        <f>IF(LEN(F43)=6,MAX($B$4:B42)+1,"")</f>
        <v/>
      </c>
      <c r="C43" s="110" t="s">
        <v>261</v>
      </c>
      <c r="D43" s="111" t="s">
        <v>262</v>
      </c>
      <c r="E43" s="112" t="s">
        <v>263</v>
      </c>
      <c r="F43" s="113" t="str">
        <f>F38&amp;"-C"</f>
        <v>633017-C</v>
      </c>
      <c r="G43" s="111" t="s">
        <v>237</v>
      </c>
      <c r="H43" s="116"/>
      <c r="I43" s="120" t="s">
        <v>150</v>
      </c>
      <c r="J43" s="114">
        <v>4</v>
      </c>
      <c r="K43" s="116" t="s">
        <v>151</v>
      </c>
      <c r="L43" s="114">
        <v>80</v>
      </c>
      <c r="M43" s="111" t="s">
        <v>250</v>
      </c>
      <c r="N43" s="111" t="s">
        <v>153</v>
      </c>
      <c r="O43" s="116" t="str">
        <f>"Trim to leaves; corner stitch; insert behind cover of "&amp;F40</f>
        <v>Trim to leaves; corner stitch; insert behind cover of 633017-B</v>
      </c>
      <c r="P43" s="116" t="s">
        <v>251</v>
      </c>
      <c r="Q43" s="116"/>
      <c r="R43" s="111">
        <v>56</v>
      </c>
      <c r="S43" s="111">
        <v>3</v>
      </c>
      <c r="T43" s="111">
        <v>1</v>
      </c>
      <c r="U43" s="111">
        <v>1</v>
      </c>
      <c r="V43" s="111">
        <v>70</v>
      </c>
      <c r="W43" s="148"/>
      <c r="X43" s="19"/>
    </row>
    <row r="44" spans="2:24" x14ac:dyDescent="0.25">
      <c r="B44" s="109">
        <f>IF(LEN(F44)=6,MAX($B$4:B43)+1,"")</f>
        <v>18</v>
      </c>
      <c r="C44" s="110"/>
      <c r="D44" s="111" t="s">
        <v>264</v>
      </c>
      <c r="E44" s="112" t="s">
        <v>265</v>
      </c>
      <c r="F44" s="113">
        <v>633018</v>
      </c>
      <c r="G44" s="111" t="s">
        <v>237</v>
      </c>
      <c r="H44" s="116"/>
      <c r="I44" s="128"/>
      <c r="J44" s="114"/>
      <c r="K44" s="116"/>
      <c r="L44" s="114"/>
      <c r="M44" s="111"/>
      <c r="N44" s="111" t="s">
        <v>153</v>
      </c>
      <c r="O44" s="116"/>
      <c r="P44" s="116" t="s">
        <v>155</v>
      </c>
      <c r="Q44" s="116"/>
      <c r="R44" s="121">
        <v>56</v>
      </c>
      <c r="S44" s="121">
        <v>3</v>
      </c>
      <c r="T44" s="122">
        <v>1</v>
      </c>
      <c r="U44" s="121">
        <v>1</v>
      </c>
      <c r="V44" s="121">
        <v>70</v>
      </c>
      <c r="W44" s="147">
        <v>1044.2550402670786</v>
      </c>
      <c r="X44" s="19"/>
    </row>
    <row r="45" spans="2:24" x14ac:dyDescent="0.25">
      <c r="B45" s="109" t="str">
        <f>IF(LEN(F45)=6,MAX($B$4:B44)+1,"")</f>
        <v/>
      </c>
      <c r="C45" s="110" t="s">
        <v>266</v>
      </c>
      <c r="D45" s="111" t="s">
        <v>267</v>
      </c>
      <c r="E45" s="112" t="s">
        <v>268</v>
      </c>
      <c r="F45" s="113" t="str">
        <f>F44&amp;"-A"</f>
        <v>633018-A</v>
      </c>
      <c r="G45" s="111" t="s">
        <v>237</v>
      </c>
      <c r="H45" s="111" t="s">
        <v>149</v>
      </c>
      <c r="I45" s="111" t="s">
        <v>150</v>
      </c>
      <c r="J45" s="114">
        <v>8</v>
      </c>
      <c r="K45" s="111" t="s">
        <v>151</v>
      </c>
      <c r="L45" s="114"/>
      <c r="M45" s="111" t="s">
        <v>152</v>
      </c>
      <c r="N45" s="111" t="s">
        <v>153</v>
      </c>
      <c r="O45" s="116" t="s">
        <v>269</v>
      </c>
      <c r="P45" s="116" t="str">
        <f>"Insert into polybag in front of "&amp;F46&amp;" to form "&amp;F44</f>
        <v>Insert into polybag in front of 633018-B to form 633018</v>
      </c>
      <c r="Q45" s="116"/>
      <c r="R45" s="111">
        <v>56</v>
      </c>
      <c r="S45" s="111">
        <v>3</v>
      </c>
      <c r="T45" s="111">
        <v>1</v>
      </c>
      <c r="U45" s="111">
        <v>1</v>
      </c>
      <c r="V45" s="111">
        <v>70</v>
      </c>
      <c r="W45" s="148"/>
      <c r="X45" s="19"/>
    </row>
    <row r="46" spans="2:24" x14ac:dyDescent="0.25">
      <c r="B46" s="109" t="str">
        <f>IF(LEN(F46)=6,MAX($B$4:B45)+1,"")</f>
        <v/>
      </c>
      <c r="C46" s="110" t="s">
        <v>270</v>
      </c>
      <c r="D46" s="111" t="s">
        <v>264</v>
      </c>
      <c r="E46" s="112" t="s">
        <v>271</v>
      </c>
      <c r="F46" s="113" t="str">
        <f>F44&amp;"-B"</f>
        <v>633018-B</v>
      </c>
      <c r="G46" s="111" t="s">
        <v>237</v>
      </c>
      <c r="H46" s="116" t="s">
        <v>244</v>
      </c>
      <c r="I46" s="111" t="s">
        <v>150</v>
      </c>
      <c r="J46" s="114">
        <v>19</v>
      </c>
      <c r="K46" s="116" t="s">
        <v>245</v>
      </c>
      <c r="L46" s="114">
        <v>135</v>
      </c>
      <c r="M46" s="111" t="s">
        <v>246</v>
      </c>
      <c r="N46" s="111" t="s">
        <v>153</v>
      </c>
      <c r="O46" s="111" t="str">
        <f>"Drill, collate and treasury tag as per production sample"</f>
        <v>Drill, collate and treasury tag as per production sample</v>
      </c>
      <c r="P46" s="116" t="str">
        <f>"Insert into polybag behind "&amp;F45&amp;" to form "&amp;F44</f>
        <v>Insert into polybag behind 633018-A to form 633018</v>
      </c>
      <c r="Q46" s="116"/>
      <c r="R46" s="111">
        <v>56</v>
      </c>
      <c r="S46" s="111">
        <v>3</v>
      </c>
      <c r="T46" s="111">
        <v>1</v>
      </c>
      <c r="U46" s="111">
        <v>1</v>
      </c>
      <c r="V46" s="111">
        <v>70</v>
      </c>
      <c r="W46" s="148"/>
      <c r="X46" s="19"/>
    </row>
    <row r="47" spans="2:24" x14ac:dyDescent="0.25">
      <c r="B47" s="109" t="str">
        <f>IF(LEN(F47)=6,MAX($B$4:B46)+1,"")</f>
        <v/>
      </c>
      <c r="C47" s="110" t="s">
        <v>272</v>
      </c>
      <c r="D47" s="111" t="s">
        <v>273</v>
      </c>
      <c r="E47" s="112" t="s">
        <v>274</v>
      </c>
      <c r="F47" s="113" t="str">
        <f>F44&amp;"-C"</f>
        <v>633018-C</v>
      </c>
      <c r="G47" s="111" t="s">
        <v>237</v>
      </c>
      <c r="H47" s="116"/>
      <c r="I47" s="111" t="s">
        <v>150</v>
      </c>
      <c r="J47" s="114">
        <v>4</v>
      </c>
      <c r="K47" s="116" t="s">
        <v>151</v>
      </c>
      <c r="L47" s="114">
        <v>80</v>
      </c>
      <c r="M47" s="111" t="s">
        <v>250</v>
      </c>
      <c r="N47" s="111" t="s">
        <v>153</v>
      </c>
      <c r="O47" s="116" t="str">
        <f>"Trim to leaves; corner stitch; insert behind cover of "&amp;F46</f>
        <v>Trim to leaves; corner stitch; insert behind cover of 633018-B</v>
      </c>
      <c r="P47" s="116" t="s">
        <v>251</v>
      </c>
      <c r="Q47" s="116"/>
      <c r="R47" s="111">
        <v>56</v>
      </c>
      <c r="S47" s="111">
        <v>3</v>
      </c>
      <c r="T47" s="111">
        <v>1</v>
      </c>
      <c r="U47" s="111">
        <v>1</v>
      </c>
      <c r="V47" s="111">
        <v>70</v>
      </c>
      <c r="W47" s="148"/>
      <c r="X47" s="19"/>
    </row>
    <row r="48" spans="2:24" x14ac:dyDescent="0.25">
      <c r="B48" s="109" t="str">
        <f>IF(LEN(F48)=6,MAX($B$4:B47)+1,"")</f>
        <v/>
      </c>
      <c r="C48" s="110" t="s">
        <v>275</v>
      </c>
      <c r="D48" s="111" t="s">
        <v>276</v>
      </c>
      <c r="E48" s="112" t="s">
        <v>277</v>
      </c>
      <c r="F48" s="113" t="str">
        <f>F44&amp;"-D"</f>
        <v>633018-D</v>
      </c>
      <c r="G48" s="111" t="s">
        <v>237</v>
      </c>
      <c r="H48" s="116" t="s">
        <v>244</v>
      </c>
      <c r="I48" s="128"/>
      <c r="J48" s="114"/>
      <c r="K48" s="116"/>
      <c r="L48" s="114"/>
      <c r="M48" s="111"/>
      <c r="N48" s="111" t="s">
        <v>153</v>
      </c>
      <c r="O48" s="116"/>
      <c r="P48" s="116" t="str">
        <f>"Insert into polybag behind "&amp;F46&amp;" to form "&amp;F44</f>
        <v>Insert into polybag behind 633018-B to form 633018</v>
      </c>
      <c r="Q48" s="116"/>
      <c r="R48" s="111">
        <v>56</v>
      </c>
      <c r="S48" s="111">
        <v>3</v>
      </c>
      <c r="T48" s="111">
        <v>1</v>
      </c>
      <c r="U48" s="111">
        <v>1</v>
      </c>
      <c r="V48" s="111">
        <v>70</v>
      </c>
      <c r="W48" s="148"/>
      <c r="X48" s="19"/>
    </row>
    <row r="49" spans="2:24" x14ac:dyDescent="0.25">
      <c r="B49" s="109" t="str">
        <f>IF(LEN(F49)=6,MAX($B$4:B48)+1,"")</f>
        <v/>
      </c>
      <c r="C49" s="110"/>
      <c r="D49" s="111"/>
      <c r="E49" s="112"/>
      <c r="F49" s="113" t="str">
        <f>F48&amp;"1"</f>
        <v>633018-D1</v>
      </c>
      <c r="G49" s="111" t="s">
        <v>237</v>
      </c>
      <c r="H49" s="116"/>
      <c r="I49" s="111" t="s">
        <v>150</v>
      </c>
      <c r="J49" s="114">
        <v>16</v>
      </c>
      <c r="K49" s="116" t="s">
        <v>245</v>
      </c>
      <c r="L49" s="114">
        <v>135</v>
      </c>
      <c r="M49" s="111" t="s">
        <v>246</v>
      </c>
      <c r="N49" s="111" t="s">
        <v>153</v>
      </c>
      <c r="O49" s="111" t="str">
        <f>"Drill, collate and treasury tag as per production sample to form "&amp;F48</f>
        <v>Drill, collate and treasury tag as per production sample to form 633018-D</v>
      </c>
      <c r="P49" s="116" t="s">
        <v>251</v>
      </c>
      <c r="Q49" s="116"/>
      <c r="R49" s="111"/>
      <c r="S49" s="111"/>
      <c r="T49" s="116"/>
      <c r="U49" s="111"/>
      <c r="V49" s="111"/>
      <c r="W49" s="148"/>
      <c r="X49" s="19"/>
    </row>
    <row r="50" spans="2:24" x14ac:dyDescent="0.25">
      <c r="B50" s="109" t="str">
        <f>IF(LEN(F50)=6,MAX($B$4:B49)+1,"")</f>
        <v/>
      </c>
      <c r="C50" s="110"/>
      <c r="D50" s="111"/>
      <c r="E50" s="112"/>
      <c r="F50" s="113" t="str">
        <f>F48&amp;"2"</f>
        <v>633018-D2</v>
      </c>
      <c r="G50" s="111" t="s">
        <v>237</v>
      </c>
      <c r="H50" s="116"/>
      <c r="I50" s="111" t="s">
        <v>150</v>
      </c>
      <c r="J50" s="114">
        <v>2</v>
      </c>
      <c r="K50" s="116" t="s">
        <v>245</v>
      </c>
      <c r="L50" s="114">
        <v>135</v>
      </c>
      <c r="M50" s="111" t="s">
        <v>260</v>
      </c>
      <c r="N50" s="111" t="s">
        <v>153</v>
      </c>
      <c r="O50" s="111" t="str">
        <f>"Drill, collate and treasury tag as per production sample to form "&amp;F48</f>
        <v>Drill, collate and treasury tag as per production sample to form 633018-D</v>
      </c>
      <c r="P50" s="116" t="s">
        <v>251</v>
      </c>
      <c r="Q50" s="116"/>
      <c r="R50" s="111"/>
      <c r="S50" s="111"/>
      <c r="T50" s="116"/>
      <c r="U50" s="111"/>
      <c r="V50" s="111"/>
      <c r="W50" s="148"/>
      <c r="X50" s="19"/>
    </row>
    <row r="51" spans="2:24" x14ac:dyDescent="0.25">
      <c r="B51" s="109" t="str">
        <f>IF(LEN(F51)=6,MAX($B$4:B50)+1,"")</f>
        <v/>
      </c>
      <c r="C51" s="110" t="s">
        <v>278</v>
      </c>
      <c r="D51" s="111" t="s">
        <v>279</v>
      </c>
      <c r="E51" s="112" t="s">
        <v>280</v>
      </c>
      <c r="F51" s="113" t="str">
        <f>F44&amp;"-E"</f>
        <v>633018-E</v>
      </c>
      <c r="G51" s="111" t="s">
        <v>237</v>
      </c>
      <c r="H51" s="116"/>
      <c r="I51" s="111" t="s">
        <v>150</v>
      </c>
      <c r="J51" s="114">
        <v>4</v>
      </c>
      <c r="K51" s="116" t="s">
        <v>151</v>
      </c>
      <c r="L51" s="114">
        <v>80</v>
      </c>
      <c r="M51" s="111" t="s">
        <v>250</v>
      </c>
      <c r="N51" s="111" t="s">
        <v>153</v>
      </c>
      <c r="O51" s="116" t="str">
        <f>"Trim to leaves; corner stitch; insert behind cover of "&amp;F48</f>
        <v>Trim to leaves; corner stitch; insert behind cover of 633018-D</v>
      </c>
      <c r="P51" s="116" t="s">
        <v>251</v>
      </c>
      <c r="Q51" s="116"/>
      <c r="R51" s="111">
        <v>56</v>
      </c>
      <c r="S51" s="111">
        <v>3</v>
      </c>
      <c r="T51" s="111">
        <v>1</v>
      </c>
      <c r="U51" s="111">
        <v>1</v>
      </c>
      <c r="V51" s="111">
        <v>70</v>
      </c>
      <c r="W51" s="149"/>
      <c r="X51" s="19"/>
    </row>
    <row r="52" spans="2:24" x14ac:dyDescent="0.25">
      <c r="B52" s="109">
        <f>IF(LEN(F52)=6,MAX($B$4:B51)+1,"")</f>
        <v>19</v>
      </c>
      <c r="C52" s="110"/>
      <c r="D52" s="111" t="s">
        <v>281</v>
      </c>
      <c r="E52" s="112" t="s">
        <v>282</v>
      </c>
      <c r="F52" s="113">
        <v>633019</v>
      </c>
      <c r="G52" s="111" t="s">
        <v>237</v>
      </c>
      <c r="H52" s="116"/>
      <c r="I52" s="128"/>
      <c r="J52" s="114"/>
      <c r="K52" s="116"/>
      <c r="L52" s="114"/>
      <c r="M52" s="111"/>
      <c r="N52" s="111" t="s">
        <v>153</v>
      </c>
      <c r="O52" s="116"/>
      <c r="P52" s="116" t="s">
        <v>155</v>
      </c>
      <c r="Q52" s="116"/>
      <c r="R52" s="121">
        <v>53</v>
      </c>
      <c r="S52" s="121">
        <v>3</v>
      </c>
      <c r="T52" s="122">
        <v>1</v>
      </c>
      <c r="U52" s="121">
        <v>1</v>
      </c>
      <c r="V52" s="121">
        <v>60</v>
      </c>
      <c r="W52" s="147">
        <v>4031.9665964616684</v>
      </c>
      <c r="X52" s="19"/>
    </row>
    <row r="53" spans="2:24" x14ac:dyDescent="0.25">
      <c r="B53" s="109" t="str">
        <f>IF(LEN(F53)=6,MAX($B$4:B52)+1,"")</f>
        <v/>
      </c>
      <c r="C53" s="110" t="s">
        <v>283</v>
      </c>
      <c r="D53" s="111" t="s">
        <v>284</v>
      </c>
      <c r="E53" s="112" t="s">
        <v>285</v>
      </c>
      <c r="F53" s="113" t="str">
        <f>F52&amp;"-A"</f>
        <v>633019-A</v>
      </c>
      <c r="G53" s="111" t="s">
        <v>237</v>
      </c>
      <c r="H53" s="111" t="s">
        <v>149</v>
      </c>
      <c r="I53" s="111" t="s">
        <v>150</v>
      </c>
      <c r="J53" s="114">
        <v>8</v>
      </c>
      <c r="K53" s="111" t="s">
        <v>151</v>
      </c>
      <c r="L53" s="114">
        <v>80</v>
      </c>
      <c r="M53" s="111" t="s">
        <v>174</v>
      </c>
      <c r="N53" s="111" t="s">
        <v>153</v>
      </c>
      <c r="O53" s="116" t="s">
        <v>241</v>
      </c>
      <c r="P53" s="116" t="str">
        <f>"Insert into polybag in front of "&amp;F54&amp;" to form "&amp;F52</f>
        <v>Insert into polybag in front of 633019-B to form 633019</v>
      </c>
      <c r="Q53" s="116"/>
      <c r="R53" s="111">
        <v>53</v>
      </c>
      <c r="S53" s="111">
        <v>3</v>
      </c>
      <c r="T53" s="111">
        <v>1</v>
      </c>
      <c r="U53" s="111">
        <v>1</v>
      </c>
      <c r="V53" s="111">
        <v>60</v>
      </c>
      <c r="W53" s="148"/>
      <c r="X53" s="19"/>
    </row>
    <row r="54" spans="2:24" x14ac:dyDescent="0.25">
      <c r="B54" s="109" t="str">
        <f>IF(LEN(F54)=6,MAX($B$4:B53)+1,"")</f>
        <v/>
      </c>
      <c r="C54" s="110" t="s">
        <v>286</v>
      </c>
      <c r="D54" s="111" t="s">
        <v>281</v>
      </c>
      <c r="E54" s="112" t="s">
        <v>287</v>
      </c>
      <c r="F54" s="113" t="str">
        <f>F52&amp;"-B"</f>
        <v>633019-B</v>
      </c>
      <c r="G54" s="111" t="s">
        <v>237</v>
      </c>
      <c r="H54" s="116" t="s">
        <v>244</v>
      </c>
      <c r="I54" s="111" t="s">
        <v>150</v>
      </c>
      <c r="J54" s="114">
        <v>6</v>
      </c>
      <c r="K54" s="116" t="s">
        <v>245</v>
      </c>
      <c r="L54" s="114">
        <v>135</v>
      </c>
      <c r="M54" s="111" t="s">
        <v>246</v>
      </c>
      <c r="N54" s="111" t="s">
        <v>153</v>
      </c>
      <c r="O54" s="111" t="str">
        <f>"Drill, collate and treasury tag as per production sample"</f>
        <v>Drill, collate and treasury tag as per production sample</v>
      </c>
      <c r="P54" s="116" t="str">
        <f>"Insert into polybag behind "&amp;F53&amp;" to form "&amp;F52</f>
        <v>Insert into polybag behind 633019-A to form 633019</v>
      </c>
      <c r="Q54" s="116"/>
      <c r="R54" s="111">
        <v>53</v>
      </c>
      <c r="S54" s="111">
        <v>3</v>
      </c>
      <c r="T54" s="111">
        <v>1</v>
      </c>
      <c r="U54" s="111">
        <v>1</v>
      </c>
      <c r="V54" s="111">
        <v>60</v>
      </c>
      <c r="W54" s="148"/>
      <c r="X54" s="19"/>
    </row>
    <row r="55" spans="2:24" x14ac:dyDescent="0.25">
      <c r="B55" s="109" t="str">
        <f>IF(LEN(F55)=6,MAX($B$4:B54)+1,"")</f>
        <v/>
      </c>
      <c r="C55" s="110" t="s">
        <v>288</v>
      </c>
      <c r="D55" s="111" t="s">
        <v>289</v>
      </c>
      <c r="E55" s="112" t="s">
        <v>290</v>
      </c>
      <c r="F55" s="113" t="str">
        <f>F52&amp;"-C"</f>
        <v>633019-C</v>
      </c>
      <c r="G55" s="111" t="s">
        <v>237</v>
      </c>
      <c r="H55" s="116"/>
      <c r="I55" s="111" t="s">
        <v>150</v>
      </c>
      <c r="J55" s="114">
        <v>6</v>
      </c>
      <c r="K55" s="116" t="s">
        <v>151</v>
      </c>
      <c r="L55" s="114">
        <v>80</v>
      </c>
      <c r="M55" s="111" t="s">
        <v>250</v>
      </c>
      <c r="N55" s="111" t="s">
        <v>153</v>
      </c>
      <c r="O55" s="116" t="str">
        <f>"Trim to leaves; corner stitch; insert behind cover of "&amp;F54</f>
        <v>Trim to leaves; corner stitch; insert behind cover of 633019-B</v>
      </c>
      <c r="P55" s="116" t="s">
        <v>251</v>
      </c>
      <c r="Q55" s="116"/>
      <c r="R55" s="111">
        <v>53</v>
      </c>
      <c r="S55" s="111">
        <v>3</v>
      </c>
      <c r="T55" s="111">
        <v>1</v>
      </c>
      <c r="U55" s="111">
        <v>1</v>
      </c>
      <c r="V55" s="111">
        <v>60</v>
      </c>
      <c r="W55" s="149"/>
      <c r="X55" s="19"/>
    </row>
    <row r="56" spans="2:24" x14ac:dyDescent="0.25">
      <c r="B56" s="109">
        <f>IF(LEN(F56)=6,MAX($B$4:B55)+1,"")</f>
        <v>20</v>
      </c>
      <c r="C56" s="110"/>
      <c r="D56" s="111" t="s">
        <v>291</v>
      </c>
      <c r="E56" s="112" t="s">
        <v>292</v>
      </c>
      <c r="F56" s="113">
        <v>633020</v>
      </c>
      <c r="G56" s="111" t="s">
        <v>237</v>
      </c>
      <c r="H56" s="116"/>
      <c r="I56" s="128"/>
      <c r="J56" s="114"/>
      <c r="K56" s="116"/>
      <c r="L56" s="114"/>
      <c r="M56" s="111"/>
      <c r="N56" s="111" t="s">
        <v>153</v>
      </c>
      <c r="O56" s="116"/>
      <c r="P56" s="116" t="s">
        <v>155</v>
      </c>
      <c r="Q56" s="116"/>
      <c r="R56" s="121">
        <v>53</v>
      </c>
      <c r="S56" s="121">
        <v>3</v>
      </c>
      <c r="T56" s="122">
        <v>1</v>
      </c>
      <c r="U56" s="121">
        <v>1</v>
      </c>
      <c r="V56" s="121">
        <v>60</v>
      </c>
      <c r="W56" s="147">
        <v>2863.9431507575755</v>
      </c>
      <c r="X56" s="19"/>
    </row>
    <row r="57" spans="2:24" x14ac:dyDescent="0.25">
      <c r="B57" s="109" t="str">
        <f>IF(LEN(F57)=6,MAX($B$4:B56)+1,"")</f>
        <v/>
      </c>
      <c r="C57" s="110" t="s">
        <v>293</v>
      </c>
      <c r="D57" s="111" t="s">
        <v>294</v>
      </c>
      <c r="E57" s="112" t="s">
        <v>295</v>
      </c>
      <c r="F57" s="113" t="str">
        <f>F56&amp;"-A"</f>
        <v>633020-A</v>
      </c>
      <c r="G57" s="111" t="s">
        <v>237</v>
      </c>
      <c r="H57" s="111" t="s">
        <v>149</v>
      </c>
      <c r="I57" s="111" t="s">
        <v>150</v>
      </c>
      <c r="J57" s="114">
        <v>8</v>
      </c>
      <c r="K57" s="111" t="s">
        <v>151</v>
      </c>
      <c r="L57" s="114">
        <v>80</v>
      </c>
      <c r="M57" s="111" t="s">
        <v>174</v>
      </c>
      <c r="N57" s="111" t="s">
        <v>153</v>
      </c>
      <c r="O57" s="116" t="s">
        <v>241</v>
      </c>
      <c r="P57" s="116" t="str">
        <f>"Insert into polybag in front of "&amp;F58&amp;" to form "&amp;F56</f>
        <v>Insert into polybag in front of 633020-B to form 633020</v>
      </c>
      <c r="Q57" s="116"/>
      <c r="R57" s="111">
        <v>53</v>
      </c>
      <c r="S57" s="111">
        <v>3</v>
      </c>
      <c r="T57" s="111">
        <v>1</v>
      </c>
      <c r="U57" s="111">
        <v>1</v>
      </c>
      <c r="V57" s="111">
        <v>60</v>
      </c>
      <c r="W57" s="148"/>
      <c r="X57" s="19"/>
    </row>
    <row r="58" spans="2:24" x14ac:dyDescent="0.25">
      <c r="B58" s="109" t="str">
        <f>IF(LEN(F58)=6,MAX($B$4:B57)+1,"")</f>
        <v/>
      </c>
      <c r="C58" s="110" t="s">
        <v>296</v>
      </c>
      <c r="D58" s="111" t="s">
        <v>291</v>
      </c>
      <c r="E58" s="112" t="s">
        <v>297</v>
      </c>
      <c r="F58" s="113" t="str">
        <f>F56&amp;"-B"</f>
        <v>633020-B</v>
      </c>
      <c r="G58" s="111" t="s">
        <v>237</v>
      </c>
      <c r="H58" s="116" t="s">
        <v>244</v>
      </c>
      <c r="I58" s="128"/>
      <c r="J58" s="114"/>
      <c r="K58" s="116"/>
      <c r="L58" s="114"/>
      <c r="M58" s="111"/>
      <c r="N58" s="111" t="s">
        <v>153</v>
      </c>
      <c r="O58" s="116"/>
      <c r="P58" s="116" t="str">
        <f>"Insert into polybag behind "&amp;F57&amp;" to form "&amp;F56</f>
        <v>Insert into polybag behind 633020-A to form 633020</v>
      </c>
      <c r="Q58" s="116"/>
      <c r="R58" s="111">
        <v>53</v>
      </c>
      <c r="S58" s="111">
        <v>3</v>
      </c>
      <c r="T58" s="111">
        <v>1</v>
      </c>
      <c r="U58" s="111">
        <v>1</v>
      </c>
      <c r="V58" s="111">
        <v>60</v>
      </c>
      <c r="W58" s="148"/>
      <c r="X58" s="19"/>
    </row>
    <row r="59" spans="2:24" x14ac:dyDescent="0.25">
      <c r="B59" s="109" t="str">
        <f>IF(LEN(F59)=6,MAX($B$4:B58)+1,"")</f>
        <v/>
      </c>
      <c r="C59" s="110"/>
      <c r="D59" s="111"/>
      <c r="E59" s="112"/>
      <c r="F59" s="113" t="str">
        <f>F58&amp;"1"</f>
        <v>633020-B1</v>
      </c>
      <c r="G59" s="111" t="s">
        <v>237</v>
      </c>
      <c r="H59" s="116"/>
      <c r="I59" s="111" t="s">
        <v>150</v>
      </c>
      <c r="J59" s="114">
        <v>27</v>
      </c>
      <c r="K59" s="116" t="s">
        <v>245</v>
      </c>
      <c r="L59" s="114">
        <v>135</v>
      </c>
      <c r="M59" s="111" t="s">
        <v>246</v>
      </c>
      <c r="N59" s="111" t="s">
        <v>153</v>
      </c>
      <c r="O59" s="111" t="str">
        <f>"Drill, collate and treasury tag as per production sample to form "&amp;F58</f>
        <v>Drill, collate and treasury tag as per production sample to form 633020-B</v>
      </c>
      <c r="P59" s="116" t="s">
        <v>251</v>
      </c>
      <c r="Q59" s="116"/>
      <c r="R59" s="111"/>
      <c r="S59" s="111"/>
      <c r="T59" s="116"/>
      <c r="U59" s="111"/>
      <c r="V59" s="111"/>
      <c r="W59" s="148"/>
      <c r="X59" s="19"/>
    </row>
    <row r="60" spans="2:24" x14ac:dyDescent="0.25">
      <c r="B60" s="109" t="str">
        <f>IF(LEN(F60)=6,MAX($B$4:B59)+1,"")</f>
        <v/>
      </c>
      <c r="C60" s="110"/>
      <c r="D60" s="111"/>
      <c r="E60" s="112"/>
      <c r="F60" s="113" t="str">
        <f>F58&amp;"2"</f>
        <v>633020-B2</v>
      </c>
      <c r="G60" s="111" t="s">
        <v>237</v>
      </c>
      <c r="H60" s="116"/>
      <c r="I60" s="111" t="s">
        <v>150</v>
      </c>
      <c r="J60" s="114">
        <v>7</v>
      </c>
      <c r="K60" s="116" t="s">
        <v>298</v>
      </c>
      <c r="L60" s="114">
        <v>200</v>
      </c>
      <c r="M60" s="111" t="s">
        <v>299</v>
      </c>
      <c r="N60" s="111" t="s">
        <v>153</v>
      </c>
      <c r="O60" s="111" t="str">
        <f>"Drill, collate and treasury tag as per production sample to form "&amp;F58</f>
        <v>Drill, collate and treasury tag as per production sample to form 633020-B</v>
      </c>
      <c r="P60" s="116" t="s">
        <v>251</v>
      </c>
      <c r="Q60" s="116"/>
      <c r="R60" s="111"/>
      <c r="S60" s="111"/>
      <c r="T60" s="116"/>
      <c r="U60" s="111"/>
      <c r="V60" s="111"/>
      <c r="W60" s="148"/>
      <c r="X60" s="19"/>
    </row>
    <row r="61" spans="2:24" x14ac:dyDescent="0.25">
      <c r="B61" s="109" t="str">
        <f>IF(LEN(F61)=6,MAX($B$4:B60)+1,"")</f>
        <v/>
      </c>
      <c r="C61" s="110"/>
      <c r="D61" s="111"/>
      <c r="E61" s="112"/>
      <c r="F61" s="113" t="str">
        <f>F58&amp;"3"</f>
        <v>633020-B3</v>
      </c>
      <c r="G61" s="111" t="s">
        <v>237</v>
      </c>
      <c r="H61" s="116"/>
      <c r="I61" s="111" t="s">
        <v>150</v>
      </c>
      <c r="J61" s="114">
        <v>1</v>
      </c>
      <c r="K61" s="116" t="s">
        <v>300</v>
      </c>
      <c r="L61" s="114">
        <v>130</v>
      </c>
      <c r="M61" s="111"/>
      <c r="N61" s="111" t="s">
        <v>153</v>
      </c>
      <c r="O61" s="111" t="str">
        <f>"Drill, collate and treasury tag as per production sample to form "&amp;F58</f>
        <v>Drill, collate and treasury tag as per production sample to form 633020-B</v>
      </c>
      <c r="P61" s="116" t="s">
        <v>251</v>
      </c>
      <c r="Q61" s="116"/>
      <c r="R61" s="111"/>
      <c r="S61" s="111"/>
      <c r="T61" s="116"/>
      <c r="U61" s="111"/>
      <c r="V61" s="111"/>
      <c r="W61" s="148"/>
      <c r="X61" s="19"/>
    </row>
    <row r="62" spans="2:24" x14ac:dyDescent="0.25">
      <c r="B62" s="109" t="str">
        <f>IF(LEN(F62)=6,MAX($B$4:B61)+1,"")</f>
        <v/>
      </c>
      <c r="C62" s="110"/>
      <c r="D62" s="111"/>
      <c r="E62" s="112"/>
      <c r="F62" s="113" t="str">
        <f>F58&amp;"4"</f>
        <v>633020-B4</v>
      </c>
      <c r="G62" s="111" t="s">
        <v>237</v>
      </c>
      <c r="H62" s="116"/>
      <c r="I62" s="111" t="s">
        <v>150</v>
      </c>
      <c r="J62" s="114">
        <v>2</v>
      </c>
      <c r="K62" s="116" t="s">
        <v>301</v>
      </c>
      <c r="L62" s="114">
        <v>60</v>
      </c>
      <c r="M62" s="111" t="s">
        <v>299</v>
      </c>
      <c r="N62" s="111" t="s">
        <v>153</v>
      </c>
      <c r="O62" s="111" t="str">
        <f>"Drill, collate and treasury tag as per production sample to form "&amp;F58</f>
        <v>Drill, collate and treasury tag as per production sample to form 633020-B</v>
      </c>
      <c r="P62" s="116" t="s">
        <v>251</v>
      </c>
      <c r="Q62" s="116"/>
      <c r="R62" s="111"/>
      <c r="S62" s="111"/>
      <c r="T62" s="116"/>
      <c r="U62" s="111"/>
      <c r="V62" s="111"/>
      <c r="W62" s="148"/>
      <c r="X62" s="19"/>
    </row>
    <row r="63" spans="2:24" x14ac:dyDescent="0.25">
      <c r="B63" s="109" t="str">
        <f>IF(LEN(F63)=6,MAX($B$4:B62)+1,"")</f>
        <v/>
      </c>
      <c r="C63" s="110" t="s">
        <v>302</v>
      </c>
      <c r="D63" s="111" t="s">
        <v>303</v>
      </c>
      <c r="E63" s="112" t="s">
        <v>304</v>
      </c>
      <c r="F63" s="113" t="str">
        <f>F56&amp;"-C"</f>
        <v>633020-C</v>
      </c>
      <c r="G63" s="111" t="s">
        <v>237</v>
      </c>
      <c r="H63" s="116"/>
      <c r="I63" s="111" t="s">
        <v>150</v>
      </c>
      <c r="J63" s="114">
        <v>16</v>
      </c>
      <c r="K63" s="116" t="s">
        <v>151</v>
      </c>
      <c r="L63" s="114">
        <v>80</v>
      </c>
      <c r="M63" s="111" t="s">
        <v>250</v>
      </c>
      <c r="N63" s="111" t="s">
        <v>153</v>
      </c>
      <c r="O63" s="116" t="str">
        <f>"Trim to leaves; corner stitch; insert behind cover of "&amp;F58</f>
        <v>Trim to leaves; corner stitch; insert behind cover of 633020-B</v>
      </c>
      <c r="P63" s="116" t="s">
        <v>251</v>
      </c>
      <c r="Q63" s="116"/>
      <c r="R63" s="111">
        <v>53</v>
      </c>
      <c r="S63" s="111">
        <v>3</v>
      </c>
      <c r="T63" s="111">
        <v>1</v>
      </c>
      <c r="U63" s="111">
        <v>1</v>
      </c>
      <c r="V63" s="111">
        <v>60</v>
      </c>
      <c r="W63" s="149"/>
      <c r="X63" s="19"/>
    </row>
    <row r="64" spans="2:24" x14ac:dyDescent="0.25">
      <c r="B64" s="109" t="str">
        <f>IF(LEN(F64)=6,MAX($B$4:B63)+1,"")</f>
        <v/>
      </c>
      <c r="C64" s="110"/>
      <c r="D64" s="111"/>
      <c r="E64" s="112" t="s">
        <v>305</v>
      </c>
      <c r="F64" s="113" t="str">
        <f>F56&amp;"-D"</f>
        <v>633020-D</v>
      </c>
      <c r="G64" s="111" t="s">
        <v>237</v>
      </c>
      <c r="H64" s="116"/>
      <c r="I64" s="111"/>
      <c r="J64" s="114"/>
      <c r="K64" s="116" t="s">
        <v>306</v>
      </c>
      <c r="L64" s="114"/>
      <c r="M64" s="111"/>
      <c r="N64" s="111" t="s">
        <v>153</v>
      </c>
      <c r="O64" s="116" t="s">
        <v>234</v>
      </c>
      <c r="P64" s="116" t="str">
        <f>"Insert into polybag behind "&amp;F58&amp;" to form "&amp;F56</f>
        <v>Insert into polybag behind 633020-B to form 633020</v>
      </c>
      <c r="Q64" s="116"/>
      <c r="R64" s="111">
        <v>53</v>
      </c>
      <c r="S64" s="111">
        <v>3</v>
      </c>
      <c r="T64" s="111">
        <v>1</v>
      </c>
      <c r="U64" s="111">
        <v>1</v>
      </c>
      <c r="V64" s="111">
        <v>60</v>
      </c>
      <c r="W64" s="119">
        <v>590.19191919191917</v>
      </c>
      <c r="X64" s="19"/>
    </row>
    <row r="65" spans="2:23" x14ac:dyDescent="0.25">
      <c r="B65" s="109"/>
      <c r="C65" s="110"/>
      <c r="D65" s="111"/>
      <c r="E65" s="112" t="s">
        <v>12</v>
      </c>
      <c r="F65" s="113"/>
      <c r="G65" s="111"/>
      <c r="H65" s="116"/>
      <c r="I65" s="111"/>
      <c r="J65" s="114"/>
      <c r="K65" s="116"/>
      <c r="L65" s="114"/>
      <c r="M65" s="111"/>
      <c r="N65" s="111"/>
      <c r="O65" s="116"/>
      <c r="P65" s="116"/>
      <c r="Q65" s="116"/>
      <c r="R65" s="111"/>
      <c r="S65" s="111"/>
      <c r="T65" s="111"/>
      <c r="U65" s="111"/>
      <c r="V65" s="111"/>
      <c r="W65" s="119">
        <v>42070.71</v>
      </c>
    </row>
    <row r="67" spans="2:23" x14ac:dyDescent="0.25">
      <c r="B67" s="1" t="s">
        <v>307</v>
      </c>
    </row>
    <row r="68" spans="2:23" x14ac:dyDescent="0.25">
      <c r="W68" s="129">
        <f>SUM(W5:W65)</f>
        <v>670221.22345970862</v>
      </c>
    </row>
    <row r="69" spans="2:23" x14ac:dyDescent="0.25">
      <c r="B69" s="1" t="s">
        <v>11</v>
      </c>
    </row>
    <row r="70" spans="2:23" x14ac:dyDescent="0.25">
      <c r="W70" s="145">
        <f>W68-W65</f>
        <v>628150.51345970866</v>
      </c>
    </row>
  </sheetData>
  <mergeCells count="7">
    <mergeCell ref="W56:W63"/>
    <mergeCell ref="C3:Q3"/>
    <mergeCell ref="R3:V3"/>
    <mergeCell ref="W34:W37"/>
    <mergeCell ref="W38:W43"/>
    <mergeCell ref="W44:W51"/>
    <mergeCell ref="W52:W5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X96"/>
  <sheetViews>
    <sheetView showGridLines="0" topLeftCell="K55" zoomScale="70" zoomScaleNormal="70" workbookViewId="0">
      <selection activeCell="P100" sqref="P100"/>
    </sheetView>
  </sheetViews>
  <sheetFormatPr defaultRowHeight="15" x14ac:dyDescent="0.25"/>
  <cols>
    <col min="1" max="1" width="4" customWidth="1"/>
    <col min="2" max="2" width="7" customWidth="1"/>
    <col min="3" max="3" width="22" customWidth="1"/>
    <col min="4" max="4" width="29.42578125" customWidth="1"/>
    <col min="5" max="5" width="64.28515625" customWidth="1"/>
    <col min="6" max="6" width="11.5703125" style="93" customWidth="1"/>
    <col min="7" max="7" width="12" customWidth="1"/>
    <col min="8" max="8" width="19.7109375" customWidth="1"/>
    <col min="9" max="9" width="15.7109375" customWidth="1"/>
    <col min="10" max="10" width="12.5703125" style="93" customWidth="1"/>
    <col min="11" max="11" width="11.5703125" bestFit="1" customWidth="1"/>
    <col min="12" max="12" width="12.28515625" style="93" customWidth="1"/>
    <col min="13" max="13" width="36" customWidth="1"/>
    <col min="14" max="14" width="17.5703125" customWidth="1"/>
    <col min="15" max="15" width="63.7109375" customWidth="1"/>
    <col min="16" max="16" width="62.7109375" customWidth="1"/>
    <col min="17" max="17" width="23.28515625" bestFit="1" customWidth="1"/>
    <col min="18" max="22" width="12.7109375" customWidth="1"/>
    <col min="23" max="23" width="22.85546875" customWidth="1"/>
    <col min="24" max="24" width="3" customWidth="1"/>
  </cols>
  <sheetData>
    <row r="1" spans="1:24" ht="26.25" x14ac:dyDescent="0.4">
      <c r="A1" s="91" t="s">
        <v>308</v>
      </c>
      <c r="B1" s="91"/>
      <c r="E1" s="92">
        <v>42844</v>
      </c>
      <c r="F1" s="93">
        <f>LEN(F7)</f>
        <v>6</v>
      </c>
    </row>
    <row r="3" spans="1:24" s="94" customFormat="1" ht="21" customHeight="1" x14ac:dyDescent="0.35">
      <c r="C3" s="150" t="s">
        <v>122</v>
      </c>
      <c r="D3" s="151"/>
      <c r="E3" s="151"/>
      <c r="F3" s="151"/>
      <c r="G3" s="151"/>
      <c r="H3" s="151"/>
      <c r="I3" s="151"/>
      <c r="J3" s="151"/>
      <c r="K3" s="151"/>
      <c r="L3" s="151"/>
      <c r="M3" s="151"/>
      <c r="N3" s="151"/>
      <c r="O3" s="151"/>
      <c r="P3" s="151"/>
      <c r="Q3" s="152"/>
      <c r="R3" s="150" t="s">
        <v>123</v>
      </c>
      <c r="S3" s="151"/>
      <c r="T3" s="151"/>
      <c r="U3" s="151"/>
      <c r="V3" s="153"/>
      <c r="W3" s="95" t="s">
        <v>44</v>
      </c>
      <c r="X3" s="96"/>
    </row>
    <row r="4" spans="1:24" s="97" customFormat="1" ht="57" customHeight="1" x14ac:dyDescent="0.25">
      <c r="B4" s="98" t="s">
        <v>124</v>
      </c>
      <c r="C4" s="99" t="s">
        <v>125</v>
      </c>
      <c r="D4" s="100" t="s">
        <v>126</v>
      </c>
      <c r="E4" s="101" t="s">
        <v>127</v>
      </c>
      <c r="F4" s="102" t="s">
        <v>128</v>
      </c>
      <c r="G4" s="103" t="s">
        <v>129</v>
      </c>
      <c r="H4" s="103" t="s">
        <v>130</v>
      </c>
      <c r="I4" s="100" t="s">
        <v>131</v>
      </c>
      <c r="J4" s="104" t="s">
        <v>132</v>
      </c>
      <c r="K4" s="100" t="s">
        <v>133</v>
      </c>
      <c r="L4" s="104" t="s">
        <v>134</v>
      </c>
      <c r="M4" s="105" t="s">
        <v>18</v>
      </c>
      <c r="N4" s="105" t="s">
        <v>309</v>
      </c>
      <c r="O4" s="103" t="s">
        <v>136</v>
      </c>
      <c r="P4" s="103" t="s">
        <v>137</v>
      </c>
      <c r="Q4" s="103" t="s">
        <v>138</v>
      </c>
      <c r="R4" s="106" t="s">
        <v>139</v>
      </c>
      <c r="S4" s="100" t="s">
        <v>140</v>
      </c>
      <c r="T4" s="100" t="s">
        <v>141</v>
      </c>
      <c r="U4" s="100" t="s">
        <v>142</v>
      </c>
      <c r="V4" s="107" t="s">
        <v>143</v>
      </c>
      <c r="W4" s="108" t="s">
        <v>144</v>
      </c>
    </row>
    <row r="5" spans="1:24" s="97" customFormat="1" x14ac:dyDescent="0.25">
      <c r="B5" s="109">
        <f>IF(LEN(F5)=6,MAX($B$4:B4)+1,"")</f>
        <v>1</v>
      </c>
      <c r="C5" s="110" t="s">
        <v>310</v>
      </c>
      <c r="D5" s="116" t="s">
        <v>311</v>
      </c>
      <c r="E5" s="110" t="s">
        <v>312</v>
      </c>
      <c r="F5" s="113">
        <v>633021</v>
      </c>
      <c r="G5" s="111" t="s">
        <v>148</v>
      </c>
      <c r="H5" s="111" t="s">
        <v>149</v>
      </c>
      <c r="I5" s="111" t="s">
        <v>150</v>
      </c>
      <c r="J5" s="115">
        <v>4</v>
      </c>
      <c r="K5" s="111" t="s">
        <v>151</v>
      </c>
      <c r="L5" s="115">
        <v>90</v>
      </c>
      <c r="M5" s="111" t="s">
        <v>190</v>
      </c>
      <c r="N5" s="111"/>
      <c r="O5" s="120" t="s">
        <v>313</v>
      </c>
      <c r="P5" s="116" t="s">
        <v>155</v>
      </c>
      <c r="Q5" s="116" t="s">
        <v>156</v>
      </c>
      <c r="R5" s="117">
        <v>74786</v>
      </c>
      <c r="S5" s="117">
        <v>10</v>
      </c>
      <c r="T5" s="118">
        <v>4</v>
      </c>
      <c r="U5" s="117">
        <v>75</v>
      </c>
      <c r="V5" s="117">
        <v>74880</v>
      </c>
      <c r="W5" s="119">
        <v>3590.689005091428</v>
      </c>
    </row>
    <row r="6" spans="1:24" s="97" customFormat="1" x14ac:dyDescent="0.25">
      <c r="B6" s="109">
        <f>IF(LEN(F6)=6,MAX($B$4:B5)+1,"")</f>
        <v>2</v>
      </c>
      <c r="C6" s="110" t="s">
        <v>314</v>
      </c>
      <c r="D6" s="116" t="s">
        <v>315</v>
      </c>
      <c r="E6" s="110" t="s">
        <v>316</v>
      </c>
      <c r="F6" s="113">
        <v>633022</v>
      </c>
      <c r="G6" s="111" t="s">
        <v>148</v>
      </c>
      <c r="H6" s="111" t="s">
        <v>149</v>
      </c>
      <c r="I6" s="111" t="s">
        <v>150</v>
      </c>
      <c r="J6" s="115">
        <v>28</v>
      </c>
      <c r="K6" s="111" t="s">
        <v>151</v>
      </c>
      <c r="L6" s="115">
        <v>90</v>
      </c>
      <c r="M6" s="111" t="s">
        <v>190</v>
      </c>
      <c r="N6" s="111" t="s">
        <v>317</v>
      </c>
      <c r="O6" s="120" t="s">
        <v>194</v>
      </c>
      <c r="P6" s="116" t="s">
        <v>155</v>
      </c>
      <c r="Q6" s="116" t="s">
        <v>156</v>
      </c>
      <c r="R6" s="117">
        <v>747860</v>
      </c>
      <c r="S6" s="117">
        <v>10</v>
      </c>
      <c r="T6" s="118">
        <v>40</v>
      </c>
      <c r="U6" s="117">
        <v>748</v>
      </c>
      <c r="V6" s="117">
        <v>748660</v>
      </c>
      <c r="W6" s="119">
        <v>165555.57587706234</v>
      </c>
    </row>
    <row r="7" spans="1:24" s="97" customFormat="1" x14ac:dyDescent="0.25">
      <c r="B7" s="109">
        <f>IF(LEN(F7)=6,MAX($B$4:B6)+1,"")</f>
        <v>3</v>
      </c>
      <c r="C7" s="110" t="s">
        <v>318</v>
      </c>
      <c r="D7" s="116" t="s">
        <v>319</v>
      </c>
      <c r="E7" s="110" t="s">
        <v>320</v>
      </c>
      <c r="F7" s="113">
        <v>633023</v>
      </c>
      <c r="G7" s="111" t="s">
        <v>148</v>
      </c>
      <c r="H7" s="111" t="s">
        <v>149</v>
      </c>
      <c r="I7" s="111" t="s">
        <v>150</v>
      </c>
      <c r="J7" s="115">
        <v>8</v>
      </c>
      <c r="K7" s="111" t="s">
        <v>151</v>
      </c>
      <c r="L7" s="115">
        <v>90</v>
      </c>
      <c r="M7" s="111" t="s">
        <v>190</v>
      </c>
      <c r="N7" s="111"/>
      <c r="O7" s="120" t="s">
        <v>194</v>
      </c>
      <c r="P7" s="116" t="s">
        <v>155</v>
      </c>
      <c r="Q7" s="116" t="s">
        <v>156</v>
      </c>
      <c r="R7" s="117">
        <v>31928</v>
      </c>
      <c r="S7" s="117">
        <v>10</v>
      </c>
      <c r="T7" s="118">
        <v>4</v>
      </c>
      <c r="U7" s="117">
        <v>32</v>
      </c>
      <c r="V7" s="117">
        <v>31980</v>
      </c>
      <c r="W7" s="119">
        <v>7611.6602051047021</v>
      </c>
    </row>
    <row r="8" spans="1:24" s="97" customFormat="1" x14ac:dyDescent="0.25">
      <c r="B8" s="109">
        <f>IF(LEN(F8)=6,MAX($B$4:B7)+1,"")</f>
        <v>4</v>
      </c>
      <c r="C8" s="110" t="s">
        <v>321</v>
      </c>
      <c r="D8" s="116" t="s">
        <v>322</v>
      </c>
      <c r="E8" s="110" t="s">
        <v>323</v>
      </c>
      <c r="F8" s="113">
        <v>633024</v>
      </c>
      <c r="G8" s="111" t="s">
        <v>148</v>
      </c>
      <c r="H8" s="111" t="s">
        <v>149</v>
      </c>
      <c r="I8" s="111" t="s">
        <v>150</v>
      </c>
      <c r="J8" s="115">
        <v>4</v>
      </c>
      <c r="K8" s="111" t="s">
        <v>151</v>
      </c>
      <c r="L8" s="115">
        <v>90</v>
      </c>
      <c r="M8" s="111" t="s">
        <v>190</v>
      </c>
      <c r="N8" s="111" t="s">
        <v>317</v>
      </c>
      <c r="O8" s="120" t="s">
        <v>324</v>
      </c>
      <c r="P8" s="116" t="s">
        <v>155</v>
      </c>
      <c r="Q8" s="116" t="s">
        <v>156</v>
      </c>
      <c r="R8" s="117">
        <v>957840</v>
      </c>
      <c r="S8" s="117">
        <v>10</v>
      </c>
      <c r="T8" s="118">
        <v>120</v>
      </c>
      <c r="U8" s="117">
        <v>958</v>
      </c>
      <c r="V8" s="117">
        <v>958930</v>
      </c>
      <c r="W8" s="119">
        <v>46853.849493517468</v>
      </c>
    </row>
    <row r="9" spans="1:24" s="97" customFormat="1" x14ac:dyDescent="0.25">
      <c r="B9" s="109">
        <f>IF(LEN(F9)=6,MAX($B$4:B8)+1,"")</f>
        <v>5</v>
      </c>
      <c r="C9" s="110" t="s">
        <v>325</v>
      </c>
      <c r="D9" s="116" t="s">
        <v>326</v>
      </c>
      <c r="E9" s="110" t="s">
        <v>327</v>
      </c>
      <c r="F9" s="113">
        <v>633025</v>
      </c>
      <c r="G9" s="111" t="s">
        <v>148</v>
      </c>
      <c r="H9" s="111" t="s">
        <v>149</v>
      </c>
      <c r="I9" s="111" t="s">
        <v>150</v>
      </c>
      <c r="J9" s="115">
        <v>4</v>
      </c>
      <c r="K9" s="111" t="s">
        <v>151</v>
      </c>
      <c r="L9" s="115">
        <v>90</v>
      </c>
      <c r="M9" s="111" t="s">
        <v>152</v>
      </c>
      <c r="N9" s="111"/>
      <c r="O9" s="120" t="s">
        <v>313</v>
      </c>
      <c r="P9" s="116" t="s">
        <v>155</v>
      </c>
      <c r="Q9" s="116" t="s">
        <v>156</v>
      </c>
      <c r="R9" s="117">
        <v>74786</v>
      </c>
      <c r="S9" s="117">
        <v>10</v>
      </c>
      <c r="T9" s="118">
        <v>4</v>
      </c>
      <c r="U9" s="117">
        <v>75</v>
      </c>
      <c r="V9" s="117">
        <v>74880</v>
      </c>
      <c r="W9" s="119">
        <v>3590.689005091428</v>
      </c>
    </row>
    <row r="10" spans="1:24" s="97" customFormat="1" x14ac:dyDescent="0.25">
      <c r="B10" s="109">
        <f>IF(LEN(F10)=6,MAX($B$4:B9)+1,"")</f>
        <v>6</v>
      </c>
      <c r="C10" s="110" t="s">
        <v>328</v>
      </c>
      <c r="D10" s="116" t="s">
        <v>329</v>
      </c>
      <c r="E10" s="110" t="s">
        <v>330</v>
      </c>
      <c r="F10" s="113">
        <v>633026</v>
      </c>
      <c r="G10" s="111" t="s">
        <v>148</v>
      </c>
      <c r="H10" s="111" t="s">
        <v>149</v>
      </c>
      <c r="I10" s="111" t="s">
        <v>150</v>
      </c>
      <c r="J10" s="115">
        <v>12</v>
      </c>
      <c r="K10" s="111" t="s">
        <v>151</v>
      </c>
      <c r="L10" s="115">
        <v>90</v>
      </c>
      <c r="M10" s="111" t="s">
        <v>160</v>
      </c>
      <c r="N10" s="111"/>
      <c r="O10" s="120" t="s">
        <v>194</v>
      </c>
      <c r="P10" s="116" t="s">
        <v>155</v>
      </c>
      <c r="Q10" s="116" t="s">
        <v>156</v>
      </c>
      <c r="R10" s="117">
        <v>747860</v>
      </c>
      <c r="S10" s="117">
        <v>10</v>
      </c>
      <c r="T10" s="118">
        <v>40</v>
      </c>
      <c r="U10" s="117">
        <v>748</v>
      </c>
      <c r="V10" s="117">
        <v>748660</v>
      </c>
      <c r="W10" s="119">
        <v>58644.978364812421</v>
      </c>
    </row>
    <row r="11" spans="1:24" s="97" customFormat="1" x14ac:dyDescent="0.25">
      <c r="B11" s="109">
        <f>IF(LEN(F11)=6,MAX($B$4:B10)+1,"")</f>
        <v>7</v>
      </c>
      <c r="C11" s="110" t="s">
        <v>331</v>
      </c>
      <c r="D11" s="116" t="s">
        <v>332</v>
      </c>
      <c r="E11" s="110" t="s">
        <v>333</v>
      </c>
      <c r="F11" s="113">
        <v>633027</v>
      </c>
      <c r="G11" s="111" t="s">
        <v>148</v>
      </c>
      <c r="H11" s="111" t="s">
        <v>149</v>
      </c>
      <c r="I11" s="111" t="s">
        <v>150</v>
      </c>
      <c r="J11" s="115">
        <v>20</v>
      </c>
      <c r="K11" s="111" t="s">
        <v>151</v>
      </c>
      <c r="L11" s="115">
        <v>90</v>
      </c>
      <c r="M11" s="111" t="s">
        <v>152</v>
      </c>
      <c r="N11" s="111" t="s">
        <v>317</v>
      </c>
      <c r="O11" s="120" t="s">
        <v>194</v>
      </c>
      <c r="P11" s="116" t="s">
        <v>155</v>
      </c>
      <c r="Q11" s="116" t="s">
        <v>156</v>
      </c>
      <c r="R11" s="117">
        <v>747860</v>
      </c>
      <c r="S11" s="117">
        <v>10</v>
      </c>
      <c r="T11" s="118">
        <v>40</v>
      </c>
      <c r="U11" s="117">
        <v>748</v>
      </c>
      <c r="V11" s="117">
        <v>748660</v>
      </c>
      <c r="W11" s="119">
        <v>125401.96990915241</v>
      </c>
    </row>
    <row r="12" spans="1:24" s="97" customFormat="1" x14ac:dyDescent="0.25">
      <c r="B12" s="109">
        <f>IF(LEN(F12)=6,MAX($B$4:B11)+1,"")</f>
        <v>8</v>
      </c>
      <c r="C12" s="110" t="s">
        <v>334</v>
      </c>
      <c r="D12" s="116" t="s">
        <v>335</v>
      </c>
      <c r="E12" s="110" t="s">
        <v>336</v>
      </c>
      <c r="F12" s="113">
        <v>633028</v>
      </c>
      <c r="G12" s="111" t="s">
        <v>148</v>
      </c>
      <c r="H12" s="111" t="s">
        <v>149</v>
      </c>
      <c r="I12" s="111" t="s">
        <v>150</v>
      </c>
      <c r="J12" s="115">
        <v>4</v>
      </c>
      <c r="K12" s="111" t="s">
        <v>151</v>
      </c>
      <c r="L12" s="115">
        <v>90</v>
      </c>
      <c r="M12" s="111" t="s">
        <v>174</v>
      </c>
      <c r="N12" s="111"/>
      <c r="O12" s="120" t="s">
        <v>313</v>
      </c>
      <c r="P12" s="116" t="s">
        <v>155</v>
      </c>
      <c r="Q12" s="116" t="s">
        <v>156</v>
      </c>
      <c r="R12" s="117">
        <v>74784</v>
      </c>
      <c r="S12" s="117">
        <v>10</v>
      </c>
      <c r="T12" s="118">
        <v>4</v>
      </c>
      <c r="U12" s="117">
        <v>75</v>
      </c>
      <c r="V12" s="117">
        <v>74880</v>
      </c>
      <c r="W12" s="119">
        <v>3590.689005091428</v>
      </c>
    </row>
    <row r="13" spans="1:24" s="97" customFormat="1" x14ac:dyDescent="0.25">
      <c r="B13" s="109">
        <f>IF(LEN(F13)=6,MAX($B$4:B12)+1,"")</f>
        <v>9</v>
      </c>
      <c r="C13" s="110" t="s">
        <v>337</v>
      </c>
      <c r="D13" s="116" t="s">
        <v>338</v>
      </c>
      <c r="E13" s="110" t="s">
        <v>339</v>
      </c>
      <c r="F13" s="113">
        <v>633029</v>
      </c>
      <c r="G13" s="111" t="s">
        <v>148</v>
      </c>
      <c r="H13" s="111" t="s">
        <v>149</v>
      </c>
      <c r="I13" s="111" t="s">
        <v>150</v>
      </c>
      <c r="J13" s="115">
        <v>20</v>
      </c>
      <c r="K13" s="111" t="s">
        <v>151</v>
      </c>
      <c r="L13" s="115">
        <v>90</v>
      </c>
      <c r="M13" s="111" t="s">
        <v>340</v>
      </c>
      <c r="N13" s="111" t="s">
        <v>317</v>
      </c>
      <c r="O13" s="120" t="s">
        <v>194</v>
      </c>
      <c r="P13" s="116" t="s">
        <v>155</v>
      </c>
      <c r="Q13" s="116" t="s">
        <v>156</v>
      </c>
      <c r="R13" s="117">
        <v>747840</v>
      </c>
      <c r="S13" s="117">
        <v>10</v>
      </c>
      <c r="T13" s="118">
        <v>40</v>
      </c>
      <c r="U13" s="117">
        <v>748</v>
      </c>
      <c r="V13" s="117">
        <v>748640</v>
      </c>
      <c r="W13" s="119">
        <v>125870.9028385464</v>
      </c>
    </row>
    <row r="14" spans="1:24" s="97" customFormat="1" x14ac:dyDescent="0.25">
      <c r="B14" s="109">
        <f>IF(LEN(F14)=6,MAX($B$4:B13)+1,"")</f>
        <v>10</v>
      </c>
      <c r="C14" s="110" t="s">
        <v>341</v>
      </c>
      <c r="D14" s="116" t="s">
        <v>342</v>
      </c>
      <c r="E14" s="110" t="s">
        <v>343</v>
      </c>
      <c r="F14" s="113">
        <v>633030</v>
      </c>
      <c r="G14" s="111" t="s">
        <v>148</v>
      </c>
      <c r="H14" s="111" t="s">
        <v>149</v>
      </c>
      <c r="I14" s="111" t="s">
        <v>150</v>
      </c>
      <c r="J14" s="115">
        <v>4</v>
      </c>
      <c r="K14" s="111" t="s">
        <v>151</v>
      </c>
      <c r="L14" s="115">
        <v>90</v>
      </c>
      <c r="M14" s="111" t="s">
        <v>174</v>
      </c>
      <c r="N14" s="111"/>
      <c r="O14" s="120" t="s">
        <v>313</v>
      </c>
      <c r="P14" s="116" t="s">
        <v>155</v>
      </c>
      <c r="Q14" s="116" t="s">
        <v>156</v>
      </c>
      <c r="R14" s="117">
        <v>74784</v>
      </c>
      <c r="S14" s="117">
        <v>10</v>
      </c>
      <c r="T14" s="118">
        <v>4</v>
      </c>
      <c r="U14" s="117">
        <v>75</v>
      </c>
      <c r="V14" s="117">
        <v>74880</v>
      </c>
      <c r="W14" s="119">
        <v>3590.689005091428</v>
      </c>
    </row>
    <row r="15" spans="1:24" s="97" customFormat="1" x14ac:dyDescent="0.25">
      <c r="B15" s="109">
        <f>IF(LEN(F15)=6,MAX($B$4:B14)+1,"")</f>
        <v>11</v>
      </c>
      <c r="C15" s="110" t="s">
        <v>344</v>
      </c>
      <c r="D15" s="116" t="s">
        <v>345</v>
      </c>
      <c r="E15" s="110" t="s">
        <v>346</v>
      </c>
      <c r="F15" s="113">
        <v>633031</v>
      </c>
      <c r="G15" s="111" t="s">
        <v>148</v>
      </c>
      <c r="H15" s="111" t="s">
        <v>149</v>
      </c>
      <c r="I15" s="111" t="s">
        <v>150</v>
      </c>
      <c r="J15" s="115">
        <v>24</v>
      </c>
      <c r="K15" s="111" t="s">
        <v>151</v>
      </c>
      <c r="L15" s="115">
        <v>90</v>
      </c>
      <c r="M15" s="111" t="s">
        <v>340</v>
      </c>
      <c r="N15" s="111" t="s">
        <v>317</v>
      </c>
      <c r="O15" s="120" t="s">
        <v>194</v>
      </c>
      <c r="P15" s="116" t="s">
        <v>155</v>
      </c>
      <c r="Q15" s="116" t="s">
        <v>156</v>
      </c>
      <c r="R15" s="117">
        <v>747840</v>
      </c>
      <c r="S15" s="117">
        <v>10</v>
      </c>
      <c r="T15" s="118">
        <v>40</v>
      </c>
      <c r="U15" s="117">
        <v>748</v>
      </c>
      <c r="V15" s="117">
        <v>748640</v>
      </c>
      <c r="W15" s="119">
        <v>150493.44335103745</v>
      </c>
    </row>
    <row r="16" spans="1:24" s="97" customFormat="1" x14ac:dyDescent="0.25">
      <c r="B16" s="109">
        <f>IF(LEN(F16)=6,MAX($B$4:B15)+1,"")</f>
        <v>12</v>
      </c>
      <c r="C16" s="110" t="s">
        <v>347</v>
      </c>
      <c r="D16" s="116" t="s">
        <v>348</v>
      </c>
      <c r="E16" s="110" t="s">
        <v>349</v>
      </c>
      <c r="F16" s="113">
        <v>633032</v>
      </c>
      <c r="G16" s="111" t="s">
        <v>148</v>
      </c>
      <c r="H16" s="111" t="s">
        <v>149</v>
      </c>
      <c r="I16" s="111" t="s">
        <v>150</v>
      </c>
      <c r="J16" s="115">
        <v>4</v>
      </c>
      <c r="K16" s="111" t="s">
        <v>151</v>
      </c>
      <c r="L16" s="115">
        <v>90</v>
      </c>
      <c r="M16" s="111" t="s">
        <v>174</v>
      </c>
      <c r="N16" s="111"/>
      <c r="O16" s="120" t="s">
        <v>313</v>
      </c>
      <c r="P16" s="116" t="s">
        <v>155</v>
      </c>
      <c r="Q16" s="116" t="s">
        <v>156</v>
      </c>
      <c r="R16" s="117">
        <v>74784</v>
      </c>
      <c r="S16" s="117">
        <v>10</v>
      </c>
      <c r="T16" s="118">
        <v>4</v>
      </c>
      <c r="U16" s="117">
        <v>75</v>
      </c>
      <c r="V16" s="117">
        <v>74880</v>
      </c>
      <c r="W16" s="119">
        <v>3590.689005091428</v>
      </c>
    </row>
    <row r="17" spans="2:23" s="97" customFormat="1" x14ac:dyDescent="0.25">
      <c r="B17" s="109">
        <f>IF(LEN(F17)=6,MAX($B$4:B16)+1,"")</f>
        <v>13</v>
      </c>
      <c r="C17" s="110" t="s">
        <v>350</v>
      </c>
      <c r="D17" s="116" t="s">
        <v>351</v>
      </c>
      <c r="E17" s="110" t="s">
        <v>352</v>
      </c>
      <c r="F17" s="113">
        <v>633033</v>
      </c>
      <c r="G17" s="111" t="s">
        <v>148</v>
      </c>
      <c r="H17" s="111" t="s">
        <v>149</v>
      </c>
      <c r="I17" s="111" t="s">
        <v>150</v>
      </c>
      <c r="J17" s="115">
        <v>24</v>
      </c>
      <c r="K17" s="111" t="s">
        <v>151</v>
      </c>
      <c r="L17" s="115">
        <v>90</v>
      </c>
      <c r="M17" s="111" t="s">
        <v>340</v>
      </c>
      <c r="N17" s="111" t="s">
        <v>317</v>
      </c>
      <c r="O17" s="120" t="s">
        <v>194</v>
      </c>
      <c r="P17" s="116" t="s">
        <v>155</v>
      </c>
      <c r="Q17" s="116" t="s">
        <v>156</v>
      </c>
      <c r="R17" s="117">
        <v>747840</v>
      </c>
      <c r="S17" s="117">
        <v>10</v>
      </c>
      <c r="T17" s="118">
        <v>40</v>
      </c>
      <c r="U17" s="117">
        <v>748</v>
      </c>
      <c r="V17" s="117">
        <v>748640</v>
      </c>
      <c r="W17" s="119">
        <v>150493.44335103745</v>
      </c>
    </row>
    <row r="18" spans="2:23" s="97" customFormat="1" x14ac:dyDescent="0.25">
      <c r="B18" s="109">
        <f>IF(LEN(F18)=6,MAX($B$4:B17)+1,"")</f>
        <v>14</v>
      </c>
      <c r="C18" s="110" t="s">
        <v>353</v>
      </c>
      <c r="D18" s="116" t="s">
        <v>354</v>
      </c>
      <c r="E18" s="110" t="s">
        <v>355</v>
      </c>
      <c r="F18" s="113">
        <v>633034</v>
      </c>
      <c r="G18" s="111" t="s">
        <v>186</v>
      </c>
      <c r="H18" s="111"/>
      <c r="I18" s="111"/>
      <c r="J18" s="115"/>
      <c r="K18" s="111"/>
      <c r="L18" s="115"/>
      <c r="M18" s="111"/>
      <c r="N18" s="111"/>
      <c r="O18" s="120"/>
      <c r="P18" s="116" t="s">
        <v>155</v>
      </c>
      <c r="Q18" s="116"/>
      <c r="R18" s="117">
        <v>3246</v>
      </c>
      <c r="S18" s="111">
        <v>10</v>
      </c>
      <c r="T18" s="116">
        <v>4</v>
      </c>
      <c r="U18" s="111">
        <v>4</v>
      </c>
      <c r="V18" s="111">
        <v>3270</v>
      </c>
      <c r="W18" s="119">
        <v>2085.2193939393942</v>
      </c>
    </row>
    <row r="19" spans="2:23" s="97" customFormat="1" x14ac:dyDescent="0.25">
      <c r="B19" s="109" t="str">
        <f>IF(LEN(F19)=6,MAX($B$4:B18)+1,"")</f>
        <v/>
      </c>
      <c r="C19" s="110" t="s">
        <v>356</v>
      </c>
      <c r="D19" s="116" t="s">
        <v>357</v>
      </c>
      <c r="E19" s="110" t="s">
        <v>358</v>
      </c>
      <c r="F19" s="113" t="str">
        <f>F18&amp;"-A"</f>
        <v>633034-A</v>
      </c>
      <c r="G19" s="111" t="s">
        <v>186</v>
      </c>
      <c r="H19" s="111" t="s">
        <v>149</v>
      </c>
      <c r="I19" s="111" t="s">
        <v>359</v>
      </c>
      <c r="J19" s="115">
        <v>2</v>
      </c>
      <c r="K19" s="111" t="s">
        <v>151</v>
      </c>
      <c r="L19" s="115">
        <v>120</v>
      </c>
      <c r="M19" s="111" t="s">
        <v>190</v>
      </c>
      <c r="N19" s="111"/>
      <c r="O19" s="120" t="s">
        <v>191</v>
      </c>
      <c r="P19" s="116" t="str">
        <f>"Insert into polybag infront of "&amp;F20</f>
        <v>Insert into polybag infront of 633034-B</v>
      </c>
      <c r="Q19" s="116" t="s">
        <v>156</v>
      </c>
      <c r="R19" s="117">
        <v>3246</v>
      </c>
      <c r="S19" s="117">
        <v>10</v>
      </c>
      <c r="T19" s="117">
        <v>4</v>
      </c>
      <c r="U19" s="117">
        <v>4</v>
      </c>
      <c r="V19" s="117">
        <v>3270</v>
      </c>
      <c r="W19" s="119">
        <v>2588.8413861534718</v>
      </c>
    </row>
    <row r="20" spans="2:23" s="97" customFormat="1" x14ac:dyDescent="0.25">
      <c r="B20" s="109" t="str">
        <f>IF(LEN(F20)=6,MAX($B$4:B19)+1,"")</f>
        <v/>
      </c>
      <c r="C20" s="110" t="s">
        <v>353</v>
      </c>
      <c r="D20" s="116" t="s">
        <v>354</v>
      </c>
      <c r="E20" s="110" t="s">
        <v>360</v>
      </c>
      <c r="F20" s="113" t="str">
        <f>F18&amp;"-B"</f>
        <v>633034-B</v>
      </c>
      <c r="G20" s="111" t="s">
        <v>186</v>
      </c>
      <c r="H20" s="111" t="s">
        <v>149</v>
      </c>
      <c r="I20" s="111" t="s">
        <v>359</v>
      </c>
      <c r="J20" s="115">
        <v>28</v>
      </c>
      <c r="K20" s="111" t="s">
        <v>151</v>
      </c>
      <c r="L20" s="115">
        <v>120</v>
      </c>
      <c r="M20" s="111" t="s">
        <v>190</v>
      </c>
      <c r="N20" s="111"/>
      <c r="O20" s="120" t="s">
        <v>361</v>
      </c>
      <c r="P20" s="116" t="str">
        <f>"Insert into polybag behind "&amp;F19</f>
        <v>Insert into polybag behind 633034-A</v>
      </c>
      <c r="Q20" s="116" t="s">
        <v>156</v>
      </c>
      <c r="R20" s="117">
        <v>3246</v>
      </c>
      <c r="S20" s="117">
        <v>10</v>
      </c>
      <c r="T20" s="117">
        <v>4</v>
      </c>
      <c r="U20" s="117">
        <v>4</v>
      </c>
      <c r="V20" s="117">
        <v>3270</v>
      </c>
      <c r="W20" s="119">
        <v>19613.101321613412</v>
      </c>
    </row>
    <row r="21" spans="2:23" s="97" customFormat="1" x14ac:dyDescent="0.25">
      <c r="B21" s="109">
        <f>IF(LEN(F21)=6,MAX($B$4:B20)+1,"")</f>
        <v>15</v>
      </c>
      <c r="C21" s="110" t="s">
        <v>362</v>
      </c>
      <c r="D21" s="116" t="s">
        <v>363</v>
      </c>
      <c r="E21" s="110" t="s">
        <v>364</v>
      </c>
      <c r="F21" s="113">
        <v>633035</v>
      </c>
      <c r="G21" s="111" t="s">
        <v>186</v>
      </c>
      <c r="H21" s="111"/>
      <c r="I21" s="111"/>
      <c r="J21" s="115"/>
      <c r="K21" s="111"/>
      <c r="L21" s="115"/>
      <c r="M21" s="111"/>
      <c r="N21" s="111"/>
      <c r="O21" s="120"/>
      <c r="P21" s="116" t="s">
        <v>155</v>
      </c>
      <c r="Q21" s="116"/>
      <c r="R21" s="117">
        <v>3246</v>
      </c>
      <c r="S21" s="111">
        <v>10</v>
      </c>
      <c r="T21" s="116">
        <v>4</v>
      </c>
      <c r="U21" s="111">
        <v>4</v>
      </c>
      <c r="V21" s="111">
        <v>3270</v>
      </c>
      <c r="W21" s="119">
        <v>1661.910202020202</v>
      </c>
    </row>
    <row r="22" spans="2:23" s="97" customFormat="1" x14ac:dyDescent="0.25">
      <c r="B22" s="109" t="str">
        <f>IF(LEN(F22)=6,MAX($B$4:B21)+1,"")</f>
        <v/>
      </c>
      <c r="C22" s="110" t="s">
        <v>365</v>
      </c>
      <c r="D22" s="116" t="s">
        <v>366</v>
      </c>
      <c r="E22" s="110" t="s">
        <v>367</v>
      </c>
      <c r="F22" s="113" t="str">
        <f>F21&amp;"-A"</f>
        <v>633035-A</v>
      </c>
      <c r="G22" s="111" t="s">
        <v>186</v>
      </c>
      <c r="H22" s="111" t="s">
        <v>149</v>
      </c>
      <c r="I22" s="111" t="s">
        <v>359</v>
      </c>
      <c r="J22" s="115">
        <v>2</v>
      </c>
      <c r="K22" s="111" t="s">
        <v>151</v>
      </c>
      <c r="L22" s="115">
        <v>120</v>
      </c>
      <c r="M22" s="111" t="s">
        <v>190</v>
      </c>
      <c r="N22" s="111"/>
      <c r="O22" s="120" t="s">
        <v>191</v>
      </c>
      <c r="P22" s="116" t="str">
        <f>"Insert into polybag infront of "&amp;F23</f>
        <v>Insert into polybag infront of 633035-B</v>
      </c>
      <c r="Q22" s="116" t="s">
        <v>156</v>
      </c>
      <c r="R22" s="117">
        <v>3246</v>
      </c>
      <c r="S22" s="117">
        <v>10</v>
      </c>
      <c r="T22" s="117">
        <v>4</v>
      </c>
      <c r="U22" s="117">
        <v>4</v>
      </c>
      <c r="V22" s="117">
        <v>3270</v>
      </c>
      <c r="W22" s="119">
        <v>2588.8413861534718</v>
      </c>
    </row>
    <row r="23" spans="2:23" s="97" customFormat="1" x14ac:dyDescent="0.25">
      <c r="B23" s="109" t="str">
        <f>IF(LEN(F23)=6,MAX($B$4:B22)+1,"")</f>
        <v/>
      </c>
      <c r="C23" s="110" t="s">
        <v>362</v>
      </c>
      <c r="D23" s="116" t="s">
        <v>363</v>
      </c>
      <c r="E23" s="110" t="s">
        <v>368</v>
      </c>
      <c r="F23" s="113" t="str">
        <f>F21&amp;"-B"</f>
        <v>633035-B</v>
      </c>
      <c r="G23" s="111" t="s">
        <v>186</v>
      </c>
      <c r="H23" s="111" t="s">
        <v>149</v>
      </c>
      <c r="I23" s="111" t="s">
        <v>359</v>
      </c>
      <c r="J23" s="115">
        <v>4</v>
      </c>
      <c r="K23" s="111" t="s">
        <v>151</v>
      </c>
      <c r="L23" s="115">
        <v>120</v>
      </c>
      <c r="M23" s="111" t="s">
        <v>190</v>
      </c>
      <c r="N23" s="111"/>
      <c r="O23" s="120" t="s">
        <v>361</v>
      </c>
      <c r="P23" s="116" t="str">
        <f>"Insert into polybag behind "&amp;F22</f>
        <v>Insert into polybag behind 633035-A</v>
      </c>
      <c r="Q23" s="116" t="s">
        <v>156</v>
      </c>
      <c r="R23" s="117">
        <v>3246</v>
      </c>
      <c r="S23" s="117">
        <v>10</v>
      </c>
      <c r="T23" s="117">
        <v>4</v>
      </c>
      <c r="U23" s="117">
        <v>4</v>
      </c>
      <c r="V23" s="117">
        <v>3270</v>
      </c>
      <c r="W23" s="119">
        <v>5462.7451647728067</v>
      </c>
    </row>
    <row r="24" spans="2:23" s="97" customFormat="1" x14ac:dyDescent="0.25">
      <c r="B24" s="109">
        <f>IF(LEN(F24)=6,MAX($B$4:B23)+1,"")</f>
        <v>16</v>
      </c>
      <c r="C24" s="110" t="s">
        <v>369</v>
      </c>
      <c r="D24" s="116" t="s">
        <v>370</v>
      </c>
      <c r="E24" s="110" t="s">
        <v>371</v>
      </c>
      <c r="F24" s="113">
        <v>633036</v>
      </c>
      <c r="G24" s="111" t="s">
        <v>186</v>
      </c>
      <c r="H24" s="111"/>
      <c r="I24" s="111"/>
      <c r="J24" s="115"/>
      <c r="K24" s="111"/>
      <c r="L24" s="115"/>
      <c r="M24" s="111"/>
      <c r="N24" s="111"/>
      <c r="O24" s="120"/>
      <c r="P24" s="116" t="s">
        <v>155</v>
      </c>
      <c r="Q24" s="116"/>
      <c r="R24" s="117">
        <v>3261</v>
      </c>
      <c r="S24" s="111">
        <v>10</v>
      </c>
      <c r="T24" s="116">
        <v>4</v>
      </c>
      <c r="U24" s="111">
        <v>4</v>
      </c>
      <c r="V24" s="111">
        <v>3280</v>
      </c>
      <c r="W24" s="119">
        <v>2832.648629148629</v>
      </c>
    </row>
    <row r="25" spans="2:23" s="97" customFormat="1" x14ac:dyDescent="0.25">
      <c r="B25" s="109" t="str">
        <f>IF(LEN(F25)=6,MAX($B$4:B24)+1,"")</f>
        <v/>
      </c>
      <c r="C25" s="110" t="s">
        <v>372</v>
      </c>
      <c r="D25" s="116" t="s">
        <v>373</v>
      </c>
      <c r="E25" s="110" t="s">
        <v>374</v>
      </c>
      <c r="F25" s="113" t="str">
        <f>F24&amp;"-A"</f>
        <v>633036-A</v>
      </c>
      <c r="G25" s="111" t="s">
        <v>186</v>
      </c>
      <c r="H25" s="111" t="s">
        <v>149</v>
      </c>
      <c r="I25" s="111" t="s">
        <v>359</v>
      </c>
      <c r="J25" s="115">
        <v>2</v>
      </c>
      <c r="K25" s="111" t="s">
        <v>151</v>
      </c>
      <c r="L25" s="115">
        <v>120</v>
      </c>
      <c r="M25" s="111" t="s">
        <v>152</v>
      </c>
      <c r="N25" s="111"/>
      <c r="O25" s="120" t="s">
        <v>191</v>
      </c>
      <c r="P25" s="116" t="str">
        <f>"Insert into polybag infront of "&amp;F26</f>
        <v>Insert into polybag infront of 633036-B</v>
      </c>
      <c r="Q25" s="116" t="s">
        <v>156</v>
      </c>
      <c r="R25" s="117">
        <v>3261</v>
      </c>
      <c r="S25" s="117">
        <v>10</v>
      </c>
      <c r="T25" s="117">
        <v>4</v>
      </c>
      <c r="U25" s="117">
        <v>4</v>
      </c>
      <c r="V25" s="117">
        <v>3280</v>
      </c>
      <c r="W25" s="119">
        <v>2600.0778339877347</v>
      </c>
    </row>
    <row r="26" spans="2:23" s="97" customFormat="1" x14ac:dyDescent="0.25">
      <c r="B26" s="109" t="str">
        <f>IF(LEN(F26)=6,MAX($B$4:B25)+1,"")</f>
        <v/>
      </c>
      <c r="C26" s="110" t="s">
        <v>369</v>
      </c>
      <c r="D26" s="116" t="s">
        <v>370</v>
      </c>
      <c r="E26" s="110" t="s">
        <v>375</v>
      </c>
      <c r="F26" s="113" t="str">
        <f>F24&amp;"-B"</f>
        <v>633036-B</v>
      </c>
      <c r="G26" s="111" t="s">
        <v>186</v>
      </c>
      <c r="H26" s="111" t="s">
        <v>149</v>
      </c>
      <c r="I26" s="111" t="s">
        <v>359</v>
      </c>
      <c r="J26" s="115">
        <v>12</v>
      </c>
      <c r="K26" s="111" t="s">
        <v>151</v>
      </c>
      <c r="L26" s="115">
        <v>120</v>
      </c>
      <c r="M26" s="111" t="s">
        <v>160</v>
      </c>
      <c r="N26" s="111"/>
      <c r="O26" s="120" t="s">
        <v>361</v>
      </c>
      <c r="P26" s="116" t="str">
        <f>"Insert into polybag behind "&amp;F25</f>
        <v>Insert into polybag behind 633036-A</v>
      </c>
      <c r="Q26" s="116" t="s">
        <v>156</v>
      </c>
      <c r="R26" s="117">
        <v>3261</v>
      </c>
      <c r="S26" s="117">
        <v>10</v>
      </c>
      <c r="T26" s="117">
        <v>4</v>
      </c>
      <c r="U26" s="117">
        <v>4</v>
      </c>
      <c r="V26" s="117">
        <v>3280</v>
      </c>
      <c r="W26" s="119">
        <v>10506.62802768648</v>
      </c>
    </row>
    <row r="27" spans="2:23" s="97" customFormat="1" x14ac:dyDescent="0.25">
      <c r="B27" s="109" t="str">
        <f>IF(LEN(F27)=6,MAX($B$4:B26)+1,"")</f>
        <v/>
      </c>
      <c r="C27" s="110" t="s">
        <v>376</v>
      </c>
      <c r="D27" s="116" t="s">
        <v>377</v>
      </c>
      <c r="E27" s="110" t="s">
        <v>378</v>
      </c>
      <c r="F27" s="113" t="str">
        <f>F24&amp;"-C"</f>
        <v>633036-C</v>
      </c>
      <c r="G27" s="111" t="s">
        <v>186</v>
      </c>
      <c r="H27" s="111" t="s">
        <v>149</v>
      </c>
      <c r="I27" s="111" t="s">
        <v>359</v>
      </c>
      <c r="J27" s="115">
        <v>20</v>
      </c>
      <c r="K27" s="111" t="s">
        <v>151</v>
      </c>
      <c r="L27" s="115">
        <v>120</v>
      </c>
      <c r="M27" s="111" t="s">
        <v>152</v>
      </c>
      <c r="N27" s="111"/>
      <c r="O27" s="120" t="s">
        <v>361</v>
      </c>
      <c r="P27" s="116" t="str">
        <f>"Insert into polybag behind "&amp;F26</f>
        <v>Insert into polybag behind 633036-B</v>
      </c>
      <c r="Q27" s="116" t="s">
        <v>156</v>
      </c>
      <c r="R27" s="117">
        <v>3261</v>
      </c>
      <c r="S27" s="117">
        <v>10</v>
      </c>
      <c r="T27" s="117">
        <v>4</v>
      </c>
      <c r="U27" s="117">
        <v>4</v>
      </c>
      <c r="V27" s="117">
        <v>3280</v>
      </c>
      <c r="W27" s="119">
        <v>15813.962039296037</v>
      </c>
    </row>
    <row r="28" spans="2:23" s="97" customFormat="1" x14ac:dyDescent="0.25">
      <c r="B28" s="109">
        <f>IF(LEN(F28)=6,MAX($B$4:B27)+1,"")</f>
        <v>17</v>
      </c>
      <c r="C28" s="110" t="s">
        <v>379</v>
      </c>
      <c r="D28" s="116" t="s">
        <v>380</v>
      </c>
      <c r="E28" s="110" t="s">
        <v>381</v>
      </c>
      <c r="F28" s="113">
        <v>633037</v>
      </c>
      <c r="G28" s="111" t="s">
        <v>186</v>
      </c>
      <c r="H28" s="111"/>
      <c r="I28" s="111"/>
      <c r="J28" s="115"/>
      <c r="K28" s="111"/>
      <c r="L28" s="115"/>
      <c r="M28" s="111"/>
      <c r="N28" s="111"/>
      <c r="O28" s="120"/>
      <c r="P28" s="116" t="s">
        <v>155</v>
      </c>
      <c r="Q28" s="116"/>
      <c r="R28" s="117">
        <v>3239</v>
      </c>
      <c r="S28" s="111">
        <v>10</v>
      </c>
      <c r="T28" s="116">
        <v>4</v>
      </c>
      <c r="U28" s="111">
        <v>4</v>
      </c>
      <c r="V28" s="111">
        <v>3260</v>
      </c>
      <c r="W28" s="119">
        <v>1900.7362500000002</v>
      </c>
    </row>
    <row r="29" spans="2:23" s="97" customFormat="1" x14ac:dyDescent="0.25">
      <c r="B29" s="109" t="str">
        <f>IF(LEN(F29)=6,MAX($B$4:B28)+1,"")</f>
        <v/>
      </c>
      <c r="C29" s="110" t="s">
        <v>382</v>
      </c>
      <c r="D29" s="116" t="s">
        <v>383</v>
      </c>
      <c r="E29" s="110" t="s">
        <v>384</v>
      </c>
      <c r="F29" s="113" t="str">
        <f>F28&amp;"-A"</f>
        <v>633037-A</v>
      </c>
      <c r="G29" s="111" t="s">
        <v>186</v>
      </c>
      <c r="H29" s="111" t="s">
        <v>149</v>
      </c>
      <c r="I29" s="111" t="s">
        <v>359</v>
      </c>
      <c r="J29" s="115">
        <v>2</v>
      </c>
      <c r="K29" s="111" t="s">
        <v>151</v>
      </c>
      <c r="L29" s="115">
        <v>120</v>
      </c>
      <c r="M29" s="111" t="s">
        <v>174</v>
      </c>
      <c r="N29" s="111"/>
      <c r="O29" s="120" t="s">
        <v>191</v>
      </c>
      <c r="P29" s="116" t="str">
        <f>"Insert into polybag infront of "&amp;F30</f>
        <v>Insert into polybag infront of 633037-B</v>
      </c>
      <c r="Q29" s="116" t="s">
        <v>156</v>
      </c>
      <c r="R29" s="117">
        <v>3239</v>
      </c>
      <c r="S29" s="117">
        <v>10</v>
      </c>
      <c r="T29" s="117">
        <v>4</v>
      </c>
      <c r="U29" s="117">
        <v>4</v>
      </c>
      <c r="V29" s="117">
        <v>3260</v>
      </c>
      <c r="W29" s="119">
        <v>2583.9519759985242</v>
      </c>
    </row>
    <row r="30" spans="2:23" s="97" customFormat="1" x14ac:dyDescent="0.25">
      <c r="B30" s="109" t="str">
        <f>IF(LEN(F30)=6,MAX($B$4:B29)+1,"")</f>
        <v/>
      </c>
      <c r="C30" s="110" t="s">
        <v>379</v>
      </c>
      <c r="D30" s="116" t="s">
        <v>380</v>
      </c>
      <c r="E30" s="110" t="s">
        <v>385</v>
      </c>
      <c r="F30" s="113" t="str">
        <f>F28&amp;"-B"</f>
        <v>633037-B</v>
      </c>
      <c r="G30" s="111" t="s">
        <v>186</v>
      </c>
      <c r="H30" s="111" t="s">
        <v>149</v>
      </c>
      <c r="I30" s="111" t="s">
        <v>359</v>
      </c>
      <c r="J30" s="115">
        <v>20</v>
      </c>
      <c r="K30" s="111" t="s">
        <v>151</v>
      </c>
      <c r="L30" s="115">
        <v>120</v>
      </c>
      <c r="M30" s="111" t="s">
        <v>340</v>
      </c>
      <c r="N30" s="111"/>
      <c r="O30" s="120" t="s">
        <v>361</v>
      </c>
      <c r="P30" s="116" t="str">
        <f>"Insert into polybag behind "&amp;F29</f>
        <v>Insert into polybag behind 633037-A</v>
      </c>
      <c r="Q30" s="116" t="s">
        <v>156</v>
      </c>
      <c r="R30" s="117">
        <v>3239</v>
      </c>
      <c r="S30" s="117">
        <v>10</v>
      </c>
      <c r="T30" s="117">
        <v>4</v>
      </c>
      <c r="U30" s="117">
        <v>4</v>
      </c>
      <c r="V30" s="117">
        <v>3260</v>
      </c>
      <c r="W30" s="119">
        <v>16045.408296439369</v>
      </c>
    </row>
    <row r="31" spans="2:23" s="97" customFormat="1" x14ac:dyDescent="0.25">
      <c r="B31" s="109">
        <f>IF(LEN(F31)=6,MAX($B$4:B30)+1,"")</f>
        <v>18</v>
      </c>
      <c r="C31" s="110" t="s">
        <v>386</v>
      </c>
      <c r="D31" s="116" t="s">
        <v>387</v>
      </c>
      <c r="E31" s="110" t="s">
        <v>388</v>
      </c>
      <c r="F31" s="113">
        <v>633038</v>
      </c>
      <c r="G31" s="111" t="s">
        <v>186</v>
      </c>
      <c r="H31" s="111"/>
      <c r="I31" s="111"/>
      <c r="J31" s="115"/>
      <c r="K31" s="111"/>
      <c r="L31" s="115"/>
      <c r="M31" s="111"/>
      <c r="N31" s="111"/>
      <c r="O31" s="120"/>
      <c r="P31" s="116" t="s">
        <v>155</v>
      </c>
      <c r="Q31" s="116"/>
      <c r="R31" s="117">
        <v>3239</v>
      </c>
      <c r="S31" s="111">
        <v>10</v>
      </c>
      <c r="T31" s="116">
        <v>4</v>
      </c>
      <c r="U31" s="111">
        <v>4</v>
      </c>
      <c r="V31" s="111">
        <v>3260</v>
      </c>
      <c r="W31" s="119">
        <v>1994.7653661616164</v>
      </c>
    </row>
    <row r="32" spans="2:23" s="97" customFormat="1" x14ac:dyDescent="0.25">
      <c r="B32" s="109" t="str">
        <f>IF(LEN(F32)=6,MAX($B$4:B31)+1,"")</f>
        <v/>
      </c>
      <c r="C32" s="110" t="s">
        <v>389</v>
      </c>
      <c r="D32" s="116" t="s">
        <v>390</v>
      </c>
      <c r="E32" s="110" t="s">
        <v>391</v>
      </c>
      <c r="F32" s="113" t="str">
        <f>F31&amp;"-A"</f>
        <v>633038-A</v>
      </c>
      <c r="G32" s="111" t="s">
        <v>186</v>
      </c>
      <c r="H32" s="111" t="s">
        <v>149</v>
      </c>
      <c r="I32" s="111" t="s">
        <v>359</v>
      </c>
      <c r="J32" s="115">
        <v>2</v>
      </c>
      <c r="K32" s="111" t="s">
        <v>151</v>
      </c>
      <c r="L32" s="115">
        <v>120</v>
      </c>
      <c r="M32" s="111" t="s">
        <v>174</v>
      </c>
      <c r="N32" s="111"/>
      <c r="O32" s="120" t="s">
        <v>191</v>
      </c>
      <c r="P32" s="116" t="str">
        <f>"Insert into polybag infront of "&amp;F33</f>
        <v>Insert into polybag infront of 633038-B</v>
      </c>
      <c r="Q32" s="116" t="s">
        <v>156</v>
      </c>
      <c r="R32" s="117">
        <v>3239</v>
      </c>
      <c r="S32" s="117">
        <v>10</v>
      </c>
      <c r="T32" s="117">
        <v>4</v>
      </c>
      <c r="U32" s="117">
        <v>4</v>
      </c>
      <c r="V32" s="117">
        <v>3260</v>
      </c>
      <c r="W32" s="119">
        <v>2583.9519759985242</v>
      </c>
    </row>
    <row r="33" spans="2:23" s="97" customFormat="1" x14ac:dyDescent="0.25">
      <c r="B33" s="109" t="str">
        <f>IF(LEN(F33)=6,MAX($B$4:B32)+1,"")</f>
        <v/>
      </c>
      <c r="C33" s="110" t="s">
        <v>386</v>
      </c>
      <c r="D33" s="116" t="s">
        <v>387</v>
      </c>
      <c r="E33" s="110" t="s">
        <v>392</v>
      </c>
      <c r="F33" s="113" t="str">
        <f>F31&amp;"-B"</f>
        <v>633038-B</v>
      </c>
      <c r="G33" s="111" t="s">
        <v>186</v>
      </c>
      <c r="H33" s="111" t="s">
        <v>149</v>
      </c>
      <c r="I33" s="111" t="s">
        <v>359</v>
      </c>
      <c r="J33" s="115">
        <v>24</v>
      </c>
      <c r="K33" s="111" t="s">
        <v>151</v>
      </c>
      <c r="L33" s="115">
        <v>120</v>
      </c>
      <c r="M33" s="111" t="s">
        <v>340</v>
      </c>
      <c r="N33" s="111"/>
      <c r="O33" s="120" t="s">
        <v>361</v>
      </c>
      <c r="P33" s="116" t="str">
        <f>"Insert into polybag behind "&amp;F32</f>
        <v>Insert into polybag behind 633038-A</v>
      </c>
      <c r="Q33" s="116" t="s">
        <v>156</v>
      </c>
      <c r="R33" s="117">
        <v>3239</v>
      </c>
      <c r="S33" s="117">
        <v>10</v>
      </c>
      <c r="T33" s="117">
        <v>4</v>
      </c>
      <c r="U33" s="117">
        <v>4</v>
      </c>
      <c r="V33" s="117">
        <v>3260</v>
      </c>
      <c r="W33" s="119">
        <v>17761.413592151235</v>
      </c>
    </row>
    <row r="34" spans="2:23" s="97" customFormat="1" x14ac:dyDescent="0.25">
      <c r="B34" s="109">
        <f>IF(LEN(F34)=6,MAX($B$4:B33)+1,"")</f>
        <v>19</v>
      </c>
      <c r="C34" s="110" t="s">
        <v>393</v>
      </c>
      <c r="D34" s="116" t="s">
        <v>394</v>
      </c>
      <c r="E34" s="110" t="s">
        <v>395</v>
      </c>
      <c r="F34" s="113">
        <v>633039</v>
      </c>
      <c r="G34" s="111" t="s">
        <v>186</v>
      </c>
      <c r="H34" s="111"/>
      <c r="I34" s="111"/>
      <c r="J34" s="115"/>
      <c r="K34" s="111"/>
      <c r="L34" s="115"/>
      <c r="M34" s="111"/>
      <c r="N34" s="111"/>
      <c r="O34" s="120"/>
      <c r="P34" s="116" t="s">
        <v>155</v>
      </c>
      <c r="Q34" s="116"/>
      <c r="R34" s="117">
        <v>3239</v>
      </c>
      <c r="S34" s="111">
        <v>10</v>
      </c>
      <c r="T34" s="116">
        <v>4</v>
      </c>
      <c r="U34" s="111">
        <v>4</v>
      </c>
      <c r="V34" s="111">
        <v>3260</v>
      </c>
      <c r="W34" s="119">
        <v>1994.7653661616164</v>
      </c>
    </row>
    <row r="35" spans="2:23" s="97" customFormat="1" x14ac:dyDescent="0.25">
      <c r="B35" s="109" t="str">
        <f>IF(LEN(F35)=6,MAX($B$4:B34)+1,"")</f>
        <v/>
      </c>
      <c r="C35" s="110" t="s">
        <v>396</v>
      </c>
      <c r="D35" s="116" t="s">
        <v>397</v>
      </c>
      <c r="E35" s="110" t="s">
        <v>398</v>
      </c>
      <c r="F35" s="113" t="str">
        <f>F34&amp;"-A"</f>
        <v>633039-A</v>
      </c>
      <c r="G35" s="111" t="s">
        <v>186</v>
      </c>
      <c r="H35" s="111" t="s">
        <v>149</v>
      </c>
      <c r="I35" s="111" t="s">
        <v>359</v>
      </c>
      <c r="J35" s="123">
        <v>2</v>
      </c>
      <c r="K35" s="111" t="s">
        <v>151</v>
      </c>
      <c r="L35" s="115">
        <v>120</v>
      </c>
      <c r="M35" s="111" t="s">
        <v>174</v>
      </c>
      <c r="N35" s="111"/>
      <c r="O35" s="120" t="s">
        <v>191</v>
      </c>
      <c r="P35" s="116" t="str">
        <f>"Insert into polybag infront of "&amp;F36</f>
        <v>Insert into polybag infront of 633039-B</v>
      </c>
      <c r="Q35" s="116" t="s">
        <v>156</v>
      </c>
      <c r="R35" s="117">
        <v>3239</v>
      </c>
      <c r="S35" s="117">
        <v>10</v>
      </c>
      <c r="T35" s="117">
        <v>4</v>
      </c>
      <c r="U35" s="117">
        <v>4</v>
      </c>
      <c r="V35" s="117">
        <v>3260</v>
      </c>
      <c r="W35" s="119">
        <v>2583.9519759985242</v>
      </c>
    </row>
    <row r="36" spans="2:23" s="97" customFormat="1" x14ac:dyDescent="0.25">
      <c r="B36" s="109" t="str">
        <f>IF(LEN(F36)=6,MAX($B$4:B35)+1,"")</f>
        <v/>
      </c>
      <c r="C36" s="110" t="s">
        <v>393</v>
      </c>
      <c r="D36" s="116" t="s">
        <v>394</v>
      </c>
      <c r="E36" s="110" t="s">
        <v>399</v>
      </c>
      <c r="F36" s="113" t="str">
        <f>F34&amp;"-B"</f>
        <v>633039-B</v>
      </c>
      <c r="G36" s="111" t="s">
        <v>186</v>
      </c>
      <c r="H36" s="111" t="s">
        <v>149</v>
      </c>
      <c r="I36" s="111" t="s">
        <v>359</v>
      </c>
      <c r="J36" s="123">
        <v>24</v>
      </c>
      <c r="K36" s="111" t="s">
        <v>151</v>
      </c>
      <c r="L36" s="115">
        <v>120</v>
      </c>
      <c r="M36" s="111" t="s">
        <v>340</v>
      </c>
      <c r="N36" s="111"/>
      <c r="O36" s="120" t="s">
        <v>361</v>
      </c>
      <c r="P36" s="116" t="str">
        <f>"Insert into polybag behind "&amp;F35</f>
        <v>Insert into polybag behind 633039-A</v>
      </c>
      <c r="Q36" s="116" t="s">
        <v>156</v>
      </c>
      <c r="R36" s="117">
        <v>3239</v>
      </c>
      <c r="S36" s="117">
        <v>10</v>
      </c>
      <c r="T36" s="117">
        <v>4</v>
      </c>
      <c r="U36" s="117">
        <v>4</v>
      </c>
      <c r="V36" s="117">
        <v>3260</v>
      </c>
      <c r="W36" s="119">
        <v>17761.413592151235</v>
      </c>
    </row>
    <row r="37" spans="2:23" s="97" customFormat="1" x14ac:dyDescent="0.25">
      <c r="B37" s="109">
        <f>IF(LEN(F37)=6,MAX($B$4:B36)+1,"")</f>
        <v>20</v>
      </c>
      <c r="C37" s="110" t="s">
        <v>400</v>
      </c>
      <c r="D37" s="116" t="s">
        <v>401</v>
      </c>
      <c r="E37" s="110" t="s">
        <v>402</v>
      </c>
      <c r="F37" s="113">
        <v>633040</v>
      </c>
      <c r="G37" s="111" t="s">
        <v>186</v>
      </c>
      <c r="H37" s="111"/>
      <c r="I37" s="111"/>
      <c r="J37" s="123"/>
      <c r="K37" s="111"/>
      <c r="L37" s="115"/>
      <c r="M37" s="111"/>
      <c r="N37" s="111"/>
      <c r="O37" s="120"/>
      <c r="P37" s="116" t="s">
        <v>155</v>
      </c>
      <c r="Q37" s="116"/>
      <c r="R37" s="117">
        <v>1305</v>
      </c>
      <c r="S37" s="111">
        <v>10</v>
      </c>
      <c r="T37" s="116">
        <v>4</v>
      </c>
      <c r="U37" s="111">
        <v>2</v>
      </c>
      <c r="V37" s="111">
        <v>1330</v>
      </c>
      <c r="W37" s="119">
        <v>787.04971804511285</v>
      </c>
    </row>
    <row r="38" spans="2:23" s="97" customFormat="1" x14ac:dyDescent="0.25">
      <c r="B38" s="109" t="str">
        <f>IF(LEN(F38)=6,MAX($B$4:B37)+1,"")</f>
        <v/>
      </c>
      <c r="C38" s="110" t="s">
        <v>403</v>
      </c>
      <c r="D38" s="116" t="s">
        <v>404</v>
      </c>
      <c r="E38" s="110" t="s">
        <v>405</v>
      </c>
      <c r="F38" s="113" t="str">
        <f>F37&amp;"-A"</f>
        <v>633040-A</v>
      </c>
      <c r="G38" s="111" t="s">
        <v>186</v>
      </c>
      <c r="H38" s="111" t="s">
        <v>149</v>
      </c>
      <c r="I38" s="111" t="s">
        <v>359</v>
      </c>
      <c r="J38" s="123">
        <v>2</v>
      </c>
      <c r="K38" s="111" t="s">
        <v>151</v>
      </c>
      <c r="L38" s="115">
        <v>120</v>
      </c>
      <c r="M38" s="111" t="s">
        <v>190</v>
      </c>
      <c r="N38" s="111"/>
      <c r="O38" s="120" t="s">
        <v>191</v>
      </c>
      <c r="P38" s="116" t="str">
        <f>"Insert into polybag infront of "&amp;F39</f>
        <v>Insert into polybag infront of 633040-B</v>
      </c>
      <c r="Q38" s="116" t="s">
        <v>156</v>
      </c>
      <c r="R38" s="117">
        <v>1305</v>
      </c>
      <c r="S38" s="117">
        <v>10</v>
      </c>
      <c r="T38" s="117">
        <v>4</v>
      </c>
      <c r="U38" s="117">
        <v>2</v>
      </c>
      <c r="V38" s="117">
        <v>1330</v>
      </c>
      <c r="W38" s="119">
        <v>1148.9827963483215</v>
      </c>
    </row>
    <row r="39" spans="2:23" s="97" customFormat="1" x14ac:dyDescent="0.25">
      <c r="B39" s="109" t="str">
        <f>IF(LEN(F39)=6,MAX($B$4:B38)+1,"")</f>
        <v/>
      </c>
      <c r="C39" s="110" t="s">
        <v>400</v>
      </c>
      <c r="D39" s="116" t="s">
        <v>401</v>
      </c>
      <c r="E39" s="110" t="s">
        <v>406</v>
      </c>
      <c r="F39" s="113" t="str">
        <f>F37&amp;"-B"</f>
        <v>633040-B</v>
      </c>
      <c r="G39" s="111" t="s">
        <v>186</v>
      </c>
      <c r="H39" s="111" t="s">
        <v>149</v>
      </c>
      <c r="I39" s="111" t="s">
        <v>359</v>
      </c>
      <c r="J39" s="123">
        <v>28</v>
      </c>
      <c r="K39" s="111" t="s">
        <v>151</v>
      </c>
      <c r="L39" s="115">
        <v>120</v>
      </c>
      <c r="M39" s="111" t="s">
        <v>190</v>
      </c>
      <c r="N39" s="111"/>
      <c r="O39" s="120" t="s">
        <v>361</v>
      </c>
      <c r="P39" s="116" t="str">
        <f>"Insert into polybag behind "&amp;F38</f>
        <v>Insert into polybag behind 633040-A</v>
      </c>
      <c r="Q39" s="116" t="s">
        <v>156</v>
      </c>
      <c r="R39" s="117">
        <v>1305</v>
      </c>
      <c r="S39" s="117">
        <v>10</v>
      </c>
      <c r="T39" s="117">
        <v>4</v>
      </c>
      <c r="U39" s="117">
        <v>2</v>
      </c>
      <c r="V39" s="117">
        <v>1330</v>
      </c>
      <c r="W39" s="119">
        <v>9083.4013498578697</v>
      </c>
    </row>
    <row r="40" spans="2:23" s="97" customFormat="1" x14ac:dyDescent="0.25">
      <c r="B40" s="109">
        <f>IF(LEN(F40)=6,MAX($B$4:B39)+1,"")</f>
        <v>21</v>
      </c>
      <c r="C40" s="110" t="s">
        <v>407</v>
      </c>
      <c r="D40" s="116" t="s">
        <v>408</v>
      </c>
      <c r="E40" s="110" t="s">
        <v>409</v>
      </c>
      <c r="F40" s="113">
        <v>633041</v>
      </c>
      <c r="G40" s="111" t="s">
        <v>186</v>
      </c>
      <c r="H40" s="111"/>
      <c r="I40" s="111"/>
      <c r="J40" s="123"/>
      <c r="K40" s="111"/>
      <c r="L40" s="115"/>
      <c r="M40" s="111"/>
      <c r="N40" s="111"/>
      <c r="O40" s="120"/>
      <c r="P40" s="116" t="s">
        <v>155</v>
      </c>
      <c r="Q40" s="116"/>
      <c r="R40" s="117">
        <v>1305</v>
      </c>
      <c r="S40" s="111">
        <v>10</v>
      </c>
      <c r="T40" s="116">
        <v>4</v>
      </c>
      <c r="U40" s="111">
        <v>2</v>
      </c>
      <c r="V40" s="111">
        <v>1330</v>
      </c>
      <c r="W40" s="119">
        <v>694.16789766081865</v>
      </c>
    </row>
    <row r="41" spans="2:23" s="97" customFormat="1" x14ac:dyDescent="0.25">
      <c r="B41" s="109" t="str">
        <f>IF(LEN(F41)=6,MAX($B$4:B40)+1,"")</f>
        <v/>
      </c>
      <c r="C41" s="110" t="s">
        <v>410</v>
      </c>
      <c r="D41" s="116" t="s">
        <v>411</v>
      </c>
      <c r="E41" s="110" t="s">
        <v>412</v>
      </c>
      <c r="F41" s="113" t="str">
        <f>F40&amp;"-A"</f>
        <v>633041-A</v>
      </c>
      <c r="G41" s="111" t="s">
        <v>186</v>
      </c>
      <c r="H41" s="111" t="s">
        <v>149</v>
      </c>
      <c r="I41" s="111" t="s">
        <v>359</v>
      </c>
      <c r="J41" s="123">
        <v>2</v>
      </c>
      <c r="K41" s="111" t="s">
        <v>151</v>
      </c>
      <c r="L41" s="115">
        <v>120</v>
      </c>
      <c r="M41" s="111" t="s">
        <v>190</v>
      </c>
      <c r="N41" s="111"/>
      <c r="O41" s="120" t="s">
        <v>191</v>
      </c>
      <c r="P41" s="116" t="str">
        <f>"Insert into polybag infront of "&amp;F42</f>
        <v>Insert into polybag infront of 633041-B</v>
      </c>
      <c r="Q41" s="116" t="s">
        <v>156</v>
      </c>
      <c r="R41" s="117">
        <v>1305</v>
      </c>
      <c r="S41" s="117">
        <v>10</v>
      </c>
      <c r="T41" s="117">
        <v>4</v>
      </c>
      <c r="U41" s="117">
        <v>2</v>
      </c>
      <c r="V41" s="117">
        <v>1330</v>
      </c>
      <c r="W41" s="119">
        <v>1148.9827963483215</v>
      </c>
    </row>
    <row r="42" spans="2:23" s="97" customFormat="1" x14ac:dyDescent="0.25">
      <c r="B42" s="109" t="str">
        <f>IF(LEN(F42)=6,MAX($B$4:B41)+1,"")</f>
        <v/>
      </c>
      <c r="C42" s="110" t="s">
        <v>407</v>
      </c>
      <c r="D42" s="116" t="s">
        <v>408</v>
      </c>
      <c r="E42" s="110" t="s">
        <v>413</v>
      </c>
      <c r="F42" s="113" t="str">
        <f>F40&amp;"-B"</f>
        <v>633041-B</v>
      </c>
      <c r="G42" s="111" t="s">
        <v>186</v>
      </c>
      <c r="H42" s="111" t="s">
        <v>149</v>
      </c>
      <c r="I42" s="111" t="s">
        <v>359</v>
      </c>
      <c r="J42" s="123">
        <v>6</v>
      </c>
      <c r="K42" s="111" t="s">
        <v>151</v>
      </c>
      <c r="L42" s="115">
        <v>120</v>
      </c>
      <c r="M42" s="111" t="s">
        <v>190</v>
      </c>
      <c r="N42" s="111"/>
      <c r="O42" s="120" t="s">
        <v>361</v>
      </c>
      <c r="P42" s="116" t="str">
        <f>"Insert into polybag behind "&amp;F41</f>
        <v>Insert into polybag behind 633041-A</v>
      </c>
      <c r="Q42" s="116" t="s">
        <v>156</v>
      </c>
      <c r="R42" s="117">
        <v>1305</v>
      </c>
      <c r="S42" s="117">
        <v>10</v>
      </c>
      <c r="T42" s="117">
        <v>4</v>
      </c>
      <c r="U42" s="117">
        <v>2</v>
      </c>
      <c r="V42" s="117">
        <v>1330</v>
      </c>
      <c r="W42" s="119">
        <v>3041.9986878111645</v>
      </c>
    </row>
    <row r="43" spans="2:23" s="97" customFormat="1" x14ac:dyDescent="0.25">
      <c r="B43" s="109">
        <f>IF(LEN(F43)=6,MAX($B$4:B42)+1,"")</f>
        <v>22</v>
      </c>
      <c r="C43" s="110" t="s">
        <v>414</v>
      </c>
      <c r="D43" s="116" t="s">
        <v>415</v>
      </c>
      <c r="E43" s="110" t="s">
        <v>416</v>
      </c>
      <c r="F43" s="113">
        <v>633042</v>
      </c>
      <c r="G43" s="111" t="s">
        <v>186</v>
      </c>
      <c r="H43" s="111"/>
      <c r="I43" s="111"/>
      <c r="J43" s="123"/>
      <c r="K43" s="111"/>
      <c r="L43" s="115"/>
      <c r="M43" s="111"/>
      <c r="N43" s="111"/>
      <c r="O43" s="120"/>
      <c r="P43" s="116" t="s">
        <v>155</v>
      </c>
      <c r="Q43" s="116"/>
      <c r="R43" s="117">
        <v>1343</v>
      </c>
      <c r="S43" s="111">
        <v>10</v>
      </c>
      <c r="T43" s="116">
        <v>4</v>
      </c>
      <c r="U43" s="111">
        <v>2</v>
      </c>
      <c r="V43" s="111">
        <v>1360</v>
      </c>
      <c r="W43" s="119">
        <v>1363.3844696969697</v>
      </c>
    </row>
    <row r="44" spans="2:23" s="97" customFormat="1" x14ac:dyDescent="0.25">
      <c r="B44" s="109" t="str">
        <f>IF(LEN(F44)=6,MAX($B$4:B43)+1,"")</f>
        <v/>
      </c>
      <c r="C44" s="110" t="s">
        <v>417</v>
      </c>
      <c r="D44" s="116" t="s">
        <v>418</v>
      </c>
      <c r="E44" s="110" t="s">
        <v>419</v>
      </c>
      <c r="F44" s="113" t="str">
        <f>F43&amp;"-A"</f>
        <v>633042-A</v>
      </c>
      <c r="G44" s="111" t="s">
        <v>186</v>
      </c>
      <c r="H44" s="111" t="s">
        <v>149</v>
      </c>
      <c r="I44" s="111" t="s">
        <v>359</v>
      </c>
      <c r="J44" s="123">
        <v>2</v>
      </c>
      <c r="K44" s="111" t="s">
        <v>151</v>
      </c>
      <c r="L44" s="115">
        <v>120</v>
      </c>
      <c r="M44" s="111" t="s">
        <v>152</v>
      </c>
      <c r="N44" s="111"/>
      <c r="O44" s="120" t="s">
        <v>191</v>
      </c>
      <c r="P44" s="116" t="str">
        <f>"Insert into polybag infront of "&amp;F45</f>
        <v>Insert into polybag infront of 633042-B</v>
      </c>
      <c r="Q44" s="116" t="s">
        <v>156</v>
      </c>
      <c r="R44" s="117">
        <v>1343</v>
      </c>
      <c r="S44" s="117">
        <v>10</v>
      </c>
      <c r="T44" s="117">
        <v>4</v>
      </c>
      <c r="U44" s="117">
        <v>2</v>
      </c>
      <c r="V44" s="117">
        <v>1360</v>
      </c>
      <c r="W44" s="119">
        <v>1176.5526029329683</v>
      </c>
    </row>
    <row r="45" spans="2:23" s="97" customFormat="1" x14ac:dyDescent="0.25">
      <c r="B45" s="109" t="str">
        <f>IF(LEN(F45)=6,MAX($B$4:B44)+1,"")</f>
        <v/>
      </c>
      <c r="C45" s="110" t="s">
        <v>414</v>
      </c>
      <c r="D45" s="116" t="s">
        <v>415</v>
      </c>
      <c r="E45" s="110" t="s">
        <v>420</v>
      </c>
      <c r="F45" s="113" t="str">
        <f>F43&amp;"-B"</f>
        <v>633042-B</v>
      </c>
      <c r="G45" s="111" t="s">
        <v>186</v>
      </c>
      <c r="H45" s="111" t="s">
        <v>149</v>
      </c>
      <c r="I45" s="111" t="s">
        <v>359</v>
      </c>
      <c r="J45" s="123">
        <v>16</v>
      </c>
      <c r="K45" s="111" t="s">
        <v>151</v>
      </c>
      <c r="L45" s="115">
        <v>120</v>
      </c>
      <c r="M45" s="111" t="s">
        <v>160</v>
      </c>
      <c r="N45" s="111"/>
      <c r="O45" s="120" t="s">
        <v>361</v>
      </c>
      <c r="P45" s="116" t="str">
        <f>"Insert into polybag behind "&amp;F44</f>
        <v>Insert into polybag behind 633042-A</v>
      </c>
      <c r="Q45" s="116" t="s">
        <v>156</v>
      </c>
      <c r="R45" s="117">
        <v>1343</v>
      </c>
      <c r="S45" s="117">
        <v>10</v>
      </c>
      <c r="T45" s="117">
        <v>4</v>
      </c>
      <c r="U45" s="117">
        <v>2</v>
      </c>
      <c r="V45" s="117">
        <v>1360</v>
      </c>
      <c r="W45" s="119">
        <v>5792.2906596564499</v>
      </c>
    </row>
    <row r="46" spans="2:23" s="97" customFormat="1" x14ac:dyDescent="0.25">
      <c r="B46" s="109" t="str">
        <f>IF(LEN(F46)=6,MAX($B$4:B45)+1,"")</f>
        <v/>
      </c>
      <c r="C46" s="110" t="s">
        <v>421</v>
      </c>
      <c r="D46" s="116" t="s">
        <v>422</v>
      </c>
      <c r="E46" s="110" t="s">
        <v>423</v>
      </c>
      <c r="F46" s="113" t="str">
        <f>F43&amp;"-C"</f>
        <v>633042-C</v>
      </c>
      <c r="G46" s="111" t="s">
        <v>186</v>
      </c>
      <c r="H46" s="111" t="s">
        <v>149</v>
      </c>
      <c r="I46" s="111" t="s">
        <v>359</v>
      </c>
      <c r="J46" s="123">
        <v>34</v>
      </c>
      <c r="K46" s="111" t="s">
        <v>151</v>
      </c>
      <c r="L46" s="115">
        <v>120</v>
      </c>
      <c r="M46" s="111" t="s">
        <v>152</v>
      </c>
      <c r="N46" s="111"/>
      <c r="O46" s="120" t="s">
        <v>361</v>
      </c>
      <c r="P46" s="116" t="str">
        <f>"Insert into polybag behind "&amp;F45</f>
        <v>Insert into polybag behind 633042-B</v>
      </c>
      <c r="Q46" s="116" t="s">
        <v>156</v>
      </c>
      <c r="R46" s="117">
        <v>1343</v>
      </c>
      <c r="S46" s="117">
        <v>10</v>
      </c>
      <c r="T46" s="117">
        <v>4</v>
      </c>
      <c r="U46" s="117">
        <v>2</v>
      </c>
      <c r="V46" s="117">
        <v>1360</v>
      </c>
      <c r="W46" s="119">
        <v>10855.889214822222</v>
      </c>
    </row>
    <row r="47" spans="2:23" s="97" customFormat="1" x14ac:dyDescent="0.25">
      <c r="B47" s="109">
        <f>IF(LEN(F47)=6,MAX($B$4:B46)+1,"")</f>
        <v>23</v>
      </c>
      <c r="C47" s="110" t="s">
        <v>424</v>
      </c>
      <c r="D47" s="116" t="s">
        <v>425</v>
      </c>
      <c r="E47" s="110" t="s">
        <v>426</v>
      </c>
      <c r="F47" s="113">
        <v>633043</v>
      </c>
      <c r="G47" s="111" t="s">
        <v>186</v>
      </c>
      <c r="H47" s="111"/>
      <c r="I47" s="111"/>
      <c r="J47" s="123"/>
      <c r="K47" s="111"/>
      <c r="L47" s="115"/>
      <c r="M47" s="111"/>
      <c r="N47" s="111"/>
      <c r="O47" s="120"/>
      <c r="P47" s="116" t="s">
        <v>155</v>
      </c>
      <c r="Q47" s="116"/>
      <c r="R47" s="117">
        <v>1311</v>
      </c>
      <c r="S47" s="111">
        <v>10</v>
      </c>
      <c r="T47" s="116">
        <v>4</v>
      </c>
      <c r="U47" s="111">
        <v>2</v>
      </c>
      <c r="V47" s="111">
        <v>1330</v>
      </c>
      <c r="W47" s="119">
        <v>737.41954704944169</v>
      </c>
    </row>
    <row r="48" spans="2:23" s="97" customFormat="1" x14ac:dyDescent="0.25">
      <c r="B48" s="109" t="str">
        <f>IF(LEN(F48)=6,MAX($B$4:B47)+1,"")</f>
        <v/>
      </c>
      <c r="C48" s="110" t="s">
        <v>427</v>
      </c>
      <c r="D48" s="116" t="s">
        <v>428</v>
      </c>
      <c r="E48" s="110" t="s">
        <v>429</v>
      </c>
      <c r="F48" s="113" t="str">
        <f>F47&amp;"-A"</f>
        <v>633043-A</v>
      </c>
      <c r="G48" s="111" t="s">
        <v>186</v>
      </c>
      <c r="H48" s="111" t="s">
        <v>149</v>
      </c>
      <c r="I48" s="111" t="s">
        <v>359</v>
      </c>
      <c r="J48" s="123">
        <v>2</v>
      </c>
      <c r="K48" s="111" t="s">
        <v>151</v>
      </c>
      <c r="L48" s="115">
        <v>120</v>
      </c>
      <c r="M48" s="111" t="s">
        <v>174</v>
      </c>
      <c r="N48" s="111"/>
      <c r="O48" s="120" t="s">
        <v>191</v>
      </c>
      <c r="P48" s="116" t="str">
        <f>"Insert into polybag infront of "&amp;F49</f>
        <v>Insert into polybag infront of 633043-B</v>
      </c>
      <c r="Q48" s="116" t="s">
        <v>156</v>
      </c>
      <c r="R48" s="117">
        <v>1311</v>
      </c>
      <c r="S48" s="117">
        <v>10</v>
      </c>
      <c r="T48" s="117">
        <v>4</v>
      </c>
      <c r="U48" s="117">
        <v>2</v>
      </c>
      <c r="V48" s="117">
        <v>1330</v>
      </c>
      <c r="W48" s="119">
        <v>1152.0461081910598</v>
      </c>
    </row>
    <row r="49" spans="2:23" s="97" customFormat="1" x14ac:dyDescent="0.25">
      <c r="B49" s="109" t="str">
        <f>IF(LEN(F49)=6,MAX($B$4:B48)+1,"")</f>
        <v/>
      </c>
      <c r="C49" s="110" t="s">
        <v>424</v>
      </c>
      <c r="D49" s="116" t="s">
        <v>425</v>
      </c>
      <c r="E49" s="110" t="s">
        <v>430</v>
      </c>
      <c r="F49" s="113" t="str">
        <f>F47&amp;"-B"</f>
        <v>633043-B</v>
      </c>
      <c r="G49" s="111" t="s">
        <v>186</v>
      </c>
      <c r="H49" s="111" t="s">
        <v>149</v>
      </c>
      <c r="I49" s="111" t="s">
        <v>359</v>
      </c>
      <c r="J49" s="123">
        <v>16</v>
      </c>
      <c r="K49" s="111" t="s">
        <v>151</v>
      </c>
      <c r="L49" s="115">
        <v>120</v>
      </c>
      <c r="M49" s="111" t="s">
        <v>340</v>
      </c>
      <c r="N49" s="111"/>
      <c r="O49" s="120" t="s">
        <v>361</v>
      </c>
      <c r="P49" s="116" t="str">
        <f>"Insert into polybag behind "&amp;F48</f>
        <v>Insert into polybag behind 633043-A</v>
      </c>
      <c r="Q49" s="116" t="s">
        <v>156</v>
      </c>
      <c r="R49" s="117">
        <v>1311</v>
      </c>
      <c r="S49" s="117">
        <v>10</v>
      </c>
      <c r="T49" s="117">
        <v>4</v>
      </c>
      <c r="U49" s="117">
        <v>2</v>
      </c>
      <c r="V49" s="117">
        <v>1330</v>
      </c>
      <c r="W49" s="119">
        <v>5613.7338338199879</v>
      </c>
    </row>
    <row r="50" spans="2:23" s="97" customFormat="1" x14ac:dyDescent="0.25">
      <c r="B50" s="109">
        <f>IF(LEN(F50)=6,MAX($B$4:B49)+1,"")</f>
        <v>24</v>
      </c>
      <c r="C50" s="110" t="s">
        <v>431</v>
      </c>
      <c r="D50" s="116" t="s">
        <v>432</v>
      </c>
      <c r="E50" s="110" t="s">
        <v>433</v>
      </c>
      <c r="F50" s="113">
        <v>633044</v>
      </c>
      <c r="G50" s="111" t="s">
        <v>186</v>
      </c>
      <c r="H50" s="111"/>
      <c r="I50" s="111"/>
      <c r="J50" s="123"/>
      <c r="K50" s="111"/>
      <c r="L50" s="115"/>
      <c r="M50" s="111"/>
      <c r="N50" s="111"/>
      <c r="O50" s="120"/>
      <c r="P50" s="116" t="s">
        <v>155</v>
      </c>
      <c r="Q50" s="116"/>
      <c r="R50" s="117">
        <v>1311</v>
      </c>
      <c r="S50" s="111">
        <v>10</v>
      </c>
      <c r="T50" s="116">
        <v>4</v>
      </c>
      <c r="U50" s="111">
        <v>2</v>
      </c>
      <c r="V50" s="111">
        <v>1330</v>
      </c>
      <c r="W50" s="119">
        <v>1321.0734472545</v>
      </c>
    </row>
    <row r="51" spans="2:23" s="97" customFormat="1" x14ac:dyDescent="0.25">
      <c r="B51" s="109" t="str">
        <f>IF(LEN(F51)=6,MAX($B$4:B50)+1,"")</f>
        <v/>
      </c>
      <c r="C51" s="110" t="s">
        <v>434</v>
      </c>
      <c r="D51" s="116" t="s">
        <v>435</v>
      </c>
      <c r="E51" s="110" t="s">
        <v>436</v>
      </c>
      <c r="F51" s="113" t="str">
        <f>F50&amp;"-A"</f>
        <v>633044-A</v>
      </c>
      <c r="G51" s="111" t="s">
        <v>186</v>
      </c>
      <c r="H51" s="111" t="s">
        <v>149</v>
      </c>
      <c r="I51" s="111" t="s">
        <v>359</v>
      </c>
      <c r="J51" s="123">
        <v>2</v>
      </c>
      <c r="K51" s="111" t="s">
        <v>151</v>
      </c>
      <c r="L51" s="115">
        <v>120</v>
      </c>
      <c r="M51" s="111" t="s">
        <v>174</v>
      </c>
      <c r="N51" s="111"/>
      <c r="O51" s="120" t="s">
        <v>191</v>
      </c>
      <c r="P51" s="116" t="str">
        <f>"Insert into polybag infront of "&amp;F52</f>
        <v>Insert into polybag infront of 633044-B</v>
      </c>
      <c r="Q51" s="116" t="s">
        <v>156</v>
      </c>
      <c r="R51" s="117">
        <v>1311</v>
      </c>
      <c r="S51" s="117">
        <v>10</v>
      </c>
      <c r="T51" s="117">
        <v>4</v>
      </c>
      <c r="U51" s="117">
        <v>2</v>
      </c>
      <c r="V51" s="117">
        <v>1330</v>
      </c>
      <c r="W51" s="119">
        <v>1152.0461081910596</v>
      </c>
    </row>
    <row r="52" spans="2:23" s="97" customFormat="1" x14ac:dyDescent="0.25">
      <c r="B52" s="109" t="str">
        <f>IF(LEN(F52)=6,MAX($B$4:B51)+1,"")</f>
        <v/>
      </c>
      <c r="C52" s="110" t="s">
        <v>431</v>
      </c>
      <c r="D52" s="116" t="s">
        <v>432</v>
      </c>
      <c r="E52" s="110" t="s">
        <v>437</v>
      </c>
      <c r="F52" s="113" t="str">
        <f>F50&amp;"-B"</f>
        <v>633044-B</v>
      </c>
      <c r="G52" s="111" t="s">
        <v>186</v>
      </c>
      <c r="H52" s="111" t="s">
        <v>149</v>
      </c>
      <c r="I52" s="111" t="s">
        <v>359</v>
      </c>
      <c r="J52" s="123">
        <v>24</v>
      </c>
      <c r="K52" s="111" t="s">
        <v>151</v>
      </c>
      <c r="L52" s="115">
        <v>120</v>
      </c>
      <c r="M52" s="111" t="s">
        <v>340</v>
      </c>
      <c r="N52" s="111"/>
      <c r="O52" s="120" t="s">
        <v>361</v>
      </c>
      <c r="P52" s="116" t="str">
        <f>"Insert into polybag behind "&amp;F51</f>
        <v>Insert into polybag behind 633044-A</v>
      </c>
      <c r="Q52" s="116" t="s">
        <v>156</v>
      </c>
      <c r="R52" s="117">
        <v>1311</v>
      </c>
      <c r="S52" s="117">
        <v>10</v>
      </c>
      <c r="T52" s="117">
        <v>4</v>
      </c>
      <c r="U52" s="117">
        <v>2</v>
      </c>
      <c r="V52" s="117">
        <v>1330</v>
      </c>
      <c r="W52" s="119">
        <v>8274.2119719673065</v>
      </c>
    </row>
    <row r="53" spans="2:23" s="97" customFormat="1" x14ac:dyDescent="0.25">
      <c r="B53" s="109"/>
      <c r="C53" s="110"/>
      <c r="D53" s="116"/>
      <c r="E53" s="110" t="s">
        <v>438</v>
      </c>
      <c r="F53" s="113" t="str">
        <f>F50&amp;"-C"</f>
        <v>633044-C</v>
      </c>
      <c r="G53" s="111" t="s">
        <v>186</v>
      </c>
      <c r="H53" s="111"/>
      <c r="I53" s="111"/>
      <c r="J53" s="123"/>
      <c r="K53" s="111" t="s">
        <v>439</v>
      </c>
      <c r="L53" s="115"/>
      <c r="M53" s="111"/>
      <c r="N53" s="111"/>
      <c r="O53" s="120" t="s">
        <v>440</v>
      </c>
      <c r="P53" s="116" t="str">
        <f>"Insert into polybag behind "&amp;F54</f>
        <v>Insert into polybag behind 633045</v>
      </c>
      <c r="Q53" s="116"/>
      <c r="R53" s="117">
        <v>1311</v>
      </c>
      <c r="S53" s="117">
        <v>10</v>
      </c>
      <c r="T53" s="117">
        <v>4</v>
      </c>
      <c r="U53" s="117">
        <v>2</v>
      </c>
      <c r="V53" s="117">
        <v>1330</v>
      </c>
      <c r="W53" s="119">
        <v>3824.5555555555557</v>
      </c>
    </row>
    <row r="54" spans="2:23" s="97" customFormat="1" x14ac:dyDescent="0.25">
      <c r="B54" s="109">
        <f>IF(LEN(F54)=6,MAX($B$4:B52)+1,"")</f>
        <v>25</v>
      </c>
      <c r="C54" s="110" t="s">
        <v>441</v>
      </c>
      <c r="D54" s="116" t="s">
        <v>442</v>
      </c>
      <c r="E54" s="110" t="s">
        <v>443</v>
      </c>
      <c r="F54" s="113">
        <v>633045</v>
      </c>
      <c r="G54" s="111" t="s">
        <v>186</v>
      </c>
      <c r="H54" s="111"/>
      <c r="I54" s="111"/>
      <c r="J54" s="123"/>
      <c r="K54" s="111"/>
      <c r="L54" s="115"/>
      <c r="M54" s="111"/>
      <c r="N54" s="111"/>
      <c r="O54" s="120"/>
      <c r="P54" s="116" t="s">
        <v>155</v>
      </c>
      <c r="Q54" s="116"/>
      <c r="R54" s="117">
        <v>1311</v>
      </c>
      <c r="S54" s="111">
        <v>10</v>
      </c>
      <c r="T54" s="116">
        <v>4</v>
      </c>
      <c r="U54" s="111">
        <v>2</v>
      </c>
      <c r="V54" s="111">
        <v>1330</v>
      </c>
      <c r="W54" s="119">
        <v>729.21716528252455</v>
      </c>
    </row>
    <row r="55" spans="2:23" s="97" customFormat="1" x14ac:dyDescent="0.25">
      <c r="B55" s="109" t="str">
        <f>IF(LEN(F55)=6,MAX($B$4:B54)+1,"")</f>
        <v/>
      </c>
      <c r="C55" s="110" t="s">
        <v>444</v>
      </c>
      <c r="D55" s="116" t="s">
        <v>445</v>
      </c>
      <c r="E55" s="110" t="s">
        <v>446</v>
      </c>
      <c r="F55" s="113" t="str">
        <f>F54&amp;"-A"</f>
        <v>633045-A</v>
      </c>
      <c r="G55" s="111" t="s">
        <v>186</v>
      </c>
      <c r="H55" s="111" t="s">
        <v>149</v>
      </c>
      <c r="I55" s="111" t="s">
        <v>359</v>
      </c>
      <c r="J55" s="123">
        <v>2</v>
      </c>
      <c r="K55" s="111" t="s">
        <v>151</v>
      </c>
      <c r="L55" s="115">
        <v>120</v>
      </c>
      <c r="M55" s="111" t="s">
        <v>174</v>
      </c>
      <c r="N55" s="111"/>
      <c r="O55" s="120" t="s">
        <v>191</v>
      </c>
      <c r="P55" s="116" t="str">
        <f>"Insert into polybag infront of "&amp;F56</f>
        <v>Insert into polybag infront of 633045-B</v>
      </c>
      <c r="Q55" s="116" t="s">
        <v>156</v>
      </c>
      <c r="R55" s="117">
        <v>1311</v>
      </c>
      <c r="S55" s="117">
        <v>10</v>
      </c>
      <c r="T55" s="117">
        <v>4</v>
      </c>
      <c r="U55" s="117">
        <v>2</v>
      </c>
      <c r="V55" s="117">
        <v>1330</v>
      </c>
      <c r="W55" s="119">
        <v>1152.0461081910598</v>
      </c>
    </row>
    <row r="56" spans="2:23" s="97" customFormat="1" x14ac:dyDescent="0.25">
      <c r="B56" s="109" t="str">
        <f>IF(LEN(F56)=6,MAX($B$4:B55)+1,"")</f>
        <v/>
      </c>
      <c r="C56" s="110" t="s">
        <v>441</v>
      </c>
      <c r="D56" s="116" t="s">
        <v>442</v>
      </c>
      <c r="E56" s="110" t="s">
        <v>447</v>
      </c>
      <c r="F56" s="113" t="str">
        <f>F54&amp;"-B"</f>
        <v>633045-B</v>
      </c>
      <c r="G56" s="111" t="s">
        <v>186</v>
      </c>
      <c r="H56" s="111" t="s">
        <v>149</v>
      </c>
      <c r="I56" s="111" t="s">
        <v>359</v>
      </c>
      <c r="J56" s="123">
        <v>24</v>
      </c>
      <c r="K56" s="111" t="s">
        <v>151</v>
      </c>
      <c r="L56" s="115">
        <v>120</v>
      </c>
      <c r="M56" s="111" t="s">
        <v>340</v>
      </c>
      <c r="N56" s="111"/>
      <c r="O56" s="120" t="s">
        <v>361</v>
      </c>
      <c r="P56" s="116" t="str">
        <f>"Insert into polybag behind "&amp;F55</f>
        <v>Insert into polybag behind 633045-A</v>
      </c>
      <c r="Q56" s="116" t="s">
        <v>156</v>
      </c>
      <c r="R56" s="117">
        <v>1311</v>
      </c>
      <c r="S56" s="117">
        <v>10</v>
      </c>
      <c r="T56" s="117">
        <v>4</v>
      </c>
      <c r="U56" s="117">
        <v>2</v>
      </c>
      <c r="V56" s="117">
        <v>1330</v>
      </c>
      <c r="W56" s="119">
        <v>8274.2129371929168</v>
      </c>
    </row>
    <row r="57" spans="2:23" s="97" customFormat="1" x14ac:dyDescent="0.25">
      <c r="B57" s="109">
        <f>IF(LEN(F57)=6,MAX($B$4:B56)+1,"")</f>
        <v>26</v>
      </c>
      <c r="C57" s="110" t="s">
        <v>448</v>
      </c>
      <c r="D57" s="116" t="s">
        <v>449</v>
      </c>
      <c r="E57" s="110" t="s">
        <v>450</v>
      </c>
      <c r="F57" s="113">
        <v>633046</v>
      </c>
      <c r="G57" s="111" t="s">
        <v>237</v>
      </c>
      <c r="H57" s="111"/>
      <c r="I57" s="111"/>
      <c r="J57" s="123"/>
      <c r="K57" s="111"/>
      <c r="L57" s="115"/>
      <c r="M57" s="111"/>
      <c r="N57" s="111"/>
      <c r="O57" s="120"/>
      <c r="P57" s="116" t="s">
        <v>155</v>
      </c>
      <c r="Q57" s="116" t="s">
        <v>451</v>
      </c>
      <c r="R57" s="117">
        <v>81</v>
      </c>
      <c r="S57" s="111">
        <v>3</v>
      </c>
      <c r="T57" s="116">
        <v>4</v>
      </c>
      <c r="U57" s="111">
        <v>1</v>
      </c>
      <c r="V57" s="111">
        <v>90</v>
      </c>
      <c r="W57" s="154">
        <v>1946.4883116883116</v>
      </c>
    </row>
    <row r="58" spans="2:23" s="97" customFormat="1" x14ac:dyDescent="0.25">
      <c r="B58" s="109" t="str">
        <f>IF(LEN(F58)=6,MAX($B$4:B57)+1,"")</f>
        <v/>
      </c>
      <c r="C58" s="110" t="s">
        <v>452</v>
      </c>
      <c r="D58" s="116" t="s">
        <v>453</v>
      </c>
      <c r="E58" s="110" t="s">
        <v>454</v>
      </c>
      <c r="F58" s="113" t="str">
        <f>F57&amp;"-A"</f>
        <v>633046-A</v>
      </c>
      <c r="G58" s="111" t="s">
        <v>237</v>
      </c>
      <c r="H58" s="111" t="s">
        <v>455</v>
      </c>
      <c r="I58" s="111" t="s">
        <v>456</v>
      </c>
      <c r="J58" s="123">
        <v>4</v>
      </c>
      <c r="K58" s="111" t="s">
        <v>151</v>
      </c>
      <c r="L58" s="115">
        <v>80</v>
      </c>
      <c r="M58" s="111" t="s">
        <v>190</v>
      </c>
      <c r="N58" s="111"/>
      <c r="O58" s="120" t="s">
        <v>457</v>
      </c>
      <c r="P58" s="116" t="str">
        <f>"Insert into polybag in front of "&amp;F59&amp;" to form "&amp;F57</f>
        <v>Insert into polybag in front of 633046-B to form 633046</v>
      </c>
      <c r="Q58" s="116" t="s">
        <v>451</v>
      </c>
      <c r="R58" s="117">
        <v>0</v>
      </c>
      <c r="S58" s="111">
        <v>0</v>
      </c>
      <c r="T58" s="116">
        <v>0</v>
      </c>
      <c r="U58" s="111">
        <v>0</v>
      </c>
      <c r="V58" s="111">
        <v>0</v>
      </c>
      <c r="W58" s="155"/>
    </row>
    <row r="59" spans="2:23" s="97" customFormat="1" x14ac:dyDescent="0.25">
      <c r="B59" s="109" t="str">
        <f>IF(LEN(F59)=6,MAX($B$4:B58)+1,"")</f>
        <v/>
      </c>
      <c r="C59" s="110" t="s">
        <v>448</v>
      </c>
      <c r="D59" s="116" t="s">
        <v>449</v>
      </c>
      <c r="E59" s="110" t="s">
        <v>458</v>
      </c>
      <c r="F59" s="113" t="str">
        <f>F57&amp;"-B"</f>
        <v>633046-B</v>
      </c>
      <c r="G59" s="111" t="s">
        <v>237</v>
      </c>
      <c r="H59" s="111" t="s">
        <v>455</v>
      </c>
      <c r="I59" s="111" t="s">
        <v>456</v>
      </c>
      <c r="J59" s="123">
        <v>25</v>
      </c>
      <c r="K59" s="111" t="s">
        <v>245</v>
      </c>
      <c r="L59" s="115">
        <v>135</v>
      </c>
      <c r="M59" s="111" t="s">
        <v>459</v>
      </c>
      <c r="N59" s="111"/>
      <c r="O59" s="120" t="str">
        <f>"Drill, collate and treasury tag as per production sample to form " &amp;F57</f>
        <v>Drill, collate and treasury tag as per production sample to form 633046</v>
      </c>
      <c r="P59" s="116" t="str">
        <f>"Insert into polybag behind "&amp;F58&amp;" to form "&amp;F57</f>
        <v>Insert into polybag behind 633046-A to form 633046</v>
      </c>
      <c r="Q59" s="116" t="s">
        <v>451</v>
      </c>
      <c r="R59" s="117">
        <v>0</v>
      </c>
      <c r="S59" s="111">
        <v>0</v>
      </c>
      <c r="T59" s="116">
        <v>0</v>
      </c>
      <c r="U59" s="111">
        <v>0</v>
      </c>
      <c r="V59" s="111">
        <v>0</v>
      </c>
      <c r="W59" s="155"/>
    </row>
    <row r="60" spans="2:23" s="97" customFormat="1" x14ac:dyDescent="0.25">
      <c r="B60" s="109" t="str">
        <f>IF(LEN(F60)=6,MAX($B$4:B59)+1,"")</f>
        <v/>
      </c>
      <c r="C60" s="110" t="s">
        <v>460</v>
      </c>
      <c r="D60" s="116" t="s">
        <v>461</v>
      </c>
      <c r="E60" s="110" t="s">
        <v>462</v>
      </c>
      <c r="F60" s="113" t="str">
        <f>F57&amp;"-C"</f>
        <v>633046-C</v>
      </c>
      <c r="G60" s="111" t="s">
        <v>237</v>
      </c>
      <c r="H60" s="111" t="s">
        <v>463</v>
      </c>
      <c r="I60" s="111" t="s">
        <v>150</v>
      </c>
      <c r="J60" s="123">
        <v>6</v>
      </c>
      <c r="K60" s="111" t="s">
        <v>151</v>
      </c>
      <c r="L60" s="115">
        <v>80</v>
      </c>
      <c r="M60" s="111" t="s">
        <v>250</v>
      </c>
      <c r="N60" s="111"/>
      <c r="O60" s="120" t="str">
        <f>"Insert behind front cover of "&amp;F59</f>
        <v>Insert behind front cover of 633046-B</v>
      </c>
      <c r="P60" s="116" t="s">
        <v>251</v>
      </c>
      <c r="Q60" s="116" t="s">
        <v>451</v>
      </c>
      <c r="R60" s="117">
        <v>0</v>
      </c>
      <c r="S60" s="111">
        <v>0</v>
      </c>
      <c r="T60" s="116">
        <v>0</v>
      </c>
      <c r="U60" s="111">
        <v>0</v>
      </c>
      <c r="V60" s="111">
        <v>0</v>
      </c>
      <c r="W60" s="156"/>
    </row>
    <row r="61" spans="2:23" s="97" customFormat="1" x14ac:dyDescent="0.25">
      <c r="B61" s="109">
        <f>IF(LEN(F61)=6,MAX($B$4:B60)+1,"")</f>
        <v>27</v>
      </c>
      <c r="C61" s="110" t="s">
        <v>464</v>
      </c>
      <c r="D61" s="116" t="s">
        <v>465</v>
      </c>
      <c r="E61" s="110" t="s">
        <v>466</v>
      </c>
      <c r="F61" s="113">
        <v>633047</v>
      </c>
      <c r="G61" s="111" t="s">
        <v>237</v>
      </c>
      <c r="H61" s="111"/>
      <c r="I61" s="111"/>
      <c r="J61" s="123"/>
      <c r="K61" s="111"/>
      <c r="L61" s="115"/>
      <c r="M61" s="111"/>
      <c r="N61" s="111"/>
      <c r="O61" s="120"/>
      <c r="P61" s="116" t="s">
        <v>155</v>
      </c>
      <c r="Q61" s="116" t="s">
        <v>451</v>
      </c>
      <c r="R61" s="117">
        <v>81</v>
      </c>
      <c r="S61" s="111">
        <v>3</v>
      </c>
      <c r="T61" s="116">
        <v>4</v>
      </c>
      <c r="U61" s="111">
        <v>1</v>
      </c>
      <c r="V61" s="111">
        <v>90</v>
      </c>
      <c r="W61" s="154">
        <v>3518.3238888888882</v>
      </c>
    </row>
    <row r="62" spans="2:23" s="97" customFormat="1" x14ac:dyDescent="0.25">
      <c r="B62" s="109" t="str">
        <f>IF(LEN(F62)=6,MAX($B$4:B61)+1,"")</f>
        <v/>
      </c>
      <c r="C62" s="110" t="s">
        <v>467</v>
      </c>
      <c r="D62" s="116" t="s">
        <v>468</v>
      </c>
      <c r="E62" s="110" t="s">
        <v>469</v>
      </c>
      <c r="F62" s="113" t="str">
        <f>F61&amp;"-A"</f>
        <v>633047-A</v>
      </c>
      <c r="G62" s="111" t="s">
        <v>237</v>
      </c>
      <c r="H62" s="111" t="s">
        <v>455</v>
      </c>
      <c r="I62" s="111" t="s">
        <v>456</v>
      </c>
      <c r="J62" s="123">
        <v>4</v>
      </c>
      <c r="K62" s="111" t="s">
        <v>151</v>
      </c>
      <c r="L62" s="115">
        <v>80</v>
      </c>
      <c r="M62" s="111" t="s">
        <v>152</v>
      </c>
      <c r="N62" s="111"/>
      <c r="O62" s="120" t="s">
        <v>457</v>
      </c>
      <c r="P62" s="116" t="str">
        <f>"Insert into polybag in front of "&amp;F63&amp;" to form "&amp;F61</f>
        <v>Insert into polybag in front of 633047-B to form 633047</v>
      </c>
      <c r="Q62" s="116" t="s">
        <v>451</v>
      </c>
      <c r="R62" s="117">
        <v>0</v>
      </c>
      <c r="S62" s="111">
        <v>0</v>
      </c>
      <c r="T62" s="116">
        <v>0</v>
      </c>
      <c r="U62" s="111">
        <v>0</v>
      </c>
      <c r="V62" s="111">
        <v>0</v>
      </c>
      <c r="W62" s="155"/>
    </row>
    <row r="63" spans="2:23" s="97" customFormat="1" x14ac:dyDescent="0.25">
      <c r="B63" s="109" t="str">
        <f>IF(LEN(F63)=6,MAX($B$4:B62)+1,"")</f>
        <v/>
      </c>
      <c r="C63" s="110" t="s">
        <v>464</v>
      </c>
      <c r="D63" s="116" t="s">
        <v>465</v>
      </c>
      <c r="E63" s="110" t="s">
        <v>470</v>
      </c>
      <c r="F63" s="113" t="str">
        <f>F61&amp;"-B"</f>
        <v>633047-B</v>
      </c>
      <c r="G63" s="111" t="s">
        <v>237</v>
      </c>
      <c r="H63" s="111" t="s">
        <v>455</v>
      </c>
      <c r="I63" s="111"/>
      <c r="J63" s="123"/>
      <c r="K63" s="111"/>
      <c r="L63" s="115"/>
      <c r="M63" s="111"/>
      <c r="N63" s="111"/>
      <c r="O63" s="120"/>
      <c r="P63" s="116" t="str">
        <f>"Insert into polybag behind "&amp;F62&amp;" to form "&amp;F61</f>
        <v>Insert into polybag behind 633047-A to form 633047</v>
      </c>
      <c r="Q63" s="116" t="s">
        <v>451</v>
      </c>
      <c r="R63" s="117">
        <v>0</v>
      </c>
      <c r="S63" s="111">
        <v>0</v>
      </c>
      <c r="T63" s="116">
        <v>0</v>
      </c>
      <c r="U63" s="111">
        <v>0</v>
      </c>
      <c r="V63" s="111">
        <v>0</v>
      </c>
      <c r="W63" s="155"/>
    </row>
    <row r="64" spans="2:23" s="97" customFormat="1" x14ac:dyDescent="0.25">
      <c r="B64" s="109" t="str">
        <f>IF(LEN(F64)=6,MAX($B$4:B63)+1,"")</f>
        <v/>
      </c>
      <c r="C64" s="110"/>
      <c r="D64" s="116"/>
      <c r="E64" s="110"/>
      <c r="F64" s="113" t="str">
        <f>F63&amp;"1"</f>
        <v>633047-B1</v>
      </c>
      <c r="G64" s="111" t="s">
        <v>237</v>
      </c>
      <c r="H64" s="111"/>
      <c r="I64" s="111" t="s">
        <v>456</v>
      </c>
      <c r="J64" s="123">
        <v>16</v>
      </c>
      <c r="K64" s="111" t="s">
        <v>245</v>
      </c>
      <c r="L64" s="115">
        <v>135</v>
      </c>
      <c r="M64" s="111" t="s">
        <v>459</v>
      </c>
      <c r="N64" s="111"/>
      <c r="O64" s="120" t="str">
        <f>"Drill, collate and treasury tag as per production sample to form " &amp;F63</f>
        <v>Drill, collate and treasury tag as per production sample to form 633047-B</v>
      </c>
      <c r="P64" s="116" t="s">
        <v>251</v>
      </c>
      <c r="Q64" s="116" t="s">
        <v>451</v>
      </c>
      <c r="R64" s="117">
        <v>0</v>
      </c>
      <c r="S64" s="111">
        <v>0</v>
      </c>
      <c r="T64" s="116">
        <v>0</v>
      </c>
      <c r="U64" s="111">
        <v>0</v>
      </c>
      <c r="V64" s="111">
        <v>0</v>
      </c>
      <c r="W64" s="155"/>
    </row>
    <row r="65" spans="2:23" s="97" customFormat="1" x14ac:dyDescent="0.25">
      <c r="B65" s="109" t="str">
        <f>IF(LEN(F65)=6,MAX($B$4:B64)+1,"")</f>
        <v/>
      </c>
      <c r="C65" s="110"/>
      <c r="D65" s="116"/>
      <c r="E65" s="110"/>
      <c r="F65" s="113" t="str">
        <f>F63&amp;"2"</f>
        <v>633047-B2</v>
      </c>
      <c r="G65" s="111" t="s">
        <v>237</v>
      </c>
      <c r="H65" s="111"/>
      <c r="I65" s="111" t="s">
        <v>456</v>
      </c>
      <c r="J65" s="123"/>
      <c r="K65" s="111" t="s">
        <v>298</v>
      </c>
      <c r="L65" s="115">
        <v>200</v>
      </c>
      <c r="M65" s="111" t="s">
        <v>299</v>
      </c>
      <c r="N65" s="111"/>
      <c r="O65" s="120" t="str">
        <f>"Drill, collate and treasury tag as per production sample to form " &amp;F63</f>
        <v>Drill, collate and treasury tag as per production sample to form 633047-B</v>
      </c>
      <c r="P65" s="116" t="s">
        <v>251</v>
      </c>
      <c r="Q65" s="116" t="s">
        <v>451</v>
      </c>
      <c r="R65" s="117">
        <v>0</v>
      </c>
      <c r="S65" s="111">
        <v>0</v>
      </c>
      <c r="T65" s="116">
        <v>0</v>
      </c>
      <c r="U65" s="111">
        <v>0</v>
      </c>
      <c r="V65" s="111">
        <v>0</v>
      </c>
      <c r="W65" s="155"/>
    </row>
    <row r="66" spans="2:23" s="97" customFormat="1" x14ac:dyDescent="0.25">
      <c r="B66" s="109" t="str">
        <f>IF(LEN(F66)=6,MAX($B$4:B65)+1,"")</f>
        <v/>
      </c>
      <c r="C66" s="110" t="s">
        <v>471</v>
      </c>
      <c r="D66" s="130" t="s">
        <v>472</v>
      </c>
      <c r="E66" s="110" t="s">
        <v>473</v>
      </c>
      <c r="F66" s="113" t="str">
        <f>F61&amp;"-C"</f>
        <v>633047-C</v>
      </c>
      <c r="G66" s="111" t="s">
        <v>237</v>
      </c>
      <c r="H66" s="111" t="s">
        <v>463</v>
      </c>
      <c r="I66" s="111" t="s">
        <v>456</v>
      </c>
      <c r="J66" s="123">
        <v>4</v>
      </c>
      <c r="K66" s="111" t="s">
        <v>151</v>
      </c>
      <c r="L66" s="115">
        <v>80</v>
      </c>
      <c r="M66" s="111" t="s">
        <v>250</v>
      </c>
      <c r="N66" s="111"/>
      <c r="O66" s="120" t="str">
        <f>"Insert behind front cover of "&amp;F63</f>
        <v>Insert behind front cover of 633047-B</v>
      </c>
      <c r="P66" s="116" t="s">
        <v>251</v>
      </c>
      <c r="Q66" s="116" t="s">
        <v>451</v>
      </c>
      <c r="R66" s="117">
        <v>0</v>
      </c>
      <c r="S66" s="111">
        <v>0</v>
      </c>
      <c r="T66" s="116">
        <v>0</v>
      </c>
      <c r="U66" s="111">
        <v>0</v>
      </c>
      <c r="V66" s="111">
        <v>0</v>
      </c>
      <c r="W66" s="155"/>
    </row>
    <row r="67" spans="2:23" s="97" customFormat="1" x14ac:dyDescent="0.25">
      <c r="B67" s="109" t="str">
        <f>IF(LEN(F67)=6,MAX($B$4:B66)+1,"")</f>
        <v/>
      </c>
      <c r="C67" s="110" t="s">
        <v>474</v>
      </c>
      <c r="D67" s="116" t="s">
        <v>475</v>
      </c>
      <c r="E67" s="110" t="s">
        <v>476</v>
      </c>
      <c r="F67" s="113" t="str">
        <f>F61&amp;"-D"</f>
        <v>633047-D</v>
      </c>
      <c r="G67" s="111" t="s">
        <v>237</v>
      </c>
      <c r="H67" s="111" t="s">
        <v>455</v>
      </c>
      <c r="I67" s="111" t="s">
        <v>456</v>
      </c>
      <c r="J67" s="123">
        <v>20</v>
      </c>
      <c r="K67" s="111" t="s">
        <v>245</v>
      </c>
      <c r="L67" s="115">
        <v>135</v>
      </c>
      <c r="M67" s="111" t="s">
        <v>459</v>
      </c>
      <c r="N67" s="111"/>
      <c r="O67" s="120" t="str">
        <f>"Drill, collate and treasury tag as per production sample to form " &amp;F67</f>
        <v>Drill, collate and treasury tag as per production sample to form 633047-D</v>
      </c>
      <c r="P67" s="116" t="str">
        <f>"Insert into polybag behind "&amp;F63&amp;" to form "&amp;F61</f>
        <v>Insert into polybag behind 633047-B to form 633047</v>
      </c>
      <c r="Q67" s="116" t="s">
        <v>451</v>
      </c>
      <c r="R67" s="117">
        <v>0</v>
      </c>
      <c r="S67" s="111">
        <v>0</v>
      </c>
      <c r="T67" s="116">
        <v>0</v>
      </c>
      <c r="U67" s="111">
        <v>0</v>
      </c>
      <c r="V67" s="111">
        <v>0</v>
      </c>
      <c r="W67" s="155"/>
    </row>
    <row r="68" spans="2:23" s="97" customFormat="1" x14ac:dyDescent="0.25">
      <c r="B68" s="109" t="str">
        <f>IF(LEN(F68)=6,MAX($B$4:B67)+1,"")</f>
        <v/>
      </c>
      <c r="C68" s="110" t="s">
        <v>477</v>
      </c>
      <c r="D68" s="116" t="s">
        <v>478</v>
      </c>
      <c r="E68" s="110" t="s">
        <v>479</v>
      </c>
      <c r="F68" s="113" t="str">
        <f>F61&amp;"-E"</f>
        <v>633047-E</v>
      </c>
      <c r="G68" s="111" t="s">
        <v>237</v>
      </c>
      <c r="H68" s="111" t="s">
        <v>463</v>
      </c>
      <c r="I68" s="111" t="s">
        <v>150</v>
      </c>
      <c r="J68" s="123">
        <v>8</v>
      </c>
      <c r="K68" s="111" t="s">
        <v>151</v>
      </c>
      <c r="L68" s="115">
        <v>80</v>
      </c>
      <c r="M68" s="111" t="s">
        <v>250</v>
      </c>
      <c r="N68" s="111"/>
      <c r="O68" s="120" t="str">
        <f>"Insert behind front cover of "&amp;F67</f>
        <v>Insert behind front cover of 633047-D</v>
      </c>
      <c r="P68" s="116" t="s">
        <v>251</v>
      </c>
      <c r="Q68" s="116" t="s">
        <v>451</v>
      </c>
      <c r="R68" s="117">
        <v>0</v>
      </c>
      <c r="S68" s="111">
        <v>0</v>
      </c>
      <c r="T68" s="116">
        <v>0</v>
      </c>
      <c r="U68" s="111">
        <v>0</v>
      </c>
      <c r="V68" s="111">
        <v>0</v>
      </c>
      <c r="W68" s="156"/>
    </row>
    <row r="69" spans="2:23" s="97" customFormat="1" x14ac:dyDescent="0.25">
      <c r="B69" s="109">
        <f>IF(LEN(F69)=6,MAX($B$4:B68)+1,"")</f>
        <v>28</v>
      </c>
      <c r="C69" s="110" t="s">
        <v>480</v>
      </c>
      <c r="D69" s="116" t="s">
        <v>481</v>
      </c>
      <c r="E69" s="110" t="s">
        <v>482</v>
      </c>
      <c r="F69" s="113">
        <v>633048</v>
      </c>
      <c r="G69" s="111" t="s">
        <v>237</v>
      </c>
      <c r="H69" s="111"/>
      <c r="I69" s="111"/>
      <c r="J69" s="123"/>
      <c r="K69" s="111"/>
      <c r="L69" s="115"/>
      <c r="M69" s="111"/>
      <c r="N69" s="111"/>
      <c r="O69" s="120"/>
      <c r="P69" s="116" t="s">
        <v>155</v>
      </c>
      <c r="Q69" s="116" t="s">
        <v>451</v>
      </c>
      <c r="R69" s="117">
        <v>80</v>
      </c>
      <c r="S69" s="111">
        <v>3</v>
      </c>
      <c r="T69" s="116">
        <v>4</v>
      </c>
      <c r="U69" s="111">
        <v>1</v>
      </c>
      <c r="V69" s="111">
        <v>90</v>
      </c>
      <c r="W69" s="154">
        <v>1287.8555555555556</v>
      </c>
    </row>
    <row r="70" spans="2:23" s="97" customFormat="1" x14ac:dyDescent="0.25">
      <c r="B70" s="109" t="str">
        <f>IF(LEN(F70)=6,MAX($B$4:B69)+1,"")</f>
        <v/>
      </c>
      <c r="C70" s="110" t="s">
        <v>483</v>
      </c>
      <c r="D70" s="116" t="s">
        <v>484</v>
      </c>
      <c r="E70" s="110" t="s">
        <v>485</v>
      </c>
      <c r="F70" s="113" t="str">
        <f>F69&amp;"-A"</f>
        <v>633048-A</v>
      </c>
      <c r="G70" s="111" t="s">
        <v>237</v>
      </c>
      <c r="H70" s="111" t="s">
        <v>455</v>
      </c>
      <c r="I70" s="111" t="s">
        <v>456</v>
      </c>
      <c r="J70" s="123">
        <v>4</v>
      </c>
      <c r="K70" s="111" t="s">
        <v>151</v>
      </c>
      <c r="L70" s="115">
        <v>80</v>
      </c>
      <c r="M70" s="111" t="s">
        <v>174</v>
      </c>
      <c r="N70" s="111"/>
      <c r="O70" s="120" t="s">
        <v>457</v>
      </c>
      <c r="P70" s="116" t="str">
        <f>"Insert into polybag in front of "&amp;F71&amp;" to form "&amp;F69</f>
        <v>Insert into polybag in front of 633048-B to form 633048</v>
      </c>
      <c r="Q70" s="116" t="s">
        <v>451</v>
      </c>
      <c r="R70" s="117">
        <v>0</v>
      </c>
      <c r="S70" s="111">
        <v>0</v>
      </c>
      <c r="T70" s="116">
        <v>0</v>
      </c>
      <c r="U70" s="111">
        <v>0</v>
      </c>
      <c r="V70" s="111">
        <v>0</v>
      </c>
      <c r="W70" s="155"/>
    </row>
    <row r="71" spans="2:23" s="97" customFormat="1" x14ac:dyDescent="0.25">
      <c r="B71" s="109" t="str">
        <f>IF(LEN(F71)=6,MAX($B$4:B70)+1,"")</f>
        <v/>
      </c>
      <c r="C71" s="110" t="s">
        <v>480</v>
      </c>
      <c r="D71" s="116" t="s">
        <v>481</v>
      </c>
      <c r="E71" s="110" t="s">
        <v>486</v>
      </c>
      <c r="F71" s="113" t="str">
        <f>F69&amp;"-B"</f>
        <v>633048-B</v>
      </c>
      <c r="G71" s="111" t="s">
        <v>237</v>
      </c>
      <c r="H71" s="111" t="s">
        <v>455</v>
      </c>
      <c r="I71" s="111" t="s">
        <v>456</v>
      </c>
      <c r="J71" s="123">
        <v>9</v>
      </c>
      <c r="K71" s="111" t="s">
        <v>245</v>
      </c>
      <c r="L71" s="115">
        <v>135</v>
      </c>
      <c r="M71" s="111" t="s">
        <v>459</v>
      </c>
      <c r="N71" s="111"/>
      <c r="O71" s="120" t="s">
        <v>487</v>
      </c>
      <c r="P71" s="116" t="str">
        <f>"Insert into polybag behind "&amp;F70&amp;" to form "&amp;F69</f>
        <v>Insert into polybag behind 633048-A to form 633048</v>
      </c>
      <c r="Q71" s="116" t="s">
        <v>451</v>
      </c>
      <c r="R71" s="117">
        <v>0</v>
      </c>
      <c r="S71" s="111">
        <v>0</v>
      </c>
      <c r="T71" s="116">
        <v>0</v>
      </c>
      <c r="U71" s="111">
        <v>0</v>
      </c>
      <c r="V71" s="111">
        <v>0</v>
      </c>
      <c r="W71" s="155"/>
    </row>
    <row r="72" spans="2:23" x14ac:dyDescent="0.25">
      <c r="B72" s="109" t="str">
        <f>IF(LEN(F72)=6,MAX($B$4:B71)+1,"")</f>
        <v/>
      </c>
      <c r="C72" s="110" t="s">
        <v>488</v>
      </c>
      <c r="D72" s="116" t="s">
        <v>489</v>
      </c>
      <c r="E72" s="110" t="s">
        <v>490</v>
      </c>
      <c r="F72" s="113" t="str">
        <f>F69&amp;"-C"</f>
        <v>633048-C</v>
      </c>
      <c r="G72" s="111" t="s">
        <v>237</v>
      </c>
      <c r="H72" s="111" t="s">
        <v>463</v>
      </c>
      <c r="I72" s="111" t="s">
        <v>150</v>
      </c>
      <c r="J72" s="123">
        <v>8</v>
      </c>
      <c r="K72" s="116" t="s">
        <v>151</v>
      </c>
      <c r="L72" s="114">
        <v>80</v>
      </c>
      <c r="M72" s="111" t="s">
        <v>250</v>
      </c>
      <c r="N72" s="111"/>
      <c r="O72" s="120" t="str">
        <f>"Insert behind front cover of " &amp;F71</f>
        <v>Insert behind front cover of 633048-B</v>
      </c>
      <c r="P72" s="116" t="s">
        <v>251</v>
      </c>
      <c r="Q72" s="116" t="s">
        <v>451</v>
      </c>
      <c r="R72" s="117">
        <v>0</v>
      </c>
      <c r="S72" s="111">
        <v>0</v>
      </c>
      <c r="T72" s="116">
        <v>0</v>
      </c>
      <c r="U72" s="111">
        <v>0</v>
      </c>
      <c r="V72" s="111">
        <v>0</v>
      </c>
      <c r="W72" s="156"/>
    </row>
    <row r="73" spans="2:23" x14ac:dyDescent="0.25">
      <c r="B73" s="109">
        <f>IF(LEN(F73)=6,MAX($B$4:B72)+1,"")</f>
        <v>29</v>
      </c>
      <c r="C73" s="110" t="s">
        <v>491</v>
      </c>
      <c r="D73" s="116" t="s">
        <v>492</v>
      </c>
      <c r="E73" s="110" t="s">
        <v>493</v>
      </c>
      <c r="F73" s="113">
        <v>633049</v>
      </c>
      <c r="G73" s="111" t="s">
        <v>237</v>
      </c>
      <c r="H73" s="111"/>
      <c r="I73" s="111"/>
      <c r="J73" s="123"/>
      <c r="K73" s="116"/>
      <c r="L73" s="114"/>
      <c r="M73" s="111"/>
      <c r="N73" s="111"/>
      <c r="O73" s="120"/>
      <c r="P73" s="116" t="s">
        <v>155</v>
      </c>
      <c r="Q73" s="116" t="s">
        <v>451</v>
      </c>
      <c r="R73" s="117">
        <v>80</v>
      </c>
      <c r="S73" s="111">
        <v>3</v>
      </c>
      <c r="T73" s="116">
        <v>4</v>
      </c>
      <c r="U73" s="111">
        <v>1</v>
      </c>
      <c r="V73" s="111">
        <v>90</v>
      </c>
      <c r="W73" s="154">
        <v>4875.1433080808074</v>
      </c>
    </row>
    <row r="74" spans="2:23" x14ac:dyDescent="0.25">
      <c r="B74" s="109" t="str">
        <f>IF(LEN(F74)=6,MAX($B$4:B73)+1,"")</f>
        <v/>
      </c>
      <c r="C74" s="110" t="s">
        <v>494</v>
      </c>
      <c r="D74" s="116" t="s">
        <v>495</v>
      </c>
      <c r="E74" s="110" t="s">
        <v>496</v>
      </c>
      <c r="F74" s="113" t="str">
        <f>F73&amp;"-A"</f>
        <v>633049-A</v>
      </c>
      <c r="G74" s="111" t="s">
        <v>237</v>
      </c>
      <c r="H74" s="111" t="s">
        <v>455</v>
      </c>
      <c r="I74" s="111" t="s">
        <v>456</v>
      </c>
      <c r="J74" s="123">
        <v>4</v>
      </c>
      <c r="K74" s="116" t="s">
        <v>151</v>
      </c>
      <c r="L74" s="114">
        <v>80</v>
      </c>
      <c r="M74" s="111" t="s">
        <v>174</v>
      </c>
      <c r="N74" s="111"/>
      <c r="O74" s="120" t="s">
        <v>457</v>
      </c>
      <c r="P74" s="116" t="str">
        <f>"Insert into polybag in front of "&amp;F75&amp;" to form "&amp;F73</f>
        <v>Insert into polybag in front of 633049-B to form 633049</v>
      </c>
      <c r="Q74" s="116" t="s">
        <v>451</v>
      </c>
      <c r="R74" s="117">
        <v>0</v>
      </c>
      <c r="S74" s="111">
        <v>0</v>
      </c>
      <c r="T74" s="116">
        <v>0</v>
      </c>
      <c r="U74" s="111">
        <v>0</v>
      </c>
      <c r="V74" s="111">
        <v>0</v>
      </c>
      <c r="W74" s="155"/>
    </row>
    <row r="75" spans="2:23" x14ac:dyDescent="0.25">
      <c r="B75" s="109" t="str">
        <f>IF(LEN(F75)=6,MAX($B$4:B74)+1,"")</f>
        <v/>
      </c>
      <c r="C75" s="110" t="s">
        <v>491</v>
      </c>
      <c r="D75" s="116" t="s">
        <v>492</v>
      </c>
      <c r="E75" s="110" t="s">
        <v>497</v>
      </c>
      <c r="F75" s="113" t="str">
        <f>F73&amp;"-B"</f>
        <v>633049-B</v>
      </c>
      <c r="G75" s="111" t="s">
        <v>237</v>
      </c>
      <c r="H75" s="111" t="s">
        <v>455</v>
      </c>
      <c r="I75" s="111" t="s">
        <v>456</v>
      </c>
      <c r="J75" s="123"/>
      <c r="K75" s="116"/>
      <c r="L75" s="114"/>
      <c r="M75" s="111"/>
      <c r="N75" s="111"/>
      <c r="O75" s="120"/>
      <c r="P75" s="116" t="str">
        <f>"Insert into polybag behind "&amp;F74&amp;" to form "&amp;F73</f>
        <v>Insert into polybag behind 633049-A to form 633049</v>
      </c>
      <c r="Q75" s="116" t="s">
        <v>451</v>
      </c>
      <c r="R75" s="117">
        <v>0</v>
      </c>
      <c r="S75" s="111">
        <v>0</v>
      </c>
      <c r="T75" s="116">
        <v>0</v>
      </c>
      <c r="U75" s="111">
        <v>0</v>
      </c>
      <c r="V75" s="111">
        <v>0</v>
      </c>
      <c r="W75" s="155"/>
    </row>
    <row r="76" spans="2:23" x14ac:dyDescent="0.25">
      <c r="B76" s="109" t="str">
        <f>IF(LEN(F76)=6,MAX($B$4:B75)+1,"")</f>
        <v/>
      </c>
      <c r="C76" s="110"/>
      <c r="D76" s="116"/>
      <c r="E76" s="110"/>
      <c r="F76" s="113" t="str">
        <f>F75&amp;"1"</f>
        <v>633049-B1</v>
      </c>
      <c r="G76" s="111" t="s">
        <v>237</v>
      </c>
      <c r="H76" s="111"/>
      <c r="I76" s="111" t="s">
        <v>456</v>
      </c>
      <c r="J76" s="123">
        <v>14</v>
      </c>
      <c r="K76" s="120" t="s">
        <v>245</v>
      </c>
      <c r="L76" s="114" t="s">
        <v>498</v>
      </c>
      <c r="M76" s="111" t="s">
        <v>459</v>
      </c>
      <c r="N76" s="111"/>
      <c r="O76" s="120" t="str">
        <f>"Drill, collate and treasury tag as per production sample to form " &amp;F75</f>
        <v>Drill, collate and treasury tag as per production sample to form 633049-B</v>
      </c>
      <c r="P76" s="116" t="s">
        <v>251</v>
      </c>
      <c r="Q76" s="116" t="s">
        <v>451</v>
      </c>
      <c r="R76" s="117">
        <v>0</v>
      </c>
      <c r="S76" s="111">
        <v>0</v>
      </c>
      <c r="T76" s="116">
        <v>0</v>
      </c>
      <c r="U76" s="111">
        <v>0</v>
      </c>
      <c r="V76" s="111">
        <v>0</v>
      </c>
      <c r="W76" s="155"/>
    </row>
    <row r="77" spans="2:23" x14ac:dyDescent="0.25">
      <c r="B77" s="109" t="str">
        <f>IF(LEN(F77)=6,MAX($B$4:B76)+1,"")</f>
        <v/>
      </c>
      <c r="C77" s="110"/>
      <c r="D77" s="116"/>
      <c r="E77" s="110"/>
      <c r="F77" s="113" t="str">
        <f>F75&amp;"2"</f>
        <v>633049-B2</v>
      </c>
      <c r="G77" s="111" t="s">
        <v>237</v>
      </c>
      <c r="H77" s="111"/>
      <c r="I77" s="111" t="s">
        <v>456</v>
      </c>
      <c r="J77" s="123">
        <v>1</v>
      </c>
      <c r="K77" s="120" t="s">
        <v>301</v>
      </c>
      <c r="L77" s="114" t="s">
        <v>499</v>
      </c>
      <c r="M77" s="111" t="s">
        <v>299</v>
      </c>
      <c r="N77" s="111"/>
      <c r="O77" s="120" t="str">
        <f>"Drill, collate and treasury tag as per production sample to form " &amp;F75</f>
        <v>Drill, collate and treasury tag as per production sample to form 633049-B</v>
      </c>
      <c r="P77" s="116" t="s">
        <v>251</v>
      </c>
      <c r="Q77" s="116" t="s">
        <v>451</v>
      </c>
      <c r="R77" s="117">
        <v>0</v>
      </c>
      <c r="S77" s="111">
        <v>0</v>
      </c>
      <c r="T77" s="116">
        <v>0</v>
      </c>
      <c r="U77" s="111">
        <v>0</v>
      </c>
      <c r="V77" s="111">
        <v>0</v>
      </c>
      <c r="W77" s="155"/>
    </row>
    <row r="78" spans="2:23" x14ac:dyDescent="0.25">
      <c r="B78" s="109" t="str">
        <f>IF(LEN(F78)=6,MAX($B$4:B77)+1,"")</f>
        <v/>
      </c>
      <c r="C78" s="110"/>
      <c r="D78" s="116"/>
      <c r="E78" s="110"/>
      <c r="F78" s="113" t="str">
        <f>F75&amp;"3"</f>
        <v>633049-B3</v>
      </c>
      <c r="G78" s="111" t="s">
        <v>237</v>
      </c>
      <c r="H78" s="111"/>
      <c r="I78" s="111" t="s">
        <v>456</v>
      </c>
      <c r="J78" s="123">
        <v>2</v>
      </c>
      <c r="K78" s="120" t="s">
        <v>300</v>
      </c>
      <c r="L78" s="114" t="s">
        <v>500</v>
      </c>
      <c r="M78" s="111"/>
      <c r="N78" s="111"/>
      <c r="O78" s="120" t="str">
        <f>"Drill, collate and treasury tag as per production sample to form " &amp;F75</f>
        <v>Drill, collate and treasury tag as per production sample to form 633049-B</v>
      </c>
      <c r="P78" s="116" t="s">
        <v>251</v>
      </c>
      <c r="Q78" s="116" t="s">
        <v>451</v>
      </c>
      <c r="R78" s="117">
        <v>0</v>
      </c>
      <c r="S78" s="111">
        <v>0</v>
      </c>
      <c r="T78" s="116">
        <v>0</v>
      </c>
      <c r="U78" s="111">
        <v>0</v>
      </c>
      <c r="V78" s="111">
        <v>0</v>
      </c>
      <c r="W78" s="155"/>
    </row>
    <row r="79" spans="2:23" x14ac:dyDescent="0.25">
      <c r="B79" s="109" t="str">
        <f>IF(LEN(F79)=6,MAX($B$4:B78)+1,"")</f>
        <v/>
      </c>
      <c r="C79" s="110"/>
      <c r="D79" s="116"/>
      <c r="E79" s="110"/>
      <c r="F79" s="113" t="str">
        <f>F75&amp;"4"</f>
        <v>633049-B4</v>
      </c>
      <c r="G79" s="111" t="s">
        <v>237</v>
      </c>
      <c r="H79" s="111"/>
      <c r="I79" s="111" t="s">
        <v>456</v>
      </c>
      <c r="J79" s="123">
        <v>7</v>
      </c>
      <c r="K79" s="120" t="s">
        <v>298</v>
      </c>
      <c r="L79" s="114" t="s">
        <v>501</v>
      </c>
      <c r="M79" s="111"/>
      <c r="N79" s="111"/>
      <c r="O79" s="120" t="str">
        <f>"Drill, collate and treasury tag as per production sample to form " &amp;F75</f>
        <v>Drill, collate and treasury tag as per production sample to form 633049-B</v>
      </c>
      <c r="P79" s="116" t="s">
        <v>251</v>
      </c>
      <c r="Q79" s="116" t="s">
        <v>451</v>
      </c>
      <c r="R79" s="117">
        <v>0</v>
      </c>
      <c r="S79" s="111">
        <v>0</v>
      </c>
      <c r="T79" s="116">
        <v>0</v>
      </c>
      <c r="U79" s="111">
        <v>0</v>
      </c>
      <c r="V79" s="111">
        <v>0</v>
      </c>
      <c r="W79" s="156"/>
    </row>
    <row r="80" spans="2:23" x14ac:dyDescent="0.25">
      <c r="B80" s="109"/>
      <c r="C80" s="110"/>
      <c r="D80" s="116"/>
      <c r="E80" s="110" t="s">
        <v>502</v>
      </c>
      <c r="F80" s="113" t="str">
        <f>F73&amp;"-C"</f>
        <v>633049-C</v>
      </c>
      <c r="G80" s="111" t="s">
        <v>237</v>
      </c>
      <c r="H80" s="111"/>
      <c r="I80" s="111" t="s">
        <v>503</v>
      </c>
      <c r="J80" s="123"/>
      <c r="K80" s="120" t="s">
        <v>306</v>
      </c>
      <c r="L80" s="114"/>
      <c r="M80" s="111"/>
      <c r="N80" s="111"/>
      <c r="O80" s="120" t="s">
        <v>504</v>
      </c>
      <c r="P80" s="116" t="str">
        <f>"Insert into polybag behind of "&amp;F75&amp;" to form "&amp;F73</f>
        <v>Insert into polybag behind of 633049-B to form 633049</v>
      </c>
      <c r="Q80" s="116"/>
      <c r="R80" s="117"/>
      <c r="S80" s="111"/>
      <c r="T80" s="116"/>
      <c r="U80" s="111"/>
      <c r="V80" s="111"/>
      <c r="W80" s="131">
        <v>258.80808080808083</v>
      </c>
    </row>
    <row r="81" spans="2:24" x14ac:dyDescent="0.25">
      <c r="B81" s="109" t="str">
        <f>IF(LEN(F81)=6,MAX($B$4:B79)+1,"")</f>
        <v/>
      </c>
      <c r="C81" s="110" t="s">
        <v>505</v>
      </c>
      <c r="D81" s="116" t="s">
        <v>506</v>
      </c>
      <c r="E81" s="110" t="s">
        <v>507</v>
      </c>
      <c r="F81" s="113" t="str">
        <f>F73&amp;"-D"</f>
        <v>633049-D</v>
      </c>
      <c r="G81" s="111" t="s">
        <v>237</v>
      </c>
      <c r="H81" s="111" t="s">
        <v>463</v>
      </c>
      <c r="I81" s="111" t="s">
        <v>150</v>
      </c>
      <c r="J81" s="123">
        <v>10</v>
      </c>
      <c r="K81" s="120" t="s">
        <v>151</v>
      </c>
      <c r="L81" s="114">
        <v>80</v>
      </c>
      <c r="M81" s="111" t="s">
        <v>250</v>
      </c>
      <c r="N81" s="111"/>
      <c r="O81" s="120" t="str">
        <f>"Insert behind front cover of " &amp;F75</f>
        <v>Insert behind front cover of 633049-B</v>
      </c>
      <c r="P81" s="116" t="s">
        <v>251</v>
      </c>
      <c r="Q81" s="116" t="s">
        <v>451</v>
      </c>
      <c r="R81" s="117">
        <v>0</v>
      </c>
      <c r="S81" s="111">
        <v>0</v>
      </c>
      <c r="T81" s="116">
        <v>0</v>
      </c>
      <c r="U81" s="111">
        <v>0</v>
      </c>
      <c r="V81" s="111">
        <v>0</v>
      </c>
      <c r="W81" s="154">
        <v>3764.8105050505051</v>
      </c>
    </row>
    <row r="82" spans="2:24" x14ac:dyDescent="0.25">
      <c r="B82" s="109">
        <f>IF(LEN(F82)=6,MAX($B$4:B81)+1,"")</f>
        <v>30</v>
      </c>
      <c r="C82" s="110" t="s">
        <v>508</v>
      </c>
      <c r="D82" s="116" t="s">
        <v>509</v>
      </c>
      <c r="E82" s="110" t="s">
        <v>510</v>
      </c>
      <c r="F82" s="113">
        <v>633050</v>
      </c>
      <c r="G82" s="111" t="s">
        <v>237</v>
      </c>
      <c r="H82" s="111"/>
      <c r="I82" s="111"/>
      <c r="J82" s="123"/>
      <c r="K82" s="120"/>
      <c r="L82" s="114"/>
      <c r="M82" s="111"/>
      <c r="N82" s="111"/>
      <c r="O82" s="120"/>
      <c r="P82" s="116" t="s">
        <v>155</v>
      </c>
      <c r="Q82" s="116" t="s">
        <v>451</v>
      </c>
      <c r="R82" s="117">
        <v>80</v>
      </c>
      <c r="S82" s="111">
        <v>3</v>
      </c>
      <c r="T82" s="116">
        <v>4</v>
      </c>
      <c r="U82" s="111">
        <v>1</v>
      </c>
      <c r="V82" s="111">
        <v>90</v>
      </c>
      <c r="W82" s="155"/>
    </row>
    <row r="83" spans="2:24" x14ac:dyDescent="0.25">
      <c r="B83" s="109" t="str">
        <f>IF(LEN(F83)=6,MAX($B$4:B82)+1,"")</f>
        <v/>
      </c>
      <c r="C83" s="110" t="s">
        <v>511</v>
      </c>
      <c r="D83" s="116" t="s">
        <v>512</v>
      </c>
      <c r="E83" s="110" t="s">
        <v>513</v>
      </c>
      <c r="F83" s="113" t="str">
        <f>F82&amp;"-A"</f>
        <v>633050-A</v>
      </c>
      <c r="G83" s="111" t="s">
        <v>237</v>
      </c>
      <c r="H83" s="111" t="s">
        <v>455</v>
      </c>
      <c r="I83" s="111" t="s">
        <v>456</v>
      </c>
      <c r="J83" s="123">
        <v>4</v>
      </c>
      <c r="K83" s="120" t="s">
        <v>151</v>
      </c>
      <c r="L83" s="114">
        <v>80</v>
      </c>
      <c r="M83" s="111" t="s">
        <v>174</v>
      </c>
      <c r="N83" s="111"/>
      <c r="O83" s="120" t="s">
        <v>457</v>
      </c>
      <c r="P83" s="116" t="str">
        <f>"Insert into polybag in front of "&amp;F84&amp;" to form "&amp;F82</f>
        <v>Insert into polybag in front of 633050-B to form 633050</v>
      </c>
      <c r="Q83" s="116" t="s">
        <v>451</v>
      </c>
      <c r="R83" s="117">
        <v>0</v>
      </c>
      <c r="S83" s="111">
        <v>0</v>
      </c>
      <c r="T83" s="116">
        <v>0</v>
      </c>
      <c r="U83" s="111">
        <v>0</v>
      </c>
      <c r="V83" s="111">
        <v>0</v>
      </c>
      <c r="W83" s="155"/>
    </row>
    <row r="84" spans="2:24" x14ac:dyDescent="0.25">
      <c r="B84" s="109" t="str">
        <f>IF(LEN(F84)=6,MAX($B$4:B83)+1,"")</f>
        <v/>
      </c>
      <c r="C84" s="110" t="s">
        <v>508</v>
      </c>
      <c r="D84" s="116" t="s">
        <v>509</v>
      </c>
      <c r="E84" s="110" t="s">
        <v>514</v>
      </c>
      <c r="F84" s="113" t="str">
        <f>F82&amp;"-B"</f>
        <v>633050-B</v>
      </c>
      <c r="G84" s="111" t="s">
        <v>237</v>
      </c>
      <c r="H84" s="111" t="s">
        <v>455</v>
      </c>
      <c r="I84" s="111" t="s">
        <v>456</v>
      </c>
      <c r="J84" s="123"/>
      <c r="K84" s="120"/>
      <c r="L84" s="114"/>
      <c r="M84" s="111"/>
      <c r="N84" s="111"/>
      <c r="O84" s="120"/>
      <c r="P84" s="116" t="str">
        <f>"Insert into polybag behind "&amp;F83&amp;" to form "&amp;F82</f>
        <v>Insert into polybag behind 633050-A to form 633050</v>
      </c>
      <c r="Q84" s="116" t="s">
        <v>451</v>
      </c>
      <c r="R84" s="117">
        <v>0</v>
      </c>
      <c r="S84" s="111">
        <v>0</v>
      </c>
      <c r="T84" s="116">
        <v>0</v>
      </c>
      <c r="U84" s="111">
        <v>0</v>
      </c>
      <c r="V84" s="111">
        <v>0</v>
      </c>
      <c r="W84" s="155"/>
    </row>
    <row r="85" spans="2:24" x14ac:dyDescent="0.25">
      <c r="B85" s="109" t="str">
        <f>IF(LEN(F85)=6,MAX($B$4:B84)+1,"")</f>
        <v/>
      </c>
      <c r="C85" s="110"/>
      <c r="D85" s="116"/>
      <c r="E85" s="110"/>
      <c r="F85" s="113" t="str">
        <f>F84&amp;"1"</f>
        <v>633050-B1</v>
      </c>
      <c r="G85" s="111" t="s">
        <v>237</v>
      </c>
      <c r="H85" s="111"/>
      <c r="I85" s="111" t="s">
        <v>456</v>
      </c>
      <c r="J85" s="123">
        <v>17</v>
      </c>
      <c r="K85" s="120" t="s">
        <v>245</v>
      </c>
      <c r="L85" s="114" t="s">
        <v>498</v>
      </c>
      <c r="M85" s="111" t="s">
        <v>459</v>
      </c>
      <c r="N85" s="111"/>
      <c r="O85" s="120" t="str">
        <f>"Drill, collate and treasury tag as per production sample to form " &amp;F84</f>
        <v>Drill, collate and treasury tag as per production sample to form 633050-B</v>
      </c>
      <c r="P85" s="116" t="s">
        <v>251</v>
      </c>
      <c r="Q85" s="116" t="s">
        <v>451</v>
      </c>
      <c r="R85" s="117">
        <v>0</v>
      </c>
      <c r="S85" s="111">
        <v>0</v>
      </c>
      <c r="T85" s="116">
        <v>0</v>
      </c>
      <c r="U85" s="111">
        <v>0</v>
      </c>
      <c r="V85" s="111">
        <v>0</v>
      </c>
      <c r="W85" s="155"/>
    </row>
    <row r="86" spans="2:24" x14ac:dyDescent="0.25">
      <c r="B86" s="109" t="str">
        <f>IF(LEN(F86)=6,MAX($B$4:B85)+1,"")</f>
        <v/>
      </c>
      <c r="C86" s="110"/>
      <c r="D86" s="116"/>
      <c r="E86" s="110"/>
      <c r="F86" s="113" t="str">
        <f>F84&amp;"2"</f>
        <v>633050-B2</v>
      </c>
      <c r="G86" s="111" t="s">
        <v>237</v>
      </c>
      <c r="H86" s="111"/>
      <c r="I86" s="111" t="s">
        <v>456</v>
      </c>
      <c r="J86" s="123">
        <v>1</v>
      </c>
      <c r="K86" s="120" t="s">
        <v>301</v>
      </c>
      <c r="L86" s="114" t="s">
        <v>499</v>
      </c>
      <c r="M86" s="111" t="s">
        <v>299</v>
      </c>
      <c r="N86" s="111"/>
      <c r="O86" s="120" t="str">
        <f>"Drill, collate and treasury tag as per production sample to form " &amp;F84</f>
        <v>Drill, collate and treasury tag as per production sample to form 633050-B</v>
      </c>
      <c r="P86" s="116" t="s">
        <v>251</v>
      </c>
      <c r="Q86" s="116" t="s">
        <v>451</v>
      </c>
      <c r="R86" s="117">
        <v>0</v>
      </c>
      <c r="S86" s="111">
        <v>0</v>
      </c>
      <c r="T86" s="116">
        <v>0</v>
      </c>
      <c r="U86" s="111">
        <v>0</v>
      </c>
      <c r="V86" s="111">
        <v>0</v>
      </c>
      <c r="W86" s="155"/>
    </row>
    <row r="87" spans="2:24" x14ac:dyDescent="0.25">
      <c r="B87" s="109" t="str">
        <f>IF(LEN(F87)=6,MAX($B$4:B86)+1,"")</f>
        <v/>
      </c>
      <c r="C87" s="110"/>
      <c r="D87" s="116"/>
      <c r="E87" s="110"/>
      <c r="F87" s="113" t="str">
        <f>F84&amp;"3"</f>
        <v>633050-B3</v>
      </c>
      <c r="G87" s="111" t="s">
        <v>237</v>
      </c>
      <c r="H87" s="111"/>
      <c r="I87" s="111" t="s">
        <v>456</v>
      </c>
      <c r="J87" s="123">
        <v>2</v>
      </c>
      <c r="K87" s="120" t="s">
        <v>300</v>
      </c>
      <c r="L87" s="114" t="s">
        <v>500</v>
      </c>
      <c r="M87" s="111"/>
      <c r="N87" s="111"/>
      <c r="O87" s="120"/>
      <c r="P87" s="116" t="s">
        <v>251</v>
      </c>
      <c r="Q87" s="116" t="s">
        <v>451</v>
      </c>
      <c r="R87" s="117">
        <v>0</v>
      </c>
      <c r="S87" s="111">
        <v>0</v>
      </c>
      <c r="T87" s="116">
        <v>0</v>
      </c>
      <c r="U87" s="111">
        <v>0</v>
      </c>
      <c r="V87" s="111">
        <v>0</v>
      </c>
      <c r="W87" s="155"/>
    </row>
    <row r="88" spans="2:24" x14ac:dyDescent="0.25">
      <c r="B88" s="109" t="str">
        <f>IF(LEN(F88)=6,MAX($B$4:B87)+1,"")</f>
        <v/>
      </c>
      <c r="C88" s="110"/>
      <c r="D88" s="116"/>
      <c r="E88" s="110"/>
      <c r="F88" s="113" t="str">
        <f>F84&amp;"4"</f>
        <v>633050-B4</v>
      </c>
      <c r="G88" s="111" t="s">
        <v>237</v>
      </c>
      <c r="H88" s="111"/>
      <c r="I88" s="111" t="s">
        <v>456</v>
      </c>
      <c r="J88" s="123">
        <v>4</v>
      </c>
      <c r="K88" s="120" t="s">
        <v>298</v>
      </c>
      <c r="L88" s="114" t="s">
        <v>501</v>
      </c>
      <c r="M88" s="111"/>
      <c r="N88" s="111"/>
      <c r="O88" s="120"/>
      <c r="P88" s="116" t="s">
        <v>251</v>
      </c>
      <c r="Q88" s="116" t="s">
        <v>451</v>
      </c>
      <c r="R88" s="117">
        <v>0</v>
      </c>
      <c r="S88" s="111">
        <v>0</v>
      </c>
      <c r="T88" s="116">
        <v>0</v>
      </c>
      <c r="U88" s="111">
        <v>0</v>
      </c>
      <c r="V88" s="111">
        <v>0</v>
      </c>
      <c r="W88" s="155"/>
    </row>
    <row r="89" spans="2:24" x14ac:dyDescent="0.25">
      <c r="B89" s="109" t="str">
        <f>IF(LEN(F89)=6,MAX($B$4:B88)+1,"")</f>
        <v/>
      </c>
      <c r="C89" s="110" t="s">
        <v>515</v>
      </c>
      <c r="D89" s="116" t="s">
        <v>516</v>
      </c>
      <c r="E89" s="110" t="s">
        <v>517</v>
      </c>
      <c r="F89" s="113" t="str">
        <f>F82&amp;"-C"</f>
        <v>633050-C</v>
      </c>
      <c r="G89" s="111" t="s">
        <v>237</v>
      </c>
      <c r="H89" s="111" t="s">
        <v>463</v>
      </c>
      <c r="I89" s="111" t="s">
        <v>150</v>
      </c>
      <c r="J89" s="123">
        <v>6</v>
      </c>
      <c r="K89" s="120" t="s">
        <v>151</v>
      </c>
      <c r="L89" s="114">
        <v>80</v>
      </c>
      <c r="M89" s="111" t="s">
        <v>250</v>
      </c>
      <c r="N89" s="111"/>
      <c r="O89" s="116" t="str">
        <f>"Insert behind front cover of " &amp;F84</f>
        <v>Insert behind front cover of 633050-B</v>
      </c>
      <c r="P89" s="116" t="s">
        <v>251</v>
      </c>
      <c r="Q89" s="116" t="s">
        <v>451</v>
      </c>
      <c r="R89" s="117">
        <v>0</v>
      </c>
      <c r="S89" s="111">
        <v>0</v>
      </c>
      <c r="T89" s="116">
        <v>0</v>
      </c>
      <c r="U89" s="111">
        <v>0</v>
      </c>
      <c r="V89" s="111">
        <v>0</v>
      </c>
      <c r="W89" s="156"/>
    </row>
    <row r="90" spans="2:24" x14ac:dyDescent="0.25">
      <c r="B90" s="109"/>
      <c r="C90" s="110"/>
      <c r="D90" s="111"/>
      <c r="E90" s="112" t="s">
        <v>12</v>
      </c>
      <c r="F90" s="113"/>
      <c r="G90" s="111"/>
      <c r="H90" s="116"/>
      <c r="I90" s="111"/>
      <c r="J90" s="114"/>
      <c r="K90" s="116"/>
      <c r="L90" s="114"/>
      <c r="M90" s="111"/>
      <c r="N90" s="111"/>
      <c r="O90" s="116"/>
      <c r="P90" s="116"/>
      <c r="Q90" s="116"/>
      <c r="R90" s="111"/>
      <c r="S90" s="111"/>
      <c r="T90" s="111"/>
      <c r="U90" s="111"/>
      <c r="V90" s="111"/>
      <c r="W90" s="119">
        <v>41010.1</v>
      </c>
    </row>
    <row r="91" spans="2:24" x14ac:dyDescent="0.25">
      <c r="W91" s="129"/>
      <c r="X91" s="129"/>
    </row>
    <row r="92" spans="2:24" x14ac:dyDescent="0.25">
      <c r="B92" s="1" t="s">
        <v>307</v>
      </c>
    </row>
    <row r="93" spans="2:24" x14ac:dyDescent="0.25">
      <c r="W93" s="129">
        <f>SUM(W5:W90)</f>
        <v>1103828.3948175076</v>
      </c>
    </row>
    <row r="94" spans="2:24" x14ac:dyDescent="0.25">
      <c r="B94" s="1" t="s">
        <v>11</v>
      </c>
      <c r="W94" s="129"/>
    </row>
    <row r="95" spans="2:24" x14ac:dyDescent="0.25">
      <c r="W95" s="129"/>
    </row>
    <row r="96" spans="2:24" x14ac:dyDescent="0.25">
      <c r="W96" s="145">
        <f>W93-W90</f>
        <v>1062818.2948175075</v>
      </c>
    </row>
  </sheetData>
  <mergeCells count="7">
    <mergeCell ref="W81:W89"/>
    <mergeCell ref="C3:Q3"/>
    <mergeCell ref="R3:V3"/>
    <mergeCell ref="W57:W60"/>
    <mergeCell ref="W61:W68"/>
    <mergeCell ref="W69:W72"/>
    <mergeCell ref="W73:W7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Z24"/>
  <sheetViews>
    <sheetView showGridLines="0" topLeftCell="F1" zoomScale="70" zoomScaleNormal="70" workbookViewId="0">
      <selection activeCell="AE49" sqref="AE49"/>
    </sheetView>
  </sheetViews>
  <sheetFormatPr defaultColWidth="9" defaultRowHeight="15" x14ac:dyDescent="0.25"/>
  <cols>
    <col min="1" max="1" width="4" customWidth="1"/>
    <col min="2" max="2" width="7" customWidth="1"/>
    <col min="3" max="3" width="22.140625" customWidth="1"/>
    <col min="4" max="4" width="21.5703125" customWidth="1"/>
    <col min="5" max="5" width="59.140625" bestFit="1" customWidth="1"/>
    <col min="6" max="6" width="11.5703125" style="93" bestFit="1" customWidth="1"/>
    <col min="7" max="7" width="12.140625" bestFit="1" customWidth="1"/>
    <col min="8" max="8" width="11.5703125" customWidth="1"/>
    <col min="9" max="9" width="15.7109375" customWidth="1"/>
    <col min="10" max="10" width="12.5703125" style="93" customWidth="1"/>
    <col min="11" max="11" width="11.5703125" bestFit="1" customWidth="1"/>
    <col min="12" max="12" width="12.42578125" style="93" customWidth="1"/>
    <col min="13" max="13" width="36.140625" customWidth="1"/>
    <col min="14" max="14" width="15.42578125" bestFit="1" customWidth="1"/>
    <col min="15" max="15" width="31.5703125" bestFit="1" customWidth="1"/>
    <col min="16" max="16" width="62.7109375" customWidth="1"/>
    <col min="17" max="17" width="18.140625" bestFit="1" customWidth="1"/>
    <col min="18" max="18" width="20.28515625" hidden="1" customWidth="1"/>
    <col min="19" max="19" width="13" hidden="1" customWidth="1"/>
    <col min="20" max="20" width="19.140625" hidden="1" customWidth="1"/>
    <col min="21" max="21" width="17.42578125" hidden="1" customWidth="1"/>
    <col min="22" max="22" width="17.140625" customWidth="1"/>
    <col min="23" max="23" width="22.85546875" customWidth="1"/>
    <col min="24" max="24" width="2.85546875" customWidth="1"/>
    <col min="25" max="25" width="3.140625" customWidth="1"/>
    <col min="26" max="26" width="10.28515625" bestFit="1" customWidth="1"/>
  </cols>
  <sheetData>
    <row r="1" spans="1:26" ht="26.25" x14ac:dyDescent="0.4">
      <c r="A1" s="91" t="s">
        <v>518</v>
      </c>
      <c r="B1" s="91"/>
      <c r="F1" s="132">
        <v>42844</v>
      </c>
    </row>
    <row r="3" spans="1:26" s="94" customFormat="1" ht="21" customHeight="1" x14ac:dyDescent="0.35">
      <c r="C3" s="150" t="s">
        <v>122</v>
      </c>
      <c r="D3" s="151"/>
      <c r="E3" s="151"/>
      <c r="F3" s="151"/>
      <c r="G3" s="151"/>
      <c r="H3" s="151"/>
      <c r="I3" s="151"/>
      <c r="J3" s="151"/>
      <c r="K3" s="151"/>
      <c r="L3" s="151"/>
      <c r="M3" s="151"/>
      <c r="N3" s="151"/>
      <c r="O3" s="151"/>
      <c r="P3" s="151"/>
      <c r="Q3" s="152"/>
      <c r="R3" s="150" t="s">
        <v>123</v>
      </c>
      <c r="S3" s="151"/>
      <c r="T3" s="151"/>
      <c r="U3" s="151"/>
      <c r="V3" s="153"/>
      <c r="W3" s="95" t="s">
        <v>44</v>
      </c>
      <c r="Y3" s="96"/>
      <c r="Z3" s="17"/>
    </row>
    <row r="4" spans="1:26" s="97" customFormat="1" ht="31.5" x14ac:dyDescent="0.25">
      <c r="B4" s="98" t="s">
        <v>124</v>
      </c>
      <c r="C4" s="99" t="s">
        <v>125</v>
      </c>
      <c r="D4" s="100" t="s">
        <v>126</v>
      </c>
      <c r="E4" s="101" t="s">
        <v>127</v>
      </c>
      <c r="F4" s="102" t="s">
        <v>128</v>
      </c>
      <c r="G4" s="103" t="s">
        <v>129</v>
      </c>
      <c r="H4" s="100" t="s">
        <v>130</v>
      </c>
      <c r="I4" s="100" t="s">
        <v>519</v>
      </c>
      <c r="J4" s="104" t="s">
        <v>132</v>
      </c>
      <c r="K4" s="100" t="s">
        <v>133</v>
      </c>
      <c r="L4" s="104" t="s">
        <v>134</v>
      </c>
      <c r="M4" s="105" t="s">
        <v>18</v>
      </c>
      <c r="N4" s="105" t="s">
        <v>309</v>
      </c>
      <c r="O4" s="103" t="s">
        <v>136</v>
      </c>
      <c r="P4" s="103" t="s">
        <v>137</v>
      </c>
      <c r="Q4" s="103" t="s">
        <v>138</v>
      </c>
      <c r="R4" s="106" t="s">
        <v>139</v>
      </c>
      <c r="S4" s="100" t="s">
        <v>140</v>
      </c>
      <c r="T4" s="100" t="s">
        <v>141</v>
      </c>
      <c r="U4" s="100" t="s">
        <v>142</v>
      </c>
      <c r="V4" s="107" t="s">
        <v>143</v>
      </c>
      <c r="W4" s="108" t="s">
        <v>144</v>
      </c>
    </row>
    <row r="5" spans="1:26" s="97" customFormat="1" x14ac:dyDescent="0.25">
      <c r="B5" s="109">
        <f>IF(LEN(F5)=6,MAX($B$4:B4)+1,"")</f>
        <v>1</v>
      </c>
      <c r="C5" s="110" t="s">
        <v>520</v>
      </c>
      <c r="D5" s="116" t="s">
        <v>521</v>
      </c>
      <c r="E5" s="110" t="s">
        <v>522</v>
      </c>
      <c r="F5" s="113">
        <v>700001</v>
      </c>
      <c r="G5" s="111" t="s">
        <v>148</v>
      </c>
      <c r="H5" s="111" t="s">
        <v>149</v>
      </c>
      <c r="I5" s="111" t="s">
        <v>150</v>
      </c>
      <c r="J5" s="123">
        <v>2</v>
      </c>
      <c r="K5" s="111" t="s">
        <v>151</v>
      </c>
      <c r="L5" s="115">
        <v>90</v>
      </c>
      <c r="M5" s="111" t="s">
        <v>190</v>
      </c>
      <c r="N5" s="111" t="s">
        <v>153</v>
      </c>
      <c r="O5" s="111" t="s">
        <v>194</v>
      </c>
      <c r="P5" s="116" t="s">
        <v>155</v>
      </c>
      <c r="Q5" s="116" t="s">
        <v>156</v>
      </c>
      <c r="R5" s="117">
        <v>1650</v>
      </c>
      <c r="S5" s="117">
        <v>10</v>
      </c>
      <c r="T5" s="118">
        <v>4</v>
      </c>
      <c r="U5" s="117">
        <v>2</v>
      </c>
      <c r="V5" s="117">
        <v>1670</v>
      </c>
      <c r="W5" s="157">
        <v>63948.029090909091</v>
      </c>
      <c r="X5"/>
      <c r="Z5" s="133"/>
    </row>
    <row r="6" spans="1:26" s="97" customFormat="1" x14ac:dyDescent="0.25">
      <c r="B6" s="109">
        <f>IF(LEN(F6)=6,MAX($B$4:B5)+1,"")</f>
        <v>2</v>
      </c>
      <c r="C6" s="110" t="s">
        <v>523</v>
      </c>
      <c r="D6" s="116" t="s">
        <v>524</v>
      </c>
      <c r="E6" s="110" t="s">
        <v>525</v>
      </c>
      <c r="F6" s="113">
        <v>700002</v>
      </c>
      <c r="G6" s="111" t="s">
        <v>148</v>
      </c>
      <c r="H6" s="111" t="s">
        <v>149</v>
      </c>
      <c r="I6" s="111" t="s">
        <v>150</v>
      </c>
      <c r="J6" s="123">
        <v>20</v>
      </c>
      <c r="K6" s="111" t="s">
        <v>151</v>
      </c>
      <c r="L6" s="115">
        <v>90</v>
      </c>
      <c r="M6" s="111" t="s">
        <v>190</v>
      </c>
      <c r="N6" s="111" t="s">
        <v>153</v>
      </c>
      <c r="O6" s="111" t="s">
        <v>194</v>
      </c>
      <c r="P6" s="116" t="s">
        <v>155</v>
      </c>
      <c r="Q6" s="116" t="s">
        <v>156</v>
      </c>
      <c r="R6" s="117">
        <v>1750</v>
      </c>
      <c r="S6" s="117">
        <v>10</v>
      </c>
      <c r="T6" s="118">
        <v>8</v>
      </c>
      <c r="U6" s="117">
        <v>2</v>
      </c>
      <c r="V6" s="117">
        <v>1770</v>
      </c>
      <c r="W6" s="158"/>
      <c r="X6"/>
    </row>
    <row r="7" spans="1:26" s="97" customFormat="1" x14ac:dyDescent="0.25">
      <c r="B7" s="109">
        <f>IF(LEN(F7)=6,MAX($B$4:B6)+1,"")</f>
        <v>3</v>
      </c>
      <c r="C7" s="110" t="s">
        <v>314</v>
      </c>
      <c r="D7" s="116" t="s">
        <v>315</v>
      </c>
      <c r="E7" s="110" t="s">
        <v>526</v>
      </c>
      <c r="F7" s="113">
        <v>700003</v>
      </c>
      <c r="G7" s="111" t="s">
        <v>148</v>
      </c>
      <c r="H7" s="111" t="s">
        <v>149</v>
      </c>
      <c r="I7" s="111" t="s">
        <v>150</v>
      </c>
      <c r="J7" s="123">
        <v>28</v>
      </c>
      <c r="K7" s="111" t="s">
        <v>151</v>
      </c>
      <c r="L7" s="115">
        <v>90</v>
      </c>
      <c r="M7" s="111" t="s">
        <v>190</v>
      </c>
      <c r="N7" s="111" t="s">
        <v>153</v>
      </c>
      <c r="O7" s="111" t="s">
        <v>194</v>
      </c>
      <c r="P7" s="116" t="s">
        <v>155</v>
      </c>
      <c r="Q7" s="116" t="s">
        <v>156</v>
      </c>
      <c r="R7" s="117">
        <v>1800</v>
      </c>
      <c r="S7" s="117">
        <v>10</v>
      </c>
      <c r="T7" s="118">
        <v>12</v>
      </c>
      <c r="U7" s="117">
        <v>2</v>
      </c>
      <c r="V7" s="117">
        <v>1830</v>
      </c>
      <c r="W7" s="158"/>
      <c r="X7"/>
    </row>
    <row r="8" spans="1:26" s="97" customFormat="1" x14ac:dyDescent="0.25">
      <c r="B8" s="109">
        <f>IF(LEN(F8)=6,MAX($B$4:B7)+1,"")</f>
        <v>4</v>
      </c>
      <c r="C8" s="110" t="s">
        <v>321</v>
      </c>
      <c r="D8" s="116" t="s">
        <v>322</v>
      </c>
      <c r="E8" s="110" t="s">
        <v>323</v>
      </c>
      <c r="F8" s="113">
        <v>700004</v>
      </c>
      <c r="G8" s="111" t="s">
        <v>148</v>
      </c>
      <c r="H8" s="111" t="s">
        <v>149</v>
      </c>
      <c r="I8" s="111" t="s">
        <v>150</v>
      </c>
      <c r="J8" s="123">
        <v>4</v>
      </c>
      <c r="K8" s="111" t="s">
        <v>151</v>
      </c>
      <c r="L8" s="115">
        <v>90</v>
      </c>
      <c r="M8" s="111" t="s">
        <v>190</v>
      </c>
      <c r="N8" s="111" t="s">
        <v>153</v>
      </c>
      <c r="O8" s="111" t="s">
        <v>324</v>
      </c>
      <c r="P8" s="116" t="s">
        <v>155</v>
      </c>
      <c r="Q8" s="116" t="s">
        <v>156</v>
      </c>
      <c r="R8" s="117">
        <v>1800</v>
      </c>
      <c r="S8" s="117">
        <v>10</v>
      </c>
      <c r="T8" s="118">
        <v>12</v>
      </c>
      <c r="U8" s="117">
        <v>2</v>
      </c>
      <c r="V8" s="117">
        <v>1830</v>
      </c>
      <c r="W8" s="158"/>
      <c r="X8"/>
    </row>
    <row r="9" spans="1:26" s="97" customFormat="1" x14ac:dyDescent="0.25">
      <c r="B9" s="109">
        <f>IF(LEN(F9)=6,MAX($B$4:B8)+1,"")</f>
        <v>5</v>
      </c>
      <c r="C9" s="110" t="s">
        <v>527</v>
      </c>
      <c r="D9" s="116" t="s">
        <v>528</v>
      </c>
      <c r="E9" s="110" t="s">
        <v>529</v>
      </c>
      <c r="F9" s="113">
        <v>700005</v>
      </c>
      <c r="G9" s="111" t="s">
        <v>148</v>
      </c>
      <c r="H9" s="111" t="s">
        <v>149</v>
      </c>
      <c r="I9" s="111" t="s">
        <v>150</v>
      </c>
      <c r="J9" s="123">
        <v>2</v>
      </c>
      <c r="K9" s="111" t="s">
        <v>151</v>
      </c>
      <c r="L9" s="115">
        <v>90</v>
      </c>
      <c r="M9" s="111" t="s">
        <v>152</v>
      </c>
      <c r="N9" s="111" t="s">
        <v>153</v>
      </c>
      <c r="O9" s="111" t="s">
        <v>194</v>
      </c>
      <c r="P9" s="116" t="s">
        <v>155</v>
      </c>
      <c r="Q9" s="116" t="s">
        <v>156</v>
      </c>
      <c r="R9" s="117">
        <v>1550</v>
      </c>
      <c r="S9" s="117">
        <v>10</v>
      </c>
      <c r="T9" s="118">
        <v>4</v>
      </c>
      <c r="U9" s="117">
        <v>2</v>
      </c>
      <c r="V9" s="117">
        <v>1570</v>
      </c>
      <c r="W9" s="158"/>
      <c r="X9"/>
    </row>
    <row r="10" spans="1:26" s="97" customFormat="1" x14ac:dyDescent="0.25">
      <c r="B10" s="109">
        <f>IF(LEN(F10)=6,MAX($B$4:B9)+1,"")</f>
        <v>6</v>
      </c>
      <c r="C10" s="110" t="s">
        <v>530</v>
      </c>
      <c r="D10" s="116" t="s">
        <v>531</v>
      </c>
      <c r="E10" s="110" t="s">
        <v>532</v>
      </c>
      <c r="F10" s="113">
        <v>700006</v>
      </c>
      <c r="G10" s="111" t="s">
        <v>148</v>
      </c>
      <c r="H10" s="111" t="s">
        <v>149</v>
      </c>
      <c r="I10" s="111" t="s">
        <v>150</v>
      </c>
      <c r="J10" s="123">
        <v>28</v>
      </c>
      <c r="K10" s="111" t="s">
        <v>151</v>
      </c>
      <c r="L10" s="115">
        <v>90</v>
      </c>
      <c r="M10" s="111" t="s">
        <v>152</v>
      </c>
      <c r="N10" s="111" t="s">
        <v>153</v>
      </c>
      <c r="O10" s="111" t="s">
        <v>194</v>
      </c>
      <c r="P10" s="116" t="s">
        <v>155</v>
      </c>
      <c r="Q10" s="116" t="s">
        <v>156</v>
      </c>
      <c r="R10" s="117">
        <v>1650</v>
      </c>
      <c r="S10" s="117">
        <v>10</v>
      </c>
      <c r="T10" s="118">
        <v>8</v>
      </c>
      <c r="U10" s="117">
        <v>2</v>
      </c>
      <c r="V10" s="117">
        <v>1670</v>
      </c>
      <c r="W10" s="158"/>
      <c r="X10"/>
    </row>
    <row r="11" spans="1:26" s="97" customFormat="1" x14ac:dyDescent="0.25">
      <c r="B11" s="109">
        <f>IF(LEN(F11)=6,MAX($B$4:B10)+1,"")</f>
        <v>7</v>
      </c>
      <c r="C11" s="110" t="s">
        <v>328</v>
      </c>
      <c r="D11" s="116" t="s">
        <v>329</v>
      </c>
      <c r="E11" s="110" t="s">
        <v>533</v>
      </c>
      <c r="F11" s="113">
        <v>700007</v>
      </c>
      <c r="G11" s="111" t="s">
        <v>148</v>
      </c>
      <c r="H11" s="111" t="s">
        <v>149</v>
      </c>
      <c r="I11" s="111" t="s">
        <v>150</v>
      </c>
      <c r="J11" s="123">
        <v>12</v>
      </c>
      <c r="K11" s="111" t="s">
        <v>151</v>
      </c>
      <c r="L11" s="115">
        <v>90</v>
      </c>
      <c r="M11" s="111" t="s">
        <v>160</v>
      </c>
      <c r="N11" s="111" t="s">
        <v>153</v>
      </c>
      <c r="O11" s="111" t="s">
        <v>194</v>
      </c>
      <c r="P11" s="116" t="s">
        <v>155</v>
      </c>
      <c r="Q11" s="116" t="s">
        <v>156</v>
      </c>
      <c r="R11" s="117">
        <v>1700</v>
      </c>
      <c r="S11" s="117">
        <v>10</v>
      </c>
      <c r="T11" s="118">
        <v>12</v>
      </c>
      <c r="U11" s="117">
        <v>2</v>
      </c>
      <c r="V11" s="117">
        <v>1730</v>
      </c>
      <c r="W11" s="158"/>
      <c r="X11"/>
    </row>
    <row r="12" spans="1:26" s="97" customFormat="1" x14ac:dyDescent="0.25">
      <c r="B12" s="109">
        <f>IF(LEN(F12)=6,MAX($B$4:B11)+1,"")</f>
        <v>8</v>
      </c>
      <c r="C12" s="110" t="s">
        <v>331</v>
      </c>
      <c r="D12" s="116" t="s">
        <v>332</v>
      </c>
      <c r="E12" s="110" t="s">
        <v>333</v>
      </c>
      <c r="F12" s="113">
        <v>700008</v>
      </c>
      <c r="G12" s="111" t="s">
        <v>148</v>
      </c>
      <c r="H12" s="111" t="s">
        <v>149</v>
      </c>
      <c r="I12" s="111" t="s">
        <v>150</v>
      </c>
      <c r="J12" s="123">
        <v>20</v>
      </c>
      <c r="K12" s="111" t="s">
        <v>151</v>
      </c>
      <c r="L12" s="115">
        <v>90</v>
      </c>
      <c r="M12" s="111" t="s">
        <v>152</v>
      </c>
      <c r="N12" s="111" t="s">
        <v>153</v>
      </c>
      <c r="O12" s="111" t="s">
        <v>194</v>
      </c>
      <c r="P12" s="116" t="s">
        <v>155</v>
      </c>
      <c r="Q12" s="116" t="s">
        <v>156</v>
      </c>
      <c r="R12" s="117">
        <v>1700</v>
      </c>
      <c r="S12" s="117">
        <v>10</v>
      </c>
      <c r="T12" s="118">
        <v>12</v>
      </c>
      <c r="U12" s="117">
        <v>2</v>
      </c>
      <c r="V12" s="117">
        <v>1730</v>
      </c>
      <c r="W12" s="158"/>
      <c r="X12"/>
    </row>
    <row r="13" spans="1:26" s="97" customFormat="1" x14ac:dyDescent="0.25">
      <c r="B13" s="109">
        <f>IF(LEN(F13)=6,MAX($B$4:B12)+1,"")</f>
        <v>9</v>
      </c>
      <c r="C13" s="110" t="s">
        <v>534</v>
      </c>
      <c r="D13" s="116" t="s">
        <v>535</v>
      </c>
      <c r="E13" s="110" t="s">
        <v>536</v>
      </c>
      <c r="F13" s="113">
        <v>700009</v>
      </c>
      <c r="G13" s="111" t="s">
        <v>148</v>
      </c>
      <c r="H13" s="111" t="s">
        <v>149</v>
      </c>
      <c r="I13" s="111" t="s">
        <v>150</v>
      </c>
      <c r="J13" s="123">
        <v>2</v>
      </c>
      <c r="K13" s="111" t="s">
        <v>151</v>
      </c>
      <c r="L13" s="115">
        <v>90</v>
      </c>
      <c r="M13" s="111" t="s">
        <v>174</v>
      </c>
      <c r="N13" s="111" t="s">
        <v>153</v>
      </c>
      <c r="O13" s="111" t="s">
        <v>194</v>
      </c>
      <c r="P13" s="116" t="s">
        <v>155</v>
      </c>
      <c r="Q13" s="116" t="s">
        <v>156</v>
      </c>
      <c r="R13" s="117">
        <v>2450</v>
      </c>
      <c r="S13" s="117">
        <v>10</v>
      </c>
      <c r="T13" s="118">
        <v>4</v>
      </c>
      <c r="U13" s="117">
        <v>3</v>
      </c>
      <c r="V13" s="117">
        <v>2470</v>
      </c>
      <c r="W13" s="158"/>
      <c r="X13"/>
    </row>
    <row r="14" spans="1:26" s="97" customFormat="1" x14ac:dyDescent="0.25">
      <c r="B14" s="109">
        <f>IF(LEN(F14)=6,MAX($B$4:B13)+1,"")</f>
        <v>10</v>
      </c>
      <c r="C14" s="110" t="s">
        <v>537</v>
      </c>
      <c r="D14" s="116" t="s">
        <v>538</v>
      </c>
      <c r="E14" s="110" t="s">
        <v>539</v>
      </c>
      <c r="F14" s="113">
        <v>700010</v>
      </c>
      <c r="G14" s="111" t="s">
        <v>148</v>
      </c>
      <c r="H14" s="111" t="s">
        <v>149</v>
      </c>
      <c r="I14" s="111" t="s">
        <v>150</v>
      </c>
      <c r="J14" s="115">
        <v>36</v>
      </c>
      <c r="K14" s="111" t="s">
        <v>151</v>
      </c>
      <c r="L14" s="115">
        <v>90</v>
      </c>
      <c r="M14" s="111" t="s">
        <v>174</v>
      </c>
      <c r="N14" s="111" t="s">
        <v>153</v>
      </c>
      <c r="O14" s="111" t="s">
        <v>194</v>
      </c>
      <c r="P14" s="116" t="s">
        <v>155</v>
      </c>
      <c r="Q14" s="116" t="s">
        <v>156</v>
      </c>
      <c r="R14" s="117">
        <v>2550</v>
      </c>
      <c r="S14" s="117">
        <v>10</v>
      </c>
      <c r="T14" s="118">
        <v>8</v>
      </c>
      <c r="U14" s="117">
        <v>3</v>
      </c>
      <c r="V14" s="117">
        <v>2580</v>
      </c>
      <c r="W14" s="158"/>
      <c r="X14"/>
    </row>
    <row r="15" spans="1:26" s="97" customFormat="1" x14ac:dyDescent="0.25">
      <c r="B15" s="109">
        <f>IF(LEN(F15)=6,MAX($B$4:B14)+1,"")</f>
        <v>11</v>
      </c>
      <c r="C15" s="110" t="s">
        <v>337</v>
      </c>
      <c r="D15" s="116" t="s">
        <v>338</v>
      </c>
      <c r="E15" s="110" t="s">
        <v>339</v>
      </c>
      <c r="F15" s="113">
        <v>700011</v>
      </c>
      <c r="G15" s="111" t="s">
        <v>148</v>
      </c>
      <c r="H15" s="111" t="s">
        <v>149</v>
      </c>
      <c r="I15" s="111" t="s">
        <v>150</v>
      </c>
      <c r="J15" s="115">
        <v>20</v>
      </c>
      <c r="K15" s="111" t="s">
        <v>151</v>
      </c>
      <c r="L15" s="115">
        <v>90</v>
      </c>
      <c r="M15" s="111" t="s">
        <v>340</v>
      </c>
      <c r="N15" s="111" t="s">
        <v>153</v>
      </c>
      <c r="O15" s="111" t="s">
        <v>194</v>
      </c>
      <c r="P15" s="116" t="s">
        <v>155</v>
      </c>
      <c r="Q15" s="116" t="s">
        <v>156</v>
      </c>
      <c r="R15" s="117">
        <v>2600</v>
      </c>
      <c r="S15" s="117">
        <v>10</v>
      </c>
      <c r="T15" s="118">
        <v>12</v>
      </c>
      <c r="U15" s="117">
        <v>3</v>
      </c>
      <c r="V15" s="117">
        <v>2630</v>
      </c>
      <c r="W15" s="158"/>
      <c r="X15"/>
    </row>
    <row r="16" spans="1:26" s="97" customFormat="1" x14ac:dyDescent="0.25">
      <c r="B16" s="109">
        <f>IF(LEN(F16)=6,MAX($B$4:B15)+1,"")</f>
        <v>12</v>
      </c>
      <c r="C16" s="110" t="s">
        <v>344</v>
      </c>
      <c r="D16" s="111" t="s">
        <v>345</v>
      </c>
      <c r="E16" s="110" t="s">
        <v>346</v>
      </c>
      <c r="F16" s="113">
        <v>700012</v>
      </c>
      <c r="G16" s="111" t="s">
        <v>148</v>
      </c>
      <c r="H16" s="111" t="s">
        <v>149</v>
      </c>
      <c r="I16" s="111" t="s">
        <v>150</v>
      </c>
      <c r="J16" s="115">
        <v>24</v>
      </c>
      <c r="K16" s="111" t="s">
        <v>151</v>
      </c>
      <c r="L16" s="115">
        <v>90</v>
      </c>
      <c r="M16" s="111" t="s">
        <v>340</v>
      </c>
      <c r="N16" s="111" t="s">
        <v>153</v>
      </c>
      <c r="O16" s="111" t="s">
        <v>194</v>
      </c>
      <c r="P16" s="116" t="s">
        <v>155</v>
      </c>
      <c r="Q16" s="116" t="s">
        <v>156</v>
      </c>
      <c r="R16" s="117">
        <v>2600</v>
      </c>
      <c r="S16" s="117">
        <v>10</v>
      </c>
      <c r="T16" s="118">
        <v>12</v>
      </c>
      <c r="U16" s="117">
        <v>3</v>
      </c>
      <c r="V16" s="117">
        <v>2630</v>
      </c>
      <c r="W16" s="158"/>
      <c r="X16"/>
    </row>
    <row r="17" spans="2:24" s="97" customFormat="1" x14ac:dyDescent="0.25">
      <c r="B17" s="109">
        <f>IF(LEN(F17)=6,MAX($B$4:B16)+1,"")</f>
        <v>13</v>
      </c>
      <c r="C17" s="110" t="s">
        <v>350</v>
      </c>
      <c r="D17" s="111" t="s">
        <v>351</v>
      </c>
      <c r="E17" s="110" t="s">
        <v>352</v>
      </c>
      <c r="F17" s="113">
        <v>700013</v>
      </c>
      <c r="G17" s="111" t="s">
        <v>148</v>
      </c>
      <c r="H17" s="111" t="s">
        <v>149</v>
      </c>
      <c r="I17" s="111" t="s">
        <v>150</v>
      </c>
      <c r="J17" s="115">
        <v>24</v>
      </c>
      <c r="K17" s="111" t="s">
        <v>151</v>
      </c>
      <c r="L17" s="115">
        <v>90</v>
      </c>
      <c r="M17" s="111" t="s">
        <v>340</v>
      </c>
      <c r="N17" s="111" t="s">
        <v>153</v>
      </c>
      <c r="O17" s="111" t="s">
        <v>194</v>
      </c>
      <c r="P17" s="116" t="s">
        <v>155</v>
      </c>
      <c r="Q17" s="116" t="s">
        <v>156</v>
      </c>
      <c r="R17" s="117">
        <v>2600</v>
      </c>
      <c r="S17" s="117">
        <v>10</v>
      </c>
      <c r="T17" s="118">
        <v>12</v>
      </c>
      <c r="U17" s="117">
        <v>3</v>
      </c>
      <c r="V17" s="117">
        <v>2630</v>
      </c>
      <c r="W17" s="158"/>
      <c r="X17"/>
    </row>
    <row r="18" spans="2:24" s="97" customFormat="1" x14ac:dyDescent="0.25">
      <c r="B18" s="109">
        <f>IF(LEN(F18)=6,MAX($B$4:B17)+1,"")</f>
        <v>14</v>
      </c>
      <c r="C18" s="110" t="s">
        <v>540</v>
      </c>
      <c r="D18" s="111" t="s">
        <v>541</v>
      </c>
      <c r="E18" s="110" t="s">
        <v>542</v>
      </c>
      <c r="F18" s="113">
        <v>700014</v>
      </c>
      <c r="G18" s="111" t="s">
        <v>148</v>
      </c>
      <c r="H18" s="111" t="s">
        <v>149</v>
      </c>
      <c r="I18" s="111" t="s">
        <v>150</v>
      </c>
      <c r="J18" s="115">
        <v>2</v>
      </c>
      <c r="K18" s="111" t="s">
        <v>151</v>
      </c>
      <c r="L18" s="115">
        <v>90</v>
      </c>
      <c r="M18" s="120" t="s">
        <v>543</v>
      </c>
      <c r="N18" s="111" t="s">
        <v>153</v>
      </c>
      <c r="O18" s="111" t="s">
        <v>194</v>
      </c>
      <c r="P18" s="116" t="s">
        <v>155</v>
      </c>
      <c r="Q18" s="116" t="s">
        <v>156</v>
      </c>
      <c r="R18" s="117">
        <v>100</v>
      </c>
      <c r="S18" s="117">
        <v>3</v>
      </c>
      <c r="T18" s="118">
        <v>4</v>
      </c>
      <c r="U18" s="117">
        <v>1</v>
      </c>
      <c r="V18" s="117">
        <v>110</v>
      </c>
      <c r="W18" s="158"/>
      <c r="X18"/>
    </row>
    <row r="19" spans="2:24" s="97" customFormat="1" x14ac:dyDescent="0.25">
      <c r="B19" s="109">
        <f>IF(LEN(F19)=6,MAX($B$4:B18)+1,"")</f>
        <v>15</v>
      </c>
      <c r="C19" s="110" t="s">
        <v>544</v>
      </c>
      <c r="D19" s="111" t="s">
        <v>545</v>
      </c>
      <c r="E19" s="110" t="s">
        <v>546</v>
      </c>
      <c r="F19" s="113">
        <v>700015</v>
      </c>
      <c r="G19" s="111" t="s">
        <v>148</v>
      </c>
      <c r="H19" s="111" t="s">
        <v>149</v>
      </c>
      <c r="I19" s="111" t="s">
        <v>150</v>
      </c>
      <c r="J19" s="115">
        <v>2</v>
      </c>
      <c r="K19" s="111" t="s">
        <v>151</v>
      </c>
      <c r="L19" s="115">
        <v>90</v>
      </c>
      <c r="M19" s="120" t="s">
        <v>543</v>
      </c>
      <c r="N19" s="111" t="s">
        <v>153</v>
      </c>
      <c r="O19" s="111" t="s">
        <v>194</v>
      </c>
      <c r="P19" s="116" t="s">
        <v>155</v>
      </c>
      <c r="Q19" s="116" t="s">
        <v>156</v>
      </c>
      <c r="R19" s="117">
        <v>50</v>
      </c>
      <c r="S19" s="117">
        <v>3</v>
      </c>
      <c r="T19" s="118">
        <v>4</v>
      </c>
      <c r="U19" s="117">
        <v>1</v>
      </c>
      <c r="V19" s="117">
        <v>60</v>
      </c>
      <c r="W19" s="159"/>
      <c r="X19"/>
    </row>
    <row r="21" spans="2:24" x14ac:dyDescent="0.25">
      <c r="V21" s="134"/>
      <c r="W21" s="129"/>
    </row>
    <row r="22" spans="2:24" x14ac:dyDescent="0.25">
      <c r="B22" s="1" t="s">
        <v>307</v>
      </c>
      <c r="V22" s="135"/>
      <c r="W22" s="129"/>
    </row>
    <row r="23" spans="2:24" x14ac:dyDescent="0.25">
      <c r="V23" s="135"/>
      <c r="W23" s="129"/>
    </row>
    <row r="24" spans="2:24" x14ac:dyDescent="0.25">
      <c r="B24" s="1" t="s">
        <v>11</v>
      </c>
    </row>
  </sheetData>
  <mergeCells count="3">
    <mergeCell ref="C3:Q3"/>
    <mergeCell ref="R3:V3"/>
    <mergeCell ref="W5:W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18"/>
  <sheetViews>
    <sheetView showGridLines="0" topLeftCell="N1" zoomScale="70" zoomScaleNormal="70" workbookViewId="0">
      <selection activeCell="O21" sqref="O21"/>
    </sheetView>
  </sheetViews>
  <sheetFormatPr defaultRowHeight="15" x14ac:dyDescent="0.25"/>
  <cols>
    <col min="1" max="1" width="4" customWidth="1"/>
    <col min="2" max="2" width="8.85546875" customWidth="1"/>
    <col min="3" max="3" width="22.140625" customWidth="1"/>
    <col min="4" max="4" width="21.5703125" customWidth="1"/>
    <col min="5" max="5" width="64.5703125" bestFit="1" customWidth="1"/>
    <col min="6" max="6" width="15.5703125" customWidth="1"/>
    <col min="7" max="7" width="13.5703125" customWidth="1"/>
    <col min="8" max="8" width="32.140625" customWidth="1"/>
    <col min="9" max="9" width="15.7109375" customWidth="1"/>
    <col min="10" max="10" width="13.28515625" bestFit="1" customWidth="1"/>
    <col min="11" max="11" width="10.85546875" customWidth="1"/>
    <col min="12" max="12" width="14" bestFit="1" customWidth="1"/>
    <col min="13" max="13" width="59.7109375" bestFit="1" customWidth="1"/>
    <col min="14" max="14" width="74" bestFit="1" customWidth="1"/>
    <col min="15" max="15" width="62.7109375" bestFit="1" customWidth="1"/>
    <col min="16" max="16" width="54.7109375" bestFit="1" customWidth="1"/>
    <col min="17" max="17" width="23.85546875" customWidth="1"/>
    <col min="18" max="18" width="13" customWidth="1"/>
    <col min="19" max="19" width="19.140625" customWidth="1"/>
    <col min="20" max="20" width="23.140625" customWidth="1"/>
    <col min="21" max="21" width="21.42578125" bestFit="1" customWidth="1"/>
    <col min="22" max="22" width="22.85546875" customWidth="1"/>
    <col min="23" max="23" width="2.85546875" customWidth="1"/>
    <col min="24" max="24" width="14.42578125" bestFit="1" customWidth="1"/>
    <col min="25" max="25" width="14.42578125" customWidth="1"/>
    <col min="26" max="26" width="12.140625" bestFit="1" customWidth="1"/>
    <col min="28" max="28" width="12.140625" bestFit="1" customWidth="1"/>
  </cols>
  <sheetData>
    <row r="1" spans="1:27" ht="26.25" x14ac:dyDescent="0.4">
      <c r="A1" s="91" t="s">
        <v>547</v>
      </c>
      <c r="B1" s="91"/>
      <c r="D1" s="92">
        <v>42844</v>
      </c>
    </row>
    <row r="3" spans="1:27" s="94" customFormat="1" ht="21" customHeight="1" x14ac:dyDescent="0.35">
      <c r="B3" s="94" t="s">
        <v>548</v>
      </c>
      <c r="C3" s="150" t="s">
        <v>122</v>
      </c>
      <c r="D3" s="151"/>
      <c r="E3" s="151"/>
      <c r="F3" s="151"/>
      <c r="G3" s="151"/>
      <c r="H3" s="151"/>
      <c r="I3" s="151"/>
      <c r="J3" s="151"/>
      <c r="K3" s="151"/>
      <c r="L3" s="151"/>
      <c r="M3" s="151"/>
      <c r="N3" s="151"/>
      <c r="O3" s="151"/>
      <c r="P3" s="152"/>
      <c r="Q3" s="150" t="s">
        <v>123</v>
      </c>
      <c r="R3" s="151"/>
      <c r="S3" s="151"/>
      <c r="T3" s="151"/>
      <c r="U3" s="153"/>
      <c r="V3" s="95" t="s">
        <v>44</v>
      </c>
      <c r="X3" s="96"/>
      <c r="Y3"/>
      <c r="Z3"/>
    </row>
    <row r="4" spans="1:27" s="97" customFormat="1" ht="31.5" x14ac:dyDescent="0.25">
      <c r="B4" s="98" t="s">
        <v>124</v>
      </c>
      <c r="C4" s="99" t="s">
        <v>125</v>
      </c>
      <c r="D4" s="100" t="s">
        <v>126</v>
      </c>
      <c r="E4" s="101" t="s">
        <v>127</v>
      </c>
      <c r="F4" s="103" t="s">
        <v>128</v>
      </c>
      <c r="G4" s="103" t="s">
        <v>129</v>
      </c>
      <c r="H4" s="103" t="s">
        <v>130</v>
      </c>
      <c r="I4" s="100" t="s">
        <v>131</v>
      </c>
      <c r="J4" s="100" t="s">
        <v>132</v>
      </c>
      <c r="K4" s="100" t="s">
        <v>133</v>
      </c>
      <c r="L4" s="100" t="s">
        <v>134</v>
      </c>
      <c r="M4" s="105" t="s">
        <v>18</v>
      </c>
      <c r="N4" s="103" t="s">
        <v>136</v>
      </c>
      <c r="O4" s="103" t="s">
        <v>137</v>
      </c>
      <c r="P4" s="103" t="s">
        <v>138</v>
      </c>
      <c r="Q4" s="106" t="s">
        <v>139</v>
      </c>
      <c r="R4" s="100" t="s">
        <v>140</v>
      </c>
      <c r="S4" s="100" t="s">
        <v>141</v>
      </c>
      <c r="T4" s="100" t="s">
        <v>142</v>
      </c>
      <c r="U4" s="107" t="s">
        <v>143</v>
      </c>
      <c r="V4" s="108" t="s">
        <v>144</v>
      </c>
      <c r="Y4"/>
      <c r="Z4"/>
    </row>
    <row r="5" spans="1:27" s="97" customFormat="1" x14ac:dyDescent="0.25">
      <c r="B5" s="136">
        <v>1</v>
      </c>
      <c r="C5" s="137" t="s">
        <v>549</v>
      </c>
      <c r="D5" s="111" t="s">
        <v>550</v>
      </c>
      <c r="E5" s="110" t="s">
        <v>551</v>
      </c>
      <c r="F5" s="111">
        <v>870120</v>
      </c>
      <c r="G5" s="111"/>
      <c r="H5" s="111" t="s">
        <v>149</v>
      </c>
      <c r="I5" s="111" t="s">
        <v>150</v>
      </c>
      <c r="J5" s="111">
        <v>1</v>
      </c>
      <c r="K5" s="111" t="s">
        <v>151</v>
      </c>
      <c r="L5" s="111">
        <v>90</v>
      </c>
      <c r="M5" s="111" t="s">
        <v>552</v>
      </c>
      <c r="N5" s="111" t="s">
        <v>191</v>
      </c>
      <c r="O5" s="116" t="s">
        <v>155</v>
      </c>
      <c r="P5" s="116" t="s">
        <v>156</v>
      </c>
      <c r="Q5" s="111">
        <v>36349</v>
      </c>
      <c r="R5" s="111">
        <f t="shared" ref="R5:R11" si="0">IF(Q5=0,0,IF(Q5&gt;=1000,10,3))</f>
        <v>10</v>
      </c>
      <c r="S5" s="116">
        <f t="shared" ref="S5:S11" si="1">IF(Q5=0,0,IF(ISERROR(INDEX(PDQ_ACQs,MATCH(Spec_Component_Ref,PDQ_Component_Refs,0),1)),S6,INDEX(PDQ_ACQs,MATCH(Spec_Component_Ref,PDQ_Component_Refs,0),1)))</f>
        <v>4</v>
      </c>
      <c r="T5" s="111">
        <f t="shared" ref="T5" si="2">IF(Q5=0,0,CEILING(SUM(Q5:S5)/1000,1))</f>
        <v>37</v>
      </c>
      <c r="U5" s="111">
        <f t="shared" ref="U5:U11" si="3">CEILING(SUM(Q5:T5),10)</f>
        <v>36400</v>
      </c>
      <c r="V5" s="138">
        <v>913.65538413496665</v>
      </c>
      <c r="W5"/>
      <c r="Y5"/>
      <c r="Z5"/>
    </row>
    <row r="6" spans="1:27" s="97" customFormat="1" x14ac:dyDescent="0.25">
      <c r="B6" s="136">
        <v>2</v>
      </c>
      <c r="C6" s="137" t="s">
        <v>553</v>
      </c>
      <c r="D6" s="111" t="s">
        <v>554</v>
      </c>
      <c r="E6" s="110" t="s">
        <v>555</v>
      </c>
      <c r="F6" s="111">
        <v>870121</v>
      </c>
      <c r="G6" s="111"/>
      <c r="H6" s="111" t="s">
        <v>149</v>
      </c>
      <c r="I6" s="111" t="s">
        <v>150</v>
      </c>
      <c r="J6" s="111">
        <v>2</v>
      </c>
      <c r="K6" s="111" t="s">
        <v>556</v>
      </c>
      <c r="L6" s="111">
        <v>250</v>
      </c>
      <c r="M6" s="111" t="s">
        <v>557</v>
      </c>
      <c r="N6" s="111" t="s">
        <v>191</v>
      </c>
      <c r="O6" s="116" t="s">
        <v>155</v>
      </c>
      <c r="P6" s="116" t="s">
        <v>156</v>
      </c>
      <c r="Q6" s="111">
        <v>36349</v>
      </c>
      <c r="R6" s="111">
        <f t="shared" si="0"/>
        <v>10</v>
      </c>
      <c r="S6" s="116">
        <f t="shared" si="1"/>
        <v>4</v>
      </c>
      <c r="T6" s="111">
        <f t="shared" ref="T6:T11" si="4">IF(Q6=0,0,CEILING(SUM(Q6:S6)/1000,1))</f>
        <v>37</v>
      </c>
      <c r="U6" s="111">
        <f t="shared" si="3"/>
        <v>36400</v>
      </c>
      <c r="V6" s="138">
        <v>3330.4588893939399</v>
      </c>
      <c r="W6"/>
      <c r="Y6"/>
      <c r="Z6"/>
    </row>
    <row r="7" spans="1:27" s="97" customFormat="1" x14ac:dyDescent="0.25">
      <c r="B7" s="136">
        <v>3</v>
      </c>
      <c r="C7" s="137" t="s">
        <v>558</v>
      </c>
      <c r="D7" s="111" t="s">
        <v>559</v>
      </c>
      <c r="E7" s="110" t="s">
        <v>560</v>
      </c>
      <c r="F7" s="111">
        <v>870122</v>
      </c>
      <c r="G7" s="111"/>
      <c r="H7" s="111" t="s">
        <v>149</v>
      </c>
      <c r="I7" s="111" t="s">
        <v>150</v>
      </c>
      <c r="J7" s="111">
        <v>24</v>
      </c>
      <c r="K7" s="111" t="s">
        <v>556</v>
      </c>
      <c r="L7" s="111">
        <v>250</v>
      </c>
      <c r="M7" s="111" t="s">
        <v>561</v>
      </c>
      <c r="N7" s="111" t="s">
        <v>562</v>
      </c>
      <c r="O7" s="116" t="s">
        <v>155</v>
      </c>
      <c r="P7" s="116" t="s">
        <v>156</v>
      </c>
      <c r="Q7" s="111">
        <v>36349</v>
      </c>
      <c r="R7" s="111">
        <f t="shared" si="0"/>
        <v>10</v>
      </c>
      <c r="S7" s="116">
        <f t="shared" si="1"/>
        <v>4</v>
      </c>
      <c r="T7" s="111">
        <f t="shared" si="4"/>
        <v>37</v>
      </c>
      <c r="U7" s="111">
        <f t="shared" si="3"/>
        <v>36400</v>
      </c>
      <c r="V7" s="138">
        <v>49365.368362020199</v>
      </c>
      <c r="W7"/>
      <c r="Y7"/>
      <c r="Z7"/>
    </row>
    <row r="8" spans="1:27" s="97" customFormat="1" x14ac:dyDescent="0.25">
      <c r="B8" s="136">
        <v>4</v>
      </c>
      <c r="C8" s="137" t="s">
        <v>563</v>
      </c>
      <c r="D8" s="111" t="s">
        <v>564</v>
      </c>
      <c r="E8" s="110" t="s">
        <v>565</v>
      </c>
      <c r="F8" s="111">
        <v>870123</v>
      </c>
      <c r="G8" s="111"/>
      <c r="H8" s="111" t="s">
        <v>149</v>
      </c>
      <c r="I8" s="111" t="s">
        <v>150</v>
      </c>
      <c r="J8" s="111">
        <v>1</v>
      </c>
      <c r="K8" s="111" t="s">
        <v>151</v>
      </c>
      <c r="L8" s="111">
        <v>90</v>
      </c>
      <c r="M8" s="111" t="s">
        <v>566</v>
      </c>
      <c r="N8" s="111" t="s">
        <v>567</v>
      </c>
      <c r="O8" s="116" t="s">
        <v>155</v>
      </c>
      <c r="P8" s="116" t="s">
        <v>156</v>
      </c>
      <c r="Q8" s="111">
        <v>36349</v>
      </c>
      <c r="R8" s="111">
        <f t="shared" si="0"/>
        <v>10</v>
      </c>
      <c r="S8" s="116">
        <f t="shared" si="1"/>
        <v>4</v>
      </c>
      <c r="T8" s="111">
        <f t="shared" si="4"/>
        <v>37</v>
      </c>
      <c r="U8" s="111">
        <f t="shared" si="3"/>
        <v>36400</v>
      </c>
      <c r="V8" s="138">
        <v>16972.367016565659</v>
      </c>
      <c r="W8"/>
      <c r="Y8"/>
      <c r="Z8"/>
    </row>
    <row r="9" spans="1:27" s="97" customFormat="1" x14ac:dyDescent="0.25">
      <c r="B9" s="136">
        <v>5</v>
      </c>
      <c r="C9" s="137" t="s">
        <v>568</v>
      </c>
      <c r="D9" s="111" t="s">
        <v>569</v>
      </c>
      <c r="E9" s="110" t="s">
        <v>570</v>
      </c>
      <c r="F9" s="111">
        <v>870124</v>
      </c>
      <c r="G9" s="111"/>
      <c r="H9" s="111" t="s">
        <v>149</v>
      </c>
      <c r="I9" s="111" t="s">
        <v>150</v>
      </c>
      <c r="J9" s="139">
        <v>2</v>
      </c>
      <c r="K9" s="111" t="s">
        <v>151</v>
      </c>
      <c r="L9" s="111">
        <v>90</v>
      </c>
      <c r="M9" s="111" t="s">
        <v>571</v>
      </c>
      <c r="N9" s="111" t="s">
        <v>191</v>
      </c>
      <c r="O9" s="116" t="s">
        <v>155</v>
      </c>
      <c r="P9" s="116" t="s">
        <v>156</v>
      </c>
      <c r="Q9" s="111">
        <v>36349</v>
      </c>
      <c r="R9" s="111">
        <f t="shared" si="0"/>
        <v>10</v>
      </c>
      <c r="S9" s="116">
        <f t="shared" si="1"/>
        <v>4</v>
      </c>
      <c r="T9" s="111">
        <f t="shared" si="4"/>
        <v>37</v>
      </c>
      <c r="U9" s="111">
        <f t="shared" si="3"/>
        <v>36400</v>
      </c>
      <c r="V9" s="138">
        <v>1496.6374062626264</v>
      </c>
      <c r="W9"/>
      <c r="Y9"/>
      <c r="Z9"/>
    </row>
    <row r="10" spans="1:27" s="97" customFormat="1" x14ac:dyDescent="0.25">
      <c r="B10" s="136">
        <v>6</v>
      </c>
      <c r="C10" s="137" t="s">
        <v>572</v>
      </c>
      <c r="D10" s="97" t="s">
        <v>573</v>
      </c>
      <c r="E10" s="110" t="s">
        <v>574</v>
      </c>
      <c r="F10" s="111">
        <v>870125</v>
      </c>
      <c r="G10" s="111"/>
      <c r="H10" s="111" t="s">
        <v>575</v>
      </c>
      <c r="I10" s="111" t="s">
        <v>150</v>
      </c>
      <c r="J10" s="111">
        <v>4</v>
      </c>
      <c r="K10" s="111" t="s">
        <v>576</v>
      </c>
      <c r="L10" s="111">
        <v>90</v>
      </c>
      <c r="M10" s="111" t="s">
        <v>459</v>
      </c>
      <c r="N10" s="111" t="s">
        <v>577</v>
      </c>
      <c r="O10" s="116" t="s">
        <v>155</v>
      </c>
      <c r="P10" s="116" t="s">
        <v>578</v>
      </c>
      <c r="Q10" s="111">
        <v>51</v>
      </c>
      <c r="R10" s="111">
        <f>IF(Q10=0,0,IF(Q10&gt;=1000,10,3))</f>
        <v>3</v>
      </c>
      <c r="S10" s="116">
        <f t="shared" si="1"/>
        <v>4</v>
      </c>
      <c r="T10" s="111">
        <f>IF(Q10=0,0,CEILING(SUM(Q10:S10)/1000,1))</f>
        <v>1</v>
      </c>
      <c r="U10" s="111">
        <f>CEILING(SUM(Q10:T10),10)</f>
        <v>60</v>
      </c>
      <c r="V10" s="138">
        <v>1480.8143939393938</v>
      </c>
      <c r="W10"/>
      <c r="Y10"/>
      <c r="Z10"/>
    </row>
    <row r="11" spans="1:27" s="97" customFormat="1" x14ac:dyDescent="0.25">
      <c r="B11" s="136">
        <v>7</v>
      </c>
      <c r="C11" s="137" t="s">
        <v>579</v>
      </c>
      <c r="D11" s="111" t="s">
        <v>580</v>
      </c>
      <c r="E11" s="110" t="s">
        <v>581</v>
      </c>
      <c r="F11" s="111">
        <v>870126</v>
      </c>
      <c r="G11" s="111"/>
      <c r="H11" s="111" t="s">
        <v>149</v>
      </c>
      <c r="I11" s="111" t="s">
        <v>150</v>
      </c>
      <c r="J11" s="111">
        <v>1</v>
      </c>
      <c r="K11" s="111" t="s">
        <v>151</v>
      </c>
      <c r="L11" s="111">
        <v>90</v>
      </c>
      <c r="M11" s="111" t="s">
        <v>552</v>
      </c>
      <c r="N11" s="111" t="s">
        <v>191</v>
      </c>
      <c r="O11" s="116" t="s">
        <v>155</v>
      </c>
      <c r="P11" s="116" t="s">
        <v>156</v>
      </c>
      <c r="Q11" s="111">
        <v>51</v>
      </c>
      <c r="R11" s="111">
        <f t="shared" si="0"/>
        <v>3</v>
      </c>
      <c r="S11" s="116">
        <f t="shared" si="1"/>
        <v>4</v>
      </c>
      <c r="T11" s="111">
        <f t="shared" si="4"/>
        <v>1</v>
      </c>
      <c r="U11" s="111">
        <f t="shared" si="3"/>
        <v>60</v>
      </c>
      <c r="V11" s="138">
        <v>407.26549494949495</v>
      </c>
      <c r="W11"/>
      <c r="Y11"/>
    </row>
    <row r="12" spans="1:27" x14ac:dyDescent="0.25">
      <c r="B12" s="109"/>
      <c r="C12" s="110"/>
      <c r="D12" s="111"/>
      <c r="E12" s="112" t="s">
        <v>12</v>
      </c>
      <c r="F12" s="113"/>
      <c r="G12" s="111"/>
      <c r="H12" s="116"/>
      <c r="I12" s="111"/>
      <c r="J12" s="114"/>
      <c r="K12" s="116"/>
      <c r="L12" s="114"/>
      <c r="M12" s="111"/>
      <c r="N12" s="111"/>
      <c r="O12" s="116"/>
      <c r="P12" s="116"/>
      <c r="Q12" s="116"/>
      <c r="R12" s="111"/>
      <c r="S12" s="111"/>
      <c r="T12" s="111"/>
      <c r="U12" s="111"/>
      <c r="V12" s="138">
        <v>12070.71</v>
      </c>
    </row>
    <row r="13" spans="1:27" x14ac:dyDescent="0.25">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Z13" s="140"/>
      <c r="AA13" s="140"/>
    </row>
    <row r="14" spans="1:27" x14ac:dyDescent="0.25">
      <c r="B14" s="141" t="s">
        <v>307</v>
      </c>
    </row>
    <row r="15" spans="1:27" x14ac:dyDescent="0.25">
      <c r="V15" s="142">
        <f>SUM(V5:V14)</f>
        <v>86037.276947266277</v>
      </c>
    </row>
    <row r="16" spans="1:27" x14ac:dyDescent="0.25">
      <c r="B16" s="20" t="s">
        <v>582</v>
      </c>
    </row>
    <row r="17" spans="2:22" x14ac:dyDescent="0.25">
      <c r="V17" s="146">
        <f>V15-V12</f>
        <v>73966.566947266285</v>
      </c>
    </row>
    <row r="18" spans="2:22" x14ac:dyDescent="0.25">
      <c r="B18" s="1" t="s">
        <v>11</v>
      </c>
    </row>
  </sheetData>
  <mergeCells count="2">
    <mergeCell ref="C3:P3"/>
    <mergeCell ref="Q3:U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59"/>
  <sheetViews>
    <sheetView showGridLines="0" zoomScale="80" zoomScaleNormal="80" zoomScalePageLayoutView="80" workbookViewId="0">
      <selection activeCell="A26" sqref="A26"/>
    </sheetView>
  </sheetViews>
  <sheetFormatPr defaultColWidth="8.85546875" defaultRowHeight="12.75" x14ac:dyDescent="0.2"/>
  <cols>
    <col min="1" max="1" width="38.28515625" style="22" bestFit="1" customWidth="1"/>
    <col min="2" max="14" width="15.140625" style="22" customWidth="1"/>
    <col min="15" max="16384" width="8.85546875" style="22"/>
  </cols>
  <sheetData>
    <row r="1" spans="1:12" ht="15.75" x14ac:dyDescent="0.25">
      <c r="A1" s="24" t="s">
        <v>30</v>
      </c>
    </row>
    <row r="3" spans="1:12" ht="100.5" customHeight="1" x14ac:dyDescent="0.2">
      <c r="A3" s="160" t="s">
        <v>31</v>
      </c>
      <c r="B3" s="160"/>
      <c r="C3" s="160"/>
      <c r="D3" s="160"/>
      <c r="E3" s="160"/>
      <c r="F3" s="160"/>
      <c r="G3" s="160"/>
      <c r="H3" s="160"/>
      <c r="I3" s="160"/>
      <c r="J3" s="160"/>
    </row>
    <row r="4" spans="1:12" x14ac:dyDescent="0.2">
      <c r="A4" s="21" t="s">
        <v>32</v>
      </c>
      <c r="B4" s="25"/>
      <c r="C4" s="25"/>
      <c r="D4" s="25"/>
      <c r="E4" s="25"/>
    </row>
    <row r="5" spans="1:12" x14ac:dyDescent="0.2">
      <c r="A5" s="26" t="s">
        <v>33</v>
      </c>
      <c r="B5" s="25"/>
      <c r="C5" s="25"/>
      <c r="D5" s="25"/>
      <c r="E5" s="25"/>
    </row>
    <row r="7" spans="1:12" ht="25.5" x14ac:dyDescent="0.2">
      <c r="A7" s="27" t="s">
        <v>34</v>
      </c>
      <c r="B7" s="28" t="s">
        <v>35</v>
      </c>
      <c r="C7" s="29" t="s">
        <v>36</v>
      </c>
      <c r="D7" s="29" t="s">
        <v>37</v>
      </c>
      <c r="E7" s="29" t="s">
        <v>38</v>
      </c>
      <c r="F7" s="29" t="s">
        <v>39</v>
      </c>
      <c r="G7" s="29" t="s">
        <v>40</v>
      </c>
      <c r="H7" s="29" t="s">
        <v>41</v>
      </c>
      <c r="I7" s="29" t="s">
        <v>42</v>
      </c>
      <c r="J7" s="29" t="s">
        <v>43</v>
      </c>
      <c r="K7" s="29" t="s">
        <v>44</v>
      </c>
      <c r="L7" s="29" t="s">
        <v>45</v>
      </c>
    </row>
    <row r="8" spans="1:12" x14ac:dyDescent="0.2">
      <c r="A8" s="30" t="s">
        <v>46</v>
      </c>
      <c r="B8" s="31"/>
      <c r="C8" s="30"/>
      <c r="D8" s="32"/>
      <c r="E8" s="32"/>
      <c r="F8" s="33" t="s">
        <v>47</v>
      </c>
      <c r="G8" s="32" t="s">
        <v>47</v>
      </c>
      <c r="H8" s="32" t="s">
        <v>47</v>
      </c>
      <c r="I8" s="33" t="s">
        <v>47</v>
      </c>
      <c r="J8" s="33" t="s">
        <v>47</v>
      </c>
      <c r="K8" s="34">
        <f>E8*C8</f>
        <v>0</v>
      </c>
      <c r="L8" s="35">
        <f>K8</f>
        <v>0</v>
      </c>
    </row>
    <row r="9" spans="1:12" ht="15" x14ac:dyDescent="0.25">
      <c r="A9" s="36"/>
      <c r="B9" s="36"/>
      <c r="C9" s="36"/>
      <c r="D9" s="36"/>
      <c r="E9" s="36"/>
      <c r="F9" s="37">
        <f t="shared" ref="F9:F24" si="0">IF(C9=0,0,CEILING(C9/(D9*E9),1))</f>
        <v>0</v>
      </c>
      <c r="G9" s="36"/>
      <c r="H9" s="37">
        <f t="shared" ref="H9:H24" si="1">IF(OR(D9=0,G9=0),0,CEILING(D9/G9,1))</f>
        <v>0</v>
      </c>
      <c r="I9" s="36"/>
      <c r="J9" s="37">
        <f t="shared" ref="J9:J24" si="2">IF(OR(G9=0,I9=0),0,G9/I9)</f>
        <v>0</v>
      </c>
      <c r="K9" s="37">
        <f t="shared" ref="K9:K24" si="3">(E9*I9)*F9*H9</f>
        <v>0</v>
      </c>
      <c r="L9" s="38">
        <f>L8+K9</f>
        <v>0</v>
      </c>
    </row>
    <row r="10" spans="1:12" ht="15" x14ac:dyDescent="0.25">
      <c r="A10" s="39"/>
      <c r="B10" s="39"/>
      <c r="C10" s="39"/>
      <c r="D10" s="39"/>
      <c r="E10" s="39"/>
      <c r="F10" s="40">
        <f t="shared" si="0"/>
        <v>0</v>
      </c>
      <c r="G10" s="39"/>
      <c r="H10" s="40">
        <f t="shared" si="1"/>
        <v>0</v>
      </c>
      <c r="I10" s="39"/>
      <c r="J10" s="40">
        <f t="shared" si="2"/>
        <v>0</v>
      </c>
      <c r="K10" s="40">
        <f t="shared" si="3"/>
        <v>0</v>
      </c>
      <c r="L10" s="41">
        <f t="shared" ref="L10:L24" si="4">L9+K10</f>
        <v>0</v>
      </c>
    </row>
    <row r="11" spans="1:12" ht="15" x14ac:dyDescent="0.25">
      <c r="A11" s="39"/>
      <c r="B11" s="39"/>
      <c r="C11" s="39"/>
      <c r="D11" s="39"/>
      <c r="E11" s="39"/>
      <c r="F11" s="40">
        <f t="shared" si="0"/>
        <v>0</v>
      </c>
      <c r="G11" s="39"/>
      <c r="H11" s="40">
        <f t="shared" si="1"/>
        <v>0</v>
      </c>
      <c r="I11" s="39"/>
      <c r="J11" s="40">
        <f t="shared" si="2"/>
        <v>0</v>
      </c>
      <c r="K11" s="40">
        <f t="shared" si="3"/>
        <v>0</v>
      </c>
      <c r="L11" s="41">
        <f t="shared" si="4"/>
        <v>0</v>
      </c>
    </row>
    <row r="12" spans="1:12" ht="15" x14ac:dyDescent="0.25">
      <c r="A12" s="39"/>
      <c r="B12" s="39"/>
      <c r="C12" s="39"/>
      <c r="D12" s="39"/>
      <c r="E12" s="39"/>
      <c r="F12" s="40">
        <f t="shared" si="0"/>
        <v>0</v>
      </c>
      <c r="G12" s="39"/>
      <c r="H12" s="40">
        <f t="shared" si="1"/>
        <v>0</v>
      </c>
      <c r="I12" s="39"/>
      <c r="J12" s="40">
        <f t="shared" si="2"/>
        <v>0</v>
      </c>
      <c r="K12" s="40">
        <f t="shared" si="3"/>
        <v>0</v>
      </c>
      <c r="L12" s="41">
        <f t="shared" si="4"/>
        <v>0</v>
      </c>
    </row>
    <row r="13" spans="1:12" ht="15" x14ac:dyDescent="0.25">
      <c r="A13" s="42"/>
      <c r="B13" s="39"/>
      <c r="C13" s="39"/>
      <c r="D13" s="39"/>
      <c r="E13" s="39"/>
      <c r="F13" s="40">
        <f t="shared" si="0"/>
        <v>0</v>
      </c>
      <c r="G13" s="39"/>
      <c r="H13" s="40">
        <f t="shared" si="1"/>
        <v>0</v>
      </c>
      <c r="I13" s="39"/>
      <c r="J13" s="40">
        <f t="shared" si="2"/>
        <v>0</v>
      </c>
      <c r="K13" s="40">
        <f t="shared" si="3"/>
        <v>0</v>
      </c>
      <c r="L13" s="41">
        <f t="shared" si="4"/>
        <v>0</v>
      </c>
    </row>
    <row r="14" spans="1:12" ht="15" x14ac:dyDescent="0.25">
      <c r="A14" s="39"/>
      <c r="B14" s="39"/>
      <c r="C14" s="39"/>
      <c r="D14" s="39"/>
      <c r="E14" s="39"/>
      <c r="F14" s="40">
        <f t="shared" si="0"/>
        <v>0</v>
      </c>
      <c r="G14" s="39"/>
      <c r="H14" s="40">
        <f t="shared" si="1"/>
        <v>0</v>
      </c>
      <c r="I14" s="39"/>
      <c r="J14" s="40">
        <f t="shared" si="2"/>
        <v>0</v>
      </c>
      <c r="K14" s="40">
        <f t="shared" si="3"/>
        <v>0</v>
      </c>
      <c r="L14" s="41">
        <f t="shared" si="4"/>
        <v>0</v>
      </c>
    </row>
    <row r="15" spans="1:12" ht="15" x14ac:dyDescent="0.25">
      <c r="A15" s="39"/>
      <c r="B15" s="39"/>
      <c r="C15" s="39"/>
      <c r="D15" s="39"/>
      <c r="E15" s="39"/>
      <c r="F15" s="40">
        <f t="shared" si="0"/>
        <v>0</v>
      </c>
      <c r="G15" s="39"/>
      <c r="H15" s="40">
        <f t="shared" si="1"/>
        <v>0</v>
      </c>
      <c r="I15" s="39"/>
      <c r="J15" s="40">
        <f t="shared" si="2"/>
        <v>0</v>
      </c>
      <c r="K15" s="40">
        <f t="shared" si="3"/>
        <v>0</v>
      </c>
      <c r="L15" s="41">
        <f t="shared" si="4"/>
        <v>0</v>
      </c>
    </row>
    <row r="16" spans="1:12" ht="15" x14ac:dyDescent="0.25">
      <c r="A16" s="39"/>
      <c r="B16" s="39"/>
      <c r="C16" s="39"/>
      <c r="D16" s="39"/>
      <c r="E16" s="39"/>
      <c r="F16" s="40">
        <f t="shared" si="0"/>
        <v>0</v>
      </c>
      <c r="G16" s="39"/>
      <c r="H16" s="40">
        <f t="shared" si="1"/>
        <v>0</v>
      </c>
      <c r="I16" s="39"/>
      <c r="J16" s="40">
        <f t="shared" si="2"/>
        <v>0</v>
      </c>
      <c r="K16" s="40">
        <f t="shared" si="3"/>
        <v>0</v>
      </c>
      <c r="L16" s="41">
        <f t="shared" si="4"/>
        <v>0</v>
      </c>
    </row>
    <row r="17" spans="1:12" ht="15" x14ac:dyDescent="0.25">
      <c r="A17" s="39"/>
      <c r="B17" s="39"/>
      <c r="C17" s="39"/>
      <c r="D17" s="39"/>
      <c r="E17" s="39"/>
      <c r="F17" s="40">
        <f t="shared" si="0"/>
        <v>0</v>
      </c>
      <c r="G17" s="39"/>
      <c r="H17" s="40">
        <f t="shared" si="1"/>
        <v>0</v>
      </c>
      <c r="I17" s="39"/>
      <c r="J17" s="40">
        <f t="shared" si="2"/>
        <v>0</v>
      </c>
      <c r="K17" s="40">
        <f t="shared" si="3"/>
        <v>0</v>
      </c>
      <c r="L17" s="41">
        <f t="shared" si="4"/>
        <v>0</v>
      </c>
    </row>
    <row r="18" spans="1:12" ht="15" x14ac:dyDescent="0.25">
      <c r="A18" s="39"/>
      <c r="B18" s="39"/>
      <c r="C18" s="39"/>
      <c r="D18" s="39"/>
      <c r="E18" s="39"/>
      <c r="F18" s="40">
        <f t="shared" si="0"/>
        <v>0</v>
      </c>
      <c r="G18" s="39"/>
      <c r="H18" s="40">
        <f t="shared" si="1"/>
        <v>0</v>
      </c>
      <c r="I18" s="39"/>
      <c r="J18" s="40">
        <f t="shared" si="2"/>
        <v>0</v>
      </c>
      <c r="K18" s="40">
        <f t="shared" si="3"/>
        <v>0</v>
      </c>
      <c r="L18" s="41">
        <f t="shared" si="4"/>
        <v>0</v>
      </c>
    </row>
    <row r="19" spans="1:12" ht="15" x14ac:dyDescent="0.25">
      <c r="A19" s="39"/>
      <c r="B19" s="39"/>
      <c r="C19" s="39"/>
      <c r="D19" s="39"/>
      <c r="E19" s="39"/>
      <c r="F19" s="40">
        <f t="shared" si="0"/>
        <v>0</v>
      </c>
      <c r="G19" s="39"/>
      <c r="H19" s="40">
        <f t="shared" si="1"/>
        <v>0</v>
      </c>
      <c r="I19" s="39"/>
      <c r="J19" s="40">
        <f t="shared" si="2"/>
        <v>0</v>
      </c>
      <c r="K19" s="40">
        <f t="shared" si="3"/>
        <v>0</v>
      </c>
      <c r="L19" s="41">
        <f t="shared" si="4"/>
        <v>0</v>
      </c>
    </row>
    <row r="20" spans="1:12" ht="15" x14ac:dyDescent="0.25">
      <c r="A20" s="39"/>
      <c r="B20" s="39"/>
      <c r="C20" s="39"/>
      <c r="D20" s="39"/>
      <c r="E20" s="39"/>
      <c r="F20" s="40">
        <f t="shared" si="0"/>
        <v>0</v>
      </c>
      <c r="G20" s="39"/>
      <c r="H20" s="40">
        <f t="shared" si="1"/>
        <v>0</v>
      </c>
      <c r="I20" s="39"/>
      <c r="J20" s="40">
        <f t="shared" si="2"/>
        <v>0</v>
      </c>
      <c r="K20" s="40">
        <f t="shared" si="3"/>
        <v>0</v>
      </c>
      <c r="L20" s="41">
        <f t="shared" si="4"/>
        <v>0</v>
      </c>
    </row>
    <row r="21" spans="1:12" ht="15" x14ac:dyDescent="0.25">
      <c r="A21" s="39"/>
      <c r="B21" s="39"/>
      <c r="C21" s="39"/>
      <c r="D21" s="39"/>
      <c r="E21" s="39"/>
      <c r="F21" s="40">
        <f t="shared" si="0"/>
        <v>0</v>
      </c>
      <c r="G21" s="39"/>
      <c r="H21" s="40">
        <f t="shared" si="1"/>
        <v>0</v>
      </c>
      <c r="I21" s="39"/>
      <c r="J21" s="40">
        <f t="shared" si="2"/>
        <v>0</v>
      </c>
      <c r="K21" s="40">
        <f t="shared" si="3"/>
        <v>0</v>
      </c>
      <c r="L21" s="41">
        <f t="shared" si="4"/>
        <v>0</v>
      </c>
    </row>
    <row r="22" spans="1:12" ht="15" x14ac:dyDescent="0.25">
      <c r="A22" s="39"/>
      <c r="B22" s="39"/>
      <c r="C22" s="39"/>
      <c r="D22" s="39"/>
      <c r="E22" s="39"/>
      <c r="F22" s="40">
        <f t="shared" si="0"/>
        <v>0</v>
      </c>
      <c r="G22" s="39"/>
      <c r="H22" s="40">
        <f t="shared" si="1"/>
        <v>0</v>
      </c>
      <c r="I22" s="39"/>
      <c r="J22" s="40">
        <f t="shared" si="2"/>
        <v>0</v>
      </c>
      <c r="K22" s="40">
        <f t="shared" si="3"/>
        <v>0</v>
      </c>
      <c r="L22" s="41">
        <f t="shared" si="4"/>
        <v>0</v>
      </c>
    </row>
    <row r="23" spans="1:12" ht="15" x14ac:dyDescent="0.25">
      <c r="A23" s="39"/>
      <c r="B23" s="39"/>
      <c r="C23" s="39"/>
      <c r="D23" s="39"/>
      <c r="E23" s="39"/>
      <c r="F23" s="40">
        <f t="shared" si="0"/>
        <v>0</v>
      </c>
      <c r="G23" s="39"/>
      <c r="H23" s="40">
        <f t="shared" si="1"/>
        <v>0</v>
      </c>
      <c r="I23" s="39"/>
      <c r="J23" s="40">
        <f t="shared" si="2"/>
        <v>0</v>
      </c>
      <c r="K23" s="40">
        <f t="shared" si="3"/>
        <v>0</v>
      </c>
      <c r="L23" s="41">
        <f t="shared" si="4"/>
        <v>0</v>
      </c>
    </row>
    <row r="24" spans="1:12" ht="15" x14ac:dyDescent="0.25">
      <c r="A24" s="39"/>
      <c r="B24" s="39"/>
      <c r="C24" s="39"/>
      <c r="D24" s="39"/>
      <c r="E24" s="39"/>
      <c r="F24" s="40">
        <f t="shared" si="0"/>
        <v>0</v>
      </c>
      <c r="G24" s="39"/>
      <c r="H24" s="40">
        <f t="shared" si="1"/>
        <v>0</v>
      </c>
      <c r="I24" s="39"/>
      <c r="J24" s="40">
        <f t="shared" si="2"/>
        <v>0</v>
      </c>
      <c r="K24" s="40">
        <f t="shared" si="3"/>
        <v>0</v>
      </c>
      <c r="L24" s="41">
        <f t="shared" si="4"/>
        <v>0</v>
      </c>
    </row>
    <row r="27" spans="1:12" x14ac:dyDescent="0.2">
      <c r="A27" s="21" t="s">
        <v>48</v>
      </c>
    </row>
    <row r="28" spans="1:12" x14ac:dyDescent="0.2">
      <c r="A28" s="22" t="s">
        <v>49</v>
      </c>
    </row>
    <row r="30" spans="1:12" x14ac:dyDescent="0.2">
      <c r="A30" s="40" t="s">
        <v>50</v>
      </c>
      <c r="B30" s="40" t="s">
        <v>51</v>
      </c>
      <c r="C30" s="40" t="s">
        <v>52</v>
      </c>
      <c r="D30" s="40" t="s">
        <v>53</v>
      </c>
      <c r="E30" s="40" t="s">
        <v>54</v>
      </c>
    </row>
    <row r="31" spans="1:12" x14ac:dyDescent="0.2">
      <c r="A31" s="39" t="s">
        <v>47</v>
      </c>
      <c r="B31" s="39"/>
      <c r="C31" s="39"/>
      <c r="D31" s="39"/>
      <c r="E31" s="43">
        <f>D31*B31</f>
        <v>0</v>
      </c>
    </row>
    <row r="32" spans="1:12" x14ac:dyDescent="0.2">
      <c r="A32" s="39"/>
      <c r="B32" s="39"/>
      <c r="C32" s="39"/>
      <c r="D32" s="39"/>
      <c r="E32" s="43">
        <f t="shared" ref="E32:E43" si="5">D32*B32</f>
        <v>0</v>
      </c>
    </row>
    <row r="33" spans="1:5" x14ac:dyDescent="0.2">
      <c r="A33" s="39"/>
      <c r="B33" s="39"/>
      <c r="C33" s="39"/>
      <c r="D33" s="39"/>
      <c r="E33" s="43">
        <f t="shared" si="5"/>
        <v>0</v>
      </c>
    </row>
    <row r="34" spans="1:5" x14ac:dyDescent="0.2">
      <c r="A34" s="39"/>
      <c r="B34" s="39"/>
      <c r="C34" s="39"/>
      <c r="D34" s="39"/>
      <c r="E34" s="43">
        <f t="shared" si="5"/>
        <v>0</v>
      </c>
    </row>
    <row r="35" spans="1:5" x14ac:dyDescent="0.2">
      <c r="A35" s="39"/>
      <c r="B35" s="39"/>
      <c r="C35" s="39"/>
      <c r="D35" s="39"/>
      <c r="E35" s="43">
        <f t="shared" si="5"/>
        <v>0</v>
      </c>
    </row>
    <row r="36" spans="1:5" x14ac:dyDescent="0.2">
      <c r="A36" s="39"/>
      <c r="B36" s="39"/>
      <c r="C36" s="39"/>
      <c r="D36" s="39"/>
      <c r="E36" s="43">
        <f t="shared" si="5"/>
        <v>0</v>
      </c>
    </row>
    <row r="37" spans="1:5" x14ac:dyDescent="0.2">
      <c r="A37" s="42"/>
      <c r="B37" s="39"/>
      <c r="C37" s="39"/>
      <c r="D37" s="39"/>
      <c r="E37" s="43">
        <f t="shared" si="5"/>
        <v>0</v>
      </c>
    </row>
    <row r="38" spans="1:5" x14ac:dyDescent="0.2">
      <c r="A38" s="39"/>
      <c r="B38" s="39"/>
      <c r="C38" s="39"/>
      <c r="D38" s="39"/>
      <c r="E38" s="43">
        <f t="shared" si="5"/>
        <v>0</v>
      </c>
    </row>
    <row r="39" spans="1:5" x14ac:dyDescent="0.2">
      <c r="A39" s="39"/>
      <c r="B39" s="39"/>
      <c r="C39" s="39"/>
      <c r="D39" s="39"/>
      <c r="E39" s="43">
        <f t="shared" si="5"/>
        <v>0</v>
      </c>
    </row>
    <row r="40" spans="1:5" x14ac:dyDescent="0.2">
      <c r="A40" s="39"/>
      <c r="B40" s="39"/>
      <c r="C40" s="39"/>
      <c r="D40" s="39"/>
      <c r="E40" s="43">
        <f t="shared" si="5"/>
        <v>0</v>
      </c>
    </row>
    <row r="41" spans="1:5" x14ac:dyDescent="0.2">
      <c r="A41" s="39"/>
      <c r="B41" s="39"/>
      <c r="C41" s="39"/>
      <c r="D41" s="39"/>
      <c r="E41" s="43">
        <f t="shared" si="5"/>
        <v>0</v>
      </c>
    </row>
    <row r="42" spans="1:5" x14ac:dyDescent="0.2">
      <c r="A42" s="39"/>
      <c r="B42" s="39"/>
      <c r="C42" s="39"/>
      <c r="D42" s="39"/>
      <c r="E42" s="43">
        <f t="shared" si="5"/>
        <v>0</v>
      </c>
    </row>
    <row r="43" spans="1:5" x14ac:dyDescent="0.2">
      <c r="A43" s="39"/>
      <c r="B43" s="39"/>
      <c r="C43" s="39"/>
      <c r="D43" s="39"/>
      <c r="E43" s="43">
        <f t="shared" si="5"/>
        <v>0</v>
      </c>
    </row>
    <row r="46" spans="1:5" x14ac:dyDescent="0.2">
      <c r="A46" s="21" t="s">
        <v>55</v>
      </c>
    </row>
    <row r="47" spans="1:5" x14ac:dyDescent="0.2">
      <c r="A47" s="23" t="s">
        <v>56</v>
      </c>
    </row>
    <row r="49" spans="1:14" x14ac:dyDescent="0.2">
      <c r="B49" s="44">
        <v>42979</v>
      </c>
      <c r="C49" s="44">
        <v>43009</v>
      </c>
      <c r="D49" s="44">
        <v>43040</v>
      </c>
      <c r="E49" s="44">
        <v>43070</v>
      </c>
      <c r="F49" s="44">
        <v>43101</v>
      </c>
      <c r="G49" s="44">
        <v>43132</v>
      </c>
      <c r="H49" s="44">
        <v>43160</v>
      </c>
      <c r="I49" s="44">
        <v>43191</v>
      </c>
      <c r="J49" s="44">
        <v>43221</v>
      </c>
      <c r="K49" s="44">
        <v>43252</v>
      </c>
      <c r="L49" s="44">
        <v>43282</v>
      </c>
      <c r="M49" s="44">
        <v>43313</v>
      </c>
      <c r="N49" s="45" t="s">
        <v>29</v>
      </c>
    </row>
    <row r="50" spans="1:14" x14ac:dyDescent="0.2">
      <c r="A50" s="46" t="s">
        <v>57</v>
      </c>
      <c r="B50" s="47">
        <v>0</v>
      </c>
      <c r="C50" s="47">
        <v>0</v>
      </c>
      <c r="D50" s="47">
        <v>0</v>
      </c>
      <c r="E50" s="47">
        <v>0</v>
      </c>
      <c r="F50" s="47">
        <v>0</v>
      </c>
      <c r="G50" s="47">
        <v>0</v>
      </c>
      <c r="H50" s="47">
        <v>0</v>
      </c>
      <c r="I50" s="47">
        <v>0</v>
      </c>
      <c r="J50" s="47">
        <v>0</v>
      </c>
      <c r="K50" s="47">
        <v>0</v>
      </c>
      <c r="L50" s="47">
        <v>0</v>
      </c>
      <c r="M50" s="47">
        <v>0</v>
      </c>
      <c r="N50" s="48">
        <f>SUM(B50:M50)</f>
        <v>0</v>
      </c>
    </row>
    <row r="51" spans="1:14" x14ac:dyDescent="0.2">
      <c r="A51" s="46" t="s">
        <v>58</v>
      </c>
      <c r="B51" s="47">
        <v>0</v>
      </c>
      <c r="C51" s="47">
        <v>0</v>
      </c>
      <c r="D51" s="47">
        <v>0</v>
      </c>
      <c r="E51" s="47">
        <v>0</v>
      </c>
      <c r="F51" s="47">
        <v>0</v>
      </c>
      <c r="G51" s="47">
        <v>0</v>
      </c>
      <c r="H51" s="47">
        <v>0</v>
      </c>
      <c r="I51" s="47">
        <v>0</v>
      </c>
      <c r="J51" s="47">
        <v>0</v>
      </c>
      <c r="K51" s="47">
        <v>0</v>
      </c>
      <c r="L51" s="47">
        <v>0</v>
      </c>
      <c r="M51" s="47">
        <v>0</v>
      </c>
      <c r="N51" s="48">
        <f t="shared" ref="N51:N57" si="6">SUM(B51:M51)</f>
        <v>0</v>
      </c>
    </row>
    <row r="52" spans="1:14" x14ac:dyDescent="0.2">
      <c r="A52" s="46" t="s">
        <v>59</v>
      </c>
      <c r="B52" s="47">
        <v>0</v>
      </c>
      <c r="C52" s="47">
        <v>0</v>
      </c>
      <c r="D52" s="47">
        <v>0</v>
      </c>
      <c r="E52" s="47">
        <v>0</v>
      </c>
      <c r="F52" s="47">
        <v>0</v>
      </c>
      <c r="G52" s="47">
        <v>0</v>
      </c>
      <c r="H52" s="47">
        <v>0</v>
      </c>
      <c r="I52" s="47">
        <v>0</v>
      </c>
      <c r="J52" s="47">
        <v>0</v>
      </c>
      <c r="K52" s="47">
        <v>0</v>
      </c>
      <c r="L52" s="47">
        <v>0</v>
      </c>
      <c r="M52" s="47">
        <v>0</v>
      </c>
      <c r="N52" s="48">
        <f t="shared" si="6"/>
        <v>0</v>
      </c>
    </row>
    <row r="53" spans="1:14" x14ac:dyDescent="0.2">
      <c r="A53" s="46" t="s">
        <v>60</v>
      </c>
      <c r="B53" s="47">
        <v>0</v>
      </c>
      <c r="C53" s="47">
        <v>0</v>
      </c>
      <c r="D53" s="47">
        <v>0</v>
      </c>
      <c r="E53" s="47">
        <v>0</v>
      </c>
      <c r="F53" s="47">
        <v>0</v>
      </c>
      <c r="G53" s="47">
        <v>0</v>
      </c>
      <c r="H53" s="47">
        <v>0</v>
      </c>
      <c r="I53" s="47">
        <v>0</v>
      </c>
      <c r="J53" s="47">
        <v>0</v>
      </c>
      <c r="K53" s="47">
        <v>0</v>
      </c>
      <c r="L53" s="47">
        <v>0</v>
      </c>
      <c r="M53" s="47">
        <v>0</v>
      </c>
      <c r="N53" s="48">
        <f t="shared" si="6"/>
        <v>0</v>
      </c>
    </row>
    <row r="54" spans="1:14" x14ac:dyDescent="0.2">
      <c r="A54" s="46" t="s">
        <v>61</v>
      </c>
      <c r="B54" s="47">
        <v>0</v>
      </c>
      <c r="C54" s="47">
        <v>0</v>
      </c>
      <c r="D54" s="47">
        <v>0</v>
      </c>
      <c r="E54" s="47">
        <v>0</v>
      </c>
      <c r="F54" s="47">
        <v>0</v>
      </c>
      <c r="G54" s="47">
        <v>0</v>
      </c>
      <c r="H54" s="47">
        <v>0</v>
      </c>
      <c r="I54" s="47">
        <v>0</v>
      </c>
      <c r="J54" s="47">
        <v>0</v>
      </c>
      <c r="K54" s="47">
        <v>0</v>
      </c>
      <c r="L54" s="47">
        <v>0</v>
      </c>
      <c r="M54" s="47">
        <v>0</v>
      </c>
      <c r="N54" s="48">
        <f t="shared" si="6"/>
        <v>0</v>
      </c>
    </row>
    <row r="55" spans="1:14" x14ac:dyDescent="0.2">
      <c r="A55" s="46" t="s">
        <v>62</v>
      </c>
      <c r="B55" s="47">
        <v>0</v>
      </c>
      <c r="C55" s="47">
        <v>0</v>
      </c>
      <c r="D55" s="47">
        <v>0</v>
      </c>
      <c r="E55" s="47">
        <v>0</v>
      </c>
      <c r="F55" s="47">
        <v>0</v>
      </c>
      <c r="G55" s="47">
        <v>0</v>
      </c>
      <c r="H55" s="47">
        <v>0</v>
      </c>
      <c r="I55" s="47">
        <v>0</v>
      </c>
      <c r="J55" s="47">
        <v>0</v>
      </c>
      <c r="K55" s="47">
        <v>0</v>
      </c>
      <c r="L55" s="47">
        <v>0</v>
      </c>
      <c r="M55" s="47">
        <v>0</v>
      </c>
      <c r="N55" s="48">
        <f t="shared" si="6"/>
        <v>0</v>
      </c>
    </row>
    <row r="56" spans="1:14" x14ac:dyDescent="0.2">
      <c r="A56" s="49" t="s">
        <v>63</v>
      </c>
      <c r="B56" s="47">
        <v>0</v>
      </c>
      <c r="C56" s="47">
        <v>0</v>
      </c>
      <c r="D56" s="47">
        <v>0</v>
      </c>
      <c r="E56" s="47">
        <v>0</v>
      </c>
      <c r="F56" s="47">
        <v>0</v>
      </c>
      <c r="G56" s="47">
        <v>0</v>
      </c>
      <c r="H56" s="47">
        <v>0</v>
      </c>
      <c r="I56" s="47">
        <v>0</v>
      </c>
      <c r="J56" s="47">
        <v>0</v>
      </c>
      <c r="K56" s="47">
        <v>0</v>
      </c>
      <c r="L56" s="47">
        <v>0</v>
      </c>
      <c r="M56" s="47">
        <v>0</v>
      </c>
      <c r="N56" s="48">
        <f t="shared" si="6"/>
        <v>0</v>
      </c>
    </row>
    <row r="57" spans="1:14" x14ac:dyDescent="0.2">
      <c r="A57" s="49" t="s">
        <v>64</v>
      </c>
      <c r="B57" s="47">
        <v>0</v>
      </c>
      <c r="C57" s="47">
        <v>0</v>
      </c>
      <c r="D57" s="47">
        <v>0</v>
      </c>
      <c r="E57" s="47">
        <v>0</v>
      </c>
      <c r="F57" s="47">
        <v>0</v>
      </c>
      <c r="G57" s="47">
        <v>0</v>
      </c>
      <c r="H57" s="47">
        <v>0</v>
      </c>
      <c r="I57" s="47">
        <v>0</v>
      </c>
      <c r="J57" s="47">
        <v>0</v>
      </c>
      <c r="K57" s="47">
        <v>0</v>
      </c>
      <c r="L57" s="47">
        <v>0</v>
      </c>
      <c r="M57" s="47">
        <v>0</v>
      </c>
      <c r="N57" s="48">
        <f t="shared" si="6"/>
        <v>0</v>
      </c>
    </row>
    <row r="58" spans="1:14" x14ac:dyDescent="0.2">
      <c r="A58" s="50" t="s">
        <v>65</v>
      </c>
      <c r="B58" s="48">
        <f t="shared" ref="B58:M58" si="7">SUM(B50:B57)</f>
        <v>0</v>
      </c>
      <c r="C58" s="48">
        <f t="shared" si="7"/>
        <v>0</v>
      </c>
      <c r="D58" s="48">
        <f t="shared" si="7"/>
        <v>0</v>
      </c>
      <c r="E58" s="48">
        <f t="shared" si="7"/>
        <v>0</v>
      </c>
      <c r="F58" s="48">
        <f t="shared" si="7"/>
        <v>0</v>
      </c>
      <c r="G58" s="48">
        <f t="shared" si="7"/>
        <v>0</v>
      </c>
      <c r="H58" s="48">
        <f t="shared" si="7"/>
        <v>0</v>
      </c>
      <c r="I58" s="48">
        <f t="shared" si="7"/>
        <v>0</v>
      </c>
      <c r="J58" s="48">
        <f t="shared" si="7"/>
        <v>0</v>
      </c>
      <c r="K58" s="48">
        <f t="shared" si="7"/>
        <v>0</v>
      </c>
      <c r="L58" s="48">
        <f t="shared" si="7"/>
        <v>0</v>
      </c>
      <c r="M58" s="48">
        <f t="shared" si="7"/>
        <v>0</v>
      </c>
      <c r="N58" s="48">
        <v>0</v>
      </c>
    </row>
    <row r="59" spans="1:14" hidden="1" x14ac:dyDescent="0.2">
      <c r="A59" s="50" t="s">
        <v>66</v>
      </c>
      <c r="B59" s="51">
        <f>B58</f>
        <v>0</v>
      </c>
      <c r="C59" s="48">
        <f t="shared" ref="C59:L59" si="8">B59+C58</f>
        <v>0</v>
      </c>
      <c r="D59" s="48">
        <f t="shared" si="8"/>
        <v>0</v>
      </c>
      <c r="E59" s="48">
        <f t="shared" si="8"/>
        <v>0</v>
      </c>
      <c r="F59" s="48">
        <f t="shared" si="8"/>
        <v>0</v>
      </c>
      <c r="G59" s="48">
        <f t="shared" si="8"/>
        <v>0</v>
      </c>
      <c r="H59" s="48">
        <f t="shared" si="8"/>
        <v>0</v>
      </c>
      <c r="I59" s="48">
        <f t="shared" si="8"/>
        <v>0</v>
      </c>
      <c r="J59" s="48">
        <f t="shared" si="8"/>
        <v>0</v>
      </c>
      <c r="K59" s="48">
        <f t="shared" si="8"/>
        <v>0</v>
      </c>
      <c r="L59" s="48">
        <f t="shared" si="8"/>
        <v>0</v>
      </c>
    </row>
  </sheetData>
  <mergeCells count="1">
    <mergeCell ref="A3:J3"/>
  </mergeCells>
  <pageMargins left="0.7" right="0.7" top="0.75" bottom="0.75" header="0.3" footer="0.3"/>
  <pageSetup paperSize="9" scale="57"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N58"/>
  <sheetViews>
    <sheetView showGridLines="0" topLeftCell="A19" zoomScale="80" zoomScaleNormal="80" zoomScalePageLayoutView="80" workbookViewId="0">
      <selection activeCell="A26" sqref="A26"/>
    </sheetView>
  </sheetViews>
  <sheetFormatPr defaultColWidth="8.85546875" defaultRowHeight="12.75" x14ac:dyDescent="0.2"/>
  <cols>
    <col min="1" max="1" width="42.42578125" style="22" customWidth="1"/>
    <col min="2" max="2" width="20" style="22" bestFit="1" customWidth="1"/>
    <col min="3" max="12" width="15.140625" style="22" customWidth="1"/>
    <col min="13" max="13" width="15.42578125" style="22" customWidth="1"/>
    <col min="14" max="14" width="15.42578125" style="52" customWidth="1"/>
    <col min="15" max="15" width="15.42578125" style="22" customWidth="1"/>
    <col min="16" max="16384" width="8.85546875" style="22"/>
  </cols>
  <sheetData>
    <row r="1" spans="1:13" ht="15.75" x14ac:dyDescent="0.25">
      <c r="A1" s="24" t="s">
        <v>67</v>
      </c>
    </row>
    <row r="3" spans="1:13" ht="100.5" customHeight="1" x14ac:dyDescent="0.2">
      <c r="A3" s="160" t="s">
        <v>68</v>
      </c>
      <c r="B3" s="160"/>
      <c r="C3" s="160"/>
      <c r="D3" s="160"/>
      <c r="E3" s="160"/>
      <c r="F3" s="160"/>
      <c r="G3" s="160"/>
      <c r="H3" s="160"/>
      <c r="I3" s="160"/>
      <c r="J3" s="160"/>
    </row>
    <row r="4" spans="1:13" x14ac:dyDescent="0.2">
      <c r="A4" s="21" t="s">
        <v>32</v>
      </c>
      <c r="B4" s="25"/>
      <c r="C4" s="25"/>
      <c r="D4" s="25"/>
      <c r="E4" s="25"/>
    </row>
    <row r="5" spans="1:13" x14ac:dyDescent="0.2">
      <c r="A5" s="26" t="s">
        <v>33</v>
      </c>
      <c r="B5" s="25"/>
      <c r="C5" s="25"/>
      <c r="D5" s="25"/>
      <c r="E5" s="25"/>
    </row>
    <row r="7" spans="1:13" ht="29.25" customHeight="1" x14ac:dyDescent="0.2">
      <c r="A7" s="53" t="s">
        <v>69</v>
      </c>
      <c r="B7" s="54" t="s">
        <v>35</v>
      </c>
      <c r="C7" s="55" t="s">
        <v>36</v>
      </c>
      <c r="D7" s="55" t="s">
        <v>37</v>
      </c>
      <c r="E7" s="55" t="s">
        <v>38</v>
      </c>
      <c r="F7" s="55" t="s">
        <v>39</v>
      </c>
      <c r="G7" s="55" t="s">
        <v>40</v>
      </c>
      <c r="H7" s="55" t="s">
        <v>41</v>
      </c>
      <c r="I7" s="55" t="s">
        <v>42</v>
      </c>
      <c r="J7" s="55" t="s">
        <v>43</v>
      </c>
      <c r="K7" s="55" t="s">
        <v>44</v>
      </c>
      <c r="L7" s="55" t="s">
        <v>45</v>
      </c>
      <c r="M7" s="56"/>
    </row>
    <row r="8" spans="1:13" x14ac:dyDescent="0.2">
      <c r="A8" s="57" t="s">
        <v>70</v>
      </c>
      <c r="B8" s="58" t="s">
        <v>71</v>
      </c>
      <c r="C8" s="59">
        <v>0.23200000000000001</v>
      </c>
      <c r="D8" s="60"/>
      <c r="E8" s="60">
        <v>0</v>
      </c>
      <c r="F8" s="61">
        <f>IF(D8=0,0,E8/D8)</f>
        <v>0</v>
      </c>
      <c r="G8" s="32"/>
      <c r="H8" s="32"/>
      <c r="I8" s="62">
        <f>G8*H8</f>
        <v>0</v>
      </c>
      <c r="J8" s="63">
        <f>IF(I8=0,0,F8/I8)</f>
        <v>0</v>
      </c>
      <c r="K8" s="34">
        <f>C8*E8</f>
        <v>0</v>
      </c>
      <c r="L8" s="35">
        <f>K8</f>
        <v>0</v>
      </c>
      <c r="M8" s="64"/>
    </row>
    <row r="9" spans="1:13" x14ac:dyDescent="0.2">
      <c r="A9" s="57" t="s">
        <v>70</v>
      </c>
      <c r="B9" s="58" t="s">
        <v>72</v>
      </c>
      <c r="C9" s="59">
        <v>0.155</v>
      </c>
      <c r="D9" s="60"/>
      <c r="E9" s="60">
        <v>0</v>
      </c>
      <c r="F9" s="61">
        <f t="shared" ref="F9:F17" si="0">IF(D9=0,0,E9/D9)</f>
        <v>0</v>
      </c>
      <c r="G9" s="32"/>
      <c r="H9" s="32"/>
      <c r="I9" s="62">
        <f t="shared" ref="I9:I13" si="1">G9*H9</f>
        <v>0</v>
      </c>
      <c r="J9" s="63">
        <f t="shared" ref="J9:J19" si="2">IF(I9=0,0,F9/I9)</f>
        <v>0</v>
      </c>
      <c r="K9" s="34">
        <f>C9*E9</f>
        <v>0</v>
      </c>
      <c r="L9" s="35">
        <f>L8+K9</f>
        <v>0</v>
      </c>
      <c r="M9" s="64"/>
    </row>
    <row r="10" spans="1:13" x14ac:dyDescent="0.2">
      <c r="A10" s="57" t="s">
        <v>70</v>
      </c>
      <c r="B10" s="58" t="s">
        <v>73</v>
      </c>
      <c r="C10" s="59">
        <v>0.247</v>
      </c>
      <c r="D10" s="60"/>
      <c r="E10" s="60">
        <v>246416</v>
      </c>
      <c r="F10" s="61">
        <f t="shared" si="0"/>
        <v>0</v>
      </c>
      <c r="G10" s="32"/>
      <c r="H10" s="32"/>
      <c r="I10" s="62">
        <f t="shared" si="1"/>
        <v>0</v>
      </c>
      <c r="J10" s="63">
        <f t="shared" si="2"/>
        <v>0</v>
      </c>
      <c r="K10" s="34">
        <f t="shared" ref="K10:K13" si="3">C10*E10</f>
        <v>60864.752</v>
      </c>
      <c r="L10" s="35">
        <f t="shared" ref="L10:L19" si="4">L9+K10</f>
        <v>60864.752</v>
      </c>
      <c r="M10" s="64"/>
    </row>
    <row r="11" spans="1:13" x14ac:dyDescent="0.2">
      <c r="A11" s="57" t="s">
        <v>70</v>
      </c>
      <c r="B11" s="58" t="s">
        <v>74</v>
      </c>
      <c r="C11" s="59">
        <v>0.30099999999999999</v>
      </c>
      <c r="D11" s="60"/>
      <c r="E11" s="60">
        <v>0</v>
      </c>
      <c r="F11" s="61">
        <f t="shared" si="0"/>
        <v>0</v>
      </c>
      <c r="G11" s="32"/>
      <c r="H11" s="32"/>
      <c r="I11" s="62">
        <f t="shared" si="1"/>
        <v>0</v>
      </c>
      <c r="J11" s="63">
        <f t="shared" si="2"/>
        <v>0</v>
      </c>
      <c r="K11" s="34">
        <f t="shared" si="3"/>
        <v>0</v>
      </c>
      <c r="L11" s="35">
        <f t="shared" si="4"/>
        <v>60864.752</v>
      </c>
      <c r="M11" s="64"/>
    </row>
    <row r="12" spans="1:13" x14ac:dyDescent="0.2">
      <c r="A12" s="57" t="s">
        <v>70</v>
      </c>
      <c r="B12" s="58" t="s">
        <v>75</v>
      </c>
      <c r="C12" s="59">
        <v>0.32200000000000001</v>
      </c>
      <c r="D12" s="60"/>
      <c r="E12" s="60">
        <v>82000</v>
      </c>
      <c r="F12" s="61">
        <f t="shared" si="0"/>
        <v>0</v>
      </c>
      <c r="G12" s="32"/>
      <c r="H12" s="32"/>
      <c r="I12" s="62">
        <f t="shared" si="1"/>
        <v>0</v>
      </c>
      <c r="J12" s="63">
        <f t="shared" si="2"/>
        <v>0</v>
      </c>
      <c r="K12" s="34">
        <f t="shared" si="3"/>
        <v>26404</v>
      </c>
      <c r="L12" s="35">
        <f t="shared" si="4"/>
        <v>87268.752000000008</v>
      </c>
      <c r="M12" s="64"/>
    </row>
    <row r="13" spans="1:13" x14ac:dyDescent="0.2">
      <c r="A13" s="57" t="s">
        <v>70</v>
      </c>
      <c r="B13" s="58" t="s">
        <v>76</v>
      </c>
      <c r="C13" s="59">
        <v>0.57999999999999996</v>
      </c>
      <c r="D13" s="60"/>
      <c r="E13" s="60">
        <v>0</v>
      </c>
      <c r="F13" s="61">
        <f t="shared" si="0"/>
        <v>0</v>
      </c>
      <c r="G13" s="32"/>
      <c r="H13" s="32"/>
      <c r="I13" s="62">
        <f t="shared" si="1"/>
        <v>0</v>
      </c>
      <c r="J13" s="63">
        <f t="shared" si="2"/>
        <v>0</v>
      </c>
      <c r="K13" s="34">
        <f t="shared" si="3"/>
        <v>0</v>
      </c>
      <c r="L13" s="35">
        <f t="shared" si="4"/>
        <v>87268.752000000008</v>
      </c>
      <c r="M13" s="64"/>
    </row>
    <row r="14" spans="1:13" x14ac:dyDescent="0.2">
      <c r="A14" s="57" t="s">
        <v>77</v>
      </c>
      <c r="B14" s="58" t="s">
        <v>78</v>
      </c>
      <c r="C14" s="30">
        <v>2.0099999999999998</v>
      </c>
      <c r="D14" s="60"/>
      <c r="E14" s="60">
        <v>4581</v>
      </c>
      <c r="F14" s="61">
        <f t="shared" si="0"/>
        <v>0</v>
      </c>
      <c r="G14" s="32"/>
      <c r="H14" s="32"/>
      <c r="I14" s="62">
        <f>H14*G14</f>
        <v>0</v>
      </c>
      <c r="J14" s="63">
        <f t="shared" si="2"/>
        <v>0</v>
      </c>
      <c r="K14" s="34">
        <f>E14*C14</f>
        <v>9207.81</v>
      </c>
      <c r="L14" s="35">
        <f t="shared" si="4"/>
        <v>96476.562000000005</v>
      </c>
      <c r="M14" s="64"/>
    </row>
    <row r="15" spans="1:13" x14ac:dyDescent="0.2">
      <c r="A15" s="57" t="s">
        <v>77</v>
      </c>
      <c r="B15" s="58" t="s">
        <v>79</v>
      </c>
      <c r="C15" s="30">
        <v>3.99</v>
      </c>
      <c r="D15" s="60"/>
      <c r="E15" s="60">
        <v>24000</v>
      </c>
      <c r="F15" s="61">
        <f t="shared" si="0"/>
        <v>0</v>
      </c>
      <c r="G15" s="32"/>
      <c r="H15" s="32"/>
      <c r="I15" s="62">
        <f t="shared" ref="I15:I17" si="5">H15*G15</f>
        <v>0</v>
      </c>
      <c r="J15" s="63">
        <f t="shared" si="2"/>
        <v>0</v>
      </c>
      <c r="K15" s="34">
        <f t="shared" ref="K15:K17" si="6">E15*C15</f>
        <v>95760</v>
      </c>
      <c r="L15" s="35">
        <f t="shared" si="4"/>
        <v>192236.56200000001</v>
      </c>
      <c r="M15" s="64"/>
    </row>
    <row r="16" spans="1:13" x14ac:dyDescent="0.2">
      <c r="A16" s="57" t="s">
        <v>77</v>
      </c>
      <c r="B16" s="58" t="s">
        <v>80</v>
      </c>
      <c r="C16" s="30">
        <v>6.01</v>
      </c>
      <c r="D16" s="60"/>
      <c r="E16" s="60">
        <v>5000</v>
      </c>
      <c r="F16" s="61">
        <f t="shared" si="0"/>
        <v>0</v>
      </c>
      <c r="G16" s="32"/>
      <c r="H16" s="32"/>
      <c r="I16" s="62">
        <f t="shared" si="5"/>
        <v>0</v>
      </c>
      <c r="J16" s="63">
        <f t="shared" si="2"/>
        <v>0</v>
      </c>
      <c r="K16" s="34">
        <f t="shared" si="6"/>
        <v>30050</v>
      </c>
      <c r="L16" s="35">
        <f t="shared" si="4"/>
        <v>222286.56200000001</v>
      </c>
      <c r="M16" s="64"/>
    </row>
    <row r="17" spans="1:13" x14ac:dyDescent="0.2">
      <c r="A17" s="57" t="s">
        <v>77</v>
      </c>
      <c r="B17" s="58" t="s">
        <v>81</v>
      </c>
      <c r="C17" s="30">
        <v>7.36</v>
      </c>
      <c r="D17" s="65"/>
      <c r="E17" s="60">
        <v>0</v>
      </c>
      <c r="F17" s="61">
        <f t="shared" si="0"/>
        <v>0</v>
      </c>
      <c r="G17" s="32"/>
      <c r="H17" s="32"/>
      <c r="I17" s="62">
        <f t="shared" si="5"/>
        <v>0</v>
      </c>
      <c r="J17" s="63">
        <f t="shared" si="2"/>
        <v>0</v>
      </c>
      <c r="K17" s="34">
        <f t="shared" si="6"/>
        <v>0</v>
      </c>
      <c r="L17" s="35">
        <f t="shared" si="4"/>
        <v>222286.56200000001</v>
      </c>
      <c r="M17" s="64"/>
    </row>
    <row r="18" spans="1:13" x14ac:dyDescent="0.2">
      <c r="A18" s="57" t="s">
        <v>82</v>
      </c>
      <c r="B18" s="58" t="s">
        <v>83</v>
      </c>
      <c r="C18" s="30">
        <v>22.15</v>
      </c>
      <c r="D18" s="60"/>
      <c r="E18" s="66" t="s">
        <v>83</v>
      </c>
      <c r="F18" s="33">
        <f>E18*D18</f>
        <v>0</v>
      </c>
      <c r="G18" s="32"/>
      <c r="H18" s="32"/>
      <c r="I18" s="62">
        <f>G18*H18</f>
        <v>0</v>
      </c>
      <c r="J18" s="63">
        <f t="shared" si="2"/>
        <v>0</v>
      </c>
      <c r="K18" s="34">
        <f>E18*C18</f>
        <v>31364.399999999998</v>
      </c>
      <c r="L18" s="35">
        <f t="shared" si="4"/>
        <v>253650.962</v>
      </c>
      <c r="M18" s="64"/>
    </row>
    <row r="19" spans="1:13" x14ac:dyDescent="0.2">
      <c r="A19" s="57" t="s">
        <v>84</v>
      </c>
      <c r="B19" s="58" t="s">
        <v>85</v>
      </c>
      <c r="C19" s="57">
        <v>18.45</v>
      </c>
      <c r="D19" s="60"/>
      <c r="E19" s="60">
        <v>240</v>
      </c>
      <c r="F19" s="33">
        <f>E19*D19</f>
        <v>0</v>
      </c>
      <c r="G19" s="32"/>
      <c r="H19" s="32"/>
      <c r="I19" s="62">
        <f>G19*H19</f>
        <v>0</v>
      </c>
      <c r="J19" s="63">
        <f t="shared" si="2"/>
        <v>0</v>
      </c>
      <c r="K19" s="34">
        <f>E19*C19</f>
        <v>4428</v>
      </c>
      <c r="L19" s="35">
        <f t="shared" si="4"/>
        <v>258078.962</v>
      </c>
      <c r="M19" s="64"/>
    </row>
    <row r="20" spans="1:13" ht="25.5" x14ac:dyDescent="0.2">
      <c r="A20" s="53" t="s">
        <v>34</v>
      </c>
      <c r="B20" s="67" t="s">
        <v>35</v>
      </c>
      <c r="C20" s="55" t="s">
        <v>36</v>
      </c>
      <c r="D20" s="55" t="s">
        <v>37</v>
      </c>
      <c r="E20" s="55" t="s">
        <v>38</v>
      </c>
      <c r="F20" s="55" t="s">
        <v>39</v>
      </c>
      <c r="G20" s="55" t="s">
        <v>40</v>
      </c>
      <c r="H20" s="55" t="s">
        <v>41</v>
      </c>
      <c r="I20" s="55" t="s">
        <v>42</v>
      </c>
      <c r="J20" s="55" t="s">
        <v>43</v>
      </c>
      <c r="K20" s="55" t="s">
        <v>44</v>
      </c>
      <c r="L20" s="35"/>
    </row>
    <row r="21" spans="1:13" x14ac:dyDescent="0.2">
      <c r="A21" s="30" t="s">
        <v>86</v>
      </c>
      <c r="B21" s="68">
        <f>SUM(E8:E12)</f>
        <v>328416</v>
      </c>
      <c r="C21" s="30">
        <v>0.16</v>
      </c>
      <c r="D21" s="32" t="s">
        <v>47</v>
      </c>
      <c r="E21" s="32" t="s">
        <v>47</v>
      </c>
      <c r="F21" s="33" t="s">
        <v>47</v>
      </c>
      <c r="G21" s="32"/>
      <c r="H21" s="32"/>
      <c r="I21" s="33" t="s">
        <v>47</v>
      </c>
      <c r="J21" s="33" t="s">
        <v>47</v>
      </c>
      <c r="K21" s="34">
        <f>C21*B21</f>
        <v>52546.559999999998</v>
      </c>
      <c r="L21" s="35">
        <f>L19+K21</f>
        <v>310625.522</v>
      </c>
      <c r="M21" s="64"/>
    </row>
    <row r="22" spans="1:13" x14ac:dyDescent="0.2">
      <c r="A22" s="30" t="s">
        <v>87</v>
      </c>
      <c r="B22" s="68">
        <f>SUM(E14:E17)</f>
        <v>33581</v>
      </c>
      <c r="C22" s="30">
        <v>0.73899999999999999</v>
      </c>
      <c r="D22" s="32" t="s">
        <v>47</v>
      </c>
      <c r="E22" s="32" t="s">
        <v>47</v>
      </c>
      <c r="F22" s="33" t="s">
        <v>47</v>
      </c>
      <c r="G22" s="32"/>
      <c r="H22" s="32"/>
      <c r="I22" s="33" t="s">
        <v>47</v>
      </c>
      <c r="J22" s="33" t="s">
        <v>47</v>
      </c>
      <c r="K22" s="34">
        <f t="shared" ref="K22" si="7">C22*B22</f>
        <v>24816.359</v>
      </c>
      <c r="L22" s="35">
        <f>L21+K22</f>
        <v>335441.88099999999</v>
      </c>
      <c r="M22" s="64"/>
    </row>
    <row r="23" spans="1:13" x14ac:dyDescent="0.2">
      <c r="A23" s="30" t="s">
        <v>46</v>
      </c>
      <c r="B23" s="31" t="s">
        <v>88</v>
      </c>
      <c r="C23" s="30">
        <v>12531</v>
      </c>
      <c r="D23" s="32" t="s">
        <v>47</v>
      </c>
      <c r="E23" s="32">
        <v>2</v>
      </c>
      <c r="F23" s="33" t="s">
        <v>47</v>
      </c>
      <c r="G23" s="32"/>
      <c r="H23" s="32"/>
      <c r="I23" s="33" t="s">
        <v>47</v>
      </c>
      <c r="J23" s="33" t="s">
        <v>47</v>
      </c>
      <c r="K23" s="34">
        <f>E23*C23</f>
        <v>25062</v>
      </c>
      <c r="L23" s="35">
        <f t="shared" ref="L23:L24" si="8">L22+K23</f>
        <v>360503.88099999999</v>
      </c>
      <c r="M23" s="64"/>
    </row>
    <row r="24" spans="1:13" x14ac:dyDescent="0.2">
      <c r="A24" s="30" t="s">
        <v>89</v>
      </c>
      <c r="B24" s="31" t="s">
        <v>88</v>
      </c>
      <c r="C24" s="30">
        <v>108</v>
      </c>
      <c r="D24" s="32" t="s">
        <v>47</v>
      </c>
      <c r="E24" s="32">
        <v>50</v>
      </c>
      <c r="F24" s="33" t="s">
        <v>47</v>
      </c>
      <c r="G24" s="32"/>
      <c r="H24" s="32"/>
      <c r="I24" s="33" t="s">
        <v>47</v>
      </c>
      <c r="J24" s="33" t="s">
        <v>47</v>
      </c>
      <c r="K24" s="34">
        <f>E24*C24</f>
        <v>5400</v>
      </c>
      <c r="L24" s="35">
        <f t="shared" si="8"/>
        <v>365903.88099999999</v>
      </c>
      <c r="M24" s="64"/>
    </row>
    <row r="26" spans="1:13" x14ac:dyDescent="0.2">
      <c r="A26" s="21" t="s">
        <v>48</v>
      </c>
    </row>
    <row r="27" spans="1:13" x14ac:dyDescent="0.2">
      <c r="A27" s="22" t="s">
        <v>49</v>
      </c>
    </row>
    <row r="29" spans="1:13" x14ac:dyDescent="0.2">
      <c r="A29" s="40" t="s">
        <v>50</v>
      </c>
      <c r="B29" s="40" t="s">
        <v>51</v>
      </c>
      <c r="C29" s="40" t="s">
        <v>52</v>
      </c>
      <c r="D29" s="40" t="s">
        <v>53</v>
      </c>
      <c r="E29" s="40" t="s">
        <v>54</v>
      </c>
    </row>
    <row r="30" spans="1:13" x14ac:dyDescent="0.2">
      <c r="A30" s="42" t="s">
        <v>90</v>
      </c>
      <c r="B30" s="39">
        <v>2000</v>
      </c>
      <c r="C30" s="39" t="s">
        <v>91</v>
      </c>
      <c r="D30" s="39">
        <v>1.46</v>
      </c>
      <c r="E30" s="43">
        <f>D30*B30</f>
        <v>2920</v>
      </c>
    </row>
    <row r="31" spans="1:13" ht="15" x14ac:dyDescent="0.25">
      <c r="A31" s="42" t="s">
        <v>92</v>
      </c>
      <c r="B31" s="69">
        <v>34000</v>
      </c>
      <c r="C31" s="39" t="s">
        <v>91</v>
      </c>
      <c r="D31" s="39">
        <v>0.84</v>
      </c>
      <c r="E31" s="43">
        <f t="shared" ref="E31:E36" si="9">D31*B31</f>
        <v>28560</v>
      </c>
      <c r="G31" s="70"/>
      <c r="H31" s="70"/>
    </row>
    <row r="32" spans="1:13" x14ac:dyDescent="0.2">
      <c r="A32" s="42" t="s">
        <v>93</v>
      </c>
      <c r="B32" s="69">
        <v>329000</v>
      </c>
      <c r="C32" s="39" t="s">
        <v>91</v>
      </c>
      <c r="D32" s="39">
        <v>0.14399999999999999</v>
      </c>
      <c r="E32" s="43">
        <f t="shared" si="9"/>
        <v>47376</v>
      </c>
    </row>
    <row r="33" spans="1:14" x14ac:dyDescent="0.2">
      <c r="A33" s="42" t="s">
        <v>94</v>
      </c>
      <c r="B33" s="39">
        <v>33581</v>
      </c>
      <c r="C33" s="39" t="s">
        <v>91</v>
      </c>
      <c r="D33" s="39">
        <v>0.08</v>
      </c>
      <c r="E33" s="43">
        <f t="shared" si="9"/>
        <v>2686.48</v>
      </c>
    </row>
    <row r="34" spans="1:14" x14ac:dyDescent="0.2">
      <c r="A34" s="42" t="s">
        <v>95</v>
      </c>
      <c r="B34" s="69">
        <f>B22</f>
        <v>33581</v>
      </c>
      <c r="C34" s="39" t="s">
        <v>91</v>
      </c>
      <c r="D34" s="39">
        <v>0.12</v>
      </c>
      <c r="E34" s="43">
        <f t="shared" si="9"/>
        <v>4029.72</v>
      </c>
    </row>
    <row r="35" spans="1:14" x14ac:dyDescent="0.2">
      <c r="A35" s="42" t="s">
        <v>96</v>
      </c>
      <c r="B35" s="69">
        <f>B22</f>
        <v>33581</v>
      </c>
      <c r="C35" s="39" t="s">
        <v>91</v>
      </c>
      <c r="D35" s="39">
        <v>0.14699999999999999</v>
      </c>
      <c r="E35" s="43">
        <f t="shared" si="9"/>
        <v>4936.4070000000002</v>
      </c>
    </row>
    <row r="36" spans="1:14" x14ac:dyDescent="0.2">
      <c r="A36" s="39" t="s">
        <v>97</v>
      </c>
      <c r="B36" s="39">
        <f>443*12</f>
        <v>5316</v>
      </c>
      <c r="C36" s="39" t="s">
        <v>98</v>
      </c>
      <c r="D36" s="39">
        <v>2.2200000000000002</v>
      </c>
      <c r="E36" s="43">
        <f t="shared" si="9"/>
        <v>11801.52</v>
      </c>
    </row>
    <row r="37" spans="1:14" x14ac:dyDescent="0.2">
      <c r="A37" s="39"/>
      <c r="B37" s="39"/>
      <c r="C37" s="39"/>
      <c r="D37" s="39"/>
      <c r="E37" s="43"/>
    </row>
    <row r="38" spans="1:14" x14ac:dyDescent="0.2">
      <c r="A38" s="39"/>
      <c r="B38" s="39"/>
      <c r="C38" s="39"/>
      <c r="D38" s="39"/>
      <c r="E38" s="43"/>
    </row>
    <row r="39" spans="1:14" x14ac:dyDescent="0.2">
      <c r="A39" s="39"/>
      <c r="B39" s="39"/>
      <c r="C39" s="39"/>
      <c r="D39" s="39"/>
      <c r="E39" s="43"/>
    </row>
    <row r="40" spans="1:14" x14ac:dyDescent="0.2">
      <c r="A40" s="39"/>
      <c r="B40" s="39"/>
      <c r="C40" s="39"/>
      <c r="D40" s="39"/>
      <c r="E40" s="43"/>
    </row>
    <row r="41" spans="1:14" x14ac:dyDescent="0.2">
      <c r="A41" s="39"/>
      <c r="B41" s="39"/>
      <c r="C41" s="39"/>
      <c r="D41" s="39"/>
      <c r="E41" s="43"/>
    </row>
    <row r="44" spans="1:14" x14ac:dyDescent="0.2">
      <c r="A44" s="21" t="s">
        <v>55</v>
      </c>
    </row>
    <row r="45" spans="1:14" x14ac:dyDescent="0.2">
      <c r="A45" s="23" t="s">
        <v>56</v>
      </c>
    </row>
    <row r="47" spans="1:14" x14ac:dyDescent="0.2">
      <c r="B47" s="44">
        <v>42979</v>
      </c>
      <c r="C47" s="44">
        <v>43009</v>
      </c>
      <c r="D47" s="44">
        <v>43040</v>
      </c>
      <c r="E47" s="44">
        <v>43070</v>
      </c>
      <c r="F47" s="44">
        <v>43101</v>
      </c>
      <c r="G47" s="44">
        <v>43132</v>
      </c>
      <c r="H47" s="44">
        <v>43160</v>
      </c>
      <c r="I47" s="44">
        <v>43191</v>
      </c>
      <c r="J47" s="44">
        <v>43221</v>
      </c>
      <c r="K47" s="44">
        <v>43252</v>
      </c>
      <c r="L47" s="44">
        <v>43282</v>
      </c>
      <c r="M47" s="44">
        <v>43313</v>
      </c>
      <c r="N47" s="71" t="s">
        <v>29</v>
      </c>
    </row>
    <row r="48" spans="1:14" x14ac:dyDescent="0.2">
      <c r="A48" s="46" t="s">
        <v>57</v>
      </c>
      <c r="B48" s="47">
        <v>0</v>
      </c>
      <c r="C48" s="47">
        <v>0</v>
      </c>
      <c r="D48" s="47">
        <v>0</v>
      </c>
      <c r="E48" s="47">
        <v>0</v>
      </c>
      <c r="F48" s="47">
        <v>12531</v>
      </c>
      <c r="G48" s="47">
        <v>12531</v>
      </c>
      <c r="H48" s="47">
        <v>0</v>
      </c>
      <c r="I48" s="47">
        <v>0</v>
      </c>
      <c r="J48" s="47">
        <v>0</v>
      </c>
      <c r="K48" s="47">
        <v>0</v>
      </c>
      <c r="L48" s="47">
        <v>0</v>
      </c>
      <c r="M48" s="47">
        <v>0</v>
      </c>
      <c r="N48" s="71">
        <f>SUM(B48:M48)</f>
        <v>25062</v>
      </c>
    </row>
    <row r="49" spans="1:14" x14ac:dyDescent="0.2">
      <c r="A49" s="46" t="s">
        <v>58</v>
      </c>
      <c r="B49" s="47">
        <v>0</v>
      </c>
      <c r="C49" s="47">
        <v>0</v>
      </c>
      <c r="D49" s="47">
        <v>0</v>
      </c>
      <c r="E49" s="47">
        <v>0</v>
      </c>
      <c r="F49" s="47">
        <v>0</v>
      </c>
      <c r="G49" s="47">
        <f>E32</f>
        <v>47376</v>
      </c>
      <c r="H49" s="47">
        <f>E31+E35</f>
        <v>33496.406999999999</v>
      </c>
      <c r="I49" s="47">
        <v>0</v>
      </c>
      <c r="J49" s="47">
        <v>0</v>
      </c>
      <c r="K49" s="47">
        <v>0</v>
      </c>
      <c r="L49" s="47">
        <v>0</v>
      </c>
      <c r="M49" s="47">
        <v>0</v>
      </c>
      <c r="N49" s="71">
        <f t="shared" ref="N49:N56" si="10">SUM(B49:M49)</f>
        <v>80872.407000000007</v>
      </c>
    </row>
    <row r="50" spans="1:14" x14ac:dyDescent="0.2">
      <c r="A50" s="46" t="s">
        <v>59</v>
      </c>
      <c r="B50" s="47">
        <v>0</v>
      </c>
      <c r="C50" s="47">
        <v>0</v>
      </c>
      <c r="D50" s="47">
        <v>0</v>
      </c>
      <c r="E50" s="47">
        <v>0</v>
      </c>
      <c r="F50" s="47">
        <v>0</v>
      </c>
      <c r="G50" s="47">
        <v>13944</v>
      </c>
      <c r="H50" s="47">
        <v>15438</v>
      </c>
      <c r="I50" s="47">
        <v>0</v>
      </c>
      <c r="J50" s="47">
        <v>0</v>
      </c>
      <c r="K50" s="47">
        <v>0</v>
      </c>
      <c r="L50" s="47">
        <v>0</v>
      </c>
      <c r="M50" s="47">
        <v>0</v>
      </c>
      <c r="N50" s="71">
        <f t="shared" si="10"/>
        <v>29382</v>
      </c>
    </row>
    <row r="51" spans="1:14" x14ac:dyDescent="0.2">
      <c r="A51" s="46" t="s">
        <v>60</v>
      </c>
      <c r="B51" s="47">
        <v>0</v>
      </c>
      <c r="C51" s="47">
        <v>0</v>
      </c>
      <c r="D51" s="47">
        <v>0</v>
      </c>
      <c r="E51" s="47">
        <v>0</v>
      </c>
      <c r="F51" s="47">
        <v>0</v>
      </c>
      <c r="G51" s="47">
        <v>0</v>
      </c>
      <c r="H51" s="72">
        <f>K10+K12+K21</f>
        <v>139815.31200000001</v>
      </c>
      <c r="I51" s="47">
        <v>0</v>
      </c>
      <c r="J51" s="47">
        <v>0</v>
      </c>
      <c r="K51" s="47">
        <v>0</v>
      </c>
      <c r="L51" s="47">
        <v>0</v>
      </c>
      <c r="M51" s="47">
        <v>0</v>
      </c>
      <c r="N51" s="71">
        <f t="shared" si="10"/>
        <v>139815.31200000001</v>
      </c>
    </row>
    <row r="52" spans="1:14" x14ac:dyDescent="0.2">
      <c r="A52" s="46" t="s">
        <v>61</v>
      </c>
      <c r="B52" s="47">
        <v>0</v>
      </c>
      <c r="C52" s="47">
        <v>0</v>
      </c>
      <c r="D52" s="47">
        <v>0</v>
      </c>
      <c r="E52" s="47">
        <v>0</v>
      </c>
      <c r="F52" s="47">
        <v>0</v>
      </c>
      <c r="G52" s="47">
        <v>0</v>
      </c>
      <c r="H52" s="47">
        <v>0</v>
      </c>
      <c r="I52" s="72">
        <f>K14+K15+K16+K22</f>
        <v>159834.16899999999</v>
      </c>
      <c r="J52" s="47">
        <v>0</v>
      </c>
      <c r="K52" s="47">
        <v>0</v>
      </c>
      <c r="L52" s="47">
        <v>0</v>
      </c>
      <c r="M52" s="47">
        <v>0</v>
      </c>
      <c r="N52" s="71">
        <f t="shared" si="10"/>
        <v>159834.16899999999</v>
      </c>
    </row>
    <row r="53" spans="1:14" x14ac:dyDescent="0.2">
      <c r="A53" s="46" t="s">
        <v>62</v>
      </c>
      <c r="B53" s="47">
        <v>0</v>
      </c>
      <c r="C53" s="47">
        <v>0</v>
      </c>
      <c r="D53" s="47">
        <v>0</v>
      </c>
      <c r="E53" s="47">
        <v>0</v>
      </c>
      <c r="F53" s="47">
        <v>0</v>
      </c>
      <c r="G53" s="47">
        <v>0</v>
      </c>
      <c r="H53" s="72">
        <f>K24</f>
        <v>5400</v>
      </c>
      <c r="I53" s="47">
        <v>0</v>
      </c>
      <c r="J53" s="47">
        <v>0</v>
      </c>
      <c r="K53" s="47">
        <v>0</v>
      </c>
      <c r="L53" s="47">
        <v>0</v>
      </c>
      <c r="M53" s="47">
        <v>0</v>
      </c>
      <c r="N53" s="71">
        <f t="shared" si="10"/>
        <v>5400</v>
      </c>
    </row>
    <row r="54" spans="1:14" x14ac:dyDescent="0.2">
      <c r="A54" s="49" t="s">
        <v>63</v>
      </c>
      <c r="B54" s="47">
        <v>0</v>
      </c>
      <c r="C54" s="47">
        <v>0</v>
      </c>
      <c r="D54" s="47">
        <v>0</v>
      </c>
      <c r="E54" s="47">
        <v>0</v>
      </c>
      <c r="F54" s="47">
        <v>0</v>
      </c>
      <c r="G54" s="47">
        <v>0</v>
      </c>
      <c r="H54" s="47">
        <f>E33+E34+E35</f>
        <v>11652.607</v>
      </c>
      <c r="I54" s="47">
        <v>0</v>
      </c>
      <c r="J54" s="47">
        <v>0</v>
      </c>
      <c r="K54" s="47">
        <v>0</v>
      </c>
      <c r="L54" s="47">
        <v>0</v>
      </c>
      <c r="M54" s="47">
        <v>0</v>
      </c>
      <c r="N54" s="71">
        <f t="shared" si="10"/>
        <v>11652.607</v>
      </c>
    </row>
    <row r="55" spans="1:14" x14ac:dyDescent="0.2">
      <c r="A55" s="49" t="s">
        <v>99</v>
      </c>
      <c r="B55" s="47">
        <v>0</v>
      </c>
      <c r="C55" s="47">
        <v>0</v>
      </c>
      <c r="D55" s="47">
        <v>0</v>
      </c>
      <c r="E55" s="47">
        <v>0</v>
      </c>
      <c r="F55" s="47">
        <v>0</v>
      </c>
      <c r="G55" s="47">
        <v>0</v>
      </c>
      <c r="H55" s="47">
        <v>0</v>
      </c>
      <c r="I55" s="72">
        <f>K19</f>
        <v>4428</v>
      </c>
      <c r="J55" s="47">
        <v>0</v>
      </c>
      <c r="K55" s="47">
        <v>0</v>
      </c>
      <c r="L55" s="47">
        <v>0</v>
      </c>
      <c r="M55" s="47">
        <v>0</v>
      </c>
      <c r="N55" s="71">
        <f t="shared" si="10"/>
        <v>4428</v>
      </c>
    </row>
    <row r="56" spans="1:14" x14ac:dyDescent="0.2">
      <c r="A56" s="49" t="s">
        <v>64</v>
      </c>
      <c r="B56" s="47">
        <v>0</v>
      </c>
      <c r="C56" s="47">
        <v>0</v>
      </c>
      <c r="D56" s="47">
        <v>0</v>
      </c>
      <c r="E56" s="47">
        <v>0</v>
      </c>
      <c r="F56" s="47">
        <f>E36/3</f>
        <v>3933.84</v>
      </c>
      <c r="G56" s="47">
        <f>E36/3</f>
        <v>3933.84</v>
      </c>
      <c r="H56" s="47">
        <f>E36/3</f>
        <v>3933.84</v>
      </c>
      <c r="I56" s="47">
        <v>0</v>
      </c>
      <c r="J56" s="47">
        <v>0</v>
      </c>
      <c r="K56" s="47">
        <v>0</v>
      </c>
      <c r="L56" s="47">
        <v>0</v>
      </c>
      <c r="M56" s="47">
        <v>0</v>
      </c>
      <c r="N56" s="73">
        <f t="shared" si="10"/>
        <v>11801.52</v>
      </c>
    </row>
    <row r="57" spans="1:14" x14ac:dyDescent="0.2">
      <c r="A57" s="50" t="s">
        <v>65</v>
      </c>
      <c r="B57" s="48">
        <f t="shared" ref="B57:K57" si="11">SUM(B48:B56)</f>
        <v>0</v>
      </c>
      <c r="C57" s="48">
        <f t="shared" si="11"/>
        <v>0</v>
      </c>
      <c r="D57" s="48">
        <f t="shared" si="11"/>
        <v>0</v>
      </c>
      <c r="E57" s="48">
        <f t="shared" si="11"/>
        <v>0</v>
      </c>
      <c r="F57" s="48">
        <f>SUM(F48:F56)</f>
        <v>16464.84</v>
      </c>
      <c r="G57" s="48">
        <f t="shared" si="11"/>
        <v>77784.84</v>
      </c>
      <c r="H57" s="48">
        <f t="shared" si="11"/>
        <v>209736.166</v>
      </c>
      <c r="I57" s="48">
        <f t="shared" si="11"/>
        <v>164262.16899999999</v>
      </c>
      <c r="J57" s="48">
        <f t="shared" si="11"/>
        <v>0</v>
      </c>
      <c r="K57" s="48">
        <f t="shared" si="11"/>
        <v>0</v>
      </c>
      <c r="L57" s="48">
        <f t="shared" ref="L57:M57" si="12">SUM(L48:L56)</f>
        <v>0</v>
      </c>
      <c r="M57" s="74">
        <f t="shared" si="12"/>
        <v>0</v>
      </c>
      <c r="N57" s="75">
        <f>SUM(B57:M57)</f>
        <v>468248.01500000001</v>
      </c>
    </row>
    <row r="58" spans="1:14" s="161" customFormat="1" x14ac:dyDescent="0.2"/>
  </sheetData>
  <mergeCells count="2">
    <mergeCell ref="A3:J3"/>
    <mergeCell ref="A58:XFD58"/>
  </mergeCells>
  <pageMargins left="0.7" right="0.7" top="0.75" bottom="0.75" header="0.3" footer="0.3"/>
  <pageSetup paperSize="9" scale="47"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N57"/>
  <sheetViews>
    <sheetView showGridLines="0" topLeftCell="A13" zoomScale="80" zoomScaleNormal="80" zoomScalePageLayoutView="80" workbookViewId="0">
      <selection activeCell="A26" sqref="A26"/>
    </sheetView>
  </sheetViews>
  <sheetFormatPr defaultColWidth="8.85546875" defaultRowHeight="12.75" x14ac:dyDescent="0.2"/>
  <cols>
    <col min="1" max="1" width="42.85546875" style="22" customWidth="1"/>
    <col min="2" max="7" width="15.140625" style="22" customWidth="1"/>
    <col min="8" max="8" width="13.42578125" style="22" customWidth="1"/>
    <col min="9" max="14" width="15.140625" style="22" customWidth="1"/>
    <col min="15" max="16384" width="8.85546875" style="22"/>
  </cols>
  <sheetData>
    <row r="1" spans="1:13" ht="15.75" x14ac:dyDescent="0.25">
      <c r="A1" s="24" t="s">
        <v>100</v>
      </c>
    </row>
    <row r="3" spans="1:13" ht="100.5" customHeight="1" x14ac:dyDescent="0.2">
      <c r="A3" s="160" t="s">
        <v>31</v>
      </c>
      <c r="B3" s="160"/>
      <c r="C3" s="160"/>
      <c r="D3" s="160"/>
      <c r="E3" s="160"/>
      <c r="F3" s="160"/>
      <c r="G3" s="160"/>
      <c r="H3" s="160"/>
      <c r="I3" s="160"/>
      <c r="J3" s="160"/>
    </row>
    <row r="4" spans="1:13" x14ac:dyDescent="0.2">
      <c r="A4" s="21" t="s">
        <v>32</v>
      </c>
      <c r="B4" s="25"/>
      <c r="C4" s="25"/>
      <c r="D4" s="25"/>
      <c r="E4" s="25"/>
    </row>
    <row r="5" spans="1:13" x14ac:dyDescent="0.2">
      <c r="A5" s="26" t="s">
        <v>33</v>
      </c>
      <c r="B5" s="25"/>
      <c r="C5" s="25"/>
      <c r="D5" s="25"/>
      <c r="E5" s="25"/>
    </row>
    <row r="7" spans="1:13" ht="27.75" customHeight="1" x14ac:dyDescent="0.2">
      <c r="A7" s="27" t="s">
        <v>69</v>
      </c>
      <c r="B7" s="28" t="s">
        <v>35</v>
      </c>
      <c r="C7" s="29" t="s">
        <v>36</v>
      </c>
      <c r="D7" s="29" t="s">
        <v>37</v>
      </c>
      <c r="E7" s="29" t="s">
        <v>38</v>
      </c>
      <c r="F7" s="29" t="s">
        <v>39</v>
      </c>
      <c r="G7" s="29" t="s">
        <v>40</v>
      </c>
      <c r="H7" s="29" t="s">
        <v>41</v>
      </c>
      <c r="I7" s="29" t="s">
        <v>42</v>
      </c>
      <c r="J7" s="29" t="s">
        <v>43</v>
      </c>
      <c r="K7" s="29" t="s">
        <v>44</v>
      </c>
      <c r="L7" s="29" t="s">
        <v>45</v>
      </c>
      <c r="M7" s="56"/>
    </row>
    <row r="8" spans="1:13" x14ac:dyDescent="0.2">
      <c r="A8" s="57" t="s">
        <v>70</v>
      </c>
      <c r="B8" s="58" t="s">
        <v>71</v>
      </c>
      <c r="C8" s="59">
        <v>0.23200000000000001</v>
      </c>
      <c r="D8" s="32"/>
      <c r="E8" s="32">
        <v>0</v>
      </c>
      <c r="F8" s="61">
        <f>IF(D8=0,0,E8/D8)</f>
        <v>0</v>
      </c>
      <c r="G8" s="32"/>
      <c r="H8" s="32"/>
      <c r="I8" s="62">
        <f>G8*H8</f>
        <v>0</v>
      </c>
      <c r="J8" s="63">
        <f>IF(I8=0,0,F8/I8)</f>
        <v>0</v>
      </c>
      <c r="K8" s="34">
        <f>C8*E8</f>
        <v>0</v>
      </c>
      <c r="L8" s="35">
        <f>K8</f>
        <v>0</v>
      </c>
      <c r="M8" s="56"/>
    </row>
    <row r="9" spans="1:13" x14ac:dyDescent="0.2">
      <c r="A9" s="57" t="s">
        <v>70</v>
      </c>
      <c r="B9" s="58" t="s">
        <v>72</v>
      </c>
      <c r="C9" s="59">
        <v>0.155</v>
      </c>
      <c r="D9" s="32"/>
      <c r="E9" s="32">
        <v>5800</v>
      </c>
      <c r="F9" s="61">
        <f t="shared" ref="F9:F17" si="0">IF(D9=0,0,E9/D9)</f>
        <v>0</v>
      </c>
      <c r="G9" s="32"/>
      <c r="H9" s="32"/>
      <c r="I9" s="62">
        <f t="shared" ref="I9:I13" si="1">G9*H9</f>
        <v>0</v>
      </c>
      <c r="J9" s="63">
        <f t="shared" ref="J9:J19" si="2">IF(I9=0,0,F9/I9)</f>
        <v>0</v>
      </c>
      <c r="K9" s="34">
        <f>C9*E9</f>
        <v>899</v>
      </c>
      <c r="L9" s="35">
        <f>L8+K9</f>
        <v>899</v>
      </c>
      <c r="M9" s="56"/>
    </row>
    <row r="10" spans="1:13" x14ac:dyDescent="0.2">
      <c r="A10" s="57" t="s">
        <v>70</v>
      </c>
      <c r="B10" s="58" t="s">
        <v>73</v>
      </c>
      <c r="C10" s="59">
        <v>0.247</v>
      </c>
      <c r="D10" s="32"/>
      <c r="E10" s="32">
        <v>293052</v>
      </c>
      <c r="F10" s="61">
        <f t="shared" si="0"/>
        <v>0</v>
      </c>
      <c r="G10" s="32"/>
      <c r="H10" s="32"/>
      <c r="I10" s="62">
        <f t="shared" si="1"/>
        <v>0</v>
      </c>
      <c r="J10" s="63">
        <f t="shared" si="2"/>
        <v>0</v>
      </c>
      <c r="K10" s="34">
        <f t="shared" ref="K10:K13" si="3">C10*E10</f>
        <v>72383.843999999997</v>
      </c>
      <c r="L10" s="35">
        <f t="shared" ref="L10:L19" si="4">L9+K10</f>
        <v>73282.843999999997</v>
      </c>
      <c r="M10" s="56"/>
    </row>
    <row r="11" spans="1:13" x14ac:dyDescent="0.2">
      <c r="A11" s="57" t="s">
        <v>70</v>
      </c>
      <c r="B11" s="58" t="s">
        <v>74</v>
      </c>
      <c r="C11" s="59">
        <v>0.30099999999999999</v>
      </c>
      <c r="D11" s="32"/>
      <c r="E11" s="32">
        <v>0</v>
      </c>
      <c r="F11" s="61">
        <f t="shared" si="0"/>
        <v>0</v>
      </c>
      <c r="G11" s="32"/>
      <c r="H11" s="32"/>
      <c r="I11" s="62">
        <f t="shared" si="1"/>
        <v>0</v>
      </c>
      <c r="J11" s="63">
        <f t="shared" si="2"/>
        <v>0</v>
      </c>
      <c r="K11" s="34">
        <f t="shared" si="3"/>
        <v>0</v>
      </c>
      <c r="L11" s="35">
        <f t="shared" si="4"/>
        <v>73282.843999999997</v>
      </c>
      <c r="M11" s="56"/>
    </row>
    <row r="12" spans="1:13" x14ac:dyDescent="0.2">
      <c r="A12" s="57" t="s">
        <v>70</v>
      </c>
      <c r="B12" s="58" t="s">
        <v>75</v>
      </c>
      <c r="C12" s="59">
        <v>0.32200000000000001</v>
      </c>
      <c r="D12" s="32"/>
      <c r="E12" s="32">
        <v>75000</v>
      </c>
      <c r="F12" s="61">
        <f t="shared" si="0"/>
        <v>0</v>
      </c>
      <c r="G12" s="32"/>
      <c r="H12" s="32"/>
      <c r="I12" s="62">
        <f t="shared" si="1"/>
        <v>0</v>
      </c>
      <c r="J12" s="63">
        <f t="shared" si="2"/>
        <v>0</v>
      </c>
      <c r="K12" s="34">
        <f t="shared" si="3"/>
        <v>24150</v>
      </c>
      <c r="L12" s="35">
        <f t="shared" si="4"/>
        <v>97432.843999999997</v>
      </c>
    </row>
    <row r="13" spans="1:13" x14ac:dyDescent="0.2">
      <c r="A13" s="57" t="s">
        <v>70</v>
      </c>
      <c r="B13" s="58" t="s">
        <v>76</v>
      </c>
      <c r="C13" s="59">
        <v>0.57999999999999996</v>
      </c>
      <c r="D13" s="32"/>
      <c r="E13" s="32">
        <v>32000</v>
      </c>
      <c r="F13" s="61">
        <f t="shared" si="0"/>
        <v>0</v>
      </c>
      <c r="G13" s="32"/>
      <c r="H13" s="32"/>
      <c r="I13" s="62">
        <f t="shared" si="1"/>
        <v>0</v>
      </c>
      <c r="J13" s="63">
        <f t="shared" si="2"/>
        <v>0</v>
      </c>
      <c r="K13" s="34">
        <f t="shared" si="3"/>
        <v>18560</v>
      </c>
      <c r="L13" s="35">
        <f t="shared" si="4"/>
        <v>115992.844</v>
      </c>
    </row>
    <row r="14" spans="1:13" x14ac:dyDescent="0.2">
      <c r="A14" s="57" t="s">
        <v>77</v>
      </c>
      <c r="B14" s="58" t="s">
        <v>78</v>
      </c>
      <c r="C14" s="30">
        <v>2.0099999999999998</v>
      </c>
      <c r="D14" s="32"/>
      <c r="E14" s="32">
        <v>2500</v>
      </c>
      <c r="F14" s="61">
        <f t="shared" si="0"/>
        <v>0</v>
      </c>
      <c r="G14" s="32"/>
      <c r="H14" s="32"/>
      <c r="I14" s="62">
        <f>H14*G14</f>
        <v>0</v>
      </c>
      <c r="J14" s="63">
        <f t="shared" si="2"/>
        <v>0</v>
      </c>
      <c r="K14" s="34">
        <f>E14*C14</f>
        <v>5024.9999999999991</v>
      </c>
      <c r="L14" s="35">
        <f t="shared" si="4"/>
        <v>121017.844</v>
      </c>
    </row>
    <row r="15" spans="1:13" x14ac:dyDescent="0.2">
      <c r="A15" s="57" t="s">
        <v>77</v>
      </c>
      <c r="B15" s="58" t="s">
        <v>79</v>
      </c>
      <c r="C15" s="30">
        <v>3.99</v>
      </c>
      <c r="D15" s="32"/>
      <c r="E15" s="32">
        <v>24000</v>
      </c>
      <c r="F15" s="61">
        <f t="shared" si="0"/>
        <v>0</v>
      </c>
      <c r="G15" s="32"/>
      <c r="H15" s="32"/>
      <c r="I15" s="62">
        <f t="shared" ref="I15:I17" si="5">H15*G15</f>
        <v>0</v>
      </c>
      <c r="J15" s="63">
        <f t="shared" si="2"/>
        <v>0</v>
      </c>
      <c r="K15" s="34">
        <f t="shared" ref="K15:K17" si="6">E15*C15</f>
        <v>95760</v>
      </c>
      <c r="L15" s="35">
        <f t="shared" si="4"/>
        <v>216777.84399999998</v>
      </c>
    </row>
    <row r="16" spans="1:13" x14ac:dyDescent="0.2">
      <c r="A16" s="57" t="s">
        <v>77</v>
      </c>
      <c r="B16" s="58" t="s">
        <v>80</v>
      </c>
      <c r="C16" s="30">
        <v>6.01</v>
      </c>
      <c r="D16" s="32"/>
      <c r="E16" s="32">
        <f>35506-26500</f>
        <v>9006</v>
      </c>
      <c r="F16" s="61">
        <f t="shared" si="0"/>
        <v>0</v>
      </c>
      <c r="G16" s="32"/>
      <c r="H16" s="32"/>
      <c r="I16" s="62">
        <f t="shared" si="5"/>
        <v>0</v>
      </c>
      <c r="J16" s="63">
        <f t="shared" si="2"/>
        <v>0</v>
      </c>
      <c r="K16" s="34">
        <f t="shared" si="6"/>
        <v>54126.06</v>
      </c>
      <c r="L16" s="35">
        <f t="shared" si="4"/>
        <v>270903.90399999998</v>
      </c>
    </row>
    <row r="17" spans="1:12" x14ac:dyDescent="0.2">
      <c r="A17" s="57" t="s">
        <v>77</v>
      </c>
      <c r="B17" s="58" t="s">
        <v>81</v>
      </c>
      <c r="C17" s="30">
        <v>7.36</v>
      </c>
      <c r="D17" s="76"/>
      <c r="E17" s="32">
        <v>0</v>
      </c>
      <c r="F17" s="61">
        <f t="shared" si="0"/>
        <v>0</v>
      </c>
      <c r="G17" s="32"/>
      <c r="H17" s="32"/>
      <c r="I17" s="62">
        <f t="shared" si="5"/>
        <v>0</v>
      </c>
      <c r="J17" s="63">
        <f t="shared" si="2"/>
        <v>0</v>
      </c>
      <c r="K17" s="34">
        <f t="shared" si="6"/>
        <v>0</v>
      </c>
      <c r="L17" s="35">
        <f t="shared" si="4"/>
        <v>270903.90399999998</v>
      </c>
    </row>
    <row r="18" spans="1:12" x14ac:dyDescent="0.2">
      <c r="A18" s="57" t="s">
        <v>82</v>
      </c>
      <c r="B18" s="31" t="s">
        <v>101</v>
      </c>
      <c r="C18" s="30">
        <v>22.15</v>
      </c>
      <c r="D18" s="32"/>
      <c r="E18" s="77" t="s">
        <v>101</v>
      </c>
      <c r="F18" s="33">
        <f>E18*D18</f>
        <v>0</v>
      </c>
      <c r="G18" s="32"/>
      <c r="H18" s="32"/>
      <c r="I18" s="62">
        <f>G18*H18</f>
        <v>0</v>
      </c>
      <c r="J18" s="63">
        <f t="shared" si="2"/>
        <v>0</v>
      </c>
      <c r="K18" s="34">
        <f>E18*C18</f>
        <v>21264</v>
      </c>
      <c r="L18" s="35">
        <f t="shared" si="4"/>
        <v>292167.90399999998</v>
      </c>
    </row>
    <row r="19" spans="1:12" x14ac:dyDescent="0.2">
      <c r="A19" s="57" t="s">
        <v>84</v>
      </c>
      <c r="B19" s="31" t="s">
        <v>102</v>
      </c>
      <c r="C19" s="30">
        <v>23.4</v>
      </c>
      <c r="D19" s="32"/>
      <c r="E19" s="77" t="s">
        <v>102</v>
      </c>
      <c r="F19" s="33">
        <f>E19*D19</f>
        <v>0</v>
      </c>
      <c r="G19" s="32"/>
      <c r="H19" s="32"/>
      <c r="I19" s="62">
        <f>G19*H19</f>
        <v>0</v>
      </c>
      <c r="J19" s="63">
        <f t="shared" si="2"/>
        <v>0</v>
      </c>
      <c r="K19" s="34">
        <f>E19*C19</f>
        <v>12168</v>
      </c>
      <c r="L19" s="35">
        <f t="shared" si="4"/>
        <v>304335.90399999998</v>
      </c>
    </row>
    <row r="20" spans="1:12" ht="25.5" x14ac:dyDescent="0.2">
      <c r="A20" s="53" t="s">
        <v>34</v>
      </c>
      <c r="B20" s="54" t="s">
        <v>35</v>
      </c>
      <c r="C20" s="55" t="s">
        <v>36</v>
      </c>
      <c r="D20" s="55" t="s">
        <v>37</v>
      </c>
      <c r="E20" s="55" t="s">
        <v>38</v>
      </c>
      <c r="F20" s="55" t="s">
        <v>39</v>
      </c>
      <c r="G20" s="55" t="s">
        <v>40</v>
      </c>
      <c r="H20" s="55" t="s">
        <v>41</v>
      </c>
      <c r="I20" s="55" t="s">
        <v>42</v>
      </c>
      <c r="J20" s="55" t="s">
        <v>43</v>
      </c>
      <c r="K20" s="55" t="s">
        <v>44</v>
      </c>
      <c r="L20" s="40"/>
    </row>
    <row r="21" spans="1:12" x14ac:dyDescent="0.2">
      <c r="A21" s="30" t="s">
        <v>86</v>
      </c>
      <c r="B21" s="68">
        <f>SUM(E8:E13)</f>
        <v>405852</v>
      </c>
      <c r="C21" s="30">
        <v>0.16</v>
      </c>
      <c r="D21" s="32" t="s">
        <v>47</v>
      </c>
      <c r="E21" s="32" t="s">
        <v>47</v>
      </c>
      <c r="F21" s="33"/>
      <c r="G21" s="32"/>
      <c r="H21" s="32"/>
      <c r="I21" s="62"/>
      <c r="J21" s="62"/>
      <c r="K21" s="34">
        <f>C21*B21</f>
        <v>64936.32</v>
      </c>
      <c r="L21" s="35">
        <f>L19+K21</f>
        <v>369272.22399999999</v>
      </c>
    </row>
    <row r="22" spans="1:12" x14ac:dyDescent="0.2">
      <c r="A22" s="30" t="s">
        <v>87</v>
      </c>
      <c r="B22" s="68">
        <f>SUM(E14:E17)</f>
        <v>35506</v>
      </c>
      <c r="C22" s="30">
        <v>0.73899999999999999</v>
      </c>
      <c r="D22" s="32" t="s">
        <v>47</v>
      </c>
      <c r="E22" s="32" t="s">
        <v>47</v>
      </c>
      <c r="F22" s="33"/>
      <c r="G22" s="32"/>
      <c r="H22" s="32"/>
      <c r="I22" s="62"/>
      <c r="J22" s="62"/>
      <c r="K22" s="34">
        <f t="shared" ref="K22" si="7">C22*B22</f>
        <v>26238.934000000001</v>
      </c>
      <c r="L22" s="35">
        <f>L21+K22</f>
        <v>395511.158</v>
      </c>
    </row>
    <row r="23" spans="1:12" x14ac:dyDescent="0.2">
      <c r="A23" s="30" t="s">
        <v>46</v>
      </c>
      <c r="B23" s="31" t="s">
        <v>88</v>
      </c>
      <c r="C23" s="30">
        <v>12531</v>
      </c>
      <c r="D23" s="32" t="s">
        <v>47</v>
      </c>
      <c r="E23" s="32">
        <v>3</v>
      </c>
      <c r="F23" s="33"/>
      <c r="G23" s="32"/>
      <c r="H23" s="32"/>
      <c r="I23" s="62"/>
      <c r="J23" s="62"/>
      <c r="K23" s="34">
        <f>E23*C23</f>
        <v>37593</v>
      </c>
      <c r="L23" s="35">
        <f t="shared" ref="L23:L24" si="8">L22+K23</f>
        <v>433104.158</v>
      </c>
    </row>
    <row r="24" spans="1:12" x14ac:dyDescent="0.2">
      <c r="A24" s="30" t="s">
        <v>89</v>
      </c>
      <c r="B24" s="31" t="s">
        <v>88</v>
      </c>
      <c r="C24" s="30">
        <v>108</v>
      </c>
      <c r="D24" s="32" t="s">
        <v>47</v>
      </c>
      <c r="E24" s="32">
        <v>50</v>
      </c>
      <c r="F24" s="33"/>
      <c r="G24" s="32"/>
      <c r="H24" s="32"/>
      <c r="I24" s="62"/>
      <c r="J24" s="62"/>
      <c r="K24" s="34">
        <f>E24*C24</f>
        <v>5400</v>
      </c>
      <c r="L24" s="35">
        <f t="shared" si="8"/>
        <v>438504.158</v>
      </c>
    </row>
    <row r="26" spans="1:12" x14ac:dyDescent="0.2">
      <c r="A26" s="21" t="s">
        <v>48</v>
      </c>
    </row>
    <row r="27" spans="1:12" x14ac:dyDescent="0.2">
      <c r="A27" s="22" t="s">
        <v>49</v>
      </c>
    </row>
    <row r="29" spans="1:12" x14ac:dyDescent="0.2">
      <c r="A29" s="40" t="s">
        <v>50</v>
      </c>
      <c r="B29" s="40" t="s">
        <v>51</v>
      </c>
      <c r="C29" s="40" t="s">
        <v>52</v>
      </c>
      <c r="D29" s="40" t="s">
        <v>53</v>
      </c>
      <c r="E29" s="40" t="s">
        <v>54</v>
      </c>
    </row>
    <row r="30" spans="1:12" x14ac:dyDescent="0.2">
      <c r="A30" s="42" t="s">
        <v>90</v>
      </c>
      <c r="B30" s="39">
        <v>2000</v>
      </c>
      <c r="C30" s="39" t="s">
        <v>91</v>
      </c>
      <c r="D30" s="39">
        <v>1.46</v>
      </c>
      <c r="E30" s="43">
        <f>D30*B30</f>
        <v>2920</v>
      </c>
    </row>
    <row r="31" spans="1:12" x14ac:dyDescent="0.2">
      <c r="A31" s="42" t="s">
        <v>92</v>
      </c>
      <c r="B31" s="69">
        <v>36000</v>
      </c>
      <c r="C31" s="39" t="s">
        <v>91</v>
      </c>
      <c r="D31" s="39">
        <v>0.84</v>
      </c>
      <c r="E31" s="43">
        <f t="shared" ref="E31:E41" si="9">D31*B31</f>
        <v>30240</v>
      </c>
    </row>
    <row r="32" spans="1:12" x14ac:dyDescent="0.2">
      <c r="A32" s="42" t="s">
        <v>93</v>
      </c>
      <c r="B32" s="69">
        <v>436000</v>
      </c>
      <c r="C32" s="39" t="s">
        <v>91</v>
      </c>
      <c r="D32" s="39">
        <v>0.14399999999999999</v>
      </c>
      <c r="E32" s="43">
        <f t="shared" si="9"/>
        <v>62783.999999999993</v>
      </c>
    </row>
    <row r="33" spans="1:14" x14ac:dyDescent="0.2">
      <c r="A33" s="42" t="s">
        <v>94</v>
      </c>
      <c r="B33" s="69">
        <f>B22</f>
        <v>35506</v>
      </c>
      <c r="C33" s="39" t="s">
        <v>91</v>
      </c>
      <c r="D33" s="39">
        <v>0.08</v>
      </c>
      <c r="E33" s="43">
        <f t="shared" si="9"/>
        <v>2840.48</v>
      </c>
    </row>
    <row r="34" spans="1:14" x14ac:dyDescent="0.2">
      <c r="A34" s="42" t="s">
        <v>95</v>
      </c>
      <c r="B34" s="69">
        <f>B22</f>
        <v>35506</v>
      </c>
      <c r="C34" s="39" t="s">
        <v>91</v>
      </c>
      <c r="D34" s="39">
        <v>0.12</v>
      </c>
      <c r="E34" s="43">
        <f t="shared" si="9"/>
        <v>4260.72</v>
      </c>
    </row>
    <row r="35" spans="1:14" x14ac:dyDescent="0.2">
      <c r="A35" s="42" t="s">
        <v>96</v>
      </c>
      <c r="B35" s="69">
        <f>B22</f>
        <v>35506</v>
      </c>
      <c r="C35" s="39" t="s">
        <v>91</v>
      </c>
      <c r="D35" s="39">
        <v>0.14699999999999999</v>
      </c>
      <c r="E35" s="43">
        <f t="shared" si="9"/>
        <v>5219.3819999999996</v>
      </c>
    </row>
    <row r="36" spans="1:14" x14ac:dyDescent="0.2">
      <c r="A36" s="39" t="s">
        <v>97</v>
      </c>
      <c r="B36" s="39">
        <f>447*8</f>
        <v>3576</v>
      </c>
      <c r="C36" s="39" t="s">
        <v>98</v>
      </c>
      <c r="D36" s="39">
        <v>2.2200000000000002</v>
      </c>
      <c r="E36" s="43">
        <f t="shared" si="9"/>
        <v>7938.72</v>
      </c>
    </row>
    <row r="37" spans="1:14" x14ac:dyDescent="0.2">
      <c r="A37" s="39"/>
      <c r="B37" s="39"/>
      <c r="C37" s="39"/>
      <c r="D37" s="39"/>
      <c r="E37" s="43">
        <f t="shared" si="9"/>
        <v>0</v>
      </c>
    </row>
    <row r="38" spans="1:14" x14ac:dyDescent="0.2">
      <c r="A38" s="39"/>
      <c r="B38" s="39"/>
      <c r="C38" s="39"/>
      <c r="D38" s="39"/>
      <c r="E38" s="43">
        <f t="shared" si="9"/>
        <v>0</v>
      </c>
    </row>
    <row r="39" spans="1:14" x14ac:dyDescent="0.2">
      <c r="A39" s="39"/>
      <c r="B39" s="39"/>
      <c r="C39" s="39"/>
      <c r="D39" s="39"/>
      <c r="E39" s="43">
        <f t="shared" si="9"/>
        <v>0</v>
      </c>
    </row>
    <row r="40" spans="1:14" x14ac:dyDescent="0.2">
      <c r="A40" s="39"/>
      <c r="B40" s="39"/>
      <c r="C40" s="39"/>
      <c r="D40" s="39"/>
      <c r="E40" s="43">
        <f t="shared" si="9"/>
        <v>0</v>
      </c>
    </row>
    <row r="41" spans="1:14" x14ac:dyDescent="0.2">
      <c r="A41" s="39"/>
      <c r="B41" s="39"/>
      <c r="C41" s="39"/>
      <c r="D41" s="39"/>
      <c r="E41" s="43">
        <f t="shared" si="9"/>
        <v>0</v>
      </c>
    </row>
    <row r="44" spans="1:14" x14ac:dyDescent="0.2">
      <c r="A44" s="21" t="s">
        <v>55</v>
      </c>
    </row>
    <row r="45" spans="1:14" x14ac:dyDescent="0.2">
      <c r="A45" s="23" t="s">
        <v>56</v>
      </c>
    </row>
    <row r="47" spans="1:14" x14ac:dyDescent="0.2">
      <c r="B47" s="44">
        <v>42979</v>
      </c>
      <c r="C47" s="44">
        <v>43009</v>
      </c>
      <c r="D47" s="44">
        <v>43040</v>
      </c>
      <c r="E47" s="44">
        <v>43070</v>
      </c>
      <c r="F47" s="44">
        <v>43101</v>
      </c>
      <c r="G47" s="44">
        <v>43132</v>
      </c>
      <c r="H47" s="44">
        <v>43160</v>
      </c>
      <c r="I47" s="44">
        <v>43191</v>
      </c>
      <c r="J47" s="44">
        <v>43221</v>
      </c>
      <c r="K47" s="44">
        <v>43252</v>
      </c>
      <c r="L47" s="44">
        <v>43282</v>
      </c>
      <c r="M47" s="44">
        <v>43313</v>
      </c>
      <c r="N47" s="78" t="s">
        <v>29</v>
      </c>
    </row>
    <row r="48" spans="1:14" x14ac:dyDescent="0.2">
      <c r="A48" s="46" t="s">
        <v>57</v>
      </c>
      <c r="B48" s="47">
        <v>0</v>
      </c>
      <c r="C48" s="47">
        <v>0</v>
      </c>
      <c r="D48" s="47">
        <v>0</v>
      </c>
      <c r="E48" s="47">
        <v>0</v>
      </c>
      <c r="F48" s="47">
        <v>0</v>
      </c>
      <c r="G48" s="47">
        <v>0</v>
      </c>
      <c r="H48" s="47">
        <v>12531</v>
      </c>
      <c r="I48" s="47">
        <v>12531</v>
      </c>
      <c r="J48" s="47">
        <v>12531</v>
      </c>
      <c r="K48" s="47">
        <v>0</v>
      </c>
      <c r="L48" s="47">
        <v>0</v>
      </c>
      <c r="M48" s="47">
        <v>0</v>
      </c>
      <c r="N48" s="48">
        <f>SUM(B48:M48)</f>
        <v>37593</v>
      </c>
    </row>
    <row r="49" spans="1:14" x14ac:dyDescent="0.2">
      <c r="A49" s="46" t="s">
        <v>58</v>
      </c>
      <c r="B49" s="47">
        <v>0</v>
      </c>
      <c r="C49" s="47">
        <v>0</v>
      </c>
      <c r="D49" s="47">
        <v>0</v>
      </c>
      <c r="E49" s="47">
        <v>0</v>
      </c>
      <c r="F49" s="47">
        <v>0</v>
      </c>
      <c r="G49" s="47">
        <v>0</v>
      </c>
      <c r="H49" s="47">
        <f>E32</f>
        <v>62783.999999999993</v>
      </c>
      <c r="I49" s="47">
        <f>E30+E31</f>
        <v>33160</v>
      </c>
      <c r="J49" s="47">
        <v>0</v>
      </c>
      <c r="K49" s="47">
        <v>0</v>
      </c>
      <c r="L49" s="47">
        <v>0</v>
      </c>
      <c r="M49" s="47">
        <v>0</v>
      </c>
      <c r="N49" s="48">
        <f t="shared" ref="N49:N57" si="10">SUM(B49:M49)</f>
        <v>95944</v>
      </c>
    </row>
    <row r="50" spans="1:14" x14ac:dyDescent="0.2">
      <c r="A50" s="46" t="s">
        <v>59</v>
      </c>
      <c r="B50" s="47">
        <v>0</v>
      </c>
      <c r="C50" s="47">
        <v>0</v>
      </c>
      <c r="D50" s="47">
        <v>0</v>
      </c>
      <c r="E50" s="47">
        <v>0</v>
      </c>
      <c r="F50" s="47">
        <v>0</v>
      </c>
      <c r="G50" s="47">
        <v>0</v>
      </c>
      <c r="H50" s="47">
        <v>0</v>
      </c>
      <c r="I50" s="47">
        <f>SUM(K18/4)*3</f>
        <v>15948</v>
      </c>
      <c r="J50" s="47">
        <f>SUM(K18/4)*1</f>
        <v>5316</v>
      </c>
      <c r="K50" s="47">
        <v>0</v>
      </c>
      <c r="L50" s="47">
        <v>0</v>
      </c>
      <c r="M50" s="47">
        <v>0</v>
      </c>
      <c r="N50" s="48">
        <f t="shared" si="10"/>
        <v>21264</v>
      </c>
    </row>
    <row r="51" spans="1:14" x14ac:dyDescent="0.2">
      <c r="A51" s="46" t="s">
        <v>60</v>
      </c>
      <c r="B51" s="47">
        <v>0</v>
      </c>
      <c r="C51" s="47">
        <v>0</v>
      </c>
      <c r="D51" s="47">
        <v>0</v>
      </c>
      <c r="E51" s="47">
        <v>0</v>
      </c>
      <c r="F51" s="47">
        <v>0</v>
      </c>
      <c r="G51" s="47">
        <v>0</v>
      </c>
      <c r="H51" s="72">
        <f>K9+K10+K12+K13+K21</f>
        <v>180929.16399999999</v>
      </c>
      <c r="I51" s="47">
        <v>0</v>
      </c>
      <c r="J51" s="47">
        <v>0</v>
      </c>
      <c r="K51" s="47">
        <v>0</v>
      </c>
      <c r="L51" s="47">
        <v>0</v>
      </c>
      <c r="M51" s="47">
        <v>0</v>
      </c>
      <c r="N51" s="48">
        <f t="shared" si="10"/>
        <v>180929.16399999999</v>
      </c>
    </row>
    <row r="52" spans="1:14" x14ac:dyDescent="0.2">
      <c r="A52" s="46" t="s">
        <v>61</v>
      </c>
      <c r="B52" s="47">
        <v>0</v>
      </c>
      <c r="C52" s="47">
        <v>0</v>
      </c>
      <c r="D52" s="47">
        <v>0</v>
      </c>
      <c r="E52" s="47">
        <v>0</v>
      </c>
      <c r="F52" s="47">
        <v>0</v>
      </c>
      <c r="G52" s="47">
        <v>0</v>
      </c>
      <c r="H52" s="47">
        <v>0</v>
      </c>
      <c r="I52" s="72">
        <f>K14+K15+K16+K22</f>
        <v>181149.99400000001</v>
      </c>
      <c r="J52" s="47">
        <v>0</v>
      </c>
      <c r="K52" s="47">
        <v>0</v>
      </c>
      <c r="L52" s="47">
        <v>0</v>
      </c>
      <c r="M52" s="47">
        <v>0</v>
      </c>
      <c r="N52" s="48">
        <f t="shared" si="10"/>
        <v>181149.99400000001</v>
      </c>
    </row>
    <row r="53" spans="1:14" x14ac:dyDescent="0.2">
      <c r="A53" s="46" t="s">
        <v>62</v>
      </c>
      <c r="B53" s="47">
        <v>0</v>
      </c>
      <c r="C53" s="47">
        <v>0</v>
      </c>
      <c r="D53" s="47">
        <v>0</v>
      </c>
      <c r="E53" s="47">
        <v>0</v>
      </c>
      <c r="F53" s="47">
        <v>0</v>
      </c>
      <c r="G53" s="47">
        <v>0</v>
      </c>
      <c r="H53" s="72">
        <f>K24</f>
        <v>5400</v>
      </c>
      <c r="I53" s="47">
        <v>0</v>
      </c>
      <c r="J53" s="47">
        <v>0</v>
      </c>
      <c r="K53" s="47">
        <v>0</v>
      </c>
      <c r="L53" s="47">
        <v>0</v>
      </c>
      <c r="M53" s="47">
        <v>0</v>
      </c>
      <c r="N53" s="48">
        <f t="shared" si="10"/>
        <v>5400</v>
      </c>
    </row>
    <row r="54" spans="1:14" x14ac:dyDescent="0.2">
      <c r="A54" s="49" t="s">
        <v>63</v>
      </c>
      <c r="B54" s="47">
        <v>0</v>
      </c>
      <c r="C54" s="47">
        <v>0</v>
      </c>
      <c r="D54" s="47">
        <v>0</v>
      </c>
      <c r="E54" s="47">
        <v>0</v>
      </c>
      <c r="F54" s="47">
        <v>0</v>
      </c>
      <c r="G54" s="47">
        <v>0</v>
      </c>
      <c r="H54" s="47">
        <f>E34+E33+E35</f>
        <v>12320.582</v>
      </c>
      <c r="I54" s="47">
        <v>0</v>
      </c>
      <c r="J54" s="47">
        <v>0</v>
      </c>
      <c r="K54" s="47">
        <v>0</v>
      </c>
      <c r="L54" s="47">
        <v>0</v>
      </c>
      <c r="M54" s="47">
        <v>0</v>
      </c>
      <c r="N54" s="48">
        <f t="shared" si="10"/>
        <v>12320.582</v>
      </c>
    </row>
    <row r="55" spans="1:14" x14ac:dyDescent="0.2">
      <c r="A55" s="49" t="s">
        <v>99</v>
      </c>
      <c r="B55" s="47">
        <v>0</v>
      </c>
      <c r="C55" s="47">
        <v>0</v>
      </c>
      <c r="D55" s="47">
        <v>0</v>
      </c>
      <c r="E55" s="47">
        <v>0</v>
      </c>
      <c r="F55" s="47">
        <v>0</v>
      </c>
      <c r="G55" s="47">
        <v>0</v>
      </c>
      <c r="H55" s="47">
        <v>0</v>
      </c>
      <c r="I55" s="47">
        <v>0</v>
      </c>
      <c r="J55" s="72">
        <f>K19</f>
        <v>12168</v>
      </c>
      <c r="K55" s="47">
        <v>0</v>
      </c>
      <c r="L55" s="47">
        <v>0</v>
      </c>
      <c r="M55" s="47">
        <v>0</v>
      </c>
      <c r="N55" s="48">
        <f t="shared" si="10"/>
        <v>12168</v>
      </c>
    </row>
    <row r="56" spans="1:14" x14ac:dyDescent="0.2">
      <c r="A56" s="49" t="s">
        <v>64</v>
      </c>
      <c r="B56" s="47">
        <v>0</v>
      </c>
      <c r="C56" s="47">
        <v>0</v>
      </c>
      <c r="D56" s="47">
        <v>0</v>
      </c>
      <c r="E56" s="47">
        <v>0</v>
      </c>
      <c r="F56" s="47">
        <v>0</v>
      </c>
      <c r="G56" s="47">
        <v>0</v>
      </c>
      <c r="H56" s="47">
        <f>E36/2</f>
        <v>3969.36</v>
      </c>
      <c r="I56" s="47">
        <f>E36/2</f>
        <v>3969.36</v>
      </c>
      <c r="J56" s="47">
        <v>0</v>
      </c>
      <c r="K56" s="47">
        <v>0</v>
      </c>
      <c r="L56" s="47">
        <v>0</v>
      </c>
      <c r="M56" s="47">
        <v>0</v>
      </c>
      <c r="N56" s="48">
        <f t="shared" si="10"/>
        <v>7938.72</v>
      </c>
    </row>
    <row r="57" spans="1:14" x14ac:dyDescent="0.2">
      <c r="A57" s="50" t="s">
        <v>65</v>
      </c>
      <c r="B57" s="48">
        <f t="shared" ref="B57:K57" si="11">SUM(B48:B56)</f>
        <v>0</v>
      </c>
      <c r="C57" s="48">
        <f t="shared" si="11"/>
        <v>0</v>
      </c>
      <c r="D57" s="48">
        <f t="shared" si="11"/>
        <v>0</v>
      </c>
      <c r="E57" s="48">
        <f t="shared" si="11"/>
        <v>0</v>
      </c>
      <c r="F57" s="48">
        <f t="shared" si="11"/>
        <v>0</v>
      </c>
      <c r="G57" s="48">
        <f t="shared" si="11"/>
        <v>0</v>
      </c>
      <c r="H57" s="48">
        <f>SUM(H48:H56)</f>
        <v>277934.10599999997</v>
      </c>
      <c r="I57" s="48">
        <f t="shared" si="11"/>
        <v>246758.35399999999</v>
      </c>
      <c r="J57" s="48">
        <f t="shared" si="11"/>
        <v>30015</v>
      </c>
      <c r="K57" s="48">
        <f t="shared" si="11"/>
        <v>0</v>
      </c>
      <c r="L57" s="48">
        <f t="shared" ref="L57:M57" si="12">SUM(L48:L56)</f>
        <v>0</v>
      </c>
      <c r="M57" s="48">
        <f t="shared" si="12"/>
        <v>0</v>
      </c>
      <c r="N57" s="48">
        <f t="shared" si="10"/>
        <v>554707.46</v>
      </c>
    </row>
  </sheetData>
  <mergeCells count="1">
    <mergeCell ref="A3:J3"/>
  </mergeCells>
  <pageMargins left="0.7" right="0.7" top="0.75" bottom="0.75" header="0.3" footer="0.3"/>
  <pageSetup paperSize="9" scale="47"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N55"/>
  <sheetViews>
    <sheetView showGridLines="0" topLeftCell="A13" zoomScale="80" zoomScaleNormal="80" zoomScalePageLayoutView="80" workbookViewId="0">
      <selection activeCell="A26" sqref="A26"/>
    </sheetView>
  </sheetViews>
  <sheetFormatPr defaultColWidth="8.85546875" defaultRowHeight="12.75" x14ac:dyDescent="0.2"/>
  <cols>
    <col min="1" max="1" width="41.85546875" style="22" customWidth="1"/>
    <col min="2" max="14" width="15.140625" style="22" customWidth="1"/>
    <col min="15" max="16384" width="8.85546875" style="22"/>
  </cols>
  <sheetData>
    <row r="1" spans="1:14" ht="15.75" x14ac:dyDescent="0.25">
      <c r="A1" s="24" t="s">
        <v>103</v>
      </c>
    </row>
    <row r="3" spans="1:14" ht="100.5" customHeight="1" x14ac:dyDescent="0.2">
      <c r="A3" s="160" t="s">
        <v>31</v>
      </c>
      <c r="B3" s="160"/>
      <c r="C3" s="160"/>
      <c r="D3" s="160"/>
      <c r="E3" s="160"/>
      <c r="F3" s="160"/>
      <c r="G3" s="160"/>
      <c r="H3" s="160"/>
      <c r="I3" s="160"/>
      <c r="J3" s="160"/>
    </row>
    <row r="4" spans="1:14" x14ac:dyDescent="0.2">
      <c r="A4" s="21" t="s">
        <v>32</v>
      </c>
      <c r="B4" s="25"/>
      <c r="C4" s="25"/>
      <c r="D4" s="25"/>
      <c r="E4" s="25"/>
    </row>
    <row r="5" spans="1:14" x14ac:dyDescent="0.2">
      <c r="A5" s="26" t="s">
        <v>33</v>
      </c>
      <c r="B5" s="25"/>
      <c r="C5" s="25"/>
      <c r="D5" s="25"/>
      <c r="E5" s="25"/>
    </row>
    <row r="7" spans="1:14" ht="25.5" x14ac:dyDescent="0.2">
      <c r="A7" s="53" t="s">
        <v>69</v>
      </c>
      <c r="B7" s="54" t="s">
        <v>35</v>
      </c>
      <c r="C7" s="55" t="s">
        <v>36</v>
      </c>
      <c r="D7" s="55" t="s">
        <v>37</v>
      </c>
      <c r="E7" s="55" t="s">
        <v>38</v>
      </c>
      <c r="F7" s="55" t="s">
        <v>39</v>
      </c>
      <c r="G7" s="55" t="s">
        <v>40</v>
      </c>
      <c r="H7" s="55" t="s">
        <v>41</v>
      </c>
      <c r="I7" s="55" t="s">
        <v>42</v>
      </c>
      <c r="J7" s="55" t="s">
        <v>43</v>
      </c>
      <c r="K7" s="55" t="s">
        <v>44</v>
      </c>
      <c r="L7" s="55" t="s">
        <v>45</v>
      </c>
      <c r="M7" s="79"/>
      <c r="N7" s="56"/>
    </row>
    <row r="8" spans="1:14" x14ac:dyDescent="0.2">
      <c r="A8" s="30" t="s">
        <v>70</v>
      </c>
      <c r="B8" s="80" t="s">
        <v>71</v>
      </c>
      <c r="C8" s="59">
        <v>0.48699999999999999</v>
      </c>
      <c r="D8" s="76">
        <v>38</v>
      </c>
      <c r="E8" s="32">
        <v>36177</v>
      </c>
      <c r="F8" s="61">
        <f>IF(D8=0,0,E8/D8)</f>
        <v>952.02631578947364</v>
      </c>
      <c r="G8" s="32">
        <v>5</v>
      </c>
      <c r="H8" s="32">
        <v>7</v>
      </c>
      <c r="I8" s="62">
        <f>G8*H8</f>
        <v>35</v>
      </c>
      <c r="J8" s="63">
        <f>IF(I8=0,0,F8/I8)</f>
        <v>27.200751879699247</v>
      </c>
      <c r="K8" s="34">
        <f>C8*E8</f>
        <v>17618.199000000001</v>
      </c>
      <c r="L8" s="35">
        <f>K8</f>
        <v>17618.199000000001</v>
      </c>
      <c r="M8" s="81"/>
      <c r="N8" s="56"/>
    </row>
    <row r="9" spans="1:14" x14ac:dyDescent="0.2">
      <c r="A9" s="30" t="s">
        <v>77</v>
      </c>
      <c r="B9" s="82" t="s">
        <v>72</v>
      </c>
      <c r="C9" s="30">
        <v>1.57</v>
      </c>
      <c r="D9" s="32">
        <v>12</v>
      </c>
      <c r="E9" s="32">
        <v>16402</v>
      </c>
      <c r="F9" s="61">
        <f>IF(D9=0,0,E9/D9)</f>
        <v>1366.8333333333333</v>
      </c>
      <c r="G9" s="32">
        <v>5</v>
      </c>
      <c r="H9" s="32">
        <v>7</v>
      </c>
      <c r="I9" s="62">
        <f>H9*G9</f>
        <v>35</v>
      </c>
      <c r="J9" s="63">
        <f t="shared" ref="J9:J11" si="0">IF(I9=0,0,F9/I9)</f>
        <v>39.05238095238095</v>
      </c>
      <c r="K9" s="34">
        <f>E9*C9</f>
        <v>25751.14</v>
      </c>
      <c r="L9" s="35">
        <f>L8+K9</f>
        <v>43369.339</v>
      </c>
      <c r="M9" s="81"/>
      <c r="N9" s="56"/>
    </row>
    <row r="10" spans="1:14" x14ac:dyDescent="0.2">
      <c r="A10" s="30" t="s">
        <v>82</v>
      </c>
      <c r="B10" s="31" t="s">
        <v>104</v>
      </c>
      <c r="C10" s="30">
        <v>22.14</v>
      </c>
      <c r="D10" s="32">
        <v>1</v>
      </c>
      <c r="E10" s="77" t="s">
        <v>104</v>
      </c>
      <c r="F10" s="33">
        <f>E10*D10</f>
        <v>720</v>
      </c>
      <c r="G10" s="32"/>
      <c r="H10" s="32"/>
      <c r="I10" s="62">
        <f>G10*H10</f>
        <v>0</v>
      </c>
      <c r="J10" s="63">
        <f t="shared" si="0"/>
        <v>0</v>
      </c>
      <c r="K10" s="34">
        <f>E10*C10</f>
        <v>15940.800000000001</v>
      </c>
      <c r="L10" s="35">
        <f t="shared" ref="L10:L11" si="1">L9+K10</f>
        <v>59310.139000000003</v>
      </c>
      <c r="M10" s="81"/>
      <c r="N10" s="56"/>
    </row>
    <row r="11" spans="1:14" x14ac:dyDescent="0.2">
      <c r="A11" s="30" t="s">
        <v>105</v>
      </c>
      <c r="B11" s="31" t="s">
        <v>106</v>
      </c>
      <c r="C11" s="30">
        <v>23.38</v>
      </c>
      <c r="D11" s="32">
        <v>1</v>
      </c>
      <c r="E11" s="77" t="s">
        <v>106</v>
      </c>
      <c r="F11" s="33">
        <f>E11*D11</f>
        <v>160</v>
      </c>
      <c r="G11" s="32"/>
      <c r="H11" s="32"/>
      <c r="I11" s="62">
        <f>G11*H11</f>
        <v>0</v>
      </c>
      <c r="J11" s="63">
        <f t="shared" si="0"/>
        <v>0</v>
      </c>
      <c r="K11" s="34">
        <f>E11*C11</f>
        <v>3740.7999999999997</v>
      </c>
      <c r="L11" s="35">
        <f t="shared" si="1"/>
        <v>63050.939000000006</v>
      </c>
      <c r="M11" s="81"/>
      <c r="N11" s="56"/>
    </row>
    <row r="12" spans="1:14" ht="25.5" x14ac:dyDescent="0.2">
      <c r="A12" s="53" t="s">
        <v>34</v>
      </c>
      <c r="B12" s="83" t="s">
        <v>35</v>
      </c>
      <c r="C12" s="84" t="s">
        <v>36</v>
      </c>
      <c r="D12" s="84" t="s">
        <v>37</v>
      </c>
      <c r="E12" s="84" t="s">
        <v>38</v>
      </c>
      <c r="F12" s="84" t="s">
        <v>39</v>
      </c>
      <c r="G12" s="84" t="s">
        <v>40</v>
      </c>
      <c r="H12" s="84" t="s">
        <v>41</v>
      </c>
      <c r="I12" s="84" t="s">
        <v>42</v>
      </c>
      <c r="J12" s="55" t="s">
        <v>43</v>
      </c>
      <c r="K12" s="55" t="s">
        <v>44</v>
      </c>
      <c r="L12" s="40"/>
      <c r="M12" s="85"/>
      <c r="N12" s="56"/>
    </row>
    <row r="13" spans="1:14" x14ac:dyDescent="0.2">
      <c r="A13" s="30" t="s">
        <v>86</v>
      </c>
      <c r="B13" s="68">
        <v>36177</v>
      </c>
      <c r="C13" s="30">
        <v>0.16</v>
      </c>
      <c r="D13" s="32" t="s">
        <v>47</v>
      </c>
      <c r="E13" s="32" t="s">
        <v>47</v>
      </c>
      <c r="F13" s="33"/>
      <c r="G13" s="32" t="s">
        <v>47</v>
      </c>
      <c r="H13" s="32" t="s">
        <v>47</v>
      </c>
      <c r="I13" s="33" t="s">
        <v>47</v>
      </c>
      <c r="J13" s="33" t="s">
        <v>47</v>
      </c>
      <c r="K13" s="34">
        <f>C13*B13</f>
        <v>5788.32</v>
      </c>
      <c r="L13" s="35">
        <f>L11+K13</f>
        <v>68839.259000000005</v>
      </c>
      <c r="M13" s="81"/>
      <c r="N13" s="56"/>
    </row>
    <row r="14" spans="1:14" x14ac:dyDescent="0.2">
      <c r="A14" s="30" t="s">
        <v>87</v>
      </c>
      <c r="B14" s="68">
        <v>16402</v>
      </c>
      <c r="C14" s="30">
        <v>0.73699999999999999</v>
      </c>
      <c r="D14" s="32" t="s">
        <v>47</v>
      </c>
      <c r="E14" s="32" t="s">
        <v>47</v>
      </c>
      <c r="F14" s="33"/>
      <c r="G14" s="32" t="s">
        <v>47</v>
      </c>
      <c r="H14" s="32" t="s">
        <v>47</v>
      </c>
      <c r="I14" s="33" t="s">
        <v>47</v>
      </c>
      <c r="J14" s="33" t="s">
        <v>47</v>
      </c>
      <c r="K14" s="34">
        <f t="shared" ref="K14" si="2">C14*B14</f>
        <v>12088.273999999999</v>
      </c>
      <c r="L14" s="35">
        <f>L13+K14</f>
        <v>80927.53300000001</v>
      </c>
      <c r="M14" s="81"/>
      <c r="N14" s="56"/>
    </row>
    <row r="15" spans="1:14" x14ac:dyDescent="0.2">
      <c r="A15" s="30" t="s">
        <v>46</v>
      </c>
      <c r="B15" s="31" t="s">
        <v>88</v>
      </c>
      <c r="C15" s="30">
        <v>12531</v>
      </c>
      <c r="D15" s="32" t="s">
        <v>47</v>
      </c>
      <c r="E15" s="32">
        <v>1</v>
      </c>
      <c r="F15" s="33"/>
      <c r="G15" s="32" t="s">
        <v>47</v>
      </c>
      <c r="H15" s="32" t="s">
        <v>47</v>
      </c>
      <c r="I15" s="33" t="s">
        <v>47</v>
      </c>
      <c r="J15" s="33" t="s">
        <v>47</v>
      </c>
      <c r="K15" s="34">
        <f>E15*C15</f>
        <v>12531</v>
      </c>
      <c r="L15" s="35">
        <f t="shared" ref="L15:L16" si="3">L14+K15</f>
        <v>93458.53300000001</v>
      </c>
      <c r="M15" s="81"/>
      <c r="N15" s="56"/>
    </row>
    <row r="16" spans="1:14" x14ac:dyDescent="0.2">
      <c r="A16" s="30" t="s">
        <v>89</v>
      </c>
      <c r="B16" s="31" t="s">
        <v>88</v>
      </c>
      <c r="C16" s="30">
        <v>108</v>
      </c>
      <c r="D16" s="32" t="s">
        <v>47</v>
      </c>
      <c r="E16" s="32">
        <v>25</v>
      </c>
      <c r="F16" s="33"/>
      <c r="G16" s="32" t="s">
        <v>47</v>
      </c>
      <c r="H16" s="32" t="s">
        <v>47</v>
      </c>
      <c r="I16" s="33" t="s">
        <v>47</v>
      </c>
      <c r="J16" s="33" t="s">
        <v>47</v>
      </c>
      <c r="K16" s="34">
        <f>E16*C16</f>
        <v>2700</v>
      </c>
      <c r="L16" s="35">
        <f t="shared" si="3"/>
        <v>96158.53300000001</v>
      </c>
      <c r="M16" s="81"/>
      <c r="N16" s="56"/>
    </row>
    <row r="17" spans="1:13" x14ac:dyDescent="0.2">
      <c r="A17" s="39"/>
      <c r="B17" s="39"/>
      <c r="C17" s="39"/>
      <c r="D17" s="39"/>
      <c r="E17" s="39"/>
      <c r="F17" s="40"/>
      <c r="G17" s="30"/>
      <c r="H17" s="30"/>
      <c r="I17" s="40"/>
      <c r="J17" s="40"/>
      <c r="K17" s="40"/>
      <c r="L17" s="86"/>
      <c r="M17" s="87"/>
    </row>
    <row r="18" spans="1:13" x14ac:dyDescent="0.2">
      <c r="A18" s="39"/>
      <c r="B18" s="39"/>
      <c r="C18" s="39"/>
      <c r="D18" s="39"/>
      <c r="E18" s="39"/>
      <c r="F18" s="40"/>
      <c r="G18" s="30"/>
      <c r="H18" s="30"/>
      <c r="I18" s="40"/>
      <c r="J18" s="40"/>
      <c r="K18" s="40"/>
      <c r="L18" s="86"/>
      <c r="M18" s="87"/>
    </row>
    <row r="19" spans="1:13" x14ac:dyDescent="0.2">
      <c r="A19" s="39"/>
      <c r="B19" s="39"/>
      <c r="C19" s="39"/>
      <c r="D19" s="39"/>
      <c r="E19" s="39"/>
      <c r="F19" s="40"/>
      <c r="G19" s="30"/>
      <c r="H19" s="30"/>
      <c r="I19" s="40"/>
      <c r="J19" s="40"/>
      <c r="K19" s="40"/>
      <c r="L19" s="86"/>
      <c r="M19" s="87"/>
    </row>
    <row r="20" spans="1:13" x14ac:dyDescent="0.2">
      <c r="A20" s="39"/>
      <c r="B20" s="39"/>
      <c r="C20" s="39"/>
      <c r="D20" s="39"/>
      <c r="E20" s="39"/>
      <c r="F20" s="40"/>
      <c r="G20" s="30"/>
      <c r="H20" s="30"/>
      <c r="I20" s="40"/>
      <c r="J20" s="40"/>
      <c r="K20" s="40"/>
      <c r="L20" s="86"/>
      <c r="M20" s="87"/>
    </row>
    <row r="21" spans="1:13" x14ac:dyDescent="0.2">
      <c r="A21" s="39"/>
      <c r="B21" s="39"/>
      <c r="C21" s="39"/>
      <c r="D21" s="39"/>
      <c r="E21" s="39"/>
      <c r="F21" s="40"/>
      <c r="G21" s="30"/>
      <c r="H21" s="30"/>
      <c r="I21" s="40"/>
      <c r="J21" s="40"/>
      <c r="K21" s="40"/>
      <c r="L21" s="86"/>
      <c r="M21" s="87"/>
    </row>
    <row r="24" spans="1:13" x14ac:dyDescent="0.2">
      <c r="A24" s="21" t="s">
        <v>48</v>
      </c>
    </row>
    <row r="25" spans="1:13" x14ac:dyDescent="0.2">
      <c r="A25" s="22" t="s">
        <v>49</v>
      </c>
    </row>
    <row r="27" spans="1:13" x14ac:dyDescent="0.2">
      <c r="A27" s="40" t="s">
        <v>50</v>
      </c>
      <c r="B27" s="40" t="s">
        <v>51</v>
      </c>
      <c r="C27" s="40" t="s">
        <v>52</v>
      </c>
      <c r="D27" s="40" t="s">
        <v>53</v>
      </c>
      <c r="E27" s="40" t="s">
        <v>54</v>
      </c>
    </row>
    <row r="28" spans="1:13" x14ac:dyDescent="0.2">
      <c r="A28" s="42" t="s">
        <v>90</v>
      </c>
      <c r="B28" s="39">
        <v>1000</v>
      </c>
      <c r="C28" s="42" t="s">
        <v>91</v>
      </c>
      <c r="D28" s="39">
        <v>1.46</v>
      </c>
      <c r="E28" s="43">
        <f>D28*B28</f>
        <v>1460</v>
      </c>
      <c r="G28" s="56"/>
    </row>
    <row r="29" spans="1:13" x14ac:dyDescent="0.2">
      <c r="A29" s="42" t="s">
        <v>92</v>
      </c>
      <c r="B29" s="39">
        <v>16402</v>
      </c>
      <c r="C29" s="42" t="s">
        <v>91</v>
      </c>
      <c r="D29" s="39">
        <v>0.84</v>
      </c>
      <c r="E29" s="43">
        <f t="shared" ref="E29:E34" si="4">D29*B29</f>
        <v>13777.68</v>
      </c>
      <c r="G29" s="56"/>
    </row>
    <row r="30" spans="1:13" x14ac:dyDescent="0.2">
      <c r="A30" s="42" t="s">
        <v>93</v>
      </c>
      <c r="B30" s="39">
        <v>36177</v>
      </c>
      <c r="C30" s="42" t="s">
        <v>91</v>
      </c>
      <c r="D30" s="39">
        <v>0.14399999999999999</v>
      </c>
      <c r="E30" s="43">
        <f t="shared" si="4"/>
        <v>5209.4879999999994</v>
      </c>
      <c r="G30" s="56"/>
    </row>
    <row r="31" spans="1:13" x14ac:dyDescent="0.2">
      <c r="A31" s="42" t="s">
        <v>94</v>
      </c>
      <c r="B31" s="39">
        <v>16402</v>
      </c>
      <c r="C31" s="42" t="s">
        <v>91</v>
      </c>
      <c r="D31" s="39">
        <v>0.08</v>
      </c>
      <c r="E31" s="43">
        <f t="shared" si="4"/>
        <v>1312.16</v>
      </c>
      <c r="G31" s="56"/>
    </row>
    <row r="32" spans="1:13" x14ac:dyDescent="0.2">
      <c r="A32" s="42" t="s">
        <v>95</v>
      </c>
      <c r="B32" s="39">
        <v>16402</v>
      </c>
      <c r="C32" s="42" t="s">
        <v>91</v>
      </c>
      <c r="D32" s="39">
        <v>0.12</v>
      </c>
      <c r="E32" s="43">
        <f t="shared" si="4"/>
        <v>1968.24</v>
      </c>
      <c r="G32" s="56"/>
    </row>
    <row r="33" spans="1:14" x14ac:dyDescent="0.2">
      <c r="A33" s="42" t="s">
        <v>96</v>
      </c>
      <c r="B33" s="39">
        <v>16402</v>
      </c>
      <c r="C33" s="42" t="s">
        <v>91</v>
      </c>
      <c r="D33" s="39">
        <v>0.14699999999999999</v>
      </c>
      <c r="E33" s="43">
        <f t="shared" si="4"/>
        <v>2411.0940000000001</v>
      </c>
      <c r="G33" s="56"/>
    </row>
    <row r="34" spans="1:14" x14ac:dyDescent="0.2">
      <c r="A34" s="39" t="s">
        <v>97</v>
      </c>
      <c r="B34" s="39">
        <v>156</v>
      </c>
      <c r="C34" s="42" t="s">
        <v>98</v>
      </c>
      <c r="D34" s="39">
        <v>2.2200000000000002</v>
      </c>
      <c r="E34" s="43">
        <f t="shared" si="4"/>
        <v>346.32000000000005</v>
      </c>
      <c r="G34" s="56"/>
    </row>
    <row r="35" spans="1:14" x14ac:dyDescent="0.2">
      <c r="A35" s="39"/>
      <c r="B35" s="39"/>
      <c r="C35" s="39"/>
      <c r="D35" s="39"/>
      <c r="E35" s="43"/>
    </row>
    <row r="36" spans="1:14" x14ac:dyDescent="0.2">
      <c r="A36" s="39"/>
      <c r="B36" s="39"/>
      <c r="C36" s="39"/>
      <c r="D36" s="39"/>
      <c r="E36" s="43"/>
    </row>
    <row r="37" spans="1:14" x14ac:dyDescent="0.2">
      <c r="A37" s="39"/>
      <c r="B37" s="39"/>
      <c r="C37" s="39"/>
      <c r="D37" s="39"/>
      <c r="E37" s="43"/>
    </row>
    <row r="38" spans="1:14" x14ac:dyDescent="0.2">
      <c r="A38" s="39"/>
      <c r="B38" s="39"/>
      <c r="C38" s="39"/>
      <c r="D38" s="39"/>
      <c r="E38" s="43"/>
    </row>
    <row r="39" spans="1:14" x14ac:dyDescent="0.2">
      <c r="A39" s="39"/>
      <c r="B39" s="39"/>
      <c r="C39" s="39"/>
      <c r="D39" s="39"/>
      <c r="E39" s="43"/>
    </row>
    <row r="42" spans="1:14" x14ac:dyDescent="0.2">
      <c r="A42" s="21" t="s">
        <v>55</v>
      </c>
    </row>
    <row r="43" spans="1:14" x14ac:dyDescent="0.2">
      <c r="A43" s="23" t="s">
        <v>56</v>
      </c>
    </row>
    <row r="45" spans="1:14" x14ac:dyDescent="0.2">
      <c r="B45" s="44">
        <v>42979</v>
      </c>
      <c r="C45" s="44">
        <v>43009</v>
      </c>
      <c r="D45" s="44">
        <v>43040</v>
      </c>
      <c r="E45" s="44">
        <v>43070</v>
      </c>
      <c r="F45" s="44">
        <v>43101</v>
      </c>
      <c r="G45" s="44">
        <v>43132</v>
      </c>
      <c r="H45" s="44">
        <v>43160</v>
      </c>
      <c r="I45" s="44">
        <v>43191</v>
      </c>
      <c r="J45" s="44">
        <v>43221</v>
      </c>
      <c r="K45" s="44">
        <v>43252</v>
      </c>
      <c r="L45" s="44">
        <v>43282</v>
      </c>
      <c r="M45" s="44">
        <v>43313</v>
      </c>
      <c r="N45" s="78" t="s">
        <v>29</v>
      </c>
    </row>
    <row r="46" spans="1:14" x14ac:dyDescent="0.2">
      <c r="A46" s="46" t="s">
        <v>57</v>
      </c>
      <c r="B46" s="47">
        <v>0</v>
      </c>
      <c r="C46" s="47">
        <v>0</v>
      </c>
      <c r="D46" s="47">
        <v>0</v>
      </c>
      <c r="E46" s="47">
        <v>0</v>
      </c>
      <c r="F46" s="47">
        <v>0</v>
      </c>
      <c r="G46" s="47">
        <v>0</v>
      </c>
      <c r="H46" s="47">
        <v>0</v>
      </c>
      <c r="I46" s="47">
        <v>0</v>
      </c>
      <c r="J46" s="47">
        <v>12531</v>
      </c>
      <c r="K46" s="47">
        <v>0</v>
      </c>
      <c r="L46" s="47">
        <v>0</v>
      </c>
      <c r="M46" s="47">
        <v>0</v>
      </c>
      <c r="N46" s="48">
        <f>SUM(B46:M46)</f>
        <v>12531</v>
      </c>
    </row>
    <row r="47" spans="1:14" x14ac:dyDescent="0.2">
      <c r="A47" s="46" t="s">
        <v>58</v>
      </c>
      <c r="B47" s="47">
        <v>0</v>
      </c>
      <c r="C47" s="47">
        <v>0</v>
      </c>
      <c r="D47" s="47">
        <v>0</v>
      </c>
      <c r="E47" s="47">
        <v>0</v>
      </c>
      <c r="F47" s="47">
        <v>0</v>
      </c>
      <c r="G47" s="47">
        <v>0</v>
      </c>
      <c r="H47" s="47">
        <v>0</v>
      </c>
      <c r="I47" s="47">
        <v>0</v>
      </c>
      <c r="J47" s="47">
        <f>E28+E29+E30</f>
        <v>20447.167999999998</v>
      </c>
      <c r="K47" s="47">
        <v>0</v>
      </c>
      <c r="L47" s="47">
        <v>0</v>
      </c>
      <c r="M47" s="47">
        <v>0</v>
      </c>
      <c r="N47" s="48">
        <f t="shared" ref="N47:N54" si="5">SUM(B47:M47)</f>
        <v>20447.167999999998</v>
      </c>
    </row>
    <row r="48" spans="1:14" x14ac:dyDescent="0.2">
      <c r="A48" s="46" t="s">
        <v>59</v>
      </c>
      <c r="B48" s="47">
        <v>0</v>
      </c>
      <c r="C48" s="47">
        <v>0</v>
      </c>
      <c r="D48" s="47">
        <v>0</v>
      </c>
      <c r="E48" s="47">
        <v>0</v>
      </c>
      <c r="F48" s="47">
        <v>0</v>
      </c>
      <c r="G48" s="47">
        <v>0</v>
      </c>
      <c r="H48" s="47">
        <v>0</v>
      </c>
      <c r="I48" s="47">
        <v>0</v>
      </c>
      <c r="J48" s="47">
        <f>SUM(K10/4)*3</f>
        <v>11955.6</v>
      </c>
      <c r="K48" s="47">
        <f>SUM(K10/4)*1</f>
        <v>3985.2000000000003</v>
      </c>
      <c r="L48" s="47">
        <v>0</v>
      </c>
      <c r="M48" s="47">
        <v>0</v>
      </c>
      <c r="N48" s="48">
        <f t="shared" si="5"/>
        <v>15940.800000000001</v>
      </c>
    </row>
    <row r="49" spans="1:14" x14ac:dyDescent="0.2">
      <c r="A49" s="46" t="s">
        <v>60</v>
      </c>
      <c r="B49" s="47">
        <v>0</v>
      </c>
      <c r="C49" s="47">
        <v>0</v>
      </c>
      <c r="D49" s="47">
        <v>0</v>
      </c>
      <c r="E49" s="47">
        <v>0</v>
      </c>
      <c r="F49" s="47">
        <v>0</v>
      </c>
      <c r="G49" s="47">
        <v>0</v>
      </c>
      <c r="H49" s="47">
        <v>0</v>
      </c>
      <c r="I49" s="47">
        <v>0</v>
      </c>
      <c r="J49" s="72">
        <f>K8+K13</f>
        <v>23406.519</v>
      </c>
      <c r="K49" s="47">
        <v>0</v>
      </c>
      <c r="L49" s="47">
        <v>0</v>
      </c>
      <c r="M49" s="47">
        <v>0</v>
      </c>
      <c r="N49" s="48">
        <f t="shared" si="5"/>
        <v>23406.519</v>
      </c>
    </row>
    <row r="50" spans="1:14" x14ac:dyDescent="0.2">
      <c r="A50" s="46" t="s">
        <v>61</v>
      </c>
      <c r="B50" s="47">
        <v>0</v>
      </c>
      <c r="C50" s="47">
        <v>0</v>
      </c>
      <c r="D50" s="47">
        <v>0</v>
      </c>
      <c r="E50" s="47">
        <v>0</v>
      </c>
      <c r="F50" s="47">
        <v>0</v>
      </c>
      <c r="G50" s="47">
        <v>0</v>
      </c>
      <c r="H50" s="47">
        <v>0</v>
      </c>
      <c r="I50" s="47">
        <v>0</v>
      </c>
      <c r="J50" s="72">
        <f>K9+K14</f>
        <v>37839.413999999997</v>
      </c>
      <c r="K50" s="47">
        <v>0</v>
      </c>
      <c r="L50" s="47">
        <v>0</v>
      </c>
      <c r="M50" s="47">
        <v>0</v>
      </c>
      <c r="N50" s="48">
        <f t="shared" si="5"/>
        <v>37839.413999999997</v>
      </c>
    </row>
    <row r="51" spans="1:14" x14ac:dyDescent="0.2">
      <c r="A51" s="46" t="s">
        <v>62</v>
      </c>
      <c r="B51" s="47">
        <v>0</v>
      </c>
      <c r="C51" s="47">
        <v>0</v>
      </c>
      <c r="D51" s="47">
        <v>0</v>
      </c>
      <c r="E51" s="47">
        <v>0</v>
      </c>
      <c r="F51" s="47">
        <v>0</v>
      </c>
      <c r="G51" s="47">
        <v>0</v>
      </c>
      <c r="H51" s="47">
        <v>0</v>
      </c>
      <c r="I51" s="47">
        <v>0</v>
      </c>
      <c r="J51" s="72">
        <f>K16</f>
        <v>2700</v>
      </c>
      <c r="K51" s="47">
        <v>0</v>
      </c>
      <c r="L51" s="47">
        <v>0</v>
      </c>
      <c r="M51" s="47">
        <v>0</v>
      </c>
      <c r="N51" s="48">
        <f t="shared" si="5"/>
        <v>2700</v>
      </c>
    </row>
    <row r="52" spans="1:14" x14ac:dyDescent="0.2">
      <c r="A52" s="49" t="s">
        <v>63</v>
      </c>
      <c r="B52" s="47">
        <v>0</v>
      </c>
      <c r="C52" s="47">
        <v>0</v>
      </c>
      <c r="D52" s="47">
        <v>0</v>
      </c>
      <c r="E52" s="47">
        <v>0</v>
      </c>
      <c r="F52" s="47">
        <v>0</v>
      </c>
      <c r="G52" s="47">
        <v>0</v>
      </c>
      <c r="H52" s="47">
        <v>0</v>
      </c>
      <c r="I52" s="47">
        <v>0</v>
      </c>
      <c r="J52" s="47">
        <f>E31+E32+E33</f>
        <v>5691.4940000000006</v>
      </c>
      <c r="K52" s="47">
        <v>0</v>
      </c>
      <c r="L52" s="47">
        <v>0</v>
      </c>
      <c r="M52" s="47">
        <v>0</v>
      </c>
      <c r="N52" s="48">
        <f t="shared" si="5"/>
        <v>5691.4940000000006</v>
      </c>
    </row>
    <row r="53" spans="1:14" x14ac:dyDescent="0.2">
      <c r="A53" s="49" t="s">
        <v>99</v>
      </c>
      <c r="B53" s="47">
        <v>0</v>
      </c>
      <c r="C53" s="47">
        <v>0</v>
      </c>
      <c r="D53" s="47">
        <v>0</v>
      </c>
      <c r="E53" s="47">
        <v>0</v>
      </c>
      <c r="F53" s="47">
        <v>0</v>
      </c>
      <c r="G53" s="47">
        <v>0</v>
      </c>
      <c r="H53" s="47">
        <v>0</v>
      </c>
      <c r="I53" s="47">
        <v>0</v>
      </c>
      <c r="J53" s="47">
        <v>0</v>
      </c>
      <c r="K53" s="47">
        <f>$C$11*$E$11</f>
        <v>3740.7999999999997</v>
      </c>
      <c r="L53" s="47">
        <v>0</v>
      </c>
      <c r="M53" s="47">
        <v>0</v>
      </c>
      <c r="N53" s="48">
        <f t="shared" si="5"/>
        <v>3740.7999999999997</v>
      </c>
    </row>
    <row r="54" spans="1:14" x14ac:dyDescent="0.2">
      <c r="A54" s="49" t="s">
        <v>64</v>
      </c>
      <c r="B54" s="47">
        <v>0</v>
      </c>
      <c r="C54" s="47">
        <v>0</v>
      </c>
      <c r="D54" s="47">
        <v>0</v>
      </c>
      <c r="E54" s="47">
        <v>0</v>
      </c>
      <c r="F54" s="47">
        <v>0</v>
      </c>
      <c r="G54" s="47">
        <v>0</v>
      </c>
      <c r="H54" s="47">
        <v>0</v>
      </c>
      <c r="I54" s="47">
        <v>0</v>
      </c>
      <c r="J54" s="47">
        <f>SUM(E34/26)*24</f>
        <v>319.68000000000006</v>
      </c>
      <c r="K54" s="47">
        <f>SUM(E34/26)*2</f>
        <v>26.640000000000004</v>
      </c>
      <c r="L54" s="47">
        <v>0</v>
      </c>
      <c r="M54" s="47">
        <v>0</v>
      </c>
      <c r="N54" s="48">
        <f t="shared" si="5"/>
        <v>346.32000000000005</v>
      </c>
    </row>
    <row r="55" spans="1:14" x14ac:dyDescent="0.2">
      <c r="A55" s="50" t="s">
        <v>65</v>
      </c>
      <c r="B55" s="48">
        <f t="shared" ref="B55:L55" si="6">SUM(B46:B54)</f>
        <v>0</v>
      </c>
      <c r="C55" s="48">
        <f t="shared" si="6"/>
        <v>0</v>
      </c>
      <c r="D55" s="48">
        <f t="shared" si="6"/>
        <v>0</v>
      </c>
      <c r="E55" s="48">
        <f t="shared" si="6"/>
        <v>0</v>
      </c>
      <c r="F55" s="48">
        <f t="shared" si="6"/>
        <v>0</v>
      </c>
      <c r="G55" s="48">
        <f t="shared" si="6"/>
        <v>0</v>
      </c>
      <c r="H55" s="48">
        <f t="shared" si="6"/>
        <v>0</v>
      </c>
      <c r="I55" s="48">
        <f t="shared" si="6"/>
        <v>0</v>
      </c>
      <c r="J55" s="48">
        <f t="shared" si="6"/>
        <v>114890.875</v>
      </c>
      <c r="K55" s="48">
        <f t="shared" si="6"/>
        <v>7752.64</v>
      </c>
      <c r="L55" s="48">
        <f t="shared" si="6"/>
        <v>0</v>
      </c>
      <c r="M55" s="48">
        <f t="shared" ref="M55" si="7">SUM(M46:M54)</f>
        <v>0</v>
      </c>
      <c r="N55" s="48">
        <f>SUM(B55:M55)</f>
        <v>122643.515</v>
      </c>
    </row>
  </sheetData>
  <mergeCells count="1">
    <mergeCell ref="A3:J3"/>
  </mergeCells>
  <pageMargins left="0.7" right="0.7" top="0.75" bottom="0.75" header="0.3" footer="0.3"/>
  <pageSetup paperSize="9" scale="47"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ual" ma:contentTypeID="0x0101007B4B030826FAB14E871614BA06610CED0C002185FF747D6DD34DB0AFC699C1C32E71" ma:contentTypeVersion="42" ma:contentTypeDescription="Relates to a contract with an external organisation, and Records retained for 10 years." ma:contentTypeScope="" ma:versionID="eebf19188f957c95b41d1fa02ebd0921">
  <xsd:schema xmlns:xsd="http://www.w3.org/2001/XMLSchema" xmlns:xs="http://www.w3.org/2001/XMLSchema" xmlns:p="http://schemas.microsoft.com/office/2006/metadata/properties" xmlns:ns1="http://schemas.microsoft.com/sharepoint/v3" xmlns:ns2="85a719ee-0e1a-405a-acca-fded54921c95" xmlns:ns3="906b00a0-3f23-4820-8da1-8de25fc78cbd" xmlns:ns4="95ab55cc-3ec0-4b23-b395-e89a1530037f" targetNamespace="http://schemas.microsoft.com/office/2006/metadata/properties" ma:root="true" ma:fieldsID="97a04d7dff10b77aa78bde3dff421e61" ns1:_="" ns2:_="" ns3:_="" ns4:_="">
    <xsd:import namespace="http://schemas.microsoft.com/sharepoint/v3"/>
    <xsd:import namespace="85a719ee-0e1a-405a-acca-fded54921c95"/>
    <xsd:import namespace="906b00a0-3f23-4820-8da1-8de25fc78cbd"/>
    <xsd:import namespace="95ab55cc-3ec0-4b23-b395-e89a1530037f"/>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2:TaxCatchAll" minOccurs="0"/>
                <xsd:element ref="ns2:TaxCatchAllLabel" minOccurs="0"/>
                <xsd:element ref="ns1:_vti_ItemDeclaredRecord" minOccurs="0"/>
                <xsd:element ref="ns2:a130543eb8094df09b1ff6f729007548" minOccurs="0"/>
                <xsd:element ref="ns2:kcdb53c81a87458dbd05cfcc803b6c5d" minOccurs="0"/>
                <xsd:element ref="ns2:kb1024b65baa402a9e486438da9a22f3" minOccurs="0"/>
                <xsd:element ref="ns2:o1a0e468adf04efc83e7fb67f632376a" minOccurs="0"/>
                <xsd:element ref="ns2:gbcd682e7dd8441b8a20033a8fd86c4c" minOccurs="0"/>
                <xsd:element ref="ns3:IWPContributor" minOccurs="0"/>
                <xsd:element ref="ns4:h5181134883947a99a38d116ffff000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9" nillable="true" ma:displayName="Declared Record" ma:description="" ma:hidden="true" ma:indexed="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5a719ee-0e1a-405a-acca-fded54921c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description="" ma:hidden="true" ma:list="{29ee510a-5aa3-4b98-a593-095aac01858e}" ma:internalName="TaxCatchAll" ma:readOnly="false" ma:showField="CatchAllData" ma:web="85a719ee-0e1a-405a-acca-fded54921c95">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list="{29ee510a-5aa3-4b98-a593-095aac01858e}" ma:internalName="TaxCatchAllLabel" ma:readOnly="true" ma:showField="CatchAllDataLabel" ma:web="85a719ee-0e1a-405a-acca-fded54921c95">
      <xsd:complexType>
        <xsd:complexContent>
          <xsd:extension base="dms:MultiChoiceLookup">
            <xsd:sequence>
              <xsd:element name="Value" type="dms:Lookup" maxOccurs="unbounded" minOccurs="0" nillable="true"/>
            </xsd:sequence>
          </xsd:extension>
        </xsd:complexContent>
      </xsd:complexType>
    </xsd:element>
    <xsd:element name="a130543eb8094df09b1ff6f729007548" ma:index="23" nillable="true" ma:taxonomy="true" ma:internalName="a130543eb8094df09b1ff6f729007548" ma:taxonomyFieldName="IWPFunction" ma:displayName="Function" ma:readOnly="false" ma:fieldId="{a130543e-b809-4df0-9b1f-f6f729007548}"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kcdb53c81a87458dbd05cfcc803b6c5d" ma:index="24" ma:taxonomy="true" ma:internalName="kcdb53c81a87458dbd05cfcc803b6c5d" ma:taxonomyFieldName="IWPOwner" ma:displayName="Owner" ma:readOnly="false" ma:default="3;#STA|c8765260-e14a-4cab-860c-a8f6854ef79c" ma:fieldId="{4cdb53c8-1a87-458d-bd05-cfcc803b6c5d}"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kb1024b65baa402a9e486438da9a22f3" ma:index="25" ma:taxonomy="true" ma:internalName="kb1024b65baa402a9e486438da9a22f3" ma:taxonomyFieldName="IWPRightsProtectiveMarking" ma:displayName="Rights: Protective Marking" ma:readOnly="false" ma:default="1;#Official|0884c477-2e62-47ea-b19c-5af6e91124c5" ma:fieldId="{4b1024b6-5baa-402a-9e48-6438da9a22f3}"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o1a0e468adf04efc83e7fb67f632376a" ma:index="26" nillable="true" ma:taxonomy="true" ma:internalName="o1a0e468adf04efc83e7fb67f632376a" ma:taxonomyFieldName="IWPSiteType" ma:displayName="Site Type" ma:readOnly="false" ma:fieldId="{81a0e468-adf0-4efc-83e7-fb67f632376a}"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gbcd682e7dd8441b8a20033a8fd86c4c" ma:index="27" ma:taxonomy="true" ma:internalName="gbcd682e7dd8441b8a20033a8fd86c4c" ma:taxonomyFieldName="IWPOrganisationalUnit" ma:displayName="Organisational Unit" ma:readOnly="false" ma:default="2;#STA|66576609-c685-49b2-8de0-b806a5dc4789" ma:fieldId="{0bcd682e-7dd8-441b-8a20-033a8fd86c4c}"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6b00a0-3f23-4820-8da1-8de25fc78cbd" elementFormDefault="qualified">
    <xsd:import namespace="http://schemas.microsoft.com/office/2006/documentManagement/types"/>
    <xsd:import namespace="http://schemas.microsoft.com/office/infopath/2007/PartnerControls"/>
    <xsd:element name="IWPContributor" ma:index="28"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ab55cc-3ec0-4b23-b395-e89a1530037f" elementFormDefault="qualified">
    <xsd:import namespace="http://schemas.microsoft.com/office/2006/documentManagement/types"/>
    <xsd:import namespace="http://schemas.microsoft.com/office/infopath/2007/PartnerControls"/>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b1024b65baa402a9e486438da9a22f3 xmlns="85a719ee-0e1a-405a-acca-fded54921c9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kb1024b65baa402a9e486438da9a22f3>
    <o1a0e468adf04efc83e7fb67f632376a xmlns="85a719ee-0e1a-405a-acca-fded54921c95">
      <Terms xmlns="http://schemas.microsoft.com/office/infopath/2007/PartnerControls"/>
    </o1a0e468adf04efc83e7fb67f632376a>
    <_dlc_DocId xmlns="85a719ee-0e1a-405a-acca-fded54921c95">R7V2QUUQPMTK-6-68916</_dlc_DocId>
    <_dlc_DocIdUrl xmlns="85a719ee-0e1a-405a-acca-fded54921c95">
      <Url>https://educationgovuk.sharepoint.com/sites/stacom/_layouts/15/DocIdRedir.aspx?ID=R7V2QUUQPMTK-6-68916</Url>
      <Description>R7V2QUUQPMTK-6-68916</Description>
    </_dlc_DocIdUrl>
    <TaxCatchAll xmlns="85a719ee-0e1a-405a-acca-fded54921c95">
      <Value>3</Value>
      <Value>2</Value>
      <Value>1</Value>
    </TaxCatchAll>
    <kcdb53c81a87458dbd05cfcc803b6c5d xmlns="85a719ee-0e1a-405a-acca-fded54921c95">
      <Terms xmlns="http://schemas.microsoft.com/office/infopath/2007/PartnerControls">
        <TermInfo xmlns="http://schemas.microsoft.com/office/infopath/2007/PartnerControls">
          <TermName xmlns="http://schemas.microsoft.com/office/infopath/2007/PartnerControls">STA</TermName>
          <TermId xmlns="http://schemas.microsoft.com/office/infopath/2007/PartnerControls">c8765260-e14a-4cab-860c-a8f6854ef79c</TermId>
        </TermInfo>
      </Terms>
    </kcdb53c81a87458dbd05cfcc803b6c5d>
    <IWPContributor xmlns="906b00a0-3f23-4820-8da1-8de25fc78cbd">
      <UserInfo>
        <DisplayName/>
        <AccountId xsi:nil="true"/>
        <AccountType/>
      </UserInfo>
    </IWPContributor>
    <h5181134883947a99a38d116ffff0006 xmlns="95ab55cc-3ec0-4b23-b395-e89a1530037f">
      <Terms xmlns="http://schemas.microsoft.com/office/infopath/2007/PartnerControls"/>
    </h5181134883947a99a38d116ffff0006>
    <a130543eb8094df09b1ff6f729007548 xmlns="85a719ee-0e1a-405a-acca-fded54921c95">
      <Terms xmlns="http://schemas.microsoft.com/office/infopath/2007/PartnerControls"/>
    </a130543eb8094df09b1ff6f729007548>
    <gbcd682e7dd8441b8a20033a8fd86c4c xmlns="85a719ee-0e1a-405a-acca-fded54921c95">
      <Terms xmlns="http://schemas.microsoft.com/office/infopath/2007/PartnerControls">
        <TermInfo xmlns="http://schemas.microsoft.com/office/infopath/2007/PartnerControls">
          <TermName xmlns="http://schemas.microsoft.com/office/infopath/2007/PartnerControls">STA</TermName>
          <TermId xmlns="http://schemas.microsoft.com/office/infopath/2007/PartnerControls">66576609-c685-49b2-8de0-b806a5dc4789</TermId>
        </TermInfo>
      </Terms>
    </gbcd682e7dd8441b8a20033a8fd86c4c>
    <Comments xmlns="http://schemas.microsoft.com/sharepoint/v3" xsi:nil="true"/>
  </documentManagement>
</p:properties>
</file>

<file path=customXml/itemProps1.xml><?xml version="1.0" encoding="utf-8"?>
<ds:datastoreItem xmlns:ds="http://schemas.openxmlformats.org/officeDocument/2006/customXml" ds:itemID="{1906E6BD-D742-4381-8942-DD5842923972}"/>
</file>

<file path=customXml/itemProps2.xml><?xml version="1.0" encoding="utf-8"?>
<ds:datastoreItem xmlns:ds="http://schemas.openxmlformats.org/officeDocument/2006/customXml" ds:itemID="{C7A3297C-EA6D-4345-AA2F-FC7BAC8072AF}"/>
</file>

<file path=customXml/itemProps3.xml><?xml version="1.0" encoding="utf-8"?>
<ds:datastoreItem xmlns:ds="http://schemas.openxmlformats.org/officeDocument/2006/customXml" ds:itemID="{2D7A7E69-7BB4-4084-B5FD-79C49D8AA342}"/>
</file>

<file path=customXml/itemProps4.xml><?xml version="1.0" encoding="utf-8"?>
<ds:datastoreItem xmlns:ds="http://schemas.openxmlformats.org/officeDocument/2006/customXml" ds:itemID="{EB96BCDF-327F-4F5E-BE00-25DD8A0DE1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Total Costs</vt:lpstr>
      <vt:lpstr>Key stage 1</vt:lpstr>
      <vt:lpstr>KS2 Schools</vt:lpstr>
      <vt:lpstr>KS2 Reference Sets</vt:lpstr>
      <vt:lpstr>Phonics</vt:lpstr>
      <vt:lpstr>KM1 Mobilisation</vt:lpstr>
      <vt:lpstr>KM2 Key stage 1</vt:lpstr>
      <vt:lpstr>KM3 Key stage 2</vt:lpstr>
      <vt:lpstr>KM4 Phonics</vt:lpstr>
      <vt:lpstr>KM5 Closedown</vt:lpstr>
      <vt:lpstr>Phonics!Spec_Component_Ref</vt:lpstr>
      <vt:lpstr>Spec_Component_Ref</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3 Annex 1a Standards Testing Agency Total Costs</dc:title>
  <dc:creator>Andrew Smith</dc:creator>
  <cp:lastModifiedBy>Andrew Smith</cp:lastModifiedBy>
  <dcterms:created xsi:type="dcterms:W3CDTF">2017-04-19T12:25:20Z</dcterms:created>
  <dcterms:modified xsi:type="dcterms:W3CDTF">2017-04-19T15:13:23Z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0x0101007B4B030826FAB14E871614BA06610CED0C002185FF747D6DD34DB0AFC699C1C32E71</vt:lpwstr>
  </property>
  <property fmtid="{D5CDD505-2E9C-101B-9397-08002B2CF9AE}" pid="3" name="IWPOrganisationalUnit">
    <vt:lpwstr>2;#STA|66576609-c685-49b2-8de0-b806a5dc4789</vt:lpwstr>
  </property>
  <property fmtid="{D5CDD505-2E9C-101B-9397-08002B2CF9AE}" pid="4" name="IWPOwner">
    <vt:lpwstr>3;#STA|c8765260-e14a-4cab-860c-a8f6854ef79c</vt:lpwstr>
  </property>
  <property fmtid="{D5CDD505-2E9C-101B-9397-08002B2CF9AE}" pid="5" name="IWPSubject">
    <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_dlc_DocIdItemGuid">
    <vt:lpwstr>156fce6a-471b-4652-a611-7865121bd5da</vt:lpwstr>
  </property>
</Properties>
</file>