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modgovuk.sharepoint.com/teams/301125/ContractDetailsLTD/Sourcing Documentation/Redacted Docs/"/>
    </mc:Choice>
  </mc:AlternateContent>
  <xr:revisionPtr revIDLastSave="0" documentId="8_{5C74C34A-4456-47C2-98E6-2F04679C6C67}" xr6:coauthVersionLast="46" xr6:coauthVersionMax="46" xr10:uidLastSave="{00000000-0000-0000-0000-000000000000}"/>
  <bookViews>
    <workbookView xWindow="-120" yWindow="-120" windowWidth="29040" windowHeight="17640" tabRatio="938" firstSheet="1" activeTab="1" xr2:uid="{00000000-000D-0000-FFFF-FFFF00000000}"/>
  </bookViews>
  <sheets>
    <sheet name="Intro P1" sheetId="3" state="hidden" r:id="rId1"/>
    <sheet name="Pricing Summary " sheetId="43" r:id="rId2"/>
    <sheet name="Deliverables" sheetId="49" r:id="rId3"/>
    <sheet name="UT Rates-Yr1" sheetId="44" r:id="rId4"/>
    <sheet name="UT Rates-Yr2" sheetId="47" r:id="rId5"/>
    <sheet name="UT Rates-Yr3" sheetId="48" r:id="rId6"/>
    <sheet name="Other UT Rates" sheetId="51" r:id="rId7"/>
    <sheet name="P4" sheetId="5" state="hidden" r:id="rId8"/>
    <sheet name="P5" sheetId="6" state="hidden" r:id="rId9"/>
    <sheet name="Cover" sheetId="7" state="hidden" r:id="rId10"/>
    <sheet name="Annex A" sheetId="31" state="hidden" r:id="rId11"/>
    <sheet name="Annex B" sheetId="33" state="hidden" r:id="rId12"/>
    <sheet name="Working Pg1" sheetId="8" state="hidden" r:id="rId13"/>
    <sheet name="2" sheetId="9" state="hidden" r:id="rId14"/>
    <sheet name="3" sheetId="10" state="hidden" r:id="rId15"/>
    <sheet name="4" sheetId="11" state="hidden" r:id="rId16"/>
    <sheet name="5" sheetId="12" state="hidden" r:id="rId17"/>
    <sheet name="6" sheetId="13" state="hidden" r:id="rId18"/>
    <sheet name="7" sheetId="14" state="hidden" r:id="rId19"/>
    <sheet name="8" sheetId="15" state="hidden" r:id="rId20"/>
    <sheet name="9" sheetId="16" state="hidden" r:id="rId21"/>
    <sheet name="10" sheetId="17" state="hidden" r:id="rId22"/>
    <sheet name="11" sheetId="18" state="hidden" r:id="rId23"/>
    <sheet name="12" sheetId="19" state="hidden" r:id="rId24"/>
    <sheet name="13" sheetId="20" state="hidden" r:id="rId25"/>
    <sheet name="14" sheetId="21" state="hidden" r:id="rId26"/>
    <sheet name="15" sheetId="22" state="hidden" r:id="rId27"/>
    <sheet name="16" sheetId="23" state="hidden" r:id="rId28"/>
    <sheet name="19" sheetId="24" state="hidden" r:id="rId29"/>
    <sheet name="21" sheetId="25" state="hidden" r:id="rId30"/>
    <sheet name="22" sheetId="26" state="hidden" r:id="rId31"/>
    <sheet name="23" sheetId="27" state="hidden" r:id="rId32"/>
    <sheet name="24" sheetId="28" state="hidden" r:id="rId33"/>
    <sheet name="25" sheetId="29" state="hidden" r:id="rId34"/>
    <sheet name="30" sheetId="32" state="hidden" r:id="rId35"/>
    <sheet name="31" sheetId="30" state="hidden" r:id="rId36"/>
    <sheet name="32" sheetId="35" state="hidden" r:id="rId37"/>
  </sheets>
  <externalReferences>
    <externalReference r:id="rId38"/>
  </externalReferences>
  <definedNames>
    <definedName name="\A" localSheetId="1">[1]SRAL!#REF!</definedName>
    <definedName name="\A" localSheetId="3">[1]SRAL!#REF!</definedName>
    <definedName name="\A" localSheetId="4">[1]SRAL!#REF!</definedName>
    <definedName name="\A" localSheetId="5">[1]SRAL!#REF!</definedName>
    <definedName name="\A">[1]SRAL!#REF!</definedName>
    <definedName name="\H" localSheetId="1">[1]SRAL!#REF!</definedName>
    <definedName name="\H" localSheetId="3">[1]SRAL!#REF!</definedName>
    <definedName name="\H" localSheetId="4">[1]SRAL!#REF!</definedName>
    <definedName name="\H" localSheetId="5">[1]SRAL!#REF!</definedName>
    <definedName name="\H">[1]SRAL!#REF!</definedName>
    <definedName name="\J" localSheetId="1">[1]SRAL!#REF!</definedName>
    <definedName name="\J" localSheetId="3">[1]SRAL!#REF!</definedName>
    <definedName name="\J" localSheetId="4">[1]SRAL!#REF!</definedName>
    <definedName name="\J" localSheetId="5">[1]SRAL!#REF!</definedName>
    <definedName name="\J">[1]SRAL!#REF!</definedName>
    <definedName name="\N" localSheetId="1">[1]SRAL!#REF!</definedName>
    <definedName name="\N" localSheetId="3">[1]SRAL!#REF!</definedName>
    <definedName name="\N" localSheetId="4">[1]SRAL!#REF!</definedName>
    <definedName name="\N" localSheetId="5">[1]SRAL!#REF!</definedName>
    <definedName name="\N">[1]SRAL!#REF!</definedName>
    <definedName name="A16C1" localSheetId="1">[1]SRAL!#REF!</definedName>
    <definedName name="A16C1" localSheetId="3">[1]SRAL!#REF!</definedName>
    <definedName name="A16C1" localSheetId="4">[1]SRAL!#REF!</definedName>
    <definedName name="A16C1" localSheetId="5">[1]SRAL!#REF!</definedName>
    <definedName name="A16C1">[1]SRAL!#REF!</definedName>
    <definedName name="d" localSheetId="4">[1]SRAL!#REF!</definedName>
    <definedName name="d" localSheetId="5">[1]SRAL!#REF!</definedName>
    <definedName name="d">[1]SRAL!#REF!</definedName>
    <definedName name="fgr" localSheetId="4">[1]SRAL!#REF!</definedName>
    <definedName name="fgr" localSheetId="5">[1]SRAL!#REF!</definedName>
    <definedName name="fgr">[1]SRAL!#REF!</definedName>
    <definedName name="fr" localSheetId="4">[1]SRAL!#REF!</definedName>
    <definedName name="fr" localSheetId="5">[1]SRAL!#REF!</definedName>
    <definedName name="fr">[1]SRAL!#REF!</definedName>
    <definedName name="g" localSheetId="4">[1]SRAL!#REF!</definedName>
    <definedName name="g" localSheetId="5">[1]SRAL!#REF!</definedName>
    <definedName name="g">[1]SRAL!#REF!</definedName>
    <definedName name="gb" localSheetId="4">[1]SRAL!#REF!</definedName>
    <definedName name="gb" localSheetId="5">[1]SRAL!#REF!</definedName>
    <definedName name="gb">[1]SRAL!#REF!</definedName>
    <definedName name="j" localSheetId="4">[1]SRAL!#REF!</definedName>
    <definedName name="j" localSheetId="5">[1]SRAL!#REF!</definedName>
    <definedName name="j">[1]SRAL!#REF!</definedName>
    <definedName name="NEW" localSheetId="1">[1]SRAL!#REF!</definedName>
    <definedName name="NEW" localSheetId="3">[1]SRAL!#REF!</definedName>
    <definedName name="NEW" localSheetId="4">[1]SRAL!#REF!</definedName>
    <definedName name="NEW" localSheetId="5">[1]SRAL!#REF!</definedName>
    <definedName name="NEW">[1]SRAL!#REF!</definedName>
    <definedName name="_xlnm.Print_Area" localSheetId="18">'7'!$A$1:$AR$42</definedName>
    <definedName name="_xlnm.Print_Area" localSheetId="10">'Annex A'!$A$1:$M$45</definedName>
    <definedName name="_xlnm.Print_Area" localSheetId="11">'Annex B'!$A$1:$L$34</definedName>
    <definedName name="_xlnm.Print_Area" localSheetId="9">Cover!$A$1:$A$18</definedName>
    <definedName name="_xlnm.Print_Area" localSheetId="0">'Intro P1'!$A$1:$A$143</definedName>
    <definedName name="_xlnm.Print_Area" localSheetId="7">'P4'!$A$1:$D$20</definedName>
    <definedName name="_xlnm.Print_Area" localSheetId="8">'P5'!$A$1:$G$30</definedName>
    <definedName name="_xlnm.Print_Area" localSheetId="1">'Pricing Summary '!$B$2:$H$22</definedName>
    <definedName name="_xlnm.Print_Area" localSheetId="3">'UT Rates-Yr1'!$A$2:$H$52</definedName>
    <definedName name="_xlnm.Print_Area" localSheetId="4">'UT Rates-Yr2'!$A$2:$H$53</definedName>
    <definedName name="_xlnm.Print_Area" localSheetId="5">'UT Rates-Yr3'!$A$2:$H$53</definedName>
    <definedName name="_xlnm.Print_Area" localSheetId="12">'Working Pg1'!$A$1:$Y$30</definedName>
    <definedName name="_xlnm.Print_Titles" localSheetId="21">'10'!$A:$A,'10'!$1:$2</definedName>
    <definedName name="_xlnm.Print_Titles" localSheetId="22">'11'!$A:$A,'11'!$1:$2</definedName>
    <definedName name="_xlnm.Print_Titles" localSheetId="23">'12'!$A:$A,'12'!$1:$2</definedName>
    <definedName name="_xlnm.Print_Titles" localSheetId="24">'13'!$A:$A,'13'!$1:$2</definedName>
    <definedName name="_xlnm.Print_Titles" localSheetId="25">'14'!$A:$A,'14'!$1:$2</definedName>
    <definedName name="_xlnm.Print_Titles" localSheetId="26">'15'!$A:$A,'15'!$1:$2</definedName>
    <definedName name="_xlnm.Print_Titles" localSheetId="27">'16'!$A:$A,'16'!$1:$2</definedName>
    <definedName name="_xlnm.Print_Titles" localSheetId="28">'19'!$A:$A,'19'!$1:$2</definedName>
    <definedName name="_xlnm.Print_Titles" localSheetId="13">'2'!$A:$A,'2'!$1:$2</definedName>
    <definedName name="_xlnm.Print_Titles" localSheetId="29">'21'!$A:$A,'21'!$1:$2</definedName>
    <definedName name="_xlnm.Print_Titles" localSheetId="30">'22'!$A:$A,'22'!$1:$2</definedName>
    <definedName name="_xlnm.Print_Titles" localSheetId="31">'23'!$A:$A,'23'!$1:$2</definedName>
    <definedName name="_xlnm.Print_Titles" localSheetId="32">'24'!$A:$A,'24'!$1:$2</definedName>
    <definedName name="_xlnm.Print_Titles" localSheetId="33">'25'!$A:$A,'25'!$1:$2</definedName>
    <definedName name="_xlnm.Print_Titles" localSheetId="14">'3'!$A:$A,'3'!$1:$2</definedName>
    <definedName name="_xlnm.Print_Titles" localSheetId="34">'30'!$A:$A,'30'!$1:$2</definedName>
    <definedName name="_xlnm.Print_Titles" localSheetId="35">'31'!$A:$A,'31'!$1:$2</definedName>
    <definedName name="_xlnm.Print_Titles" localSheetId="36">'32'!$A:$A,'32'!$1:$2</definedName>
    <definedName name="_xlnm.Print_Titles" localSheetId="15">'4'!$A:$A,'4'!$1:$2</definedName>
    <definedName name="_xlnm.Print_Titles" localSheetId="16">'5'!$A:$A,'5'!$1:$2</definedName>
    <definedName name="_xlnm.Print_Titles" localSheetId="17">'6'!$A:$A,'6'!$1:$2</definedName>
    <definedName name="_xlnm.Print_Titles" localSheetId="18">'7'!$A:$A,'7'!$1:$2</definedName>
    <definedName name="_xlnm.Print_Titles" localSheetId="19">'8'!$A:$A,'8'!$1:$2</definedName>
    <definedName name="_xlnm.Print_Titles" localSheetId="20">'9'!$A:$A,'9'!$1:$2</definedName>
    <definedName name="_xlnm.Print_Titles" localSheetId="10">'Annex A'!$B:$B,'Annex A'!$3:$4</definedName>
    <definedName name="_xlnm.Print_Titles" localSheetId="11">'Annex B'!$B:$B,'Annex B'!$3:$4</definedName>
    <definedName name="_xlnm.Print_Titles" localSheetId="12">'Working Pg1'!$A:$B,'Working Pg1'!$2:$2</definedName>
    <definedName name="UT" localSheetId="4">[1]SRAL!#REF!</definedName>
    <definedName name="UT" localSheetId="5">[1]SRAL!#REF!</definedName>
    <definedName name="UT">[1]SRAL!#REF!</definedName>
    <definedName name="v" localSheetId="4">[1]SRAL!#REF!</definedName>
    <definedName name="v" localSheetId="5">[1]SRAL!#REF!</definedName>
    <definedName name="v">[1]SRAL!#REF!</definedName>
    <definedName name="wd" localSheetId="4">[1]SRAL!#REF!</definedName>
    <definedName name="wd" localSheetId="5">[1]SRAL!#REF!</definedName>
    <definedName name="wd">[1]SRAL!#REF!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24" l="1"/>
  <c r="L20" i="8"/>
  <c r="M24" i="24"/>
  <c r="O20" i="8"/>
  <c r="H8" i="32"/>
  <c r="O27" i="8"/>
  <c r="O24" i="24"/>
  <c r="R20" i="8"/>
  <c r="I8" i="32"/>
  <c r="R27" i="8"/>
  <c r="Q24" i="24"/>
  <c r="U20" i="8"/>
  <c r="J8" i="32"/>
  <c r="U27" i="8"/>
  <c r="S24" i="24"/>
  <c r="X20" i="8"/>
  <c r="K8" i="32"/>
  <c r="X27" i="8"/>
  <c r="I44" i="35"/>
  <c r="J44" i="35"/>
  <c r="K44" i="35"/>
  <c r="F44" i="35"/>
  <c r="G44" i="35"/>
  <c r="H44" i="35"/>
  <c r="E44" i="35"/>
  <c r="K15" i="35"/>
  <c r="J15" i="35"/>
  <c r="I15" i="35"/>
  <c r="H15" i="35"/>
  <c r="G15" i="35"/>
  <c r="K13" i="35"/>
  <c r="J13" i="35"/>
  <c r="I13" i="35"/>
  <c r="H13" i="35"/>
  <c r="G13" i="35"/>
  <c r="M90" i="35"/>
  <c r="N42" i="29"/>
  <c r="O42" i="29"/>
  <c r="G26" i="29"/>
  <c r="L26" i="8"/>
  <c r="H26" i="29"/>
  <c r="O26" i="8"/>
  <c r="I26" i="29"/>
  <c r="R26" i="8"/>
  <c r="J26" i="29"/>
  <c r="U26" i="8"/>
  <c r="K26" i="29"/>
  <c r="X26" i="8"/>
  <c r="AK110" i="17"/>
  <c r="AK111" i="17"/>
  <c r="AK112" i="17"/>
  <c r="AK113" i="17"/>
  <c r="AK114" i="17"/>
  <c r="AK115" i="17"/>
  <c r="AK109" i="17"/>
  <c r="G12" i="33"/>
  <c r="F12" i="33"/>
  <c r="E24" i="33"/>
  <c r="F24" i="33"/>
  <c r="G24" i="33"/>
  <c r="H24" i="33"/>
  <c r="I24" i="33"/>
  <c r="J24" i="33"/>
  <c r="K24" i="33"/>
  <c r="D24" i="33"/>
  <c r="C24" i="33"/>
  <c r="B24" i="33"/>
  <c r="E22" i="33"/>
  <c r="F22" i="33"/>
  <c r="G22" i="33"/>
  <c r="H22" i="33"/>
  <c r="I22" i="33"/>
  <c r="J22" i="33"/>
  <c r="K22" i="33"/>
  <c r="D22" i="33"/>
  <c r="C22" i="33"/>
  <c r="B22" i="33"/>
  <c r="E28" i="33"/>
  <c r="F28" i="33"/>
  <c r="G28" i="33"/>
  <c r="H28" i="33"/>
  <c r="I28" i="33"/>
  <c r="J28" i="33"/>
  <c r="K28" i="33"/>
  <c r="D28" i="33"/>
  <c r="C28" i="33"/>
  <c r="B28" i="33"/>
  <c r="D33" i="33"/>
  <c r="E33" i="33"/>
  <c r="F33" i="33"/>
  <c r="G33" i="33"/>
  <c r="H33" i="33"/>
  <c r="I33" i="33"/>
  <c r="J33" i="33"/>
  <c r="K33" i="33"/>
  <c r="E32" i="33"/>
  <c r="F32" i="33"/>
  <c r="G32" i="33"/>
  <c r="H32" i="33"/>
  <c r="I32" i="33"/>
  <c r="J32" i="33"/>
  <c r="K32" i="33"/>
  <c r="D32" i="33"/>
  <c r="B33" i="33"/>
  <c r="C33" i="33"/>
  <c r="D20" i="33"/>
  <c r="D15" i="33"/>
  <c r="E15" i="33"/>
  <c r="F15" i="33"/>
  <c r="G15" i="33"/>
  <c r="H15" i="33"/>
  <c r="I15" i="33"/>
  <c r="J15" i="33"/>
  <c r="K15" i="33"/>
  <c r="D16" i="33"/>
  <c r="E16" i="33"/>
  <c r="F16" i="33"/>
  <c r="G16" i="33"/>
  <c r="H16" i="33"/>
  <c r="I16" i="33"/>
  <c r="J16" i="33"/>
  <c r="K16" i="33"/>
  <c r="D17" i="33"/>
  <c r="E17" i="33"/>
  <c r="F17" i="33"/>
  <c r="G17" i="33"/>
  <c r="H17" i="33"/>
  <c r="I17" i="33"/>
  <c r="J17" i="33"/>
  <c r="K17" i="33"/>
  <c r="D18" i="33"/>
  <c r="E18" i="33"/>
  <c r="F18" i="33"/>
  <c r="G18" i="33"/>
  <c r="H18" i="33"/>
  <c r="I18" i="33"/>
  <c r="J18" i="33"/>
  <c r="K18" i="33"/>
  <c r="D19" i="33"/>
  <c r="E19" i="33"/>
  <c r="F19" i="33"/>
  <c r="G19" i="33"/>
  <c r="H19" i="33"/>
  <c r="I19" i="33"/>
  <c r="J19" i="33"/>
  <c r="K19" i="33"/>
  <c r="E20" i="33"/>
  <c r="F20" i="33"/>
  <c r="G20" i="33"/>
  <c r="H20" i="33"/>
  <c r="I20" i="33"/>
  <c r="J20" i="33"/>
  <c r="K20" i="33"/>
  <c r="C20" i="33"/>
  <c r="B20" i="33"/>
  <c r="K12" i="33"/>
  <c r="J12" i="33"/>
  <c r="I12" i="33"/>
  <c r="H12" i="33"/>
  <c r="E12" i="33"/>
  <c r="D12" i="33"/>
  <c r="C12" i="33"/>
  <c r="B12" i="33"/>
  <c r="K9" i="33"/>
  <c r="J9" i="33"/>
  <c r="I9" i="33"/>
  <c r="H9" i="33"/>
  <c r="G9" i="33"/>
  <c r="F9" i="33"/>
  <c r="E9" i="33"/>
  <c r="D9" i="33"/>
  <c r="C9" i="33"/>
  <c r="B9" i="33"/>
  <c r="AR131" i="19"/>
  <c r="AL24" i="28"/>
  <c r="K17" i="35"/>
  <c r="J17" i="35"/>
  <c r="I17" i="35"/>
  <c r="H17" i="35"/>
  <c r="G17" i="35"/>
  <c r="K24" i="35"/>
  <c r="J24" i="35"/>
  <c r="I24" i="35"/>
  <c r="H24" i="35"/>
  <c r="G24" i="35"/>
  <c r="F24" i="35"/>
  <c r="E24" i="35"/>
  <c r="K23" i="35"/>
  <c r="J23" i="35"/>
  <c r="I23" i="35"/>
  <c r="H23" i="35"/>
  <c r="G23" i="35"/>
  <c r="F23" i="35"/>
  <c r="K22" i="35"/>
  <c r="J22" i="35"/>
  <c r="I22" i="35"/>
  <c r="H22" i="35"/>
  <c r="G22" i="35"/>
  <c r="F22" i="35"/>
  <c r="K18" i="35"/>
  <c r="J18" i="35"/>
  <c r="I18" i="35"/>
  <c r="H18" i="35"/>
  <c r="G18" i="35"/>
  <c r="F18" i="35"/>
  <c r="N41" i="29"/>
  <c r="O41" i="29"/>
  <c r="P41" i="29" s="1"/>
  <c r="N46" i="29"/>
  <c r="O46" i="29"/>
  <c r="P46" i="29" s="1"/>
  <c r="T98" i="22"/>
  <c r="AJ78" i="21"/>
  <c r="AJ79" i="21"/>
  <c r="AJ80" i="21"/>
  <c r="AJ81" i="21"/>
  <c r="N12" i="32"/>
  <c r="O37" i="29"/>
  <c r="O38" i="29"/>
  <c r="O39" i="29"/>
  <c r="O40" i="29"/>
  <c r="N36" i="29"/>
  <c r="N40" i="29"/>
  <c r="P40" i="29"/>
  <c r="V37" i="24"/>
  <c r="V36" i="24"/>
  <c r="F24" i="24"/>
  <c r="G24" i="24"/>
  <c r="F20" i="8"/>
  <c r="H24" i="24"/>
  <c r="I24" i="24"/>
  <c r="I20" i="8"/>
  <c r="J24" i="24"/>
  <c r="L24" i="24"/>
  <c r="N24" i="24"/>
  <c r="P24" i="24"/>
  <c r="R24" i="24"/>
  <c r="E24" i="24"/>
  <c r="C20" i="8"/>
  <c r="AK108" i="17"/>
  <c r="M35" i="16"/>
  <c r="M36" i="16"/>
  <c r="M37" i="16"/>
  <c r="M38" i="16"/>
  <c r="M39" i="16"/>
  <c r="M40" i="16"/>
  <c r="M41" i="16"/>
  <c r="M42" i="16"/>
  <c r="M43" i="16"/>
  <c r="M34" i="16"/>
  <c r="E32" i="16"/>
  <c r="F10" i="8"/>
  <c r="F32" i="16"/>
  <c r="I10" i="8"/>
  <c r="G32" i="16"/>
  <c r="L10" i="8"/>
  <c r="H32" i="16"/>
  <c r="O10" i="8"/>
  <c r="I32" i="16"/>
  <c r="R10" i="8"/>
  <c r="J32" i="16"/>
  <c r="U10" i="8"/>
  <c r="K32" i="16"/>
  <c r="X10" i="8"/>
  <c r="D32" i="16"/>
  <c r="C10" i="8"/>
  <c r="AK41" i="15"/>
  <c r="AS46" i="14"/>
  <c r="AS47" i="13"/>
  <c r="AK35" i="12"/>
  <c r="AK36" i="12"/>
  <c r="AK37" i="12"/>
  <c r="AK38" i="12"/>
  <c r="AK39" i="12"/>
  <c r="AK34" i="12"/>
  <c r="M78" i="35"/>
  <c r="M79" i="35"/>
  <c r="M80" i="35"/>
  <c r="M81" i="35"/>
  <c r="M82" i="35"/>
  <c r="M83" i="35"/>
  <c r="M84" i="35"/>
  <c r="M85" i="35"/>
  <c r="M86" i="35"/>
  <c r="M87" i="35"/>
  <c r="M88" i="35"/>
  <c r="M89" i="35"/>
  <c r="M96" i="35"/>
  <c r="H12" i="35"/>
  <c r="I12" i="35"/>
  <c r="J12" i="35"/>
  <c r="K12" i="35"/>
  <c r="G12" i="35"/>
  <c r="K11" i="35"/>
  <c r="J11" i="35"/>
  <c r="I11" i="35"/>
  <c r="H11" i="35"/>
  <c r="G11" i="35"/>
  <c r="K10" i="35"/>
  <c r="J10" i="35"/>
  <c r="I10" i="35"/>
  <c r="H10" i="35"/>
  <c r="G10" i="35"/>
  <c r="K9" i="35"/>
  <c r="J9" i="35"/>
  <c r="I9" i="35"/>
  <c r="H9" i="35"/>
  <c r="G9" i="35"/>
  <c r="K8" i="35"/>
  <c r="J8" i="35"/>
  <c r="I8" i="35"/>
  <c r="H8" i="35"/>
  <c r="G8" i="35"/>
  <c r="N39" i="29"/>
  <c r="P39" i="29"/>
  <c r="V35" i="24"/>
  <c r="AR130" i="19"/>
  <c r="AR129" i="19"/>
  <c r="AK107" i="17"/>
  <c r="T99" i="17"/>
  <c r="U99" i="17"/>
  <c r="V99" i="17"/>
  <c r="W99" i="17"/>
  <c r="O11" i="8"/>
  <c r="X99" i="17"/>
  <c r="Y99" i="17"/>
  <c r="Z99" i="17"/>
  <c r="AA99" i="17"/>
  <c r="R11" i="8"/>
  <c r="AB99" i="17"/>
  <c r="AC99" i="17"/>
  <c r="AD99" i="17"/>
  <c r="AE99" i="17"/>
  <c r="U11" i="8"/>
  <c r="AF99" i="17"/>
  <c r="AG99" i="17"/>
  <c r="AH99" i="17"/>
  <c r="AI99" i="17"/>
  <c r="X11" i="8"/>
  <c r="L99" i="17"/>
  <c r="M99" i="17"/>
  <c r="N99" i="17"/>
  <c r="O99" i="17"/>
  <c r="I11" i="8"/>
  <c r="P99" i="17"/>
  <c r="Q99" i="17"/>
  <c r="R99" i="17"/>
  <c r="S99" i="17"/>
  <c r="L11" i="8"/>
  <c r="H99" i="17"/>
  <c r="I99" i="17"/>
  <c r="J99" i="17"/>
  <c r="K99" i="17"/>
  <c r="F11" i="8"/>
  <c r="G99" i="17"/>
  <c r="C11" i="8"/>
  <c r="AK40" i="15"/>
  <c r="F15" i="35"/>
  <c r="M77" i="35"/>
  <c r="AL23" i="28"/>
  <c r="V34" i="24"/>
  <c r="AR128" i="19"/>
  <c r="AM116" i="19"/>
  <c r="AN116" i="19"/>
  <c r="AO116" i="19"/>
  <c r="AP116" i="19"/>
  <c r="AQ116" i="19"/>
  <c r="X13" i="8"/>
  <c r="AH116" i="19"/>
  <c r="AI116" i="19"/>
  <c r="AJ116" i="19"/>
  <c r="AK116" i="19"/>
  <c r="AL116" i="19"/>
  <c r="U13" i="8"/>
  <c r="AC116" i="19"/>
  <c r="AD116" i="19"/>
  <c r="AE116" i="19"/>
  <c r="AF116" i="19"/>
  <c r="AG116" i="19"/>
  <c r="R13" i="8"/>
  <c r="X116" i="19"/>
  <c r="Y116" i="19"/>
  <c r="Z116" i="19"/>
  <c r="AA116" i="19"/>
  <c r="AB116" i="19"/>
  <c r="O13" i="8"/>
  <c r="S116" i="19"/>
  <c r="T116" i="19"/>
  <c r="U116" i="19"/>
  <c r="V116" i="19"/>
  <c r="W116" i="19"/>
  <c r="L13" i="8"/>
  <c r="R116" i="19"/>
  <c r="I13" i="8"/>
  <c r="M116" i="19"/>
  <c r="F13" i="8"/>
  <c r="H116" i="19"/>
  <c r="C13" i="8"/>
  <c r="V33" i="24"/>
  <c r="M76" i="35"/>
  <c r="O36" i="29"/>
  <c r="P36" i="29" s="1"/>
  <c r="N37" i="29"/>
  <c r="N38" i="29"/>
  <c r="P38" i="29"/>
  <c r="AE20" i="28"/>
  <c r="U25" i="8"/>
  <c r="AE37" i="15"/>
  <c r="U9" i="8"/>
  <c r="Q93" i="22"/>
  <c r="U16" i="8"/>
  <c r="J40" i="30"/>
  <c r="U28" i="8"/>
  <c r="AE32" i="12"/>
  <c r="U6" i="8"/>
  <c r="AL44" i="13"/>
  <c r="U7" i="8"/>
  <c r="AL42" i="14"/>
  <c r="U8" i="8"/>
  <c r="AE72" i="21"/>
  <c r="U15" i="8"/>
  <c r="AA20" i="28"/>
  <c r="R25" i="8"/>
  <c r="AA37" i="15"/>
  <c r="R9" i="8"/>
  <c r="O93" i="22"/>
  <c r="R16" i="8"/>
  <c r="I40" i="30"/>
  <c r="R28" i="8"/>
  <c r="AA32" i="12"/>
  <c r="R6" i="8"/>
  <c r="AG44" i="13"/>
  <c r="R7" i="8"/>
  <c r="AG42" i="14"/>
  <c r="R8" i="8"/>
  <c r="AA72" i="21"/>
  <c r="R15" i="8"/>
  <c r="AI20" i="28"/>
  <c r="X25" i="8"/>
  <c r="AI37" i="15"/>
  <c r="X9" i="8"/>
  <c r="S93" i="22"/>
  <c r="X16" i="8"/>
  <c r="K40" i="30"/>
  <c r="X28" i="8"/>
  <c r="AI32" i="12"/>
  <c r="X6" i="8"/>
  <c r="AQ44" i="13"/>
  <c r="X7" i="8"/>
  <c r="AQ42" i="14"/>
  <c r="X8" i="8"/>
  <c r="AI72" i="21"/>
  <c r="X15" i="8"/>
  <c r="E93" i="22"/>
  <c r="C16" i="8"/>
  <c r="D40" i="30"/>
  <c r="C28" i="8"/>
  <c r="G32" i="12"/>
  <c r="C6" i="8"/>
  <c r="G93" i="22"/>
  <c r="F16" i="8"/>
  <c r="E40" i="30"/>
  <c r="F28" i="8"/>
  <c r="K32" i="12"/>
  <c r="F6" i="8"/>
  <c r="K37" i="15"/>
  <c r="F9" i="8"/>
  <c r="O20" i="28"/>
  <c r="I25" i="8"/>
  <c r="O37" i="15"/>
  <c r="I9" i="8"/>
  <c r="F26" i="29"/>
  <c r="I26" i="8"/>
  <c r="I93" i="22"/>
  <c r="I16" i="8"/>
  <c r="F40" i="30"/>
  <c r="I28" i="8"/>
  <c r="O32" i="12"/>
  <c r="I6" i="8"/>
  <c r="S20" i="28"/>
  <c r="L25" i="8"/>
  <c r="S37" i="15"/>
  <c r="L9" i="8"/>
  <c r="K93" i="22"/>
  <c r="L16" i="8"/>
  <c r="G8" i="32"/>
  <c r="L27" i="8"/>
  <c r="G40" i="30"/>
  <c r="L28" i="8"/>
  <c r="S32" i="12"/>
  <c r="L6" i="8"/>
  <c r="W44" i="13"/>
  <c r="L7" i="8"/>
  <c r="W42" i="14"/>
  <c r="L8" i="8"/>
  <c r="S72" i="21"/>
  <c r="L15" i="8"/>
  <c r="W20" i="28"/>
  <c r="O25" i="8"/>
  <c r="W37" i="15"/>
  <c r="O9" i="8"/>
  <c r="M93" i="22"/>
  <c r="O16" i="8"/>
  <c r="H40" i="30"/>
  <c r="O28" i="8"/>
  <c r="W32" i="12"/>
  <c r="O6" i="8"/>
  <c r="AB44" i="13"/>
  <c r="O7" i="8"/>
  <c r="AB42" i="14"/>
  <c r="O8" i="8"/>
  <c r="W72" i="21"/>
  <c r="O15" i="8"/>
  <c r="E26" i="29"/>
  <c r="F26" i="8"/>
  <c r="D26" i="29"/>
  <c r="C26" i="8"/>
  <c r="E18" i="35"/>
  <c r="M75" i="35"/>
  <c r="F17" i="35"/>
  <c r="K16" i="35"/>
  <c r="J16" i="35"/>
  <c r="I16" i="35"/>
  <c r="H16" i="35"/>
  <c r="G16" i="35"/>
  <c r="F16" i="35"/>
  <c r="M73" i="35"/>
  <c r="M74" i="35"/>
  <c r="AR126" i="19"/>
  <c r="E15" i="35"/>
  <c r="E27" i="35"/>
  <c r="F27" i="35"/>
  <c r="G27" i="35"/>
  <c r="H27" i="35"/>
  <c r="I27" i="35"/>
  <c r="J27" i="35"/>
  <c r="K27" i="35"/>
  <c r="D27" i="35"/>
  <c r="M72" i="35"/>
  <c r="M71" i="35"/>
  <c r="M70" i="35"/>
  <c r="K19" i="35"/>
  <c r="J19" i="35"/>
  <c r="I19" i="35"/>
  <c r="H19" i="35"/>
  <c r="G19" i="35"/>
  <c r="F19" i="35"/>
  <c r="E19" i="35"/>
  <c r="D19" i="35"/>
  <c r="AK22" i="26"/>
  <c r="AJ77" i="21"/>
  <c r="AR125" i="19"/>
  <c r="AK39" i="15"/>
  <c r="M69" i="35"/>
  <c r="D44" i="35"/>
  <c r="M44" i="35"/>
  <c r="F26" i="35"/>
  <c r="F6" i="35"/>
  <c r="F9" i="35"/>
  <c r="F13" i="35"/>
  <c r="F14" i="35"/>
  <c r="F21" i="35"/>
  <c r="G6" i="35"/>
  <c r="G14" i="35"/>
  <c r="G21" i="35"/>
  <c r="G26" i="35"/>
  <c r="H6" i="35"/>
  <c r="H14" i="35"/>
  <c r="H21" i="35"/>
  <c r="H26" i="35"/>
  <c r="I6" i="35"/>
  <c r="I14" i="35"/>
  <c r="I21" i="35"/>
  <c r="I26" i="35"/>
  <c r="J6" i="35"/>
  <c r="J14" i="35"/>
  <c r="J21" i="35"/>
  <c r="J26" i="35"/>
  <c r="K6" i="35"/>
  <c r="K14" i="35"/>
  <c r="K21" i="35"/>
  <c r="K26" i="35"/>
  <c r="E26" i="35"/>
  <c r="E6" i="35"/>
  <c r="E9" i="35"/>
  <c r="E13" i="35"/>
  <c r="E14" i="35"/>
  <c r="E16" i="35"/>
  <c r="E17" i="35"/>
  <c r="E21" i="35"/>
  <c r="E22" i="35"/>
  <c r="E23" i="35"/>
  <c r="D6" i="35"/>
  <c r="D14" i="35"/>
  <c r="D17" i="35"/>
  <c r="D26" i="35"/>
  <c r="M45" i="35"/>
  <c r="M46" i="35"/>
  <c r="M47" i="35"/>
  <c r="M48" i="35"/>
  <c r="M49" i="35"/>
  <c r="M50" i="35"/>
  <c r="M51" i="35"/>
  <c r="M52" i="35"/>
  <c r="M53" i="35"/>
  <c r="M54" i="35"/>
  <c r="M55" i="35"/>
  <c r="M56" i="35"/>
  <c r="M57" i="35"/>
  <c r="M58" i="35"/>
  <c r="M59" i="35"/>
  <c r="M60" i="35"/>
  <c r="M61" i="35"/>
  <c r="M62" i="35"/>
  <c r="M63" i="35"/>
  <c r="M64" i="35"/>
  <c r="M65" i="35"/>
  <c r="M66" i="35"/>
  <c r="M67" i="35"/>
  <c r="F93" i="22"/>
  <c r="H93" i="22"/>
  <c r="J93" i="22"/>
  <c r="L93" i="22"/>
  <c r="N93" i="22"/>
  <c r="P93" i="22"/>
  <c r="R93" i="22"/>
  <c r="H72" i="21"/>
  <c r="I72" i="21"/>
  <c r="J72" i="21"/>
  <c r="K72" i="21"/>
  <c r="F15" i="8"/>
  <c r="L72" i="21"/>
  <c r="M72" i="21"/>
  <c r="N72" i="21"/>
  <c r="O72" i="21"/>
  <c r="I15" i="8"/>
  <c r="P72" i="21"/>
  <c r="Q72" i="21"/>
  <c r="R72" i="21"/>
  <c r="T72" i="21"/>
  <c r="U72" i="21"/>
  <c r="V72" i="21"/>
  <c r="X72" i="21"/>
  <c r="Y72" i="21"/>
  <c r="Z72" i="21"/>
  <c r="AB72" i="21"/>
  <c r="AC72" i="21"/>
  <c r="AD72" i="21"/>
  <c r="AF72" i="21"/>
  <c r="AG72" i="21"/>
  <c r="AH72" i="21"/>
  <c r="G72" i="21"/>
  <c r="C15" i="8"/>
  <c r="E48" i="18"/>
  <c r="F12" i="8"/>
  <c r="F48" i="18"/>
  <c r="I12" i="8"/>
  <c r="G48" i="18"/>
  <c r="L12" i="8"/>
  <c r="H48" i="18"/>
  <c r="O12" i="8"/>
  <c r="I48" i="18"/>
  <c r="R12" i="8"/>
  <c r="J48" i="18"/>
  <c r="U12" i="8"/>
  <c r="K48" i="18"/>
  <c r="X12" i="8"/>
  <c r="D48" i="18"/>
  <c r="C12" i="8"/>
  <c r="AH7" i="17"/>
  <c r="AD7" i="17"/>
  <c r="Z7" i="17"/>
  <c r="V7" i="17"/>
  <c r="R7" i="17"/>
  <c r="N7" i="17"/>
  <c r="J7" i="17"/>
  <c r="F7" i="17"/>
  <c r="AH51" i="17"/>
  <c r="AH43" i="17"/>
  <c r="AH37" i="17"/>
  <c r="AH36" i="17"/>
  <c r="AH35" i="17"/>
  <c r="AH31" i="17"/>
  <c r="AH30" i="17"/>
  <c r="AH26" i="17"/>
  <c r="AH23" i="17"/>
  <c r="AH17" i="17"/>
  <c r="AH15" i="17"/>
  <c r="AH13" i="17"/>
  <c r="AH96" i="17" s="1"/>
  <c r="AD51" i="17"/>
  <c r="AD43" i="17"/>
  <c r="AD37" i="17"/>
  <c r="AD36" i="17"/>
  <c r="AD35" i="17"/>
  <c r="AD31" i="17"/>
  <c r="AD30" i="17"/>
  <c r="AD26" i="17"/>
  <c r="AD23" i="17"/>
  <c r="AD17" i="17"/>
  <c r="AD15" i="17"/>
  <c r="AD13" i="17"/>
  <c r="AD96" i="17" s="1"/>
  <c r="Z51" i="17"/>
  <c r="Z43" i="17"/>
  <c r="Z37" i="17"/>
  <c r="Z36" i="17"/>
  <c r="Z35" i="17"/>
  <c r="Z31" i="17"/>
  <c r="Z30" i="17"/>
  <c r="Z26" i="17"/>
  <c r="Z23" i="17"/>
  <c r="Z17" i="17"/>
  <c r="Z15" i="17"/>
  <c r="Z13" i="17"/>
  <c r="Z96" i="17"/>
  <c r="V51" i="17"/>
  <c r="V43" i="17"/>
  <c r="V37" i="17"/>
  <c r="V36" i="17"/>
  <c r="V35" i="17"/>
  <c r="V31" i="17"/>
  <c r="V30" i="17"/>
  <c r="V26" i="17"/>
  <c r="V23" i="17"/>
  <c r="V17" i="17"/>
  <c r="V15" i="17"/>
  <c r="V13" i="17"/>
  <c r="V96" i="17"/>
  <c r="R51" i="17"/>
  <c r="R43" i="17"/>
  <c r="R37" i="17"/>
  <c r="R36" i="17"/>
  <c r="R35" i="17"/>
  <c r="R31" i="17"/>
  <c r="R30" i="17"/>
  <c r="R26" i="17"/>
  <c r="R23" i="17"/>
  <c r="R17" i="17"/>
  <c r="R15" i="17"/>
  <c r="R13" i="17"/>
  <c r="R96" i="17" s="1"/>
  <c r="N51" i="17"/>
  <c r="N43" i="17"/>
  <c r="N37" i="17"/>
  <c r="N36" i="17"/>
  <c r="N35" i="17"/>
  <c r="N31" i="17"/>
  <c r="N30" i="17"/>
  <c r="N26" i="17"/>
  <c r="N23" i="17"/>
  <c r="N17" i="17"/>
  <c r="N15" i="17"/>
  <c r="N13" i="17"/>
  <c r="J51" i="17"/>
  <c r="J43" i="17"/>
  <c r="J37" i="17"/>
  <c r="J36" i="17"/>
  <c r="J35" i="17"/>
  <c r="J31" i="17"/>
  <c r="J30" i="17"/>
  <c r="J26" i="17"/>
  <c r="J23" i="17"/>
  <c r="J17" i="17"/>
  <c r="J15" i="17"/>
  <c r="J13" i="17"/>
  <c r="J96" i="17" s="1"/>
  <c r="F51" i="17"/>
  <c r="F43" i="17"/>
  <c r="F37" i="17"/>
  <c r="F36" i="17"/>
  <c r="F35" i="17"/>
  <c r="F31" i="17"/>
  <c r="F30" i="17"/>
  <c r="F26" i="17"/>
  <c r="F23" i="17"/>
  <c r="F17" i="17"/>
  <c r="F15" i="17"/>
  <c r="F13" i="17"/>
  <c r="K96" i="17"/>
  <c r="G11" i="8"/>
  <c r="O96" i="17"/>
  <c r="S96" i="17"/>
  <c r="M11" i="8"/>
  <c r="W96" i="17"/>
  <c r="P11" i="8"/>
  <c r="AA96" i="17"/>
  <c r="S11" i="8"/>
  <c r="AE96" i="17"/>
  <c r="V11" i="8"/>
  <c r="AI96" i="17"/>
  <c r="Y11" i="8"/>
  <c r="G96" i="17"/>
  <c r="D11" i="8"/>
  <c r="F45" i="18"/>
  <c r="G45" i="18"/>
  <c r="H45" i="18"/>
  <c r="P12" i="8"/>
  <c r="I45" i="18"/>
  <c r="S12" i="8"/>
  <c r="J45" i="18"/>
  <c r="K45" i="18"/>
  <c r="E45" i="18"/>
  <c r="G12" i="8"/>
  <c r="D45" i="18"/>
  <c r="Q116" i="19"/>
  <c r="P116" i="19"/>
  <c r="O116" i="19"/>
  <c r="N116" i="19"/>
  <c r="L116" i="19"/>
  <c r="K116" i="19"/>
  <c r="J116" i="19"/>
  <c r="I116" i="19"/>
  <c r="AO41" i="19"/>
  <c r="AO34" i="19"/>
  <c r="AO30" i="19"/>
  <c r="AO22" i="19"/>
  <c r="AO19" i="19"/>
  <c r="AO14" i="19"/>
  <c r="AJ41" i="19"/>
  <c r="AJ34" i="19"/>
  <c r="AJ30" i="19"/>
  <c r="AJ22" i="19"/>
  <c r="AJ19" i="19"/>
  <c r="AJ14" i="19"/>
  <c r="AJ113" i="19"/>
  <c r="AE41" i="19"/>
  <c r="AE34" i="19"/>
  <c r="AE30" i="19"/>
  <c r="AE22" i="19"/>
  <c r="AE19" i="19"/>
  <c r="AE14" i="19"/>
  <c r="Z41" i="19"/>
  <c r="Z34" i="19"/>
  <c r="Z30" i="19"/>
  <c r="Z22" i="19"/>
  <c r="Z19" i="19"/>
  <c r="Z14" i="19"/>
  <c r="U41" i="19"/>
  <c r="U34" i="19"/>
  <c r="U30" i="19"/>
  <c r="U22" i="19"/>
  <c r="U19" i="19"/>
  <c r="U14" i="19"/>
  <c r="U113" i="19" s="1"/>
  <c r="P41" i="19"/>
  <c r="P34" i="19"/>
  <c r="P30" i="19"/>
  <c r="P22" i="19"/>
  <c r="P19" i="19"/>
  <c r="P14" i="19"/>
  <c r="P113" i="19" s="1"/>
  <c r="K41" i="19"/>
  <c r="K34" i="19"/>
  <c r="K30" i="19"/>
  <c r="K22" i="19"/>
  <c r="K19" i="19"/>
  <c r="K14" i="19"/>
  <c r="K113" i="19"/>
  <c r="F41" i="19"/>
  <c r="F34" i="19"/>
  <c r="F30" i="19"/>
  <c r="F22" i="19"/>
  <c r="F19" i="19"/>
  <c r="F14" i="19"/>
  <c r="I113" i="19"/>
  <c r="J113" i="19"/>
  <c r="L113" i="19"/>
  <c r="M113" i="19"/>
  <c r="G13" i="8"/>
  <c r="N113" i="19"/>
  <c r="O113" i="19"/>
  <c r="Q113" i="19"/>
  <c r="R113" i="19"/>
  <c r="J13" i="8"/>
  <c r="S113" i="19"/>
  <c r="T113" i="19"/>
  <c r="V113" i="19"/>
  <c r="W113" i="19"/>
  <c r="M13" i="8"/>
  <c r="X113" i="19"/>
  <c r="Y113" i="19"/>
  <c r="AA113" i="19"/>
  <c r="AB113" i="19"/>
  <c r="AC113" i="19"/>
  <c r="AD113" i="19"/>
  <c r="AF113" i="19"/>
  <c r="AG113" i="19"/>
  <c r="S13" i="8"/>
  <c r="AH113" i="19"/>
  <c r="AI113" i="19"/>
  <c r="AK113" i="19"/>
  <c r="AL113" i="19"/>
  <c r="V13" i="8"/>
  <c r="AM113" i="19"/>
  <c r="AN113" i="19"/>
  <c r="AP113" i="19"/>
  <c r="AQ113" i="19"/>
  <c r="Y13" i="8"/>
  <c r="H113" i="19"/>
  <c r="D13" i="8"/>
  <c r="E32" i="20"/>
  <c r="F14" i="8"/>
  <c r="F32" i="20"/>
  <c r="I14" i="8"/>
  <c r="G32" i="20"/>
  <c r="L14" i="8"/>
  <c r="H32" i="20"/>
  <c r="O14" i="8"/>
  <c r="I32" i="20"/>
  <c r="R14" i="8"/>
  <c r="J32" i="20"/>
  <c r="U14" i="8"/>
  <c r="K32" i="20"/>
  <c r="X14" i="8"/>
  <c r="D32" i="20"/>
  <c r="C14" i="8"/>
  <c r="E29" i="20"/>
  <c r="G14" i="8"/>
  <c r="F29" i="20"/>
  <c r="J14" i="8"/>
  <c r="G29" i="20"/>
  <c r="H29" i="20"/>
  <c r="P14" i="8"/>
  <c r="I29" i="20"/>
  <c r="J29" i="20"/>
  <c r="V14" i="8"/>
  <c r="K29" i="20"/>
  <c r="Y14" i="8"/>
  <c r="D29" i="20"/>
  <c r="D14" i="8"/>
  <c r="AH15" i="21"/>
  <c r="AH10" i="21"/>
  <c r="AH9" i="21"/>
  <c r="AH69" i="21"/>
  <c r="AD15" i="21"/>
  <c r="AD10" i="21"/>
  <c r="AD9" i="21"/>
  <c r="AD69" i="21"/>
  <c r="Z15" i="21"/>
  <c r="Z10" i="21"/>
  <c r="Z9" i="21"/>
  <c r="Z69" i="21" s="1"/>
  <c r="V15" i="21"/>
  <c r="V10" i="21"/>
  <c r="V9" i="21"/>
  <c r="V69" i="21" s="1"/>
  <c r="R15" i="21"/>
  <c r="R10" i="21"/>
  <c r="R9" i="21"/>
  <c r="R69" i="21" s="1"/>
  <c r="N15" i="21"/>
  <c r="N10" i="21"/>
  <c r="N9" i="21"/>
  <c r="N69" i="21" s="1"/>
  <c r="J15" i="21"/>
  <c r="J10" i="21"/>
  <c r="J9" i="21"/>
  <c r="J69" i="21" s="1"/>
  <c r="F15" i="21"/>
  <c r="F10" i="21"/>
  <c r="F9" i="21"/>
  <c r="H69" i="21"/>
  <c r="I69" i="21"/>
  <c r="K69" i="21"/>
  <c r="G15" i="8"/>
  <c r="L69" i="21"/>
  <c r="M69" i="21"/>
  <c r="O69" i="21"/>
  <c r="J15" i="8"/>
  <c r="P69" i="21"/>
  <c r="Q69" i="21"/>
  <c r="S69" i="21"/>
  <c r="M15" i="8"/>
  <c r="T69" i="21"/>
  <c r="U69" i="21"/>
  <c r="W69" i="21"/>
  <c r="P15" i="8"/>
  <c r="X69" i="21"/>
  <c r="Y69" i="21"/>
  <c r="AA69" i="21"/>
  <c r="S15" i="8"/>
  <c r="AB69" i="21"/>
  <c r="AC69" i="21"/>
  <c r="AE69" i="21"/>
  <c r="AF69" i="21"/>
  <c r="AG69" i="21"/>
  <c r="AI69" i="21"/>
  <c r="Y15" i="8"/>
  <c r="G69" i="21"/>
  <c r="D15" i="8"/>
  <c r="E90" i="22"/>
  <c r="D16" i="8"/>
  <c r="F90" i="22"/>
  <c r="G90" i="22"/>
  <c r="G16" i="8"/>
  <c r="H90" i="22"/>
  <c r="I90" i="22"/>
  <c r="J16" i="8"/>
  <c r="J90" i="22"/>
  <c r="K90" i="22"/>
  <c r="L90" i="22"/>
  <c r="M90" i="22"/>
  <c r="P16" i="8"/>
  <c r="N90" i="22"/>
  <c r="O90" i="22"/>
  <c r="S16" i="8"/>
  <c r="P90" i="22"/>
  <c r="Q90" i="22"/>
  <c r="V16" i="8"/>
  <c r="R90" i="22"/>
  <c r="S90" i="22"/>
  <c r="Y16" i="8"/>
  <c r="E18" i="23"/>
  <c r="F17" i="8"/>
  <c r="F18" i="23"/>
  <c r="I17" i="8"/>
  <c r="G18" i="23"/>
  <c r="L17" i="8"/>
  <c r="H18" i="23"/>
  <c r="O17" i="8"/>
  <c r="I18" i="23"/>
  <c r="R17" i="8"/>
  <c r="J18" i="23"/>
  <c r="U17" i="8"/>
  <c r="K18" i="23"/>
  <c r="X17" i="8"/>
  <c r="D18" i="23"/>
  <c r="C17" i="8"/>
  <c r="E15" i="23"/>
  <c r="G17" i="8"/>
  <c r="F15" i="23"/>
  <c r="J17" i="8"/>
  <c r="G15" i="23"/>
  <c r="H15" i="23"/>
  <c r="P17" i="8"/>
  <c r="I15" i="23"/>
  <c r="J15" i="23"/>
  <c r="V17" i="8"/>
  <c r="K15" i="23"/>
  <c r="D15" i="23"/>
  <c r="D17" i="8"/>
  <c r="F21" i="24"/>
  <c r="G21" i="24"/>
  <c r="G20" i="8"/>
  <c r="H21" i="24"/>
  <c r="I21" i="24"/>
  <c r="J20" i="8"/>
  <c r="J21" i="24"/>
  <c r="K21" i="24"/>
  <c r="L21" i="24"/>
  <c r="M21" i="24"/>
  <c r="P20" i="8"/>
  <c r="N21" i="24"/>
  <c r="O21" i="24"/>
  <c r="S20" i="8"/>
  <c r="P21" i="24"/>
  <c r="Q21" i="24"/>
  <c r="V20" i="8"/>
  <c r="R21" i="24"/>
  <c r="S21" i="24"/>
  <c r="Y20" i="8"/>
  <c r="E21" i="24"/>
  <c r="F72" i="9"/>
  <c r="F3" i="8"/>
  <c r="G72" i="9"/>
  <c r="I3" i="8"/>
  <c r="H72" i="9"/>
  <c r="L3" i="8"/>
  <c r="I72" i="9"/>
  <c r="O3" i="8"/>
  <c r="J72" i="9"/>
  <c r="R3" i="8"/>
  <c r="K72" i="9"/>
  <c r="U3" i="8"/>
  <c r="L72" i="9"/>
  <c r="X3" i="8"/>
  <c r="E72" i="9"/>
  <c r="C3" i="8"/>
  <c r="L69" i="9"/>
  <c r="Y3" i="8"/>
  <c r="K69" i="9"/>
  <c r="V3" i="8"/>
  <c r="J69" i="9"/>
  <c r="S3" i="8"/>
  <c r="I69" i="9"/>
  <c r="P3" i="8"/>
  <c r="H69" i="9"/>
  <c r="G69" i="9"/>
  <c r="J3" i="8"/>
  <c r="F69" i="9"/>
  <c r="G3" i="8"/>
  <c r="E69" i="9"/>
  <c r="D3" i="8"/>
  <c r="G18" i="25"/>
  <c r="F22" i="8"/>
  <c r="I18" i="25"/>
  <c r="I22" i="8"/>
  <c r="K18" i="25"/>
  <c r="L22" i="8"/>
  <c r="M18" i="25"/>
  <c r="O22" i="8"/>
  <c r="O18" i="25"/>
  <c r="R22" i="8"/>
  <c r="Q18" i="25"/>
  <c r="U22" i="8"/>
  <c r="S18" i="25"/>
  <c r="X22" i="8"/>
  <c r="E18" i="25"/>
  <c r="C22" i="8"/>
  <c r="AJ19" i="26"/>
  <c r="X23" i="8"/>
  <c r="AF19" i="26"/>
  <c r="U23" i="8"/>
  <c r="AB19" i="26"/>
  <c r="R23" i="8"/>
  <c r="X19" i="26"/>
  <c r="O23" i="8"/>
  <c r="T19" i="26"/>
  <c r="L23" i="8"/>
  <c r="P19" i="26"/>
  <c r="I23" i="8"/>
  <c r="L19" i="26"/>
  <c r="F23" i="8"/>
  <c r="H19" i="26"/>
  <c r="C23" i="8"/>
  <c r="AI5" i="26"/>
  <c r="AE5" i="26"/>
  <c r="AA5" i="26"/>
  <c r="W5" i="26"/>
  <c r="S5" i="26"/>
  <c r="O5" i="26"/>
  <c r="K5" i="26"/>
  <c r="G5" i="26"/>
  <c r="S22" i="27"/>
  <c r="X24" i="8"/>
  <c r="Q22" i="27"/>
  <c r="U24" i="8"/>
  <c r="O22" i="27"/>
  <c r="R24" i="8"/>
  <c r="M22" i="27"/>
  <c r="O24" i="8"/>
  <c r="K22" i="27"/>
  <c r="L24" i="8"/>
  <c r="I22" i="27"/>
  <c r="I24" i="8"/>
  <c r="G22" i="27"/>
  <c r="F24" i="8"/>
  <c r="E22" i="27"/>
  <c r="C24" i="8"/>
  <c r="K20" i="28"/>
  <c r="F25" i="8"/>
  <c r="G20" i="28"/>
  <c r="C25" i="8"/>
  <c r="AH8" i="28"/>
  <c r="AD8" i="28"/>
  <c r="Z8" i="28"/>
  <c r="V8" i="28"/>
  <c r="R8" i="28"/>
  <c r="N8" i="28"/>
  <c r="J8" i="28"/>
  <c r="F8" i="28"/>
  <c r="F30" i="10"/>
  <c r="F4" i="8"/>
  <c r="G30" i="10"/>
  <c r="I4" i="8"/>
  <c r="H30" i="10"/>
  <c r="L4" i="8"/>
  <c r="I30" i="10"/>
  <c r="O4" i="8"/>
  <c r="J30" i="10"/>
  <c r="R4" i="8"/>
  <c r="K30" i="10"/>
  <c r="U4" i="8"/>
  <c r="L30" i="10"/>
  <c r="X4" i="8"/>
  <c r="E30" i="10"/>
  <c r="C4" i="8"/>
  <c r="E27" i="10"/>
  <c r="D4" i="8"/>
  <c r="E8" i="32"/>
  <c r="F27" i="8"/>
  <c r="F8" i="32"/>
  <c r="I27" i="8"/>
  <c r="D8" i="32"/>
  <c r="C27" i="8"/>
  <c r="E37" i="30"/>
  <c r="F37" i="30"/>
  <c r="J28" i="8"/>
  <c r="G37" i="30"/>
  <c r="M28" i="8"/>
  <c r="H37" i="30"/>
  <c r="P28" i="8"/>
  <c r="I37" i="30"/>
  <c r="J37" i="30"/>
  <c r="V28" i="8"/>
  <c r="K37" i="30"/>
  <c r="Y28" i="8"/>
  <c r="D37" i="30"/>
  <c r="D28" i="8"/>
  <c r="K107" i="35"/>
  <c r="J107" i="35"/>
  <c r="I107" i="35"/>
  <c r="H107" i="35"/>
  <c r="G107" i="35"/>
  <c r="F107" i="35"/>
  <c r="E107" i="35"/>
  <c r="K102" i="35"/>
  <c r="J102" i="35"/>
  <c r="I102" i="35"/>
  <c r="H102" i="35"/>
  <c r="G102" i="35"/>
  <c r="F102" i="35"/>
  <c r="E102" i="35"/>
  <c r="D102" i="35"/>
  <c r="E41" i="35"/>
  <c r="G29" i="8"/>
  <c r="F41" i="35"/>
  <c r="J29" i="8"/>
  <c r="G41" i="35"/>
  <c r="M29" i="8"/>
  <c r="H41" i="35"/>
  <c r="P29" i="8"/>
  <c r="I41" i="35"/>
  <c r="S29" i="8"/>
  <c r="J41" i="35"/>
  <c r="V29" i="8"/>
  <c r="K41" i="35"/>
  <c r="Y29" i="8"/>
  <c r="D41" i="35"/>
  <c r="D29" i="8"/>
  <c r="H33" i="11"/>
  <c r="I33" i="11"/>
  <c r="J33" i="11"/>
  <c r="K33" i="11"/>
  <c r="L33" i="11"/>
  <c r="F5" i="8"/>
  <c r="M33" i="11"/>
  <c r="N33" i="11"/>
  <c r="O33" i="11"/>
  <c r="P33" i="11"/>
  <c r="Q33" i="11"/>
  <c r="I5" i="8"/>
  <c r="R33" i="11"/>
  <c r="S33" i="11"/>
  <c r="T33" i="11"/>
  <c r="U33" i="11"/>
  <c r="V33" i="11"/>
  <c r="L5" i="8"/>
  <c r="W33" i="11"/>
  <c r="X33" i="11"/>
  <c r="Y33" i="11"/>
  <c r="Z33" i="11"/>
  <c r="AA33" i="11"/>
  <c r="O5" i="8"/>
  <c r="AB33" i="11"/>
  <c r="AC33" i="11"/>
  <c r="AD33" i="11"/>
  <c r="AE33" i="11"/>
  <c r="AF33" i="11"/>
  <c r="R5" i="8"/>
  <c r="AG33" i="11"/>
  <c r="AH33" i="11"/>
  <c r="AI33" i="11"/>
  <c r="AJ33" i="11"/>
  <c r="AK33" i="11"/>
  <c r="U5" i="8"/>
  <c r="AL33" i="11"/>
  <c r="AM33" i="11"/>
  <c r="AN33" i="11"/>
  <c r="AO33" i="11"/>
  <c r="AP33" i="11"/>
  <c r="X5" i="8"/>
  <c r="G33" i="11"/>
  <c r="C5" i="8"/>
  <c r="AN6" i="11"/>
  <c r="AN5" i="11"/>
  <c r="AI6" i="11"/>
  <c r="AI5" i="11"/>
  <c r="AD6" i="11"/>
  <c r="AD5" i="11"/>
  <c r="Y6" i="11"/>
  <c r="Y5" i="11"/>
  <c r="T6" i="11"/>
  <c r="T5" i="11"/>
  <c r="O6" i="11"/>
  <c r="O5" i="11"/>
  <c r="J6" i="11"/>
  <c r="J5" i="11"/>
  <c r="E6" i="11"/>
  <c r="E5" i="11"/>
  <c r="AP30" i="11"/>
  <c r="AK30" i="11"/>
  <c r="V5" i="8"/>
  <c r="AF30" i="11"/>
  <c r="AA30" i="11"/>
  <c r="P5" i="8"/>
  <c r="V30" i="11"/>
  <c r="Q30" i="11"/>
  <c r="J5" i="8"/>
  <c r="L30" i="11"/>
  <c r="G30" i="11"/>
  <c r="D5" i="8"/>
  <c r="H32" i="12"/>
  <c r="I32" i="12"/>
  <c r="J32" i="12"/>
  <c r="L32" i="12"/>
  <c r="M32" i="12"/>
  <c r="N32" i="12"/>
  <c r="P32" i="12"/>
  <c r="Q32" i="12"/>
  <c r="R32" i="12"/>
  <c r="T32" i="12"/>
  <c r="U32" i="12"/>
  <c r="V32" i="12"/>
  <c r="X32" i="12"/>
  <c r="Y32" i="12"/>
  <c r="Z32" i="12"/>
  <c r="AB32" i="12"/>
  <c r="AC32" i="12"/>
  <c r="AD32" i="12"/>
  <c r="AF32" i="12"/>
  <c r="AG32" i="12"/>
  <c r="AH32" i="12"/>
  <c r="AH12" i="12"/>
  <c r="AH10" i="12"/>
  <c r="AH8" i="12"/>
  <c r="AH29" i="12"/>
  <c r="AD12" i="12"/>
  <c r="AD10" i="12"/>
  <c r="AD8" i="12"/>
  <c r="AD29" i="12" s="1"/>
  <c r="Z12" i="12"/>
  <c r="Z10" i="12"/>
  <c r="Z8" i="12"/>
  <c r="Z29" i="12" s="1"/>
  <c r="V12" i="12"/>
  <c r="V10" i="12"/>
  <c r="V8" i="12"/>
  <c r="V29" i="12" s="1"/>
  <c r="R12" i="12"/>
  <c r="R10" i="12"/>
  <c r="R8" i="12"/>
  <c r="R29" i="12" s="1"/>
  <c r="N12" i="12"/>
  <c r="N10" i="12"/>
  <c r="N8" i="12"/>
  <c r="J12" i="12"/>
  <c r="J10" i="12"/>
  <c r="J8" i="12"/>
  <c r="AG29" i="12"/>
  <c r="AF29" i="12"/>
  <c r="H29" i="12"/>
  <c r="I29" i="12"/>
  <c r="K29" i="12"/>
  <c r="L29" i="12"/>
  <c r="M29" i="12"/>
  <c r="O29" i="12"/>
  <c r="J6" i="8"/>
  <c r="P29" i="12"/>
  <c r="Q29" i="12"/>
  <c r="S29" i="12"/>
  <c r="M6" i="8"/>
  <c r="T29" i="12"/>
  <c r="U29" i="12"/>
  <c r="W29" i="12"/>
  <c r="P6" i="8"/>
  <c r="X29" i="12"/>
  <c r="Y29" i="12"/>
  <c r="AA29" i="12"/>
  <c r="AB29" i="12"/>
  <c r="AC29" i="12"/>
  <c r="AE29" i="12"/>
  <c r="V6" i="8"/>
  <c r="AI29" i="12"/>
  <c r="Y6" i="8"/>
  <c r="G29" i="12"/>
  <c r="D6" i="8"/>
  <c r="I44" i="13"/>
  <c r="J44" i="13"/>
  <c r="K44" i="13"/>
  <c r="L44" i="13"/>
  <c r="M44" i="13"/>
  <c r="F7" i="8"/>
  <c r="N44" i="13"/>
  <c r="O44" i="13"/>
  <c r="P44" i="13"/>
  <c r="Q44" i="13"/>
  <c r="R44" i="13"/>
  <c r="I7" i="8"/>
  <c r="S44" i="13"/>
  <c r="T44" i="13"/>
  <c r="U44" i="13"/>
  <c r="V44" i="13"/>
  <c r="X44" i="13"/>
  <c r="Y44" i="13"/>
  <c r="Z44" i="13"/>
  <c r="AA44" i="13"/>
  <c r="AC44" i="13"/>
  <c r="AD44" i="13"/>
  <c r="AE44" i="13"/>
  <c r="AF44" i="13"/>
  <c r="AH44" i="13"/>
  <c r="AI44" i="13"/>
  <c r="AJ44" i="13"/>
  <c r="AK44" i="13"/>
  <c r="AM44" i="13"/>
  <c r="AN44" i="13"/>
  <c r="AO44" i="13"/>
  <c r="AP44" i="13"/>
  <c r="H44" i="13"/>
  <c r="C7" i="8"/>
  <c r="AO10" i="13"/>
  <c r="AO8" i="13"/>
  <c r="AO7" i="13"/>
  <c r="AO41" i="13"/>
  <c r="AJ10" i="13"/>
  <c r="AJ8" i="13"/>
  <c r="AJ7" i="13"/>
  <c r="AJ41" i="13"/>
  <c r="AE10" i="13"/>
  <c r="AE8" i="13"/>
  <c r="AE7" i="13"/>
  <c r="AE41" i="13"/>
  <c r="Z10" i="13"/>
  <c r="Z8" i="13"/>
  <c r="Z7" i="13"/>
  <c r="Z41" i="13"/>
  <c r="U10" i="13"/>
  <c r="U8" i="13"/>
  <c r="U7" i="13"/>
  <c r="P10" i="13"/>
  <c r="P8" i="13"/>
  <c r="P7" i="13"/>
  <c r="P41" i="13" s="1"/>
  <c r="K10" i="13"/>
  <c r="K8" i="13"/>
  <c r="K7" i="13"/>
  <c r="F10" i="13"/>
  <c r="F8" i="13"/>
  <c r="F7" i="13"/>
  <c r="I41" i="13"/>
  <c r="J41" i="13"/>
  <c r="L41" i="13"/>
  <c r="M41" i="13"/>
  <c r="G7" i="8"/>
  <c r="N41" i="13"/>
  <c r="O41" i="13"/>
  <c r="Q41" i="13"/>
  <c r="R41" i="13"/>
  <c r="S41" i="13"/>
  <c r="T41" i="13"/>
  <c r="V41" i="13"/>
  <c r="W41" i="13"/>
  <c r="M7" i="8"/>
  <c r="X41" i="13"/>
  <c r="Y41" i="13"/>
  <c r="AA41" i="13"/>
  <c r="AB41" i="13"/>
  <c r="P7" i="8"/>
  <c r="AC41" i="13"/>
  <c r="AD41" i="13"/>
  <c r="AF41" i="13"/>
  <c r="AG41" i="13"/>
  <c r="AH41" i="13"/>
  <c r="AI41" i="13"/>
  <c r="AK41" i="13"/>
  <c r="AL41" i="13"/>
  <c r="AM41" i="13"/>
  <c r="AN41" i="13"/>
  <c r="AP41" i="13"/>
  <c r="AQ41" i="13"/>
  <c r="H41" i="13"/>
  <c r="D7" i="8"/>
  <c r="I42" i="14"/>
  <c r="J42" i="14"/>
  <c r="K42" i="14"/>
  <c r="L42" i="14"/>
  <c r="M42" i="14"/>
  <c r="F8" i="8"/>
  <c r="N42" i="14"/>
  <c r="O42" i="14"/>
  <c r="P42" i="14"/>
  <c r="Q42" i="14"/>
  <c r="R42" i="14"/>
  <c r="I8" i="8"/>
  <c r="S42" i="14"/>
  <c r="T42" i="14"/>
  <c r="U42" i="14"/>
  <c r="V42" i="14"/>
  <c r="X42" i="14"/>
  <c r="Y42" i="14"/>
  <c r="Z42" i="14"/>
  <c r="AA42" i="14"/>
  <c r="AC42" i="14"/>
  <c r="AD42" i="14"/>
  <c r="AE42" i="14"/>
  <c r="AF42" i="14"/>
  <c r="AH42" i="14"/>
  <c r="AI42" i="14"/>
  <c r="AJ42" i="14"/>
  <c r="AK42" i="14"/>
  <c r="AM42" i="14"/>
  <c r="AN42" i="14"/>
  <c r="AO42" i="14"/>
  <c r="AP42" i="14"/>
  <c r="H42" i="14"/>
  <c r="C8" i="8"/>
  <c r="AO10" i="14"/>
  <c r="AO7" i="14"/>
  <c r="AJ10" i="14"/>
  <c r="AJ7" i="14"/>
  <c r="AJ39" i="14"/>
  <c r="AE10" i="14"/>
  <c r="AE7" i="14"/>
  <c r="AE39" i="14"/>
  <c r="Z10" i="14"/>
  <c r="Z7" i="14"/>
  <c r="Z39" i="14"/>
  <c r="U10" i="14"/>
  <c r="U7" i="14"/>
  <c r="U39" i="14"/>
  <c r="P10" i="14"/>
  <c r="P7" i="14"/>
  <c r="P39" i="14" s="1"/>
  <c r="K10" i="14"/>
  <c r="K7" i="14"/>
  <c r="K39" i="14"/>
  <c r="F10" i="14"/>
  <c r="F7" i="14"/>
  <c r="I39" i="14"/>
  <c r="J39" i="14"/>
  <c r="L39" i="14"/>
  <c r="M39" i="14"/>
  <c r="G8" i="8"/>
  <c r="N39" i="14"/>
  <c r="O39" i="14"/>
  <c r="Q39" i="14"/>
  <c r="R39" i="14"/>
  <c r="J8" i="8"/>
  <c r="S39" i="14"/>
  <c r="T39" i="14"/>
  <c r="V39" i="14"/>
  <c r="W39" i="14"/>
  <c r="M8" i="8"/>
  <c r="X39" i="14"/>
  <c r="Y39" i="14"/>
  <c r="AA39" i="14"/>
  <c r="AB39" i="14"/>
  <c r="P8" i="8"/>
  <c r="AC39" i="14"/>
  <c r="AD39" i="14"/>
  <c r="AF39" i="14"/>
  <c r="AG39" i="14"/>
  <c r="AH39" i="14"/>
  <c r="AI39" i="14"/>
  <c r="AK39" i="14"/>
  <c r="AL39" i="14"/>
  <c r="AM39" i="14"/>
  <c r="AN39" i="14"/>
  <c r="AP39" i="14"/>
  <c r="AQ39" i="14"/>
  <c r="Y8" i="8"/>
  <c r="H39" i="14"/>
  <c r="D8" i="8"/>
  <c r="H37" i="15"/>
  <c r="I37" i="15"/>
  <c r="J37" i="15"/>
  <c r="L37" i="15"/>
  <c r="M37" i="15"/>
  <c r="N37" i="15"/>
  <c r="P37" i="15"/>
  <c r="Q37" i="15"/>
  <c r="R37" i="15"/>
  <c r="T37" i="15"/>
  <c r="U37" i="15"/>
  <c r="V37" i="15"/>
  <c r="X37" i="15"/>
  <c r="Y37" i="15"/>
  <c r="Z37" i="15"/>
  <c r="AB37" i="15"/>
  <c r="AC37" i="15"/>
  <c r="AD37" i="15"/>
  <c r="AF37" i="15"/>
  <c r="AG37" i="15"/>
  <c r="AH37" i="15"/>
  <c r="G37" i="15"/>
  <c r="C9" i="8"/>
  <c r="AH13" i="15"/>
  <c r="AH11" i="15"/>
  <c r="AH7" i="15"/>
  <c r="AH6" i="15"/>
  <c r="AH34" i="15"/>
  <c r="AD13" i="15"/>
  <c r="AD11" i="15"/>
  <c r="AD7" i="15"/>
  <c r="AD6" i="15"/>
  <c r="AD34" i="15"/>
  <c r="Z13" i="15"/>
  <c r="Z11" i="15"/>
  <c r="Z7" i="15"/>
  <c r="Z6" i="15"/>
  <c r="V13" i="15"/>
  <c r="V11" i="15"/>
  <c r="V7" i="15"/>
  <c r="V6" i="15"/>
  <c r="V34" i="15" s="1"/>
  <c r="R13" i="15"/>
  <c r="R11" i="15"/>
  <c r="R7" i="15"/>
  <c r="R6" i="15"/>
  <c r="R34" i="15" s="1"/>
  <c r="N13" i="15"/>
  <c r="N11" i="15"/>
  <c r="N7" i="15"/>
  <c r="N6" i="15"/>
  <c r="N34" i="15" s="1"/>
  <c r="J13" i="15"/>
  <c r="J11" i="15"/>
  <c r="J7" i="15"/>
  <c r="J6" i="15"/>
  <c r="F13" i="15"/>
  <c r="F11" i="15"/>
  <c r="F7" i="15"/>
  <c r="F6" i="15"/>
  <c r="H34" i="15"/>
  <c r="I34" i="15"/>
  <c r="K34" i="15"/>
  <c r="G9" i="8"/>
  <c r="L34" i="15"/>
  <c r="M34" i="15"/>
  <c r="O34" i="15"/>
  <c r="J9" i="8"/>
  <c r="P34" i="15"/>
  <c r="Q34" i="15"/>
  <c r="S34" i="15"/>
  <c r="M9" i="8"/>
  <c r="T34" i="15"/>
  <c r="U34" i="15"/>
  <c r="W34" i="15"/>
  <c r="P9" i="8"/>
  <c r="X34" i="15"/>
  <c r="Y34" i="15"/>
  <c r="AA34" i="15"/>
  <c r="S9" i="8"/>
  <c r="AB34" i="15"/>
  <c r="AC34" i="15"/>
  <c r="AE34" i="15"/>
  <c r="V9" i="8"/>
  <c r="AF34" i="15"/>
  <c r="AG34" i="15"/>
  <c r="AI34" i="15"/>
  <c r="Y9" i="8"/>
  <c r="G34" i="15"/>
  <c r="D9" i="8"/>
  <c r="E29" i="16"/>
  <c r="F29" i="16"/>
  <c r="G29" i="16"/>
  <c r="H29" i="16"/>
  <c r="P10" i="8"/>
  <c r="I29" i="16"/>
  <c r="S10" i="8"/>
  <c r="J29" i="16"/>
  <c r="K29" i="16"/>
  <c r="D29" i="16"/>
  <c r="D10" i="8"/>
  <c r="C38" i="31"/>
  <c r="D32" i="31"/>
  <c r="D31" i="31"/>
  <c r="D21" i="31"/>
  <c r="C21" i="31"/>
  <c r="B21" i="31"/>
  <c r="D37" i="31"/>
  <c r="C37" i="31"/>
  <c r="B37" i="31"/>
  <c r="C6" i="31"/>
  <c r="C5" i="31"/>
  <c r="B6" i="31"/>
  <c r="B5" i="31"/>
  <c r="B7" i="31"/>
  <c r="C44" i="31"/>
  <c r="B44" i="31"/>
  <c r="C42" i="31"/>
  <c r="B42" i="31"/>
  <c r="C40" i="31"/>
  <c r="C41" i="31"/>
  <c r="B41" i="31"/>
  <c r="B40" i="31"/>
  <c r="C36" i="31"/>
  <c r="C35" i="31"/>
  <c r="B38" i="31"/>
  <c r="B36" i="31"/>
  <c r="B35" i="31"/>
  <c r="C33" i="31"/>
  <c r="B33" i="31"/>
  <c r="C32" i="31"/>
  <c r="B32" i="31"/>
  <c r="B30" i="31"/>
  <c r="C30" i="31"/>
  <c r="B31" i="31"/>
  <c r="C31" i="31"/>
  <c r="C29" i="31"/>
  <c r="B29" i="31"/>
  <c r="B28" i="31"/>
  <c r="C28" i="31"/>
  <c r="C27" i="31"/>
  <c r="B27" i="31"/>
  <c r="B26" i="31"/>
  <c r="C26" i="31"/>
  <c r="C25" i="31"/>
  <c r="B25" i="31"/>
  <c r="C24" i="31"/>
  <c r="B24" i="31"/>
  <c r="C23" i="31"/>
  <c r="C22" i="31"/>
  <c r="B23" i="31"/>
  <c r="B22" i="31"/>
  <c r="C19" i="31"/>
  <c r="B19" i="31"/>
  <c r="B18" i="31"/>
  <c r="B17" i="31"/>
  <c r="C18" i="31"/>
  <c r="C17" i="31"/>
  <c r="B15" i="31"/>
  <c r="B14" i="31"/>
  <c r="C15" i="31"/>
  <c r="C14" i="31"/>
  <c r="C12" i="31"/>
  <c r="C10" i="31"/>
  <c r="C11" i="31"/>
  <c r="C9" i="31"/>
  <c r="B9" i="31"/>
  <c r="B12" i="31"/>
  <c r="B10" i="31"/>
  <c r="B11" i="31"/>
  <c r="C7" i="31"/>
  <c r="D38" i="31"/>
  <c r="D36" i="31"/>
  <c r="D35" i="31"/>
  <c r="D42" i="31"/>
  <c r="D41" i="31"/>
  <c r="D40" i="31"/>
  <c r="D44" i="31"/>
  <c r="D33" i="31"/>
  <c r="D30" i="31"/>
  <c r="D29" i="31"/>
  <c r="D28" i="31"/>
  <c r="D27" i="31"/>
  <c r="D26" i="31"/>
  <c r="D25" i="31"/>
  <c r="D24" i="31"/>
  <c r="D23" i="31"/>
  <c r="D22" i="31"/>
  <c r="D19" i="31"/>
  <c r="D18" i="31"/>
  <c r="D17" i="31"/>
  <c r="D15" i="31"/>
  <c r="D14" i="31"/>
  <c r="D12" i="31"/>
  <c r="D10" i="31"/>
  <c r="D11" i="31"/>
  <c r="D9" i="31"/>
  <c r="D7" i="31"/>
  <c r="D6" i="31"/>
  <c r="D5" i="31"/>
  <c r="C32" i="33"/>
  <c r="B32" i="33"/>
  <c r="D30" i="33"/>
  <c r="E30" i="33"/>
  <c r="F30" i="33"/>
  <c r="G30" i="33"/>
  <c r="H30" i="33"/>
  <c r="I30" i="33"/>
  <c r="J30" i="33"/>
  <c r="K30" i="33"/>
  <c r="C30" i="33"/>
  <c r="B30" i="33"/>
  <c r="K26" i="33"/>
  <c r="J26" i="33"/>
  <c r="I26" i="33"/>
  <c r="H26" i="33"/>
  <c r="G26" i="33"/>
  <c r="F26" i="33"/>
  <c r="E26" i="33"/>
  <c r="D26" i="33"/>
  <c r="C26" i="33"/>
  <c r="B26" i="33"/>
  <c r="K14" i="33"/>
  <c r="J14" i="33"/>
  <c r="I14" i="33"/>
  <c r="H14" i="33"/>
  <c r="G14" i="33"/>
  <c r="F14" i="33"/>
  <c r="E14" i="33"/>
  <c r="D14" i="33"/>
  <c r="B19" i="33"/>
  <c r="C19" i="33"/>
  <c r="B15" i="33"/>
  <c r="C15" i="33"/>
  <c r="B16" i="33"/>
  <c r="C16" i="33"/>
  <c r="B17" i="33"/>
  <c r="C17" i="33"/>
  <c r="B18" i="33"/>
  <c r="C18" i="33"/>
  <c r="B14" i="33"/>
  <c r="C14" i="33"/>
  <c r="K11" i="33"/>
  <c r="J11" i="33"/>
  <c r="I11" i="33"/>
  <c r="H11" i="33"/>
  <c r="G11" i="33"/>
  <c r="F11" i="33"/>
  <c r="E11" i="33"/>
  <c r="D11" i="33"/>
  <c r="C11" i="33"/>
  <c r="B11" i="33"/>
  <c r="K8" i="33"/>
  <c r="J8" i="33"/>
  <c r="I8" i="33"/>
  <c r="H8" i="33"/>
  <c r="G8" i="33"/>
  <c r="F8" i="33"/>
  <c r="E8" i="33"/>
  <c r="D8" i="33"/>
  <c r="C8" i="33"/>
  <c r="B8" i="33"/>
  <c r="E6" i="33"/>
  <c r="F6" i="33"/>
  <c r="G6" i="33"/>
  <c r="H6" i="33"/>
  <c r="I6" i="33"/>
  <c r="J6" i="33"/>
  <c r="K6" i="33"/>
  <c r="K5" i="33"/>
  <c r="J5" i="33"/>
  <c r="I5" i="33"/>
  <c r="H5" i="33"/>
  <c r="G5" i="33"/>
  <c r="F5" i="33"/>
  <c r="E5" i="33"/>
  <c r="B6" i="33"/>
  <c r="C6" i="33"/>
  <c r="D6" i="33"/>
  <c r="D5" i="33"/>
  <c r="C5" i="33"/>
  <c r="B5" i="33"/>
  <c r="I29" i="8"/>
  <c r="S28" i="8"/>
  <c r="G28" i="8"/>
  <c r="Y26" i="8"/>
  <c r="V26" i="8"/>
  <c r="S26" i="8"/>
  <c r="P26" i="8"/>
  <c r="M26" i="8"/>
  <c r="J26" i="8"/>
  <c r="G26" i="8"/>
  <c r="D26" i="8"/>
  <c r="Y25" i="8"/>
  <c r="V25" i="8"/>
  <c r="S25" i="8"/>
  <c r="P25" i="8"/>
  <c r="M25" i="8"/>
  <c r="J25" i="8"/>
  <c r="G25" i="8"/>
  <c r="D25" i="8"/>
  <c r="Y24" i="8"/>
  <c r="V24" i="8"/>
  <c r="S24" i="8"/>
  <c r="P24" i="8"/>
  <c r="M24" i="8"/>
  <c r="J24" i="8"/>
  <c r="G24" i="8"/>
  <c r="D24" i="8"/>
  <c r="Y23" i="8"/>
  <c r="V23" i="8"/>
  <c r="S23" i="8"/>
  <c r="P23" i="8"/>
  <c r="M23" i="8"/>
  <c r="J23" i="8"/>
  <c r="G23" i="8"/>
  <c r="D23" i="8"/>
  <c r="Y22" i="8"/>
  <c r="V22" i="8"/>
  <c r="S22" i="8"/>
  <c r="P22" i="8"/>
  <c r="M22" i="8"/>
  <c r="J22" i="8"/>
  <c r="G22" i="8"/>
  <c r="D22" i="8"/>
  <c r="M20" i="8"/>
  <c r="D20" i="8"/>
  <c r="Y17" i="8"/>
  <c r="S17" i="8"/>
  <c r="M17" i="8"/>
  <c r="M16" i="8"/>
  <c r="V15" i="8"/>
  <c r="S14" i="8"/>
  <c r="M14" i="8"/>
  <c r="P13" i="8"/>
  <c r="Y12" i="8"/>
  <c r="V12" i="8"/>
  <c r="M12" i="8"/>
  <c r="J12" i="8"/>
  <c r="D12" i="8"/>
  <c r="J11" i="8"/>
  <c r="Y10" i="8"/>
  <c r="V10" i="8"/>
  <c r="M10" i="8"/>
  <c r="J10" i="8"/>
  <c r="G10" i="8"/>
  <c r="V8" i="8"/>
  <c r="S8" i="8"/>
  <c r="Y7" i="8"/>
  <c r="V7" i="8"/>
  <c r="S7" i="8"/>
  <c r="J7" i="8"/>
  <c r="S6" i="8"/>
  <c r="G6" i="8"/>
  <c r="Y5" i="8"/>
  <c r="S5" i="8"/>
  <c r="M5" i="8"/>
  <c r="G5" i="8"/>
  <c r="Y4" i="8"/>
  <c r="Y30" i="8" s="1"/>
  <c r="V4" i="8"/>
  <c r="V30" i="8" s="1"/>
  <c r="S4" i="8"/>
  <c r="P4" i="8"/>
  <c r="M4" i="8"/>
  <c r="J4" i="8"/>
  <c r="G4" i="8"/>
  <c r="M3" i="8"/>
  <c r="M30" i="8" s="1"/>
  <c r="U41" i="13"/>
  <c r="Z34" i="15"/>
  <c r="Z113" i="19"/>
  <c r="K28" i="35"/>
  <c r="X29" i="8"/>
  <c r="D30" i="8"/>
  <c r="G30" i="8"/>
  <c r="P30" i="8"/>
  <c r="J30" i="8"/>
  <c r="I30" i="8"/>
  <c r="N96" i="17"/>
  <c r="S30" i="8"/>
  <c r="F28" i="35"/>
  <c r="J34" i="15"/>
  <c r="N29" i="12"/>
  <c r="AE113" i="19"/>
  <c r="AO113" i="19"/>
  <c r="H28" i="35"/>
  <c r="O29" i="8"/>
  <c r="O30" i="8"/>
  <c r="P37" i="29"/>
  <c r="AO39" i="14"/>
  <c r="K41" i="13"/>
  <c r="J29" i="12"/>
  <c r="X30" i="8" l="1"/>
  <c r="D28" i="35"/>
  <c r="C29" i="8" s="1"/>
  <c r="C30" i="8" s="1"/>
  <c r="E28" i="35"/>
  <c r="F29" i="8" s="1"/>
  <c r="F30" i="8" s="1"/>
  <c r="J28" i="35"/>
  <c r="U29" i="8" s="1"/>
  <c r="U30" i="8" s="1"/>
  <c r="I28" i="35"/>
  <c r="R29" i="8" s="1"/>
  <c r="R30" i="8" s="1"/>
  <c r="G28" i="35"/>
  <c r="L29" i="8" s="1"/>
  <c r="L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Turley</author>
  </authors>
  <commentList>
    <comment ref="D2" authorId="0" shapeId="0" xr:uid="{00000000-0006-0000-1700-000001000000}">
      <text>
        <r>
          <rPr>
            <b/>
            <sz val="8"/>
            <color indexed="81"/>
            <rFont val="Tahoma"/>
            <family val="2"/>
          </rPr>
          <t>Sonia Turley:</t>
        </r>
        <r>
          <rPr>
            <sz val="8"/>
            <color indexed="81"/>
            <rFont val="Tahoma"/>
            <family val="2"/>
          </rPr>
          <t xml:space="preserve">
IQ Price Per Unit of Delivery
</t>
        </r>
      </text>
    </comment>
    <comment ref="F2" authorId="0" shapeId="0" xr:uid="{00000000-0006-0000-1700-000002000000}">
      <text>
        <r>
          <rPr>
            <b/>
            <sz val="8"/>
            <color indexed="81"/>
            <rFont val="Tahoma"/>
            <family val="2"/>
          </rPr>
          <t>Sonia Turley:</t>
        </r>
        <r>
          <rPr>
            <sz val="8"/>
            <color indexed="81"/>
            <rFont val="Tahoma"/>
            <family val="2"/>
          </rPr>
          <t xml:space="preserve">
IQ Price Per Unit of Delivery
</t>
        </r>
      </text>
    </comment>
    <comment ref="H2" authorId="0" shapeId="0" xr:uid="{00000000-0006-0000-1700-000003000000}">
      <text>
        <r>
          <rPr>
            <b/>
            <sz val="8"/>
            <color indexed="81"/>
            <rFont val="Tahoma"/>
            <family val="2"/>
          </rPr>
          <t>Sonia Turley:</t>
        </r>
        <r>
          <rPr>
            <sz val="8"/>
            <color indexed="81"/>
            <rFont val="Tahoma"/>
            <family val="2"/>
          </rPr>
          <t xml:space="preserve">
IQ Price Per Unit of Delivery
</t>
        </r>
      </text>
    </comment>
    <comment ref="J2" authorId="0" shapeId="0" xr:uid="{00000000-0006-0000-1700-000004000000}">
      <text>
        <r>
          <rPr>
            <b/>
            <sz val="8"/>
            <color indexed="81"/>
            <rFont val="Tahoma"/>
            <family val="2"/>
          </rPr>
          <t>Sonia Turley:</t>
        </r>
        <r>
          <rPr>
            <sz val="8"/>
            <color indexed="81"/>
            <rFont val="Tahoma"/>
            <family val="2"/>
          </rPr>
          <t xml:space="preserve">
IQ Price Per Unit of Delivery
</t>
        </r>
      </text>
    </comment>
    <comment ref="L2" authorId="0" shapeId="0" xr:uid="{00000000-0006-0000-1700-000005000000}">
      <text>
        <r>
          <rPr>
            <b/>
            <sz val="8"/>
            <color indexed="81"/>
            <rFont val="Tahoma"/>
            <family val="2"/>
          </rPr>
          <t>Sonia Turley:</t>
        </r>
        <r>
          <rPr>
            <sz val="8"/>
            <color indexed="81"/>
            <rFont val="Tahoma"/>
            <family val="2"/>
          </rPr>
          <t xml:space="preserve">
IQ Price Per Unit of Delivery
</t>
        </r>
      </text>
    </comment>
    <comment ref="N2" authorId="0" shapeId="0" xr:uid="{00000000-0006-0000-1700-000006000000}">
      <text>
        <r>
          <rPr>
            <b/>
            <sz val="8"/>
            <color indexed="81"/>
            <rFont val="Tahoma"/>
            <family val="2"/>
          </rPr>
          <t>Sonia Turley:</t>
        </r>
        <r>
          <rPr>
            <sz val="8"/>
            <color indexed="81"/>
            <rFont val="Tahoma"/>
            <family val="2"/>
          </rPr>
          <t xml:space="preserve">
IQ Price Per Unit of Delivery
</t>
        </r>
      </text>
    </comment>
    <comment ref="P2" authorId="0" shapeId="0" xr:uid="{00000000-0006-0000-1700-000007000000}">
      <text>
        <r>
          <rPr>
            <b/>
            <sz val="8"/>
            <color indexed="81"/>
            <rFont val="Tahoma"/>
            <family val="2"/>
          </rPr>
          <t>Sonia Turley:</t>
        </r>
        <r>
          <rPr>
            <sz val="8"/>
            <color indexed="81"/>
            <rFont val="Tahoma"/>
            <family val="2"/>
          </rPr>
          <t xml:space="preserve">
IQ Price Per Unit of Delivery
</t>
        </r>
      </text>
    </comment>
    <comment ref="R2" authorId="0" shapeId="0" xr:uid="{00000000-0006-0000-1700-000008000000}">
      <text>
        <r>
          <rPr>
            <b/>
            <sz val="8"/>
            <color indexed="81"/>
            <rFont val="Tahoma"/>
            <family val="2"/>
          </rPr>
          <t>Sonia Turley:</t>
        </r>
        <r>
          <rPr>
            <sz val="8"/>
            <color indexed="81"/>
            <rFont val="Tahoma"/>
            <family val="2"/>
          </rPr>
          <t xml:space="preserve">
IQ Price Per Unit of Delivery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Turley</author>
  </authors>
  <commentList>
    <comment ref="D2" authorId="0" shapeId="0" xr:uid="{00000000-0006-0000-1900-000001000000}">
      <text>
        <r>
          <rPr>
            <b/>
            <sz val="8"/>
            <color indexed="81"/>
            <rFont val="Tahoma"/>
            <family val="2"/>
          </rPr>
          <t>Sonia Turley:</t>
        </r>
        <r>
          <rPr>
            <sz val="8"/>
            <color indexed="81"/>
            <rFont val="Tahoma"/>
            <family val="2"/>
          </rPr>
          <t xml:space="preserve">
IQ Price Per Unit of Delivery
</t>
        </r>
      </text>
    </comment>
    <comment ref="F2" authorId="0" shapeId="0" xr:uid="{00000000-0006-0000-1900-000002000000}">
      <text>
        <r>
          <rPr>
            <b/>
            <sz val="8"/>
            <color indexed="81"/>
            <rFont val="Tahoma"/>
            <family val="2"/>
          </rPr>
          <t>Sonia Turley:</t>
        </r>
        <r>
          <rPr>
            <sz val="8"/>
            <color indexed="81"/>
            <rFont val="Tahoma"/>
            <family val="2"/>
          </rPr>
          <t xml:space="preserve">
IQ Price Per Unit of Delivery
</t>
        </r>
      </text>
    </comment>
    <comment ref="H2" authorId="0" shapeId="0" xr:uid="{00000000-0006-0000-1900-000003000000}">
      <text>
        <r>
          <rPr>
            <b/>
            <sz val="8"/>
            <color indexed="81"/>
            <rFont val="Tahoma"/>
            <family val="2"/>
          </rPr>
          <t>Sonia Turley:</t>
        </r>
        <r>
          <rPr>
            <sz val="8"/>
            <color indexed="81"/>
            <rFont val="Tahoma"/>
            <family val="2"/>
          </rPr>
          <t xml:space="preserve">
IQ Price Per Unit of Delivery
</t>
        </r>
      </text>
    </comment>
    <comment ref="J2" authorId="0" shapeId="0" xr:uid="{00000000-0006-0000-1900-000004000000}">
      <text>
        <r>
          <rPr>
            <b/>
            <sz val="8"/>
            <color indexed="81"/>
            <rFont val="Tahoma"/>
            <family val="2"/>
          </rPr>
          <t>Sonia Turley:</t>
        </r>
        <r>
          <rPr>
            <sz val="8"/>
            <color indexed="81"/>
            <rFont val="Tahoma"/>
            <family val="2"/>
          </rPr>
          <t xml:space="preserve">
IQ Price Per Unit of Delivery
</t>
        </r>
      </text>
    </comment>
    <comment ref="L2" authorId="0" shapeId="0" xr:uid="{00000000-0006-0000-1900-000005000000}">
      <text>
        <r>
          <rPr>
            <b/>
            <sz val="8"/>
            <color indexed="81"/>
            <rFont val="Tahoma"/>
            <family val="2"/>
          </rPr>
          <t>Sonia Turley:</t>
        </r>
        <r>
          <rPr>
            <sz val="8"/>
            <color indexed="81"/>
            <rFont val="Tahoma"/>
            <family val="2"/>
          </rPr>
          <t xml:space="preserve">
IQ Price Per Unit of Delivery
</t>
        </r>
      </text>
    </comment>
    <comment ref="N2" authorId="0" shapeId="0" xr:uid="{00000000-0006-0000-1900-000006000000}">
      <text>
        <r>
          <rPr>
            <b/>
            <sz val="8"/>
            <color indexed="81"/>
            <rFont val="Tahoma"/>
            <family val="2"/>
          </rPr>
          <t>Sonia Turley:</t>
        </r>
        <r>
          <rPr>
            <sz val="8"/>
            <color indexed="81"/>
            <rFont val="Tahoma"/>
            <family val="2"/>
          </rPr>
          <t xml:space="preserve">
IQ Price Per Unit of Delivery
</t>
        </r>
      </text>
    </comment>
    <comment ref="P2" authorId="0" shapeId="0" xr:uid="{00000000-0006-0000-1900-000007000000}">
      <text>
        <r>
          <rPr>
            <b/>
            <sz val="8"/>
            <color indexed="81"/>
            <rFont val="Tahoma"/>
            <family val="2"/>
          </rPr>
          <t>Sonia Turley:</t>
        </r>
        <r>
          <rPr>
            <sz val="8"/>
            <color indexed="81"/>
            <rFont val="Tahoma"/>
            <family val="2"/>
          </rPr>
          <t xml:space="preserve">
IQ Price Per Unit of Delivery
</t>
        </r>
      </text>
    </comment>
    <comment ref="R2" authorId="0" shapeId="0" xr:uid="{00000000-0006-0000-1900-000008000000}">
      <text>
        <r>
          <rPr>
            <b/>
            <sz val="8"/>
            <color indexed="81"/>
            <rFont val="Tahoma"/>
            <family val="2"/>
          </rPr>
          <t>Sonia Turley:</t>
        </r>
        <r>
          <rPr>
            <sz val="8"/>
            <color indexed="81"/>
            <rFont val="Tahoma"/>
            <family val="2"/>
          </rPr>
          <t xml:space="preserve">
IQ Price Per Unit of Delivery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Sonia Turley</author>
  </authors>
  <commentList>
    <comment ref="D2" authorId="0" shapeId="0" xr:uid="{00000000-0006-0000-1A00-000001000000}">
      <text>
        <r>
          <rPr>
            <b/>
            <sz val="8"/>
            <color indexed="81"/>
            <rFont val="Tahoma"/>
            <family val="2"/>
          </rPr>
          <t>Sonia Turley:</t>
        </r>
        <r>
          <rPr>
            <sz val="8"/>
            <color indexed="81"/>
            <rFont val="Tahoma"/>
            <family val="2"/>
          </rPr>
          <t xml:space="preserve">
IQ Price Per Unit of Delivery
</t>
        </r>
      </text>
    </comment>
    <comment ref="F2" authorId="0" shapeId="0" xr:uid="{00000000-0006-0000-1A00-000002000000}">
      <text>
        <r>
          <rPr>
            <b/>
            <sz val="8"/>
            <color indexed="81"/>
            <rFont val="Tahoma"/>
            <family val="2"/>
          </rPr>
          <t>Sonia Turley:</t>
        </r>
        <r>
          <rPr>
            <sz val="8"/>
            <color indexed="81"/>
            <rFont val="Tahoma"/>
            <family val="2"/>
          </rPr>
          <t xml:space="preserve">
IQ Price Per Unit of Delivery
</t>
        </r>
      </text>
    </comment>
    <comment ref="H2" authorId="0" shapeId="0" xr:uid="{00000000-0006-0000-1A00-000003000000}">
      <text>
        <r>
          <rPr>
            <b/>
            <sz val="8"/>
            <color indexed="81"/>
            <rFont val="Tahoma"/>
            <family val="2"/>
          </rPr>
          <t>Sonia Turley:</t>
        </r>
        <r>
          <rPr>
            <sz val="8"/>
            <color indexed="81"/>
            <rFont val="Tahoma"/>
            <family val="2"/>
          </rPr>
          <t xml:space="preserve">
IQ Price Per Unit of Delivery
</t>
        </r>
      </text>
    </comment>
    <comment ref="J2" authorId="0" shapeId="0" xr:uid="{00000000-0006-0000-1A00-000004000000}">
      <text>
        <r>
          <rPr>
            <b/>
            <sz val="8"/>
            <color indexed="81"/>
            <rFont val="Tahoma"/>
            <family val="2"/>
          </rPr>
          <t>Sonia Turley:</t>
        </r>
        <r>
          <rPr>
            <sz val="8"/>
            <color indexed="81"/>
            <rFont val="Tahoma"/>
            <family val="2"/>
          </rPr>
          <t xml:space="preserve">
IQ Price Per Unit of Delivery
</t>
        </r>
      </text>
    </comment>
    <comment ref="L2" authorId="0" shapeId="0" xr:uid="{00000000-0006-0000-1A00-000005000000}">
      <text>
        <r>
          <rPr>
            <b/>
            <sz val="8"/>
            <color indexed="81"/>
            <rFont val="Tahoma"/>
            <family val="2"/>
          </rPr>
          <t>Sonia Turley:</t>
        </r>
        <r>
          <rPr>
            <sz val="8"/>
            <color indexed="81"/>
            <rFont val="Tahoma"/>
            <family val="2"/>
          </rPr>
          <t xml:space="preserve">
IQ Price Per Unit of Delivery
</t>
        </r>
      </text>
    </comment>
    <comment ref="N2" authorId="0" shapeId="0" xr:uid="{00000000-0006-0000-1A00-000006000000}">
      <text>
        <r>
          <rPr>
            <b/>
            <sz val="8"/>
            <color indexed="81"/>
            <rFont val="Tahoma"/>
            <family val="2"/>
          </rPr>
          <t>Sonia Turley:</t>
        </r>
        <r>
          <rPr>
            <sz val="8"/>
            <color indexed="81"/>
            <rFont val="Tahoma"/>
            <family val="2"/>
          </rPr>
          <t xml:space="preserve">
IQ Price Per Unit of Delivery
</t>
        </r>
      </text>
    </comment>
    <comment ref="P2" authorId="0" shapeId="0" xr:uid="{00000000-0006-0000-1A00-000007000000}">
      <text>
        <r>
          <rPr>
            <b/>
            <sz val="8"/>
            <color indexed="81"/>
            <rFont val="Tahoma"/>
            <family val="2"/>
          </rPr>
          <t>Sonia Turley:</t>
        </r>
        <r>
          <rPr>
            <sz val="8"/>
            <color indexed="81"/>
            <rFont val="Tahoma"/>
            <family val="2"/>
          </rPr>
          <t xml:space="preserve">
IQ Price Per Unit of Delivery
</t>
        </r>
      </text>
    </comment>
    <comment ref="R2" authorId="0" shapeId="0" xr:uid="{00000000-0006-0000-1A00-000008000000}">
      <text>
        <r>
          <rPr>
            <b/>
            <sz val="8"/>
            <color indexed="81"/>
            <rFont val="Tahoma"/>
            <family val="2"/>
          </rPr>
          <t>Sonia Turley:</t>
        </r>
        <r>
          <rPr>
            <sz val="8"/>
            <color indexed="81"/>
            <rFont val="Tahoma"/>
            <family val="2"/>
          </rPr>
          <t xml:space="preserve">
IQ Price Per Unit of Delivery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Sonia Turley</author>
  </authors>
  <commentList>
    <comment ref="F2" authorId="0" shapeId="0" xr:uid="{00000000-0006-0000-1C00-000001000000}">
      <text>
        <r>
          <rPr>
            <b/>
            <sz val="8"/>
            <color indexed="81"/>
            <rFont val="Tahoma"/>
            <family val="2"/>
          </rPr>
          <t>Sonia Turley:</t>
        </r>
        <r>
          <rPr>
            <sz val="8"/>
            <color indexed="81"/>
            <rFont val="Tahoma"/>
            <family val="2"/>
          </rPr>
          <t xml:space="preserve">
IQ Price Per Unit of Delivery
</t>
        </r>
      </text>
    </comment>
    <comment ref="H2" authorId="0" shapeId="0" xr:uid="{00000000-0006-0000-1C00-000002000000}">
      <text>
        <r>
          <rPr>
            <b/>
            <sz val="8"/>
            <color indexed="81"/>
            <rFont val="Tahoma"/>
            <family val="2"/>
          </rPr>
          <t>Sonia Turley:</t>
        </r>
        <r>
          <rPr>
            <sz val="8"/>
            <color indexed="81"/>
            <rFont val="Tahoma"/>
            <family val="2"/>
          </rPr>
          <t xml:space="preserve">
IQ Price Per Unit of Delivery
</t>
        </r>
      </text>
    </comment>
    <comment ref="J2" authorId="0" shapeId="0" xr:uid="{00000000-0006-0000-1C00-000003000000}">
      <text>
        <r>
          <rPr>
            <b/>
            <sz val="8"/>
            <color indexed="81"/>
            <rFont val="Tahoma"/>
            <family val="2"/>
          </rPr>
          <t>Sonia Turley:</t>
        </r>
        <r>
          <rPr>
            <sz val="8"/>
            <color indexed="81"/>
            <rFont val="Tahoma"/>
            <family val="2"/>
          </rPr>
          <t xml:space="preserve">
IQ Price Per Unit of Delivery
</t>
        </r>
      </text>
    </comment>
    <comment ref="L2" authorId="0" shapeId="0" xr:uid="{00000000-0006-0000-1C00-000004000000}">
      <text>
        <r>
          <rPr>
            <b/>
            <sz val="8"/>
            <color indexed="81"/>
            <rFont val="Tahoma"/>
            <family val="2"/>
          </rPr>
          <t>Sonia Turley:</t>
        </r>
        <r>
          <rPr>
            <sz val="8"/>
            <color indexed="81"/>
            <rFont val="Tahoma"/>
            <family val="2"/>
          </rPr>
          <t xml:space="preserve">
IQ Price Per Unit of Delivery
</t>
        </r>
      </text>
    </comment>
    <comment ref="N2" authorId="0" shapeId="0" xr:uid="{00000000-0006-0000-1C00-000005000000}">
      <text>
        <r>
          <rPr>
            <b/>
            <sz val="8"/>
            <color indexed="81"/>
            <rFont val="Tahoma"/>
            <family val="2"/>
          </rPr>
          <t>Sonia Turley:</t>
        </r>
        <r>
          <rPr>
            <sz val="8"/>
            <color indexed="81"/>
            <rFont val="Tahoma"/>
            <family val="2"/>
          </rPr>
          <t xml:space="preserve">
IQ Price Per Unit of Delivery
</t>
        </r>
      </text>
    </comment>
    <comment ref="P2" authorId="0" shapeId="0" xr:uid="{00000000-0006-0000-1C00-000006000000}">
      <text>
        <r>
          <rPr>
            <b/>
            <sz val="8"/>
            <color indexed="81"/>
            <rFont val="Tahoma"/>
            <family val="2"/>
          </rPr>
          <t>Sonia Turley:</t>
        </r>
        <r>
          <rPr>
            <sz val="8"/>
            <color indexed="81"/>
            <rFont val="Tahoma"/>
            <family val="2"/>
          </rPr>
          <t xml:space="preserve">
IQ Price Per Unit of Delivery
</t>
        </r>
      </text>
    </comment>
    <comment ref="R2" authorId="0" shapeId="0" xr:uid="{00000000-0006-0000-1C00-000007000000}">
      <text>
        <r>
          <rPr>
            <b/>
            <sz val="8"/>
            <color indexed="81"/>
            <rFont val="Tahoma"/>
            <family val="2"/>
          </rPr>
          <t>Sonia Turley:</t>
        </r>
        <r>
          <rPr>
            <sz val="8"/>
            <color indexed="81"/>
            <rFont val="Tahoma"/>
            <family val="2"/>
          </rPr>
          <t xml:space="preserve">
IQ Price Per Unit of Delivery
</t>
        </r>
      </text>
    </comment>
  </commentList>
</comments>
</file>

<file path=xl/sharedStrings.xml><?xml version="1.0" encoding="utf-8"?>
<sst xmlns="http://schemas.openxmlformats.org/spreadsheetml/2006/main" count="4633" uniqueCount="1978">
  <si>
    <t>CONTRACT NUMBER</t>
  </si>
  <si>
    <t>PTC/CB/00642</t>
  </si>
  <si>
    <t>FOR</t>
  </si>
  <si>
    <t>THE PROVISION OF</t>
  </si>
  <si>
    <t>SUPPORT SERVICES AT</t>
  </si>
  <si>
    <t>RAF CRANWELL</t>
  </si>
  <si>
    <t>COPY NUMBER 1 OF 12</t>
  </si>
  <si>
    <t>COPY NUMBER 2 OF 12</t>
  </si>
  <si>
    <t>COPY NUMBER 3 OF 12</t>
  </si>
  <si>
    <t>COPY NUMBER 4 OF 12</t>
  </si>
  <si>
    <t>COPY NUMBER 5 OF 12</t>
  </si>
  <si>
    <t>COPY NUMBER 6 OF 12</t>
  </si>
  <si>
    <t>COPY NUMBER 7 OF 12</t>
  </si>
  <si>
    <t>COPY NUMBER 8 OF 12</t>
  </si>
  <si>
    <t>COPY NUMBER 9 OF 12</t>
  </si>
  <si>
    <t>COPY NUMBER 10 OF 12</t>
  </si>
  <si>
    <t>COPY NUMBER 11 OF 12</t>
  </si>
  <si>
    <t>COPY NUMBER 12 OF 12</t>
  </si>
  <si>
    <t xml:space="preserve">  PRICING - SCHEDULE 2</t>
  </si>
  <si>
    <t xml:space="preserve"> MINISTRY OF DEFENCE</t>
  </si>
  <si>
    <t xml:space="preserve">701579419 - Glider Support Contract (GSC)
</t>
  </si>
  <si>
    <t xml:space="preserve">CONTRACT PRICING SUMMARY </t>
  </si>
  <si>
    <t>Year 1  (1 Apr 2022 to 31 Mar 2023)</t>
  </si>
  <si>
    <t>Limit of Liability Year 1</t>
  </si>
  <si>
    <t>Year 2  (1 Apr 2023 to 31 Mar 2024)</t>
  </si>
  <si>
    <t>Limit of Liability Year 2</t>
  </si>
  <si>
    <t>Limit of Liability Year 3</t>
  </si>
  <si>
    <t>Glider Maintenance / Support*</t>
  </si>
  <si>
    <t>xxxxxxxxxxxxx</t>
  </si>
  <si>
    <t>xxxxxxxxxxxx</t>
  </si>
  <si>
    <t>Aerotow</t>
  </si>
  <si>
    <t>Winch Maintenance **</t>
  </si>
  <si>
    <t>Motor Transport / Training / Miscellaneous</t>
  </si>
  <si>
    <t>TOTAL FIRM PRICE Yrs 1 - 3</t>
  </si>
  <si>
    <t xml:space="preserve">TOTAL CONTRACT FIRM PRICE                                                                                                          </t>
  </si>
  <si>
    <t>xxxxxxxxxx</t>
  </si>
  <si>
    <t xml:space="preserve">VAT:  Responsibility for the determination of VAT liability rests with the Contractor who should consult his/her local HM Customs and Excise VAT Office (and not the Commercial Branch) in cases of doubt.   </t>
  </si>
  <si>
    <t>* LoL - Unestablished Tasks (UT)</t>
  </si>
  <si>
    <t>** LoL - Modifications and Repairs</t>
  </si>
  <si>
    <t>701579419 - Glider Support Contract (GSC) - Pricing Page (Schedule 2)</t>
  </si>
  <si>
    <t xml:space="preserve">SOR  </t>
  </si>
  <si>
    <t>Activity</t>
  </si>
  <si>
    <r>
      <rPr>
        <b/>
        <sz val="9"/>
        <rFont val="Arial"/>
        <family val="2"/>
      </rPr>
      <t>Year 1</t>
    </r>
    <r>
      <rPr>
        <sz val="9"/>
        <rFont val="Arial"/>
        <family val="2"/>
      </rPr>
      <t xml:space="preserve"> 
01 April 2022 - 31 March 2023
</t>
    </r>
    <r>
      <rPr>
        <b/>
        <sz val="9"/>
        <rFont val="Arial"/>
        <family val="2"/>
      </rPr>
      <t>£</t>
    </r>
  </si>
  <si>
    <r>
      <rPr>
        <b/>
        <sz val="9"/>
        <rFont val="Arial"/>
        <family val="2"/>
      </rPr>
      <t>Year 2</t>
    </r>
    <r>
      <rPr>
        <sz val="9"/>
        <rFont val="Arial"/>
        <family val="2"/>
      </rPr>
      <t xml:space="preserve"> 
01 April 2023 - 31 March 2024
</t>
    </r>
    <r>
      <rPr>
        <b/>
        <sz val="9"/>
        <rFont val="Arial"/>
        <family val="2"/>
      </rPr>
      <t>£</t>
    </r>
  </si>
  <si>
    <r>
      <rPr>
        <b/>
        <sz val="9"/>
        <rFont val="Arial"/>
        <family val="2"/>
      </rPr>
      <t>Year 3</t>
    </r>
    <r>
      <rPr>
        <sz val="9"/>
        <rFont val="Arial"/>
        <family val="2"/>
      </rPr>
      <t xml:space="preserve"> 
01 April 2024 - 31 March 2025
</t>
    </r>
    <r>
      <rPr>
        <b/>
        <sz val="9"/>
        <rFont val="Arial"/>
        <family val="2"/>
      </rPr>
      <t>£</t>
    </r>
  </si>
  <si>
    <t>B.1.1 - B1.1.6</t>
  </si>
  <si>
    <t>Glider Availability</t>
  </si>
  <si>
    <t>xxxx</t>
  </si>
  <si>
    <t>B1.2 - B.1.2.1</t>
  </si>
  <si>
    <t>Viking Glider Recovery - Store and Maintain Aircraft Documents</t>
  </si>
  <si>
    <t>B.1.2 - B1.2.2</t>
  </si>
  <si>
    <t xml:space="preserve">Viking Glider Recovery - Fit for Flight - Sustainment Fleet * Note 1 Refers </t>
  </si>
  <si>
    <t>B.2.1 - B.2.1.1</t>
  </si>
  <si>
    <t>Viking Glider Retrieval</t>
  </si>
  <si>
    <t>B.3.1 - B.3.1.3</t>
  </si>
  <si>
    <t>Fuel Management</t>
  </si>
  <si>
    <t>B.4.1 - B.4.1.12</t>
  </si>
  <si>
    <t>Aircrew Equipment Assembly (AEA)</t>
  </si>
  <si>
    <t>B.5.1 - B.5.1.1</t>
  </si>
  <si>
    <t>Site Operations</t>
  </si>
  <si>
    <t>B.6.1 - B.6.1.3</t>
  </si>
  <si>
    <t>Continuous Course and Detachments</t>
  </si>
  <si>
    <t>Totals</t>
  </si>
  <si>
    <t>B.7.1 - B.7.1.5</t>
  </si>
  <si>
    <t>Flying Hour charge x 300 ** Note 2 Refers</t>
  </si>
  <si>
    <t>B.8.1. - B.8.1.2</t>
  </si>
  <si>
    <t>Launch Winch Maintenance</t>
  </si>
  <si>
    <t>B.8.2 - B.8.2.8</t>
  </si>
  <si>
    <t>Winch Launch EA Support</t>
  </si>
  <si>
    <t>B.8.3 - B.8.3.1</t>
  </si>
  <si>
    <t>Launch Accessories Availability</t>
  </si>
  <si>
    <t>B.9.1 - B.9.1.2</t>
  </si>
  <si>
    <t>Motor Transport</t>
  </si>
  <si>
    <t>B.10.1 - B.10.1.8</t>
  </si>
  <si>
    <t>Training</t>
  </si>
  <si>
    <t>B.11.1 - B.11.1.5</t>
  </si>
  <si>
    <t>Miscellaneous</t>
  </si>
  <si>
    <t>* The contractor should use spare engineering capacity generated because of expected changes to the Viking Glider servicing schedules that will significantly reduce the engineering maintenance requirements.</t>
  </si>
  <si>
    <t xml:space="preserve">Note 1 - Up to 25 over the course of the contract. Performance will be in discussion with the authority.  </t>
  </si>
  <si>
    <t>** Annual Flying hours - 300</t>
  </si>
  <si>
    <t xml:space="preserve">Note 2 - For the purposes of this Contract flying hours are defined as 'the point and time at which the aircraft becomes airbourne to the point and time at which the aircraft lands'.  The flying hours are not to include the time spent in taxiing, transit, holding and loading.			
			</t>
  </si>
  <si>
    <t xml:space="preserve">  PRICING SCHEDULE - SUMMARY</t>
  </si>
  <si>
    <t>701579419 - Glider Suport Contract (GSC)</t>
  </si>
  <si>
    <t xml:space="preserve">UNFORESEEN TASK (UT) RATES </t>
  </si>
  <si>
    <t>Year 1: 01April 2022 - 31 March 2023</t>
  </si>
  <si>
    <t xml:space="preserve">HOURLY RATE </t>
  </si>
  <si>
    <t xml:space="preserve">DAILY RATE </t>
  </si>
  <si>
    <t>Role</t>
  </si>
  <si>
    <t>x1 Rate/Hour</t>
  </si>
  <si>
    <t>x1.5 Rate/Hour</t>
  </si>
  <si>
    <t xml:space="preserve">x2 Rate/Hour </t>
  </si>
  <si>
    <t>x1 Rate/Day</t>
  </si>
  <si>
    <t>x1.5 Rate/Day</t>
  </si>
  <si>
    <t xml:space="preserve">x2 Rate/Day </t>
  </si>
  <si>
    <t>Contract Manager</t>
  </si>
  <si>
    <t>Chief Engineer</t>
  </si>
  <si>
    <t>Deputy Chief Engineer</t>
  </si>
  <si>
    <t>Administrator</t>
  </si>
  <si>
    <t>Aviation Safety and Compliance Manager</t>
  </si>
  <si>
    <t>Senior Supervisor</t>
  </si>
  <si>
    <t>Supervisor</t>
  </si>
  <si>
    <t>Technician</t>
  </si>
  <si>
    <t>Engineering Support Controller</t>
  </si>
  <si>
    <t>Head of engineering records and planning</t>
  </si>
  <si>
    <t>Lead Trainer</t>
  </si>
  <si>
    <t>Training Co-ordinator</t>
  </si>
  <si>
    <t>Business Support manager</t>
  </si>
  <si>
    <t>Forward Maintenance Controller</t>
  </si>
  <si>
    <t>Depth Maintenance Controller</t>
  </si>
  <si>
    <t>Supervisor Docs Controller</t>
  </si>
  <si>
    <t>Survival Equipment supervisor</t>
  </si>
  <si>
    <t>Lead Storekeeper</t>
  </si>
  <si>
    <t>Storekeeper</t>
  </si>
  <si>
    <t>Driver</t>
  </si>
  <si>
    <t>Year 2: 01 April 23 - 31 March 2024</t>
  </si>
  <si>
    <t>Year 3: 01 April 2024 - 31 March 2025</t>
  </si>
  <si>
    <t>Sky Launch Call Out Costs</t>
  </si>
  <si>
    <t>22/23</t>
  </si>
  <si>
    <t>23/24</t>
  </si>
  <si>
    <t>24/25</t>
  </si>
  <si>
    <t>£</t>
  </si>
  <si>
    <t>On-Site Labour</t>
  </si>
  <si>
    <t>On-site Labour/hr</t>
  </si>
  <si>
    <t>On-site Labour half/hr (or part thereof)</t>
  </si>
  <si>
    <t>Site Labour Call Out Rate</t>
  </si>
  <si>
    <t>Syerston</t>
  </si>
  <si>
    <t>Kenley</t>
  </si>
  <si>
    <t>Kirknewton</t>
  </si>
  <si>
    <t>Little Riss</t>
  </si>
  <si>
    <t>Predannack</t>
  </si>
  <si>
    <t>Swanton Moreley</t>
  </si>
  <si>
    <t>Tern Hill</t>
  </si>
  <si>
    <t>Topcliffe</t>
  </si>
  <si>
    <t>Upavon</t>
  </si>
  <si>
    <t>Swift Air Call Out Costs</t>
  </si>
  <si>
    <t>Labour Charge per-hour</t>
  </si>
  <si>
    <t>Conduct of SB/AD per hour</t>
  </si>
  <si>
    <t>Road Travel – rate per mile</t>
  </si>
  <si>
    <t>Road Travel – rate per hour</t>
  </si>
  <si>
    <t>Air Travel – rate per hour (Plus landing fees if applicable)</t>
  </si>
  <si>
    <t>Weekend callout fee</t>
  </si>
  <si>
    <t>Mid-week callout fee</t>
  </si>
  <si>
    <t>Pilot Services (RAF Syerston Collection &amp; Delivery)</t>
  </si>
  <si>
    <t>Landing Fees (per collection &amp; delivery)</t>
  </si>
  <si>
    <t>Fuel (per collection and delivery)</t>
  </si>
  <si>
    <t>MINISTRY OF DEFENCE</t>
  </si>
  <si>
    <t>CONTRACT NO PTC/CB/00642</t>
  </si>
  <si>
    <t>THE PROVISION OF SUPPORT SERVICES</t>
  </si>
  <si>
    <t>AT</t>
  </si>
  <si>
    <t>LIST OF SCHEDULES</t>
  </si>
  <si>
    <t>SCHEDULE 1</t>
  </si>
  <si>
    <t>PRICING SCHEDULE</t>
  </si>
  <si>
    <t>SCHEDULE 2</t>
  </si>
  <si>
    <t>STATEMENT OF REQUIREMENTS</t>
  </si>
  <si>
    <t>SCHEDULE 3</t>
  </si>
  <si>
    <t>TERMS AND CONDITIONS OF CONTRACT</t>
  </si>
  <si>
    <t>SCHEDULE 4</t>
  </si>
  <si>
    <t>DEFFORM 522A</t>
  </si>
  <si>
    <t>SCHEDULE 5</t>
  </si>
  <si>
    <t>SPECIMEN PROFORMAS</t>
  </si>
  <si>
    <t>SCHEDULE 6</t>
  </si>
  <si>
    <t>DEFFORM 111</t>
  </si>
  <si>
    <t>SCHEDULE 7</t>
  </si>
  <si>
    <t>TUPE INFORMATION</t>
  </si>
  <si>
    <t>AMENDMENT RECORD SHEET - CONTINUATION PAGE</t>
  </si>
  <si>
    <t>Amendments, when entered, should be recorded on this record sheet, and the amendment instruction sheet issued should be retained within the manual.</t>
  </si>
  <si>
    <t>Amendment No</t>
  </si>
  <si>
    <t>Name (Block Caps)</t>
  </si>
  <si>
    <t>Signature</t>
  </si>
  <si>
    <t>Date Amended</t>
  </si>
  <si>
    <t>Remarks/Notes</t>
  </si>
  <si>
    <t>CONTRACT NO:  PTC/CB/00642</t>
  </si>
  <si>
    <t>MULTI ACTIVITY CONTRACT</t>
  </si>
  <si>
    <t>SERCO AEROSPACE
A Division of Serco Ltd</t>
  </si>
  <si>
    <t>Annex A To Schedule 1</t>
  </si>
  <si>
    <t>Year 1</t>
  </si>
  <si>
    <t>Year 2</t>
  </si>
  <si>
    <t>Year 3</t>
  </si>
  <si>
    <t>Year 4</t>
  </si>
  <si>
    <t>Year 5</t>
  </si>
  <si>
    <t>Year 6</t>
  </si>
  <si>
    <t>Year 7</t>
  </si>
  <si>
    <t>Year 8</t>
  </si>
  <si>
    <t>VOR Item No</t>
  </si>
  <si>
    <t>Description</t>
  </si>
  <si>
    <t>EQs</t>
  </si>
  <si>
    <t>VOR Line Item Price</t>
  </si>
  <si>
    <t>Annex B To Schedule 1</t>
  </si>
  <si>
    <t>IQ Unit Price</t>
  </si>
  <si>
    <t>Year 1 - 2004/2005</t>
  </si>
  <si>
    <t>Year 2 - 2005/2006</t>
  </si>
  <si>
    <t>Year 3 - 2006/2007</t>
  </si>
  <si>
    <t>Year 4 - 2007/2008</t>
  </si>
  <si>
    <t>Year 5 - 2008/2009</t>
  </si>
  <si>
    <t>Option Year 6 - 2009/2010</t>
  </si>
  <si>
    <t>Option Year 7 - 20010/2011</t>
  </si>
  <si>
    <t>Option Year 8 - 20011/2012</t>
  </si>
  <si>
    <t>Total Price</t>
  </si>
  <si>
    <t>Man-hours</t>
  </si>
  <si>
    <t>Section 2</t>
  </si>
  <si>
    <t>Mangement and Administration</t>
  </si>
  <si>
    <t>Section 3</t>
  </si>
  <si>
    <t>Contingency Planning</t>
  </si>
  <si>
    <t>Section 4</t>
  </si>
  <si>
    <t>Aircraft Maintenance</t>
  </si>
  <si>
    <t>Section 5</t>
  </si>
  <si>
    <t>Aircraft Mechanical Support Facilities</t>
  </si>
  <si>
    <t>Section 6</t>
  </si>
  <si>
    <t>Aircraft Avionics &amp; Electrical Support Facilities</t>
  </si>
  <si>
    <t>Section 7</t>
  </si>
  <si>
    <t>Aircraft Flying Clothing &amp; Survival Equipment</t>
  </si>
  <si>
    <t>Section 8</t>
  </si>
  <si>
    <t>Media Services</t>
  </si>
  <si>
    <t>Section 9</t>
  </si>
  <si>
    <t>Engineering Operations and Records Support Facilities</t>
  </si>
  <si>
    <t>Section 10</t>
  </si>
  <si>
    <t>General Engineering Support (Incl Armament and Range De-Leading)</t>
  </si>
  <si>
    <t>Section 11</t>
  </si>
  <si>
    <t>Communications Information Systems</t>
  </si>
  <si>
    <t>Section 12</t>
  </si>
  <si>
    <t>Mechanical Transport (Operations)</t>
  </si>
  <si>
    <t>Section 13</t>
  </si>
  <si>
    <t>Mechanical Transport (Maintenance)</t>
  </si>
  <si>
    <t>Section 14</t>
  </si>
  <si>
    <t>Supply Support</t>
  </si>
  <si>
    <t>Section 15</t>
  </si>
  <si>
    <t>Fire and Crash Rescue</t>
  </si>
  <si>
    <t>Section 16</t>
  </si>
  <si>
    <t>Administration Services - Cash in Transit</t>
  </si>
  <si>
    <t>Section 17</t>
  </si>
  <si>
    <t>Not Used</t>
  </si>
  <si>
    <t>Section 18</t>
  </si>
  <si>
    <t>Section 19</t>
  </si>
  <si>
    <t>Accommodation Cleaning &amp; Window Cleaning</t>
  </si>
  <si>
    <t>Section 20</t>
  </si>
  <si>
    <t>Section 21</t>
  </si>
  <si>
    <t>Funeral Services</t>
  </si>
  <si>
    <t>Section 22</t>
  </si>
  <si>
    <t>Laundry/Dry Cleaning Services</t>
  </si>
  <si>
    <t>Section 23</t>
  </si>
  <si>
    <t>Pest Control</t>
  </si>
  <si>
    <t>Section 24</t>
  </si>
  <si>
    <t>Tailoring Services</t>
  </si>
  <si>
    <t>Section 25</t>
  </si>
  <si>
    <t>Waste Disposal</t>
  </si>
  <si>
    <t>Section 30</t>
  </si>
  <si>
    <t>MIS</t>
  </si>
  <si>
    <t>Section 31</t>
  </si>
  <si>
    <t>Aptitude Testing Team (SofR)(RAF)</t>
  </si>
  <si>
    <t>Section 32</t>
  </si>
  <si>
    <t>RAF Scampton and Kirton in Lindsey</t>
  </si>
  <si>
    <t>Option Year 7 - 2010/2011</t>
  </si>
  <si>
    <t>Option Year 8 - 2011/2012</t>
  </si>
  <si>
    <t>Item No</t>
  </si>
  <si>
    <t>Annual Man-Hour Allocation</t>
  </si>
  <si>
    <t>2.C</t>
  </si>
  <si>
    <t>PERFORMANCE REQUIREMENTS</t>
  </si>
  <si>
    <t>SECTION 2 - MANAGEMENT AND ADMINISTRATION</t>
  </si>
  <si>
    <t>2.C.1</t>
  </si>
  <si>
    <t>PHASE-IN AND PHASE-OUT</t>
  </si>
  <si>
    <t>2.C.1.a</t>
  </si>
  <si>
    <t xml:space="preserve">Execute the agreed Phase-In plans and Phase-Out plans. </t>
  </si>
  <si>
    <t>2.C.2</t>
  </si>
  <si>
    <t>CONTRACTOR OPERATED FACILITIES</t>
  </si>
  <si>
    <t>2.C.2.a</t>
  </si>
  <si>
    <t>Manage Government Furnished Facilities (GFF) in support of this contract.</t>
  </si>
  <si>
    <t>2.C.3</t>
  </si>
  <si>
    <t>CONTRACT MONITORING SYSTEM</t>
  </si>
  <si>
    <t>2.C.3.a</t>
  </si>
  <si>
    <t>Operate and maintain a Contract Monitoring System (CMS) iaw 2.F.2.</t>
  </si>
  <si>
    <t>2.C.3.b</t>
  </si>
  <si>
    <t xml:space="preserve">Provide a CMS for the Phase-in and Phase-out plans. </t>
  </si>
  <si>
    <t>2.C.4</t>
  </si>
  <si>
    <t>CONTRACTOR QUALITY ASSURANCE</t>
  </si>
  <si>
    <t>2.C.4.a</t>
  </si>
  <si>
    <t xml:space="preserve">Establish a Quality Management System (QMS). </t>
  </si>
  <si>
    <t>2.C.4.b</t>
  </si>
  <si>
    <t>Provide a QMS to support 2.C.3.b</t>
  </si>
  <si>
    <t>2.C.5</t>
  </si>
  <si>
    <t>FINANCIAL AND EQUIPMENT ACCOUNTING SYSTEM</t>
  </si>
  <si>
    <t>2.C.5.a</t>
  </si>
  <si>
    <t>Operate and manage the existing Equipment Accounting System (EAS) for Government Property iaw AP830 Supply Regulations.</t>
  </si>
  <si>
    <t>2.C.5.b</t>
  </si>
  <si>
    <t>Provide an account of all Contractor consumed materials and Contractor furnished equipment associated with the performance of this contract.</t>
  </si>
  <si>
    <t>2.C.6</t>
  </si>
  <si>
    <t>EQUIPMENT MAINTENANCE AND REPAIR</t>
  </si>
  <si>
    <t>2.C.6.a</t>
  </si>
  <si>
    <t>Ensure that unsafe or unserviceable Government Furnished Equipment (GFE), is removed from use without delay.   With the exception of reprographic, duplicating, copying, printing or micropublishing equipment, make appropriate arrangements for repair or ensure to replacement.</t>
  </si>
  <si>
    <t>2.C.7</t>
  </si>
  <si>
    <t>GOVERNMENT INSPECTIONS AND AUDITS</t>
  </si>
  <si>
    <t>2.C.7.a</t>
  </si>
  <si>
    <t>At the direction of the DO, assist and co-operate in all inspections, internal reviews and audits conducted by the Authority.</t>
  </si>
  <si>
    <t>2.C.7.b</t>
  </si>
  <si>
    <t>Support Annual Formal Inspections (AFIs).</t>
  </si>
  <si>
    <t>2.C.8</t>
  </si>
  <si>
    <t>SECURITY</t>
  </si>
  <si>
    <t>2.C.8.a</t>
  </si>
  <si>
    <t>Ensure that all Contractor personnel, including sub-Contractors, Basic Check (BC) and Counter Terrorist Check (CTC) cleared prior to commencing work.</t>
  </si>
  <si>
    <t>2.C.8.b</t>
  </si>
  <si>
    <t>Obtain Security Clearance (SC) for all incoming Contractor personnel prior to commencing work in positions designated as operationally sensitive.</t>
  </si>
  <si>
    <t>2.C.8.c</t>
  </si>
  <si>
    <t>Issue, control and administer an approved identification card and vehicle passes to all Contractor personnel who have satisfied the requirement at para 2.C.8.a.</t>
  </si>
  <si>
    <t>Additional Information (See SOR).</t>
  </si>
  <si>
    <t>2.C.9</t>
  </si>
  <si>
    <t>CONTRACTOR SAFETY</t>
  </si>
  <si>
    <t>2.C.9.a</t>
  </si>
  <si>
    <t>For sole or shared (MoD/Contractor) occupancy of all GFF, the Contractor is to ensure total compliance with all current military/civil/company safety regulations.</t>
  </si>
  <si>
    <t>2.C.10</t>
  </si>
  <si>
    <t>ENVIRONMENTAL PROTECTION</t>
  </si>
  <si>
    <t>2.C.10.a</t>
  </si>
  <si>
    <t>Comply with all current environmental protection requirements.</t>
  </si>
  <si>
    <t>2.D</t>
  </si>
  <si>
    <t>WATCHSTANDING REQUIREMENTS</t>
  </si>
  <si>
    <t>2.D.1</t>
  </si>
  <si>
    <t>The Contractor is responsible for managing the watchstanding requirements specified in each Section of the SOR at all times.</t>
  </si>
  <si>
    <t>2.E</t>
  </si>
  <si>
    <t>INDEFINITE QUANTITY (IQ)</t>
  </si>
  <si>
    <t>2.E.1</t>
  </si>
  <si>
    <t>Manage IQ work tasked by Demand Orders, issued and authorised by the DO, for all work within the scope of this Contract.  IQ up to the value of £5,000 may be ordered by the DO without prior agreement of CB.  IQ requirements in excess of £5,000 prior approval by CB must be obtained.</t>
  </si>
  <si>
    <t>2.F</t>
  </si>
  <si>
    <t>RECORDS AND DELIVERABLES</t>
  </si>
  <si>
    <t>2.F.1</t>
  </si>
  <si>
    <t>Prepare, maintain and submit all records, reports and forms as specified in each SOR Section and any additional reports requested by the DO.</t>
  </si>
  <si>
    <t>2.F.2</t>
  </si>
  <si>
    <t>CONTRACT MONITORING SYSTEM (CMS)</t>
  </si>
  <si>
    <t>2.F.2.a</t>
  </si>
  <si>
    <t>Provide and maintain CMS Plans.</t>
  </si>
  <si>
    <t>2.F.2.b</t>
  </si>
  <si>
    <t xml:space="preserve">Provide random reports on any aspect of CMS to assist the Authority's own monitoring effort. </t>
  </si>
  <si>
    <t>2.F.3</t>
  </si>
  <si>
    <t>COST ACCOUNTING REPORTING</t>
  </si>
  <si>
    <t>2.F.3.a</t>
  </si>
  <si>
    <t>Provide monthly invoice reports which allocate all charges (Direct and Non-Direct) for the appropriate sections of this Contract.</t>
  </si>
  <si>
    <t>2.F.4</t>
  </si>
  <si>
    <t>SECURITY REPORTS</t>
  </si>
  <si>
    <t>2.F.4.a</t>
  </si>
  <si>
    <t xml:space="preserve">Provide the Station Security Officer (SSyO) with a consolidated list of all employees employed under this contract.  </t>
  </si>
  <si>
    <t>2.F.5</t>
  </si>
  <si>
    <t>PERSONNEL QUALIFICATIONS</t>
  </si>
  <si>
    <t>2.F.5.a</t>
  </si>
  <si>
    <t>Submit individual job descriptions and personnel qualifications for all key and security sensitive positions to the DO for review.</t>
  </si>
  <si>
    <t>2.F.6</t>
  </si>
  <si>
    <t>CONDUCT OF CONTRACTOR PERSONNEL</t>
  </si>
  <si>
    <t>2.F.6.a</t>
  </si>
  <si>
    <t>Submit for DO approval a set of Company Orders (rules and regulations) which will be binding on all Contractor employees associated with this Contract.</t>
  </si>
  <si>
    <t>2.F.7</t>
  </si>
  <si>
    <t>PROPERTY ACCOUNTABILITY</t>
  </si>
  <si>
    <t>2.F.7.a</t>
  </si>
  <si>
    <t xml:space="preserve">Provide an Annual Inventory Report.  </t>
  </si>
  <si>
    <t>2.F.7.b</t>
  </si>
  <si>
    <t>Investigate and provide a full report into of any loss, damage, or disappearance of Government-owned property, equipment, materials, or funds under the Contractor's control.</t>
  </si>
  <si>
    <t>2.F.8</t>
  </si>
  <si>
    <t>CONTRACTOR QUALITY ASSURANCE PROGRAMME</t>
  </si>
  <si>
    <t>2.F.8.a</t>
  </si>
  <si>
    <t>Submit a detailed Quality Assurance Plan (QAP).</t>
  </si>
  <si>
    <t>2.F.9</t>
  </si>
  <si>
    <t>2.F.9.a</t>
  </si>
  <si>
    <t>Develop and submit for DO approval no later than 30 days prior to the end of the Phase-In period a Safety Management Plan for use within areas solely occupied by the Contractor.</t>
  </si>
  <si>
    <t>2.F.10</t>
  </si>
  <si>
    <t>ENVIRONMENT PROTECTION</t>
  </si>
  <si>
    <t>2.F.10.a</t>
  </si>
  <si>
    <t xml:space="preserve">Provide any Environmental Protection reports as required by MoD/LA. </t>
  </si>
  <si>
    <t>2.G</t>
  </si>
  <si>
    <t>MATERIALS AND EQUIPMENT</t>
  </si>
  <si>
    <t>2.G.1</t>
  </si>
  <si>
    <t>GOVERNMENT FURNISHED EQUIPMENT (GFE)</t>
  </si>
  <si>
    <t>2.G.1.a</t>
  </si>
  <si>
    <t>Conduct Annual GFE inventory check.</t>
  </si>
  <si>
    <t>2.G.2</t>
  </si>
  <si>
    <t>GOVERNMENT FURNISHED FACILITIES (GFF)</t>
  </si>
  <si>
    <t>2.G.2.a</t>
  </si>
  <si>
    <t>Maintain an inventory of GFF.</t>
  </si>
  <si>
    <t>2.G.2.b</t>
  </si>
  <si>
    <t xml:space="preserve">Conduct, by the date of Contract expiration or termination, a joint inspection of GFF iaw the agreed Phase-Out plan or, in the event of contract termination, transfer GFF to follow-on Contractor or return to the Authority as directed. </t>
  </si>
  <si>
    <t>2.G.3</t>
  </si>
  <si>
    <t>CONTRACTOR FURNISHED MATERIAL (CFM)</t>
  </si>
  <si>
    <t>2.G.3.a</t>
  </si>
  <si>
    <t>None.</t>
  </si>
  <si>
    <t>2.G.4</t>
  </si>
  <si>
    <t>CONTRACTOR FURNISHED EQUIPMENT (CFE)</t>
  </si>
  <si>
    <t>2.G.4.a</t>
  </si>
  <si>
    <t>Provide all stationery used by Contractor's staff for performance of the contract.</t>
  </si>
  <si>
    <t>2.G.5</t>
  </si>
  <si>
    <t>CONTRACTOR FURNISHED FACILITIES (CFF)</t>
  </si>
  <si>
    <t>2.G.5.a</t>
  </si>
  <si>
    <t>TOTAL SECTION PRICE</t>
  </si>
  <si>
    <t>Current Contract</t>
  </si>
  <si>
    <t>Contract Start</t>
  </si>
  <si>
    <t>AL 38</t>
  </si>
  <si>
    <t>3.C.1</t>
  </si>
  <si>
    <t>CONTINGENCY PLANNING</t>
  </si>
  <si>
    <t>3.C.1.a</t>
  </si>
  <si>
    <t>Practice/execute the Station Call Out Plan.</t>
  </si>
  <si>
    <t>3.C.1.b</t>
  </si>
  <si>
    <t>Assist the Authority in the review of Contractor Contingency Plans.</t>
  </si>
  <si>
    <t>3.C.1.c</t>
  </si>
  <si>
    <t>Participate in Station Exercises and training</t>
  </si>
  <si>
    <t>3.C.1.d</t>
  </si>
  <si>
    <t>Participate in Arms Control Inspections.</t>
  </si>
  <si>
    <t>3.C.1.e</t>
  </si>
  <si>
    <t>Practice the Station Crash and Disaster Plan.</t>
  </si>
  <si>
    <t>3.C.1.f</t>
  </si>
  <si>
    <t>Practice the Station Emergencies Plan.</t>
  </si>
  <si>
    <t>3.C.1.g</t>
  </si>
  <si>
    <t>Practice the Station Fuel and Oil Spillage Plans.</t>
  </si>
  <si>
    <t>3.C.1.h</t>
  </si>
  <si>
    <t>Participate in Station ICP Committee Meetings.</t>
  </si>
  <si>
    <t>3.D</t>
  </si>
  <si>
    <t>3.D.1</t>
  </si>
  <si>
    <t>3.E</t>
  </si>
  <si>
    <t>INDEFINITE QUANTITY REQUIREMENTS</t>
  </si>
  <si>
    <t>3.E.1</t>
  </si>
  <si>
    <t>Known IQ requirements are included in this Section.  However, additional IQ, iaw Section 2.E.1  may be ordered to support this section.</t>
  </si>
  <si>
    <t>3.E.2</t>
  </si>
  <si>
    <t>Execute any of the Contingency Plans detailed in Table 3-1, as required.</t>
  </si>
  <si>
    <t>3.F</t>
  </si>
  <si>
    <t>3.F.1</t>
  </si>
  <si>
    <t>Develop and maintain a Call Out Plan for all contractor staff.</t>
  </si>
  <si>
    <t>3.F.2</t>
  </si>
  <si>
    <t>Update inputs to the Station Crash and Disaster Plan for contractor staff.</t>
  </si>
  <si>
    <t>3.F.3</t>
  </si>
  <si>
    <t>Update inputs to the Station Fuel and Oil Spillage Plan for contractor staff.  Includes Plan for RAF Scampton.</t>
  </si>
  <si>
    <t>3.F.4</t>
  </si>
  <si>
    <t>Update inputs to the Station NARO/HCMF plan for contractor staff.</t>
  </si>
  <si>
    <t>3.F.5</t>
  </si>
  <si>
    <t>Update inputs to the Station plans for MACA for contractor staff.</t>
  </si>
  <si>
    <t>3.F.6</t>
  </si>
  <si>
    <t>Control and amend as required all documents and publications held.</t>
  </si>
  <si>
    <t>3.G</t>
  </si>
  <si>
    <t>MATERIALS, EQUIPMENT AND FACILITIES</t>
  </si>
  <si>
    <t>3.G.1</t>
  </si>
  <si>
    <t>Any additional materials, equipment and facilities not listed elsewhere in the SOR will be MOD furnished: e.g. NBC suits, masks, etc.</t>
  </si>
  <si>
    <t>Option Year 4 - 2007/2008</t>
  </si>
  <si>
    <t>Option Year 5 - 2008/2009</t>
  </si>
  <si>
    <t>Units Delivered In Year</t>
  </si>
  <si>
    <t>Rate per Unit of Delivery</t>
  </si>
  <si>
    <t>Total Line Item Price</t>
  </si>
  <si>
    <t>IQ Price per Unit of Delivery</t>
  </si>
  <si>
    <t>4.C</t>
  </si>
  <si>
    <t>PERFORMANCE REQUIREMENTS.</t>
  </si>
  <si>
    <t>4.C.1</t>
  </si>
  <si>
    <t xml:space="preserve">PROVISION AND/OR MAINTENANCE OF AIRCRAFT </t>
  </si>
  <si>
    <t>4.C.1.a</t>
  </si>
  <si>
    <t xml:space="preserve">Provide aircraft handling and First Line Maintenance, to Depth A, of Dominie aircraft iaw AP101B-2001 series and the engineering policies laid down in JAP100A-01, AP100A-01 and AP100B-01. </t>
  </si>
  <si>
    <t>4.C.1.b</t>
  </si>
  <si>
    <t>Maintain Dominie aircraft to Depths B, C &amp; D and carry out Second and Third Line aircraft scheduled and other maintenance iaw AP101B-2001 series and engineering policies laid down in JAP100A, AP100A-01 and AP100B-01.</t>
  </si>
  <si>
    <t>4.C.2</t>
  </si>
  <si>
    <t>GENERAL MAINTENANCE</t>
  </si>
  <si>
    <t>4.C.2.a</t>
  </si>
  <si>
    <t>Carry out first line ground handling of military and civil aircraft visiting RAF Cranwell Monday to Friday only.</t>
  </si>
  <si>
    <t>4.C.2.b</t>
  </si>
  <si>
    <t xml:space="preserve">Instruct, examine and certify aircrew to perform Dominie aircraft maintenance iaw AP100B-01, Order 0171.  </t>
  </si>
  <si>
    <t>4.C.2.c</t>
  </si>
  <si>
    <t>Implement  the Foreign Object Damage (FOD) Policy detailed in GAI 3009.</t>
  </si>
  <si>
    <t>4.C.2.d</t>
  </si>
  <si>
    <t>Implement Flight Safety (FS) Policy iaw AP3207.</t>
  </si>
  <si>
    <t>4.C.2.e</t>
  </si>
  <si>
    <t>Action aircraft air and ground incidents iaw AP3207.</t>
  </si>
  <si>
    <t>4.D</t>
  </si>
  <si>
    <t>4.D.1</t>
  </si>
  <si>
    <t>Nothing.</t>
  </si>
  <si>
    <t>4.E</t>
  </si>
  <si>
    <t>4.E.1</t>
  </si>
  <si>
    <t>4.E.2</t>
  </si>
  <si>
    <t>Recover RAF Cranwell aircraft from any emergency, forced landing or unserviceability state at any airfield or landing strip in the UK or overseas.</t>
  </si>
  <si>
    <t>4.E.3</t>
  </si>
  <si>
    <t>Provide aircraft engineering facilities and support aircraft maintenance activities undertaken by other agents at the request of the Authority.</t>
  </si>
  <si>
    <t>4.F.</t>
  </si>
  <si>
    <t>4.F.1</t>
  </si>
  <si>
    <t>Control and maintain maintenance documentation and publications, iaw relevant orders in AP100B-01 and AP100C series.</t>
  </si>
  <si>
    <t>4.F.2</t>
  </si>
  <si>
    <t>Undertake certification and authorisation of aircraft tradesmen.</t>
  </si>
  <si>
    <t>4.F.3</t>
  </si>
  <si>
    <t xml:space="preserve">Action engineering aspects of aircraft incident signals iaw AP3207. </t>
  </si>
  <si>
    <t>4.F.4</t>
  </si>
  <si>
    <t>Maintain a register of aircrew authorised to carry out flight servicings.</t>
  </si>
  <si>
    <t>4.G</t>
  </si>
  <si>
    <t>MATERIALS, EQUIPMENT, AND FACILITIES</t>
  </si>
  <si>
    <t>4.G.1</t>
  </si>
  <si>
    <t>GOVERNMENT FURNISHED EQUIPMENT</t>
  </si>
  <si>
    <t>4.G.1.a</t>
  </si>
  <si>
    <t xml:space="preserve">Control and maintain 1st and 2nd line section tools. </t>
  </si>
  <si>
    <t>4.G.1.b</t>
  </si>
  <si>
    <t>Control and maintain ready use POL.</t>
  </si>
  <si>
    <t>4.G.2</t>
  </si>
  <si>
    <t>CONTRACTOR  FURNISHED EQUIPMENT</t>
  </si>
  <si>
    <t>4.G.2.a</t>
  </si>
  <si>
    <t>Provide protective clothing/equipment to personnel involved directly in aircraft work.</t>
  </si>
  <si>
    <t>Amendment No 37</t>
  </si>
  <si>
    <t>SECTION 5 - AIRCRAFT MECHANICAL SUPPORT FACILITIES</t>
  </si>
  <si>
    <t>Requirement</t>
  </si>
  <si>
    <t>5.C</t>
  </si>
  <si>
    <t>5.C.1</t>
  </si>
  <si>
    <t>MECHANICAL COMPONENT MAINTENANCE</t>
  </si>
  <si>
    <t>5.C.1.a</t>
  </si>
  <si>
    <t>Maintain Viper ECUs to Depth B.</t>
  </si>
  <si>
    <t>5.C.1.b</t>
  </si>
  <si>
    <t>Undertake EFDC support services for RAFAT Hawk and DSGT Jaguar aircraft.</t>
  </si>
  <si>
    <t>5.C.1.c</t>
  </si>
  <si>
    <t>Maintain Dominie and RAFAT Hawk aircraft hydraulic and mechanical components to Depth A &amp; B.</t>
  </si>
  <si>
    <t>5.C.1.d</t>
  </si>
  <si>
    <t>Undertake anti-deterioration maintenance on bay maintained hydraulic components.</t>
  </si>
  <si>
    <t>5.C.1.e</t>
  </si>
  <si>
    <t>Undertake Depth A &amp; B maintenance of Dominie and RAFAT Hawk wheels and tyres.</t>
  </si>
  <si>
    <t>5.C.1.f</t>
  </si>
  <si>
    <t>Undertake manufacture, repair and corrosion control of all RAF Cranwell based Dominie and RAFAT Hawk aircraft structural items.</t>
  </si>
  <si>
    <t>5.C.1.g</t>
  </si>
  <si>
    <t>Maintain Dominie and RAFAT Hawk aircraft oxygen components to Depth A &amp; B.</t>
  </si>
  <si>
    <t>5.C.1.h</t>
  </si>
  <si>
    <t>Carry out specialist and user maintenance on Oxygen Ground Support Equipment.</t>
  </si>
  <si>
    <t>5.C.1.i</t>
  </si>
  <si>
    <t>Undertake LOX sampling from each main 4000 Ltr LOX tank.</t>
  </si>
  <si>
    <t>5.D</t>
  </si>
  <si>
    <t>5.D.1</t>
  </si>
  <si>
    <t>5.E</t>
  </si>
  <si>
    <t>5.E.1</t>
  </si>
  <si>
    <t>Although there are no specific IQ requirements within this Section, IQ, iaw Section 2.E.1 may be ordered to support this section.</t>
  </si>
  <si>
    <t>5.F.</t>
  </si>
  <si>
    <t>5.F.1.a</t>
  </si>
  <si>
    <t>Maintain and control maintenance documentation and publications.</t>
  </si>
  <si>
    <t>5.F.1.b</t>
  </si>
  <si>
    <t>Undertake certification and authorisation of ac tradesmen.</t>
  </si>
  <si>
    <t>5.G</t>
  </si>
  <si>
    <t>MATERIALS EQUIPMENT AND FACILITIES</t>
  </si>
  <si>
    <t>5.G.1</t>
  </si>
  <si>
    <t>5.G.1.a</t>
  </si>
  <si>
    <t>Control and maintain ac mechanical support facility tools.</t>
  </si>
  <si>
    <t>5.G.1.b</t>
  </si>
  <si>
    <t>Control and maintain ready use  POL.</t>
  </si>
  <si>
    <t>5.G.2</t>
  </si>
  <si>
    <t>CONTRACTOR FURNISHED EQUIPMENT</t>
  </si>
  <si>
    <t>5.G.2.a</t>
  </si>
  <si>
    <t>Provide protective clothing/equipment to personnel involved directly in work on aircraft or support facilities.</t>
  </si>
  <si>
    <t>AL 53</t>
  </si>
  <si>
    <t>RCA 4191</t>
  </si>
  <si>
    <t>Al 57</t>
  </si>
  <si>
    <t>RCA 4363</t>
  </si>
  <si>
    <t>SECTION 6 - AIRCRAFT AVIONICS AND ELECTRICAL SUPPORT FACILITIES</t>
  </si>
  <si>
    <t>6.C</t>
  </si>
  <si>
    <t>6.C.1</t>
  </si>
  <si>
    <t>AVIONICS  AND ELECTRICAL EQUIPMENT MAINTENANCE</t>
  </si>
  <si>
    <t>6.C.1.a</t>
  </si>
  <si>
    <t>Maintain Dominie and Hawk avionics and electrical equipment at 2nd line to Depth B and limited Depth C.</t>
  </si>
  <si>
    <t>6.C.1.b</t>
  </si>
  <si>
    <t>Maintain limited Tucano avionics and electrical equipment at 2nd line to Depth B.</t>
  </si>
  <si>
    <t>6.C.1.c</t>
  </si>
  <si>
    <t>Maintain limited Glider avionics and electrical equipment at 2nd line to Depth B.</t>
  </si>
  <si>
    <t>6.C.1.d</t>
  </si>
  <si>
    <t>Provide assistance to the Avionics Integrated Project Team.</t>
  </si>
  <si>
    <t>6.C.1.e</t>
  </si>
  <si>
    <t xml:space="preserve">Maintain and repair headsets. </t>
  </si>
  <si>
    <t>6.C.1.f</t>
  </si>
  <si>
    <t>Manage and control the Station Electrostatic Discharge Protected Areas (EDPA) iaw AP100B-01.</t>
  </si>
  <si>
    <t>6.C.2</t>
  </si>
  <si>
    <t>Line item deleted.</t>
  </si>
  <si>
    <t>6.C.2.a</t>
  </si>
  <si>
    <t>6.C.3</t>
  </si>
  <si>
    <t>TEST AND MEASURING EQUIPMENT (TME).</t>
  </si>
  <si>
    <t>6.C.3.a</t>
  </si>
  <si>
    <t>Control and co-ordinate RAF Cranwell (including HQEFT), RAF Scampton and RAF Syerston scaling of Test and Measuring Equipment (TME) iaw AP100C-50.</t>
  </si>
  <si>
    <t>6.C.3.b</t>
  </si>
  <si>
    <t>Control and co-ordinate RAF Cranwell (including HQEFT), RAF Scampton and RAF Syerston Precision Termination Tooling (PTT), iaw AP100A-01 Lft 382 and AP120M-0612-1.</t>
  </si>
  <si>
    <t>6.C.3.c</t>
  </si>
  <si>
    <t xml:space="preserve">Co-ordinate and control the maintenance of all Station Radiation Monitoring Instruments. </t>
  </si>
  <si>
    <t>6.C.3.d</t>
  </si>
  <si>
    <t>Undertake MT supported journeys to Calibration Laboratories.</t>
  </si>
  <si>
    <t>6.C.4</t>
  </si>
  <si>
    <t>GENERAL</t>
  </si>
  <si>
    <t>6.C.4.a</t>
  </si>
  <si>
    <t>Maintain and carry out user responsibilities of minor GSE and test equipment.</t>
  </si>
  <si>
    <t>6.D</t>
  </si>
  <si>
    <t>WATCHSTANDING  REQUIREMENT</t>
  </si>
  <si>
    <t>6.D.1</t>
  </si>
  <si>
    <t>6.E</t>
  </si>
  <si>
    <t>INDEFINITE QUANTITY (IQ) REQUIREMENTS</t>
  </si>
  <si>
    <t>6.E.1</t>
  </si>
  <si>
    <t>6.E.2</t>
  </si>
  <si>
    <t>Maintain Canberra electrical equipment as requested by ES Air, Avionics &amp; EW IPTL.</t>
  </si>
  <si>
    <t>6.E.3</t>
  </si>
  <si>
    <t>Maintain specified Jetstream avionics and electrical equipment at 2nd line to Depth B, as requested by ES Air AVC avinel1b.</t>
  </si>
  <si>
    <t>£2000 per month</t>
  </si>
  <si>
    <t>£2060 per month</t>
  </si>
  <si>
    <t>£2120 per month</t>
  </si>
  <si>
    <t>£2199.05 per month</t>
  </si>
  <si>
    <t>£2269.41 per month</t>
  </si>
  <si>
    <t>£2342.04 per month</t>
  </si>
  <si>
    <t>£2416.98 per month</t>
  </si>
  <si>
    <t>£2494.32 per month</t>
  </si>
  <si>
    <t>6.F</t>
  </si>
  <si>
    <t>6.F.1.a</t>
  </si>
  <si>
    <t>Maintain a register of Station TME.</t>
  </si>
  <si>
    <t>6.F.1.b</t>
  </si>
  <si>
    <t>Maintain individual registers for Station technical and non-technical weighing equipment and Station Radiation Monitoring Instruments.</t>
  </si>
  <si>
    <t>6.F.1.c</t>
  </si>
  <si>
    <t>Maintain individual registers for Station PTT and Station Electrostatic Discharge Protected Areas.</t>
  </si>
  <si>
    <t>6.F.1.d</t>
  </si>
  <si>
    <t>Control and maintain associated documentation and publications, iaw relevant orders in AP100B-01 and AP100C series.</t>
  </si>
  <si>
    <t>6.F.1.e</t>
  </si>
  <si>
    <t>Maintain records of relevant training, qualifications and experience for all employees engaged in engineering work under this section.</t>
  </si>
  <si>
    <t>6.F.1.f</t>
  </si>
  <si>
    <t>Authorise tradesmen employed on the activities at 6.F.1.e, as required by AP100A-01 Lft 109.</t>
  </si>
  <si>
    <t>6.G</t>
  </si>
  <si>
    <t>6.G.1</t>
  </si>
  <si>
    <t>6.G.1.a</t>
  </si>
  <si>
    <t>Control and maintain section tools.</t>
  </si>
  <si>
    <t>6.G.1.b</t>
  </si>
  <si>
    <t>Control and maintain ready use POL requirements.</t>
  </si>
  <si>
    <t>6.G.1.c</t>
  </si>
  <si>
    <t>Control and use Remote Viewing Aids (RVA) iaw AP100A-01 Lft 322.</t>
  </si>
  <si>
    <t>6.G.2</t>
  </si>
  <si>
    <t>6.G.2.a</t>
  </si>
  <si>
    <t>Provide protective clothing to personnel directly involved in work on components or aircraft.</t>
  </si>
  <si>
    <t>SECTION 7 - AIRCRAFT FLYING CLOTHING AND SURVIVAL EQUIPMENT SUPPORT</t>
  </si>
  <si>
    <t>7.C</t>
  </si>
  <si>
    <t>7.C.1</t>
  </si>
  <si>
    <t>AIRCREW EQUIPMENT ASSEMBLIES</t>
  </si>
  <si>
    <t>7.C.1.a</t>
  </si>
  <si>
    <t xml:space="preserve">Provide counter service for the issue and receipt of Dominie Aircrew Equipment Assemblies (AEA).
</t>
  </si>
  <si>
    <t>7.C.1.b</t>
  </si>
  <si>
    <t>Maintain  Aircrew Equipment Assemblies (AEA) for Dominie and Firefly aircraft to Depths A and B and visiting aircrew to Depth A.</t>
  </si>
  <si>
    <t>7.C.1.c</t>
  </si>
  <si>
    <t>Carry out fitting of flying helmets.</t>
  </si>
  <si>
    <t>7.C.1.d</t>
  </si>
  <si>
    <t>Carry out sizing and fitting of Mk1 Aircrew Boot.</t>
  </si>
  <si>
    <t>7.C.1.e</t>
  </si>
  <si>
    <t>Fit AEA to aircraft passengers.</t>
  </si>
  <si>
    <t>7.C.1.f</t>
  </si>
  <si>
    <t>Categorize, prepare for storage, transport and carry out all clothing store (includes laundry service) transactions of flying clothing.</t>
  </si>
  <si>
    <t>7.C.2</t>
  </si>
  <si>
    <t>SURVIVAL EQUIPMENT</t>
  </si>
  <si>
    <t>7.C.2.a</t>
  </si>
  <si>
    <t>Maintain survival equipment for Dominie aircraft to Depths A and B and visiting aircraft to Depth A.</t>
  </si>
  <si>
    <t>7.C.2.b</t>
  </si>
  <si>
    <t>Assemble, maintain to depths A and B and leak test Immersion Suits.</t>
  </si>
  <si>
    <t>7.C.2.c</t>
  </si>
  <si>
    <t>Maintain survival equipment for RAFAT Hawk aircraft to Depths B.</t>
  </si>
  <si>
    <t>7.C.2.d</t>
  </si>
  <si>
    <t>Maintain glider harnesses and QRF's to Depth B and limited Depth C in support of Central Glider Maintenance Flight (CGMF).</t>
  </si>
  <si>
    <t>7.C.3</t>
  </si>
  <si>
    <t>WET DRILL EQUIPMENT</t>
  </si>
  <si>
    <t>7.C.3.a</t>
  </si>
  <si>
    <t>Fit and issue wet drill immersion coveralls and protective helmets.  Provide SE fitter support to accompany and recover equipment on wet drills.  Carry out periodic, after use and corrective maintenance of all wet drill equipment.</t>
  </si>
  <si>
    <t>7.C.4</t>
  </si>
  <si>
    <t>7.C.4.a</t>
  </si>
  <si>
    <t xml:space="preserve">Maintain survival equipment for ground survival training in support of the Combat Survival Rescue Officer's requirements. </t>
  </si>
  <si>
    <t>7.C.4.b</t>
  </si>
  <si>
    <t>Maintain and carry out user responsibilities of Minor GSE and test equipment.</t>
  </si>
  <si>
    <t>7.C.4.c</t>
  </si>
  <si>
    <t xml:space="preserve">Maintain HQEFT survival equipment to Depth B.  </t>
  </si>
  <si>
    <t>7.C.4.d</t>
  </si>
  <si>
    <t>Maintain ground use survival equipment and flying clothing in support of DSGT AMIF.</t>
  </si>
  <si>
    <t>7.C.4.e</t>
  </si>
  <si>
    <r>
      <t>Replenish and store the Cranwell Paintball Guns CO</t>
    </r>
    <r>
      <rPr>
        <vertAlign val="superscript"/>
        <sz val="9"/>
        <rFont val="Arial"/>
        <family val="2"/>
      </rPr>
      <t>2</t>
    </r>
    <r>
      <rPr>
        <sz val="9"/>
        <rFont val="Arial"/>
        <family val="2"/>
      </rPr>
      <t xml:space="preserve"> gas bottles.</t>
    </r>
  </si>
  <si>
    <t>7.D</t>
  </si>
  <si>
    <t>7.D.1</t>
  </si>
  <si>
    <t>None</t>
  </si>
  <si>
    <t>7.E</t>
  </si>
  <si>
    <t>7.E.1</t>
  </si>
  <si>
    <t>Known IQ requirements are included in this Section, however, additional IQ, iaw Section 2.E.1  may be ordered to support this section.</t>
  </si>
  <si>
    <t>7.E.2</t>
  </si>
  <si>
    <t>Fit and issue sea drill immersion coveralls and protective helmets.  Provide SE fitter support to accompany and recover equipment on sea drills.  Carry out periodic, after use and corrective maintenance of all sea drill equipment.</t>
  </si>
  <si>
    <t>7.F.1</t>
  </si>
  <si>
    <t>7.F.1.a</t>
  </si>
  <si>
    <t>Control and maintain records, associated documentation and publications, iaw relevant orders in AP100B-01 and AP100C series.</t>
  </si>
  <si>
    <t>7.F.1.b</t>
  </si>
  <si>
    <t>Maintain details of relevant training, qualifications and experience for employees engaged in engineering work under this section.</t>
  </si>
  <si>
    <t>7.F.1.c</t>
  </si>
  <si>
    <t>Authorise tradesmen employed on the activities in this Section, as required by AP100A-01 Lft 109.</t>
  </si>
  <si>
    <t>7.G.1</t>
  </si>
  <si>
    <t>7.G.1.a</t>
  </si>
  <si>
    <t>Control and maintain section tools iaw AP100B-01, Order 2035.</t>
  </si>
  <si>
    <t>7.G.1.b</t>
  </si>
  <si>
    <t>Control and maintain ready use POL requirements iaw AP100B-01 Order 3035.</t>
  </si>
  <si>
    <t>7.G.2</t>
  </si>
  <si>
    <t>7.G.2.a</t>
  </si>
  <si>
    <t>Provide protective clothing and equipment to personnel directly involved in work on equipment or aircraft.</t>
  </si>
  <si>
    <t>Option Year 8 - 2010/2011</t>
  </si>
  <si>
    <t>AL22</t>
  </si>
  <si>
    <t>AL37</t>
  </si>
  <si>
    <t>SECTION 8 - MEDIA SERVICES</t>
  </si>
  <si>
    <t>Year 6 - 2009/2010</t>
  </si>
  <si>
    <t>Year 7 - 2010/2011</t>
  </si>
  <si>
    <t>Year 8 - 2011/2012</t>
  </si>
  <si>
    <t>8.C</t>
  </si>
  <si>
    <t>8.C.1</t>
  </si>
  <si>
    <t>PHOTOGRAPHIC SERVICES</t>
  </si>
  <si>
    <t>8.C.1.a</t>
  </si>
  <si>
    <t>Provide photographic support  to RAF Cranwell and parented units listed at Table 8-4.</t>
  </si>
  <si>
    <t>8.C.1.b</t>
  </si>
  <si>
    <t>Provide a reproduction service.</t>
  </si>
  <si>
    <t>8.C.1.c</t>
  </si>
  <si>
    <t>Undertake the copying of classified material.</t>
  </si>
  <si>
    <t>8.C.1.d</t>
  </si>
  <si>
    <t>Undertake the finishing/binding of documents.</t>
  </si>
  <si>
    <t>8.C.1.e</t>
  </si>
  <si>
    <t>Carry out user maintenance to maintain the quality of reprographics output.</t>
  </si>
  <si>
    <t>8.C.1.f</t>
  </si>
  <si>
    <t>Provide a general/specialist graphics service to include visual aids preparation.</t>
  </si>
  <si>
    <t>Additional information (See SOR).</t>
  </si>
  <si>
    <t>8.C.1.g</t>
  </si>
  <si>
    <t>Line item deleted.  See 8.C.1.f.</t>
  </si>
  <si>
    <t>8.D</t>
  </si>
  <si>
    <t>WATCHSTANDING  REQUIREMENTS</t>
  </si>
  <si>
    <t>8.D.1</t>
  </si>
  <si>
    <t>8.E</t>
  </si>
  <si>
    <t>8.E.1</t>
  </si>
  <si>
    <t>8.F</t>
  </si>
  <si>
    <t>8.F.1.a</t>
  </si>
  <si>
    <t>Control and maintain publications and documentation.</t>
  </si>
  <si>
    <t>8.F.1.b</t>
  </si>
  <si>
    <t>Maintain photographic negative registers.</t>
  </si>
  <si>
    <t>8.F.1.c</t>
  </si>
  <si>
    <t>Maintain an Identity Photograph register</t>
  </si>
  <si>
    <t>8.F.1.d</t>
  </si>
  <si>
    <t>Maintain records of all authorised tasks undertaken in the Media Centre.</t>
  </si>
  <si>
    <t>8.F.1.e</t>
  </si>
  <si>
    <t>Maintain a material stock register.</t>
  </si>
  <si>
    <t>8.G</t>
  </si>
  <si>
    <t>MATERIAL, EQUIPMENT AND FACILITIES</t>
  </si>
  <si>
    <t>8.G.1</t>
  </si>
  <si>
    <t>GOVERNMENT FURNISHED EQUIPMENT AND MATERIAL (GFE/GFM)</t>
  </si>
  <si>
    <t>8.G.1.a</t>
  </si>
  <si>
    <t>Maintain photographic equipment.</t>
  </si>
  <si>
    <t>8.G.1.b</t>
  </si>
  <si>
    <t>Prior to contract start, inventory all GFE in liaison with a representative nominated by the DO.  Equipment includes all furniture and office equipment, computers, graphics and reprographic equipment and other general maintenance equipment.</t>
  </si>
  <si>
    <t>8.G.1.c</t>
  </si>
  <si>
    <t>Maintain and repair GFE iaw with requirements of this Section and the provision of the Conditions of Contract.  Return GFE on completion of the contract.</t>
  </si>
  <si>
    <t>8.G.1.d</t>
  </si>
  <si>
    <t>All specific materials for administrative tasks which can only be obtained through MoD sources, will be provided by the MoD.  Prior to contract start, check (inventory) all stock.</t>
  </si>
  <si>
    <t>8.G.2</t>
  </si>
  <si>
    <t>CONTRACTOR FURNISHED EQUIPMENT AND MATERIAL (CFE/CFM)</t>
  </si>
  <si>
    <t>8.G.2.a</t>
  </si>
  <si>
    <t xml:space="preserve">With the exception of flying clothing, provide protective clothing and equipment to personnel directly involved in work. </t>
  </si>
  <si>
    <t>8.G.2.b</t>
  </si>
  <si>
    <t>Provide all materials in support of the task not provided as GFM in item 8.G.1.d.  Similar task at Section 2.G.4.a.</t>
  </si>
  <si>
    <t>8.G.2.c</t>
  </si>
  <si>
    <t>Notwithstanding the GFE provided, the Contractor may install such equipment as he sees fit for the execution of the tasks in this Section.  All equipment so provided will be the sole responsibility of the Contractor.</t>
  </si>
  <si>
    <t>AL 43</t>
  </si>
  <si>
    <t>RCA 4095</t>
  </si>
  <si>
    <t>AL 52</t>
  </si>
  <si>
    <t>SECTION 9 - ENGINEERING OPERATIONS AND RECORDS SUPPORT FACILITIES</t>
  </si>
  <si>
    <t>9.C</t>
  </si>
  <si>
    <t>9.C.1</t>
  </si>
  <si>
    <t>ENGINEERING OPERATIONS AND RECORDS</t>
  </si>
  <si>
    <t>9.C.1.a</t>
  </si>
  <si>
    <t>Centrally control and manage all RAF Cranwell Dominie visiting aircraft engineering activities.</t>
  </si>
  <si>
    <t>9.C.1.b</t>
  </si>
  <si>
    <t>Control and manage all engineering records for RAF Cranwell Dominie aircraft and MDS code RAFAT forms iaw the relevant orders in AP100B-01 and the AP100C series.</t>
  </si>
  <si>
    <t>9.C.1.c</t>
  </si>
  <si>
    <t>Authorise and certify engineering personnel iaw AP100B-01 Order 3651, AP100-A Leaflet 109 and JAP100-A.</t>
  </si>
  <si>
    <t>9.C.1.d</t>
  </si>
  <si>
    <t>Control the conditioning of technical equipment iaw  AP100B-01 Order 0811.</t>
  </si>
  <si>
    <t>9.C.1.e</t>
  </si>
  <si>
    <t>Undertake responsibilities for engineering filing systems and classified documents iaw AP3086.</t>
  </si>
  <si>
    <t>9.C.1.f</t>
  </si>
  <si>
    <t>Distribute engineering mail and signal traffic on Station.</t>
  </si>
  <si>
    <t>9.C.1.g</t>
  </si>
  <si>
    <t>Control all unit tools iaw AP100B-01 Order 2035.</t>
  </si>
  <si>
    <t>9.C.1.h</t>
  </si>
  <si>
    <t>Undertake data analysis requirement in support of RAF Cranwell flying task.</t>
  </si>
  <si>
    <t>9.C.1.i</t>
  </si>
  <si>
    <t>Maintain the Eng Wing Technical library.</t>
  </si>
  <si>
    <t>9.D</t>
  </si>
  <si>
    <t>9.D.1</t>
  </si>
  <si>
    <t>9.E</t>
  </si>
  <si>
    <t>9.E.1</t>
  </si>
  <si>
    <t>9.F</t>
  </si>
  <si>
    <t>9.F.1</t>
  </si>
  <si>
    <t>Record flying training data for aircrew staff and students.</t>
  </si>
  <si>
    <t>9.F.2</t>
  </si>
  <si>
    <t>Produce daily, weekly and monthly stats/reports.</t>
  </si>
  <si>
    <t>9.F.3</t>
  </si>
  <si>
    <t>Produce and maintain a Company Order Book (COB).</t>
  </si>
  <si>
    <t>9.F.4</t>
  </si>
  <si>
    <t>Maintain registers of tool kits, tool kit custodians and tool disc holders on the Station.</t>
  </si>
  <si>
    <t>9.F.5</t>
  </si>
  <si>
    <t>Maintain a register of publications held by the Eng Wing technical library.</t>
  </si>
  <si>
    <t>9.G</t>
  </si>
  <si>
    <t>GOVERNMENT/CONTRACTOR MATERIALS, EQUIPMENT, AND FACILITIES</t>
  </si>
  <si>
    <t>9.G.1</t>
  </si>
  <si>
    <t>SECTION 10 - GENERAL ENGINEERING SUPPORT (ARMAMENT AND RANGE DE-LEADING</t>
  </si>
  <si>
    <t>10.C</t>
  </si>
  <si>
    <t>10.C.1</t>
  </si>
  <si>
    <t>GSE MAINTENANCE</t>
  </si>
  <si>
    <t>10.C.1.a</t>
  </si>
  <si>
    <t>Control the maintenance and disposition of GSE.  The responsibilities of the GSE controller are to be laid down in AP100E-10, Chapter 4, Annex B.</t>
  </si>
  <si>
    <t>10.C.1.a(i)</t>
  </si>
  <si>
    <t>Maintain mechanical and electrical Major GSE to Depth A &amp; B iaw AP100E-10.</t>
  </si>
  <si>
    <t>10.C.1.a(ii)</t>
  </si>
  <si>
    <t>Repair Minor GSE when such repair requires skills or facilities which are not available on the user section iaw the policies laid down in AP100E-10.</t>
  </si>
  <si>
    <t>10.C.1.a(iii)</t>
  </si>
  <si>
    <t>Test Minor Electrical GSE, other than Electrical Equipment (non GSE) and non public mains operated domestic electrical equipment iaw AP119F-0010-5F.</t>
  </si>
  <si>
    <t>10.C.1.a(iv)</t>
  </si>
  <si>
    <t>Maintain Minor Electrical and other electrical equipment (non GSE) iaw AP100E-10 and AP830.</t>
  </si>
  <si>
    <t>10.C.1.b</t>
  </si>
  <si>
    <t>Undertake the design, installation, testing, maintenance and subsequent removal of temporary electrical installations (TEI) iaw AP113A-0201-1 Chap 4.</t>
  </si>
  <si>
    <t>10.C.1.c</t>
  </si>
  <si>
    <t>10.C.1.d</t>
  </si>
  <si>
    <t>Maintain lifting tackle to Depths A and B iaw AP119K-0001-1 and the schedules laid down in AP119K-0001-5F.</t>
  </si>
  <si>
    <t>10.C.1.e</t>
  </si>
  <si>
    <t>Maintain gate guardian aircraft iaw GSE Schedule 3/79.</t>
  </si>
  <si>
    <t>10.C.1.f</t>
  </si>
  <si>
    <t>Maintain racking to Depth A and B iaw AP119A-1501-1.</t>
  </si>
  <si>
    <t>10.C.2</t>
  </si>
  <si>
    <t>BATTERY MAINTENANCE</t>
  </si>
  <si>
    <t>10.C.2.a</t>
  </si>
  <si>
    <t>Maintain alkaline and lead acid batteries to Depth B for RAF Cranwell and parented units.  This includes battery powered airfield obstruction lights used by OACTU during field exercises.</t>
  </si>
  <si>
    <t>10.C.2.b</t>
  </si>
  <si>
    <t xml:space="preserve">Maintain Battery Charging Room equipment to Depth A and B. </t>
  </si>
  <si>
    <t>10.C.3</t>
  </si>
  <si>
    <t>AIRFIELD BARRIER MAINTENANCE</t>
  </si>
  <si>
    <t>10.C.3.a</t>
  </si>
  <si>
    <t>Undertake Depth A and B maintenance of airfield arrester barrier equipment at RAF Cranwell &amp; RAF Scampton.</t>
  </si>
  <si>
    <t>10.C.4</t>
  </si>
  <si>
    <t>WORKSHOPS</t>
  </si>
  <si>
    <t>10.C.4.a</t>
  </si>
  <si>
    <t xml:space="preserve">Advise on, survey if necessary, assess and carry out Form 6 costing for proposed manufacturing tasks. </t>
  </si>
  <si>
    <t>10.C.4.b</t>
  </si>
  <si>
    <t>Manufacture, from drawing or pattern, sheet metal components, assemblies and signs.  Manufacture welded assemblies and signs, weld repair components and assemblies iaw AP119A-1201-1.  Welding of aircraft components to be undertaken iaw AP119G-0008-1 Chap 3.  Manufacture and modify machined components.</t>
  </si>
  <si>
    <t>10.C.4.c</t>
  </si>
  <si>
    <t>Line deleted - See 10.C.4.b.</t>
  </si>
  <si>
    <t>10.C.4.d</t>
  </si>
  <si>
    <t>10.C.4.e</t>
  </si>
  <si>
    <t xml:space="preserve">Manufacture, repair and modify timber  items. </t>
  </si>
  <si>
    <t>10.C.4.f</t>
  </si>
  <si>
    <t>Manufacture, modify and repair fabric items.</t>
  </si>
  <si>
    <t>10.C.4.g</t>
  </si>
  <si>
    <t xml:space="preserve">Mount, carry out periodic inspections and dress when necessary, all bench mounted abrasive wheels. </t>
  </si>
  <si>
    <t>10.C.5</t>
  </si>
  <si>
    <t xml:space="preserve">PAINTING AND FINISHING </t>
  </si>
  <si>
    <t>10.C.5.a</t>
  </si>
  <si>
    <t>Maintain and restore on-aircraft surface finish to Depths A, B, C and D for RAF Cranwell based Dominie aircraft and to Depths A, B and C for RAFAT Hawk aircraft.</t>
  </si>
  <si>
    <t>10.C.5.b</t>
  </si>
  <si>
    <t xml:space="preserve">For RAF Cranwell based and RAFAT aircraft, maintain and restore off-aircraft surface finish of aircraft panels, components and role equipment to Depth A and B. </t>
  </si>
  <si>
    <t>10.C.5.c</t>
  </si>
  <si>
    <t xml:space="preserve">Maintain the surface finish of GSE in accordance with AP119A-0702-0. </t>
  </si>
  <si>
    <t>10.C.5.d</t>
  </si>
  <si>
    <t>Maintain the surface finish of "Green Fleet" MT vehicles.</t>
  </si>
  <si>
    <t>10.C.5.e</t>
  </si>
  <si>
    <t>Maintain surface finish of Gate Guardian aircraft iaw GSE Schedule 03/79.</t>
  </si>
  <si>
    <t>10.C.5.f</t>
  </si>
  <si>
    <t xml:space="preserve">Make and maintain signs. </t>
  </si>
  <si>
    <t>10.C.5.g</t>
  </si>
  <si>
    <t>Make engraved signs, door plates and name tags for RAF Cranwell and parented units.</t>
  </si>
  <si>
    <t>10.C.5.h</t>
  </si>
  <si>
    <t>Apply protective finish to components and equipment manufactured in station workshops.</t>
  </si>
  <si>
    <t>10.C.5.i</t>
  </si>
  <si>
    <t>Spray refinish aircrew helmets.</t>
  </si>
  <si>
    <t>10.C.5.j</t>
  </si>
  <si>
    <t>Test breathing air quality to BS4275 for all positive pressure breathing equipment on the station.</t>
  </si>
  <si>
    <t>10.C.6</t>
  </si>
  <si>
    <t>CEREMONIAL EQUIPMENT</t>
  </si>
  <si>
    <t>10.C.6.a</t>
  </si>
  <si>
    <t>Erect, dismantle and maintain regalia, seating modules, dais and associated equipment.</t>
  </si>
  <si>
    <t>10.C.7</t>
  </si>
  <si>
    <t>SMALL ARMS STORAGE AND MAINTENANCE</t>
  </si>
  <si>
    <t>10.C.7.a</t>
  </si>
  <si>
    <t>Store, issue and receive small arms iaw AP110K-0001-2(R)1 Part 1 Leaflet 001.</t>
  </si>
  <si>
    <t>10.C.7.b</t>
  </si>
  <si>
    <t>Maintain small arms to Depth A and B iaw AP110K-0001-2(R)1, Part 1, Leaflet 001 and relevant orders in AP100B-01.</t>
  </si>
  <si>
    <t>10.C.7.c</t>
  </si>
  <si>
    <t>Store, issue and receive private weapons and non Service weapons belonging to stn personnel iaw AP110K-0001-2(R)1 Pt 1 Lft 002.</t>
  </si>
  <si>
    <t>10.C.7.d</t>
  </si>
  <si>
    <t>Provide armament maintenance support and advice to parented Air Training Corps Squadrons.</t>
  </si>
  <si>
    <t>10.C.7.e</t>
  </si>
  <si>
    <t>Carry out physical check of RAF Cranwell small arms on the occasions laid down in JSP 440.</t>
  </si>
  <si>
    <t>10.C.7.f</t>
  </si>
  <si>
    <t>Provide Range De-leading services at RAF Cranwell and RAF Digby.</t>
  </si>
  <si>
    <t>N/A</t>
  </si>
  <si>
    <t>10.C.8</t>
  </si>
  <si>
    <t xml:space="preserve">EXPLOSIVE STORAGE </t>
  </si>
  <si>
    <t>10.C.8.a</t>
  </si>
  <si>
    <t>Manage, collect, receive and store ammunition and pyrotechnic devices and dispose of unusable stores.  This task is to be carried out iaw AP110A-0102 series, AP830 Vol 1 (8th Edition) and JSP 482.</t>
  </si>
  <si>
    <t>10.C.8.b</t>
  </si>
  <si>
    <t>Issue ammunition and pyrotechnic devices undertaken in support of Station and parented unit requirements.</t>
  </si>
  <si>
    <t>10.C.8.c</t>
  </si>
  <si>
    <t xml:space="preserve">Inspect all explosive areas and licensed facilities at RAF Cranwell &amp; Parented Units iaw AP110A-0102 and JSP 482.  </t>
  </si>
  <si>
    <t>10.C.8.d</t>
  </si>
  <si>
    <t>Certify empty ammunition containers and fired cases free from explosives and dispose iaw AP110A-0102-1C and JSP 482.</t>
  </si>
  <si>
    <t>10.C.9</t>
  </si>
  <si>
    <t>AIRCRAFT EQUIPMENT MAINTENANCE</t>
  </si>
  <si>
    <t>10.C.9.a</t>
  </si>
  <si>
    <t>Maintain aircraft fire extinguishers to Depth A &amp; B.</t>
  </si>
  <si>
    <t>10.C.9.b</t>
  </si>
  <si>
    <t>Maintain pyrotechnics fitted to aircraft Survival Equipment iaw AP110E series.</t>
  </si>
  <si>
    <t>10.C.10</t>
  </si>
  <si>
    <t>10.C.10.a</t>
  </si>
  <si>
    <t>Control and maintain associated documentation and publications, iaw AP100B-01, AP100C series and, for armament, explosive and weapons associated documentation, AP110K-0001-2(R)1 Pt 1 Lft 001.</t>
  </si>
  <si>
    <t>10.C.10.b</t>
  </si>
  <si>
    <t>Undertake radome maintenance for AN/TRN 26 (Tacan) iaw AP115Z-0800-45.</t>
  </si>
  <si>
    <t>10.C.10.c</t>
  </si>
  <si>
    <t>Manage and administer Station shooting ranges iaw AP3205 and JSP 403.</t>
  </si>
  <si>
    <t>10.C.10.d</t>
  </si>
  <si>
    <t>Maintain spillage kit for tritium light source gun sight.</t>
  </si>
  <si>
    <t>10.C.10.e</t>
  </si>
  <si>
    <t>Respond to armoury staff call out outside normal working hours.</t>
  </si>
  <si>
    <t>10.C.10.f</t>
  </si>
  <si>
    <t>Attend Station siting boards when requested and advise on armament aspects of works services.</t>
  </si>
  <si>
    <t>10.C.10.g</t>
  </si>
  <si>
    <t xml:space="preserve">Raise and monitor licence applications for Explosive Storage Facilities.  </t>
  </si>
  <si>
    <t>10.C.10.h</t>
  </si>
  <si>
    <t>Instruct Air Traffic Control (ATC) personnel in handling and firing the signal pistol.</t>
  </si>
  <si>
    <t>10.C.10.i</t>
  </si>
  <si>
    <t>Deliver and collect small arms to/from RAF Scampton.</t>
  </si>
  <si>
    <t>10.D</t>
  </si>
  <si>
    <t>10.D.1</t>
  </si>
  <si>
    <t>10.E</t>
  </si>
  <si>
    <t>10.E.1</t>
  </si>
  <si>
    <t>10.E.2</t>
  </si>
  <si>
    <t>Issue weapons and or explosives to OACTU for events not covered in Table 10-4 and outside of the Station normal operating hours.</t>
  </si>
  <si>
    <t>10.F</t>
  </si>
  <si>
    <t>10.F.1</t>
  </si>
  <si>
    <t>Submit GEMS returns to DLO (LSS2).</t>
  </si>
  <si>
    <t>10.F.2</t>
  </si>
  <si>
    <t>Maintain a register of Minor Electrical GSE.</t>
  </si>
  <si>
    <t>10.F.3</t>
  </si>
  <si>
    <t>Maintain a register of Other Electrical Equipment (Non GSE).</t>
  </si>
  <si>
    <t>10.F.4</t>
  </si>
  <si>
    <t>Maintain workshops Task Register and Expense Books iaw AP100B-01, Order 2325.</t>
  </si>
  <si>
    <t>10.F.5</t>
  </si>
  <si>
    <t>Maintain a register of Non-public Mains Operated Domestic Electrical Equipment.</t>
  </si>
  <si>
    <t>10.F.6</t>
  </si>
  <si>
    <t>Maintain a record of results of positive pressure breathing equipment air tests.</t>
  </si>
  <si>
    <t>10.F.7</t>
  </si>
  <si>
    <t>Maintain running tallies of ATE of ammunition and explosives consumed.</t>
  </si>
  <si>
    <t>10.F.8</t>
  </si>
  <si>
    <t>Record in the Danger Building Log Book results of inspections of licensed facilities iaw AP110A-0102-1B and JSP 482.</t>
  </si>
  <si>
    <t>10.F.9</t>
  </si>
  <si>
    <t>Maintain constraints register and associated lists, iaw AP110A-0102 series and JSP 482.</t>
  </si>
  <si>
    <t>10.F.10</t>
  </si>
  <si>
    <t>Make statistical returns of explosive consumption.</t>
  </si>
  <si>
    <t>10.F.11</t>
  </si>
  <si>
    <t>Maintain and update armament related maps for RAF Cranwell.</t>
  </si>
  <si>
    <t>10.F.12</t>
  </si>
  <si>
    <t>Maintain historical details of relevant training, qualifications and experience for employees engaged in engineering work under this section.</t>
  </si>
  <si>
    <t>10.F.13</t>
  </si>
  <si>
    <t>Authorise tradesmen employed on the activities above iaw AP100A-01 Lft 109.</t>
  </si>
  <si>
    <t>10.F.14</t>
  </si>
  <si>
    <t>Submit records of AAES explosives fitted to aircraft iaw AP110A-102-1C and JSP482.</t>
  </si>
  <si>
    <t>10.G</t>
  </si>
  <si>
    <t>10.G.1</t>
  </si>
  <si>
    <t>10.G.1.a</t>
  </si>
  <si>
    <t>Control and maintain tools within the General Engineering and Armament Section facility iaw AP100B-01, Order 2035.</t>
  </si>
  <si>
    <t>10.G.1.b</t>
  </si>
  <si>
    <t xml:space="preserve">Carry out Pre-use Checks and Depth A and B maintenance on general purpose workshop equipment (WSE) and Daily maintenance on Fixed Machine Tools (FMT). </t>
  </si>
  <si>
    <t>10.G.1.c</t>
  </si>
  <si>
    <t>10.G.1.d</t>
  </si>
  <si>
    <t>All necessary RAF Forms for the day-to-day operation of the Ground Equipment Support Section will be provided.</t>
  </si>
  <si>
    <t>10.G.2</t>
  </si>
  <si>
    <t>10.G.2.a</t>
  </si>
  <si>
    <t xml:space="preserve">Provide protective clothing and necessary equipment to personnel directly involved in work. </t>
  </si>
  <si>
    <t>Amendment No 10</t>
  </si>
  <si>
    <t>Amendment No 12</t>
  </si>
  <si>
    <t>Amendment No 29</t>
  </si>
  <si>
    <t>Amendment No 38</t>
  </si>
  <si>
    <t>Amendment No 49</t>
  </si>
  <si>
    <t>Amendment No 52</t>
  </si>
  <si>
    <t>Amendment No 53</t>
  </si>
  <si>
    <t>Amendment No 57</t>
  </si>
  <si>
    <t>RCA 4374</t>
  </si>
  <si>
    <t>SECTION 11 - COMMUNICATIONS INFORMATION SYSTEMS</t>
  </si>
  <si>
    <t>11.C</t>
  </si>
  <si>
    <t>11.C.1</t>
  </si>
  <si>
    <t>OPERATIONS</t>
  </si>
  <si>
    <t>11.C.1.a</t>
  </si>
  <si>
    <t>Ensure Communications and Navigation Systems are operable and providing services as required by the Authority iaw appropriate maintenance policy statements.</t>
  </si>
  <si>
    <t>11.C.2</t>
  </si>
  <si>
    <t xml:space="preserve">MAINTENANCE </t>
  </si>
  <si>
    <t>11.C.2.a</t>
  </si>
  <si>
    <t>Perform preventive maintenance on all communication and navigation systems iaw the appropriate Air Publications.</t>
  </si>
  <si>
    <t>[3000]</t>
  </si>
  <si>
    <t>11.C.2.b</t>
  </si>
  <si>
    <t>Perform corrective maintenance on all communication and navigation systems iaw the appropriate equipment Air Publications.</t>
  </si>
  <si>
    <t>[800]</t>
  </si>
  <si>
    <t>11.C.2.c</t>
  </si>
  <si>
    <t>Embody Mods, PWIs, STIs, and SIs iaw AP100B-01 Orders 0790 and 1003.</t>
  </si>
  <si>
    <t>[45]</t>
  </si>
  <si>
    <t>11.C.2.d</t>
  </si>
  <si>
    <t>Maintain maintenance and modification records iaw AP100B-01 Orders 0701,0702,0790 &amp; 1100.</t>
  </si>
  <si>
    <t>500 + [500]</t>
  </si>
  <si>
    <t>11.C.2.e</t>
  </si>
  <si>
    <t>Maintain a site restriction map for each site iaw AP100G-03.</t>
  </si>
  <si>
    <t>11.C.2.f</t>
  </si>
  <si>
    <t>Maintain a Radiation Hazard (RADHAZ) map for each site depicting location of hazard in regard to the emanating source iaw AP110A-0102-1D and AP110A-0102-1E.</t>
  </si>
  <si>
    <t>11.C.2.g</t>
  </si>
  <si>
    <t xml:space="preserve">Control and maintain all section Air Publications </t>
  </si>
  <si>
    <t>11.C.2.h</t>
  </si>
  <si>
    <t>Assist third line maintenance teams and calibration teams in the performance of their duties iaw AP116C-0001, AP116C-0002 and JSP 413.</t>
  </si>
  <si>
    <t>11.C.2.i</t>
  </si>
  <si>
    <t>Assist EEI teams involved with installation and recovery work.</t>
  </si>
  <si>
    <t>[120]</t>
  </si>
  <si>
    <t>11.C.2j</t>
  </si>
  <si>
    <t>Control and maintain all hand tools iaw AP100B-01 Order 2035.</t>
  </si>
  <si>
    <t>[300]</t>
  </si>
  <si>
    <t>11.C.2.k</t>
  </si>
  <si>
    <t xml:space="preserve">Maintain record of Work Services for allotted buildings. </t>
  </si>
  <si>
    <t>11.C.2.l</t>
  </si>
  <si>
    <t>Control and operate the section transport iaw MT regulations.</t>
  </si>
  <si>
    <t>250 + [1250]</t>
  </si>
  <si>
    <t>11.C.2.m</t>
  </si>
  <si>
    <t>Control and maintain minor electrical GSE iaw AP100E-10.</t>
  </si>
  <si>
    <t>[385]</t>
  </si>
  <si>
    <t>11.C.2.n</t>
  </si>
  <si>
    <t>Carry out management radio installations iaw AP100B-01 Order 8125.</t>
  </si>
  <si>
    <t>[15]</t>
  </si>
  <si>
    <t>11.C.3</t>
  </si>
  <si>
    <t>TEST EQUIPMENT</t>
  </si>
  <si>
    <t>11.C.3.a</t>
  </si>
  <si>
    <t>Control and maintain  test equipment.</t>
  </si>
  <si>
    <t>[150]</t>
  </si>
  <si>
    <t>11.C.4</t>
  </si>
  <si>
    <t>SITING BOARDS</t>
  </si>
  <si>
    <t>11.C.4.a</t>
  </si>
  <si>
    <t>Attend Siting Board meetings.</t>
  </si>
  <si>
    <t>11.C.5</t>
  </si>
  <si>
    <t>BATTLE DAMAGE REPAIR</t>
  </si>
  <si>
    <t>11.C.5.a</t>
  </si>
  <si>
    <t>Maintain the CE-Recovery Plan(CERP) which includes all defence comms iaw AP3302.</t>
  </si>
  <si>
    <t>11.C.5.b</t>
  </si>
  <si>
    <t>Carry out CE-BDR local training iaw STC ESI Vol 10 and AP3302.</t>
  </si>
  <si>
    <t>[180]</t>
  </si>
  <si>
    <t>11.D</t>
  </si>
  <si>
    <t>11.D.1</t>
  </si>
  <si>
    <t>Provide a watchstanding system at Cranwell, Scampton and Barkston Heath to cover all airfield opening hours including any pre-opening or post closing work that might be necessary to ascertain equipment serviceability.</t>
  </si>
  <si>
    <t>11.E</t>
  </si>
  <si>
    <t>INDEFINITE QUANTITY REQUIREMENT (IQ)</t>
  </si>
  <si>
    <t>11.E.1</t>
  </si>
  <si>
    <t>11.F</t>
  </si>
  <si>
    <t>11.F.1</t>
  </si>
  <si>
    <t>Validate the C-E Facilities Record annually or when new equipment is installed or recovered iaw AP100B-01 Order 8103.</t>
  </si>
  <si>
    <t>11.F.2</t>
  </si>
  <si>
    <t>Validate the RAF Register of Radio Sites iaw STC ESI Vol 10.</t>
  </si>
  <si>
    <t>11.F.3</t>
  </si>
  <si>
    <t xml:space="preserve">Validate the Command record of V/UHF Ground to Air and Management radios iaw STC ESI Vol 10.
</t>
  </si>
  <si>
    <t>11.F.4</t>
  </si>
  <si>
    <t xml:space="preserve">Provide equipment availability statistics for major equipment's iaw STC ESI Vol 10. </t>
  </si>
  <si>
    <t>11.F.5</t>
  </si>
  <si>
    <t xml:space="preserve">Provide an Electrical Engineering Instruction (EEI)  progress report iaw STC ESI Vol 10. </t>
  </si>
  <si>
    <t>11.G</t>
  </si>
  <si>
    <t>MATERIALS  EQUIPMENT AND FACILITIES</t>
  </si>
  <si>
    <t>11.G.1</t>
  </si>
  <si>
    <t>11.G.1.a</t>
  </si>
  <si>
    <t>Control and manage all section inventories.</t>
  </si>
  <si>
    <t>11.G.1.b</t>
  </si>
  <si>
    <t>Control and maintain ready use POL iaw AP100B-01 Order 3035.</t>
  </si>
  <si>
    <t>[100]</t>
  </si>
  <si>
    <t>11.G.2</t>
  </si>
  <si>
    <t>11.G.2.a</t>
  </si>
  <si>
    <t>Provide protective clothing to personnel involved directly in work on equipment</t>
  </si>
  <si>
    <t>[50]</t>
  </si>
  <si>
    <t>AL 17 - Barkston op hrs</t>
  </si>
  <si>
    <t>SECTION 12 - MECHANICAL TRANSPORT (OPERATIONS)</t>
  </si>
  <si>
    <t>Option Year 2 - 2005/2006</t>
  </si>
  <si>
    <t>Option Year 3 - 2006/2007</t>
  </si>
  <si>
    <t>12.C</t>
  </si>
  <si>
    <t>12.C.1</t>
  </si>
  <si>
    <t>MECHANICAL TRANSPORT (MT) OPERATIONS.</t>
  </si>
  <si>
    <t>12.C.1.a</t>
  </si>
  <si>
    <t xml:space="preserve">Undertake management and operation of MT Control vehicle/driver tasking &amp; dispatch facility, during and outside Unit normal working hrs, to support all Unit MT requirements. </t>
  </si>
  <si>
    <t>12.C.1.b</t>
  </si>
  <si>
    <t>Provide STAMA Computer Systems Operations and Support iaw APs 100C-08A/B.</t>
  </si>
  <si>
    <t>12.C.2</t>
  </si>
  <si>
    <t xml:space="preserve">CONVEYANCE AND GENERAL TRANSPORT TASKING                         </t>
  </si>
  <si>
    <t>12.C.2.a</t>
  </si>
  <si>
    <t xml:space="preserve">Convey/collect medical samples, medical instruments and patients to/from designated hospitals. </t>
  </si>
  <si>
    <t>12.C.2.b</t>
  </si>
  <si>
    <t>Collection of urgent pharmaceutical products.</t>
  </si>
  <si>
    <t>12.C.2.c</t>
  </si>
  <si>
    <t>Provide Crash Ambulance (TMV) and driver cover at RAF Cranwell, RAF Barkston Heath and RAF Scampton airfields.  Respond to aircraft incidents as directed.</t>
  </si>
  <si>
    <t>12.C.2.d</t>
  </si>
  <si>
    <t>Convey all station and parented personnel to/from railheads as directed.</t>
  </si>
  <si>
    <t>12.C.2.e</t>
  </si>
  <si>
    <t>Provide scheduled bus shuttle service for conveyance of DofR(RAF) and ACTC personnel to/from Grantham Railhead.</t>
  </si>
  <si>
    <t>12.C.2.f</t>
  </si>
  <si>
    <t>Provide scheduled bus shuttle service for conveyance of DEFTS personnel to/from Cranwell/Barkston Heath.</t>
  </si>
  <si>
    <t>12.C.2.g</t>
  </si>
  <si>
    <t>Convey all parented personnel to/from airheads as directed.</t>
  </si>
  <si>
    <t>12.C.2.h</t>
  </si>
  <si>
    <t>Convey DofR(RAF) personnel (Recruiting Staff Course) to RAF Halton to view recruits in training.</t>
  </si>
  <si>
    <t>12.C.2.i</t>
  </si>
  <si>
    <t>Convey ACTC personnel to/from Barkston Heath for marching drill practice.</t>
  </si>
  <si>
    <t>12.C.2.j</t>
  </si>
  <si>
    <t xml:space="preserve">Undertake all transport requirements in support of Unit VIP visits/events. </t>
  </si>
  <si>
    <t>12.C.2.k</t>
  </si>
  <si>
    <t>Provide a dedicated driver for each of the following: Stn Cdr, Comdt CFS, DEFT, DDofR(P&amp;S), DDOASC, and DDIOT, as directed, in established Grade 'B' type car.</t>
  </si>
  <si>
    <t>12.C.2.l</t>
  </si>
  <si>
    <t>Provide a driver for Air Traffic Control driving duties every Tuesday and Wednesday.</t>
  </si>
  <si>
    <t>12.C.2.m</t>
  </si>
  <si>
    <t>Undertake all transport requirements in support of DIOT Graduation Parades and Royal Review.</t>
  </si>
  <si>
    <t>12.C.2.n</t>
  </si>
  <si>
    <t>Undertake all transport requirements in support of 3 FTS Graduation Parades.</t>
  </si>
  <si>
    <t>12.C.2.o</t>
  </si>
  <si>
    <t>Convey OACTU personnel and equipment to various designated exercise locations.</t>
  </si>
  <si>
    <t>12.C.2.p</t>
  </si>
  <si>
    <t>Undertake all transport requirements in support of Station annual Freedom, Remembrance or other unspecified parades.</t>
  </si>
  <si>
    <t>12.C.2.q</t>
  </si>
  <si>
    <t>Undertake conveyance of ATC/CCF (RAF) cadets and adult staff.</t>
  </si>
  <si>
    <t>12.C.2.r</t>
  </si>
  <si>
    <t>Convey RAF College and RAF Regiment Bands and equipment on Camp area and to various locations throughout the UK and to Europe.</t>
  </si>
  <si>
    <t>12.C.2.s</t>
  </si>
  <si>
    <t>Convey DSGT instructors/students to various establishments as directed.</t>
  </si>
  <si>
    <t>12.C.2.t</t>
  </si>
  <si>
    <t>Convey DSGT SOT students to RAF Halton for the two week Fuels Course.</t>
  </si>
  <si>
    <t>12.C.2.u</t>
  </si>
  <si>
    <t>Provide on-base shuttle transport for students on AWC training courses.</t>
  </si>
  <si>
    <t>12.C.2.v</t>
  </si>
  <si>
    <t>Convey AWC instructors/students to various establishments as directed</t>
  </si>
  <si>
    <t>12.C.2.w</t>
  </si>
  <si>
    <t>Convey laundry to/from designated Unit locations.</t>
  </si>
  <si>
    <t>12.C.2.x</t>
  </si>
  <si>
    <t>Provide MT support for all Combat Survival, Intermediate &amp; Advanced Leadership Training (including Community Projects &amp; R&amp;I).</t>
  </si>
  <si>
    <t>12.C.2.y</t>
  </si>
  <si>
    <t>Provide MT support for A Flt, 55(R) Sqn personnel on exercises, projects and activity weekends including Ex Southern Border &amp; Border Patrol and support of BBMF displays.</t>
  </si>
  <si>
    <t>12.C.2.z</t>
  </si>
  <si>
    <t>Routinely convey various types of equipment to/from units and unspecified establishments. Convey urgent aircraft spares (Priority State/AOG demands) as directed by Supply Sqn in support of all Unit aircraft, including the RAFAT.</t>
  </si>
  <si>
    <t>12.C.2.aa</t>
  </si>
  <si>
    <t>Collection of waste paper from various Unit locations.</t>
  </si>
  <si>
    <t>12.C.2.ab</t>
  </si>
  <si>
    <t>Convey  Stn and parented personnel  to away sports fixtures iaw JSP 341 and QRs Chap 37.</t>
  </si>
  <si>
    <t>12.C.2.ac</t>
  </si>
  <si>
    <t>Convey RAMC equipment to/from designated units.</t>
  </si>
  <si>
    <t>12.C.2.ad</t>
  </si>
  <si>
    <t xml:space="preserve">Provide crane services to support Stn requirements.  </t>
  </si>
  <si>
    <t>12.C.2.ae</t>
  </si>
  <si>
    <t>Provide routine and emergency vacuum and magnet sweeping services for runways, taxiways and aircraft parking and movements areas at RAF Cranwell, RAF Syerston and RAF Scampton airfields.</t>
  </si>
  <si>
    <t>12.C.2.af</t>
  </si>
  <si>
    <t>Carry out road sweeping at RAF Cranwell, Digby and Scampton.</t>
  </si>
  <si>
    <t>12.C.2.ag</t>
  </si>
  <si>
    <t xml:space="preserve">Provide drivers for all forklift truck services to support Unit tasking.     </t>
  </si>
  <si>
    <t>12.C.2.ah</t>
  </si>
  <si>
    <t>Daily collection/delivery (Mon-Fri inc) of Station designated VIP/Executive  vehicles.</t>
  </si>
  <si>
    <t>12.C.2.ai</t>
  </si>
  <si>
    <t>Collect and deliver vehicles from other units or agencies as required.</t>
  </si>
  <si>
    <t>12.C.2.aj</t>
  </si>
  <si>
    <t>Carry out MT on Repayment tasks (F793).</t>
  </si>
  <si>
    <t>12.C.2.ak</t>
  </si>
  <si>
    <t xml:space="preserve">Provide appropriate vehicles, with drivers where necessary (iaw JSP 341), to fulfil all other authorised miscellaneous requirements, in addition to those tasks already identified within this Section. </t>
  </si>
  <si>
    <t>12.C.2.al</t>
  </si>
  <si>
    <t>Carry out before-use daily inspection (DI) of all cars prior to releasing them for authorised tasks, refuel, wash and valet vehicles on their return.</t>
  </si>
  <si>
    <t>12.C.2.am</t>
  </si>
  <si>
    <t>Represent MT organisation at annual Unit Snow and Ice Clearance Committee (SICC) meetings.</t>
  </si>
  <si>
    <t>12.C.2.an</t>
  </si>
  <si>
    <t>Carry out Unit ice clearance operations and gritting of roads iaw the Unit Snow and Ice Plan and AP119J-0100-01.</t>
  </si>
  <si>
    <t>12.C.2.ao</t>
  </si>
  <si>
    <t>Convey medical students on acquaintance visits.</t>
  </si>
  <si>
    <t>12.C.2.ap</t>
  </si>
  <si>
    <t>Convey A Flt, 55(R) Sqn personnel to/from practice Dining in Night at Sgts' Mess.</t>
  </si>
  <si>
    <t>12.C.2.aq</t>
  </si>
  <si>
    <t>RAF DIGBY</t>
  </si>
  <si>
    <t>12.C.2.ar</t>
  </si>
  <si>
    <t>Undertake CO's Driver duties as directed, in established Grade 'B' type car.</t>
  </si>
  <si>
    <t>12.C.2.as</t>
  </si>
  <si>
    <t>Provide Digby on-base shuttle service.</t>
  </si>
  <si>
    <t>12.C.2.at</t>
  </si>
  <si>
    <t>Undertake all transport requirements in support of Station Annual Freedom, Remembrance or other unspecified parades.</t>
  </si>
  <si>
    <t>12.C.2.au</t>
  </si>
  <si>
    <t>Transport RAFC Cranwell tailor to/from RAF Digby for fortnightly tailoring parades.</t>
  </si>
  <si>
    <t>12.C.2.av</t>
  </si>
  <si>
    <t>Collection/conveyance of unit routine mail, signals and medical stores etc to/from Cranwell.</t>
  </si>
  <si>
    <t>12.C.2.aw</t>
  </si>
  <si>
    <t>Convey AES personnel to Stenigot for Climbing at Height Courses.</t>
  </si>
  <si>
    <t>12.C.2.ax</t>
  </si>
  <si>
    <t>Convey AES students to/from Fairbourne or Grantown-on-Spey for Resource and Initiative Training.</t>
  </si>
  <si>
    <t>12.C.2.ay</t>
  </si>
  <si>
    <t>Convey classified material for JSSU(D) (Courier Duties) as directed.</t>
  </si>
  <si>
    <t>12.C.2.az</t>
  </si>
  <si>
    <t xml:space="preserve">Convey Unit stationery, publications, library and other misc items as required. </t>
  </si>
  <si>
    <t>12.C.2.ba</t>
  </si>
  <si>
    <t>RAF SYERSTON</t>
  </si>
  <si>
    <t>12.C.2.bb</t>
  </si>
  <si>
    <t>Convey rations/personnel to/from Syerston Feeder Mess.</t>
  </si>
  <si>
    <t>12.C.2.bc</t>
  </si>
  <si>
    <t>Provide shuttle service to/from Syerston.</t>
  </si>
  <si>
    <t>12.C.2.bd</t>
  </si>
  <si>
    <t>RAF SCAMPTON</t>
  </si>
  <si>
    <t>12.C.2.be</t>
  </si>
  <si>
    <t>Provide resupply to/from Scampton.</t>
  </si>
  <si>
    <t>12.C.3</t>
  </si>
  <si>
    <t>MT YARD FACILITY</t>
  </si>
  <si>
    <t>12.C.3.a</t>
  </si>
  <si>
    <t>Undertake the management of the MT Yard.</t>
  </si>
  <si>
    <t>12.C.3.b</t>
  </si>
  <si>
    <t>Undertake preparation of vehicles allotted in/out or designated for disposal action.</t>
  </si>
  <si>
    <t>12.C.4</t>
  </si>
  <si>
    <t>MT LICENSING AND TRAINING FACILITY</t>
  </si>
  <si>
    <t>12.C.4.a</t>
  </si>
  <si>
    <t>Test and license and existing RAF Policy all parented Service, MoD, civilian and Contractor employees required to drive/operate MoD vehicles.</t>
  </si>
  <si>
    <t>12.C.4.b</t>
  </si>
  <si>
    <t>Undertake investigation of all accidents involving MoD allotted vehicles iaw JSP 341 Chap 12.</t>
  </si>
  <si>
    <t>12.C.4.c</t>
  </si>
  <si>
    <t>Maintain all drivers' personal documentation and training records iaw JSP 341 and AP100C-08A.</t>
  </si>
  <si>
    <t>12.C.4.d</t>
  </si>
  <si>
    <t>Promote Unit road safety awareness iaw JSP 341, Chap 16 and represent MT Flight at Unit committee meetings.</t>
  </si>
  <si>
    <t>12.C.5</t>
  </si>
  <si>
    <t>AIRCRAFT REFUELLING FACILITY</t>
  </si>
  <si>
    <t>12.C.5.a</t>
  </si>
  <si>
    <t xml:space="preserve">Provide aircraft refuelling/defuelling services in support of all flying/maintenance operations at RAFC Cranwell and visiting aircraft. </t>
  </si>
  <si>
    <t>12.C.5.b</t>
  </si>
  <si>
    <t>Carry out aircraft towing duties.</t>
  </si>
  <si>
    <t>12.D</t>
  </si>
  <si>
    <t>12.D.1</t>
  </si>
  <si>
    <t>Provide Domestic Ambulance/driver cover at RAFC Cranwell on 24 hr basis throughout the year (including Public Holidays).</t>
  </si>
  <si>
    <t>12.E</t>
  </si>
  <si>
    <t>12.E.1.a</t>
  </si>
  <si>
    <t>12.E.1.b</t>
  </si>
  <si>
    <t>Carry out Unit Snow Clearing Operations iaw Station Snow &amp; Ice Plan and AP119J-0100-01.</t>
  </si>
  <si>
    <t>12.E.1.c</t>
  </si>
  <si>
    <t>Provide additional vehicles where necessary to meet the Unit tasking.</t>
  </si>
  <si>
    <t>12.E.1.d</t>
  </si>
  <si>
    <t>Convey aircrew to/from Sea Drill training.</t>
  </si>
  <si>
    <t>12.E.1.e</t>
  </si>
  <si>
    <t>Carry out anti-icing and snow clearing operations of roads at RAF Digby.</t>
  </si>
  <si>
    <t>12.E.1.f</t>
  </si>
  <si>
    <t>Provide drivers for College Air Officers or deputies in the absence of dedicated Service drivers.</t>
  </si>
  <si>
    <t>12.E.1.g</t>
  </si>
  <si>
    <t>Convey EAC 6738 (Launcher MVG) &amp; EAC 3202 (Caravan Launch) to/from RAF Syerston/RAFC Cranwell for random rectification/routine 2nd line maintenance.</t>
  </si>
  <si>
    <t>12.E.1.h</t>
  </si>
  <si>
    <t>Provide a driver for IOC Leadership Centre, as directed, in an appropriate type car.</t>
  </si>
  <si>
    <t>12.F</t>
  </si>
  <si>
    <t>12.F.1</t>
  </si>
  <si>
    <t>Maintain associated management, operations and maintenance records.  Record and maintain accurate utilisation records for all vehicle/driver tasking, by type, to enable random interrogation/analysis.</t>
  </si>
  <si>
    <t>12.G</t>
  </si>
  <si>
    <t>12.G.1</t>
  </si>
  <si>
    <t>12.G.1.a</t>
  </si>
  <si>
    <t>Control and manage technical inventory for MoD supplied vehicles and equipment.</t>
  </si>
  <si>
    <t>12.G.1.b</t>
  </si>
  <si>
    <t>Monitor MoD vehicle utilisation against established tasking.</t>
  </si>
  <si>
    <t>12.G.1.c</t>
  </si>
  <si>
    <t>Assist Cmd HQ's &amp; Contract Monitoring Team to undertake audits of vehicle establishment and utilisation.</t>
  </si>
  <si>
    <t>12.G.1.d</t>
  </si>
  <si>
    <t>Control and manage non-technical inventories iaw AP830.</t>
  </si>
  <si>
    <t>12.G.1.e</t>
  </si>
  <si>
    <t>Control and maintain all publications held.</t>
  </si>
  <si>
    <t>12.G.2.</t>
  </si>
  <si>
    <t>12.G.2.a</t>
  </si>
  <si>
    <t>Provide appropriate clothing for drivers involved in Station Commander/VIP duties.</t>
  </si>
  <si>
    <t>12.G.2.b</t>
  </si>
  <si>
    <t>Provide Protective Clothing and equipment to personnel directly employed in work on vehicles/equipment.</t>
  </si>
  <si>
    <t>AL 12</t>
  </si>
  <si>
    <t>AL 14</t>
  </si>
  <si>
    <t>AL 17</t>
  </si>
  <si>
    <t>AL 23</t>
  </si>
  <si>
    <t>AL 24</t>
  </si>
  <si>
    <t>AL 37</t>
  </si>
  <si>
    <t>AL 45</t>
  </si>
  <si>
    <t>RCA 4135</t>
  </si>
  <si>
    <t>RCA 4161 Nil Cost</t>
  </si>
  <si>
    <t>AL 49</t>
  </si>
  <si>
    <t>AL 51</t>
  </si>
  <si>
    <t>RCA 4294</t>
  </si>
  <si>
    <t>RCA 4282</t>
  </si>
  <si>
    <t>RCA 4310</t>
  </si>
  <si>
    <t>AL 56</t>
  </si>
  <si>
    <t>RCA 4353</t>
  </si>
  <si>
    <t>SECTION 13 - MECHANICAL TRANSPORT (MAINTENANCE)</t>
  </si>
  <si>
    <t>13.C</t>
  </si>
  <si>
    <t>13.C.1</t>
  </si>
  <si>
    <t xml:space="preserve">MECHANICAL TRANSPORT MAINTENANCE </t>
  </si>
  <si>
    <t>13.C.1.a</t>
  </si>
  <si>
    <t>Carry out 2nd line vehicle Scheduled Maintenance (including Electrical Maintenance) and Random Rectification and Repairs on all MoD vehicles and bicycles iaw AP3260 Books 1,2,3, and relevant AESP or Maintenance Schedules.</t>
  </si>
  <si>
    <t>13.C.1.b</t>
  </si>
  <si>
    <t>Raise Vehicle Defect Reports (AFG3660) and Warranty Claim F/Ins 777 for MoD allotted vehicles when required.</t>
  </si>
  <si>
    <t>13.C.1.c</t>
  </si>
  <si>
    <t>Raise Service Engineering Modifications (SEMs) for MoD vehicles as required.</t>
  </si>
  <si>
    <t>13.C.1.d</t>
  </si>
  <si>
    <t>Carry out vehicle wheel &amp; tyre changing and associated requirements.</t>
  </si>
  <si>
    <t>13.C.1.e</t>
  </si>
  <si>
    <t>Provide technical assistance to visiting vehicles requiring minor rectification.</t>
  </si>
  <si>
    <t>13.C.1.f</t>
  </si>
  <si>
    <t>Provide vehicle recovery and technical assistance for disabled Unit MoD vehicles.</t>
  </si>
  <si>
    <t>13.C.1.g</t>
  </si>
  <si>
    <t>Carry out pre-inspection of vehicles allocated to Unit.</t>
  </si>
  <si>
    <t>13.C.1.h</t>
  </si>
  <si>
    <t>Provide an MT Technician to deliver/return appropriate vehicles to VOSA test station.</t>
  </si>
  <si>
    <t>13.D</t>
  </si>
  <si>
    <t>13.D.1</t>
  </si>
  <si>
    <t xml:space="preserve">Nothing </t>
  </si>
  <si>
    <t>13.E</t>
  </si>
  <si>
    <t>13.E.1</t>
  </si>
  <si>
    <t>13.E.2</t>
  </si>
  <si>
    <t>Carry out 2nd line vehicle Scheduled Maintenance (including Electrical Maintenance) and Random Rectification and repairs on vehicles not covered under 13.C.1.a iaw AP3260 Books 1, 2, 3 and relevant AESP or Maintenance Schedules.</t>
  </si>
  <si>
    <t>13.F</t>
  </si>
  <si>
    <t>13.F.1</t>
  </si>
  <si>
    <t>Maintain technical maintenance records.</t>
  </si>
  <si>
    <t>13.F.2</t>
  </si>
  <si>
    <t>Provide MT associated statistical returns.</t>
  </si>
  <si>
    <t>13.F.3</t>
  </si>
  <si>
    <t>Maintain and amend all relevant maintenance publications.</t>
  </si>
  <si>
    <t>13.G</t>
  </si>
  <si>
    <t>13.G.1</t>
  </si>
  <si>
    <t>13.G.1.a</t>
  </si>
  <si>
    <t>Control and manage technical and non-technical inventories.</t>
  </si>
  <si>
    <t>13.G.1.c</t>
  </si>
  <si>
    <t>13.G.2</t>
  </si>
  <si>
    <t>13.G.2.a</t>
  </si>
  <si>
    <t xml:space="preserve">Provide Protective Clothing and equipment to personnel directly in work on vehicles/equipment. </t>
  </si>
  <si>
    <t>AL23</t>
  </si>
  <si>
    <t>SECTION 14 - SUPPLY SUPPORT SERVICES</t>
  </si>
  <si>
    <t>14.C</t>
  </si>
  <si>
    <t>14.C.1</t>
  </si>
  <si>
    <t>SUPPLY ADMINISTRATION</t>
  </si>
  <si>
    <t>14.C.1.a</t>
  </si>
  <si>
    <t>Maintain and keep current supply reference documents. Maintain supply administration.</t>
  </si>
  <si>
    <t>14.C.1.b</t>
  </si>
  <si>
    <t>Implement supply management checks.</t>
  </si>
  <si>
    <t>14.C.2</t>
  </si>
  <si>
    <t>SUPPLY CONTROL AND ACCOUNTING ACTIVITIES</t>
  </si>
  <si>
    <t>14.C.2.a</t>
  </si>
  <si>
    <t>Maintain and operate the station supply account currently operated under the Supply Central Computer System.</t>
  </si>
  <si>
    <t>14.C.2.b</t>
  </si>
  <si>
    <t>Maintain and operate supply account for Non-SCC items of equipment.</t>
  </si>
  <si>
    <t>14.C.2.c</t>
  </si>
  <si>
    <t>Ensure that MoD accounting requirements are applied to all Technical and Barrack inventories.</t>
  </si>
  <si>
    <t>14.C.2.d</t>
  </si>
  <si>
    <t>Investigate and record all instances of loss or damage to stores and assessment for charges of recovery or write-off purposes.</t>
  </si>
  <si>
    <t>14.C.2.e</t>
  </si>
  <si>
    <t>Maintain adequate records of stores accounts and provide access for inspection and audit.  Audits will be carried out by Internal and External sources and the National Audit Office (NAO).</t>
  </si>
  <si>
    <t>14.C.2.f</t>
  </si>
  <si>
    <t>Action direct supply demands against MoD running contracts including Wholesale Automated Direct Supply/Electronic Data Interchange (WADS/EDI) demands.</t>
  </si>
  <si>
    <t>14.C.2.g</t>
  </si>
  <si>
    <t>Supply miscellaneous items and services for Station use.</t>
  </si>
  <si>
    <t>14.C.2.h</t>
  </si>
  <si>
    <t xml:space="preserve">Maintain budgetary records of "committed" expenditure and supply budgets.  </t>
  </si>
  <si>
    <t>14.C.2.i</t>
  </si>
  <si>
    <t>Compile stocktaking programme.</t>
  </si>
  <si>
    <t>14.C.2.j</t>
  </si>
  <si>
    <t>Supply and accounting of office equipment including IT equipment.</t>
  </si>
  <si>
    <t>14.C.3</t>
  </si>
  <si>
    <t>WAREHOUSING AND DISTRIBUTION</t>
  </si>
  <si>
    <t>14.C.3.a</t>
  </si>
  <si>
    <t>Carry out the receipt, secure storage and issue of stores of Technical Storage Groups.</t>
  </si>
  <si>
    <t>14.C.3.b</t>
  </si>
  <si>
    <t>Provide a Receipts and Despatch facility.</t>
  </si>
  <si>
    <t>14.C.3.c</t>
  </si>
  <si>
    <t>Initiate the reporting, investigation and clearance of Discrepancy Reports on all under/over or damaged shipments.</t>
  </si>
  <si>
    <t>14.C.3.d</t>
  </si>
  <si>
    <t>Implement and manage stocktaking programme.</t>
  </si>
  <si>
    <t>14.C.3.e</t>
  </si>
  <si>
    <t>Provide delivery and collection service for stores issues and returns.</t>
  </si>
  <si>
    <t>14.C.3.f</t>
  </si>
  <si>
    <t>Maintain and operate forward stores.</t>
  </si>
  <si>
    <t>14.C.3.g</t>
  </si>
  <si>
    <t>Maintain and operate DofR(RAF) Literature Store.</t>
  </si>
  <si>
    <t>14.C.3.h</t>
  </si>
  <si>
    <t>Maintain and operate ESG Store.</t>
  </si>
  <si>
    <t>14.C.3.i</t>
  </si>
  <si>
    <t>Carry out disposal of scrap equipment.</t>
  </si>
  <si>
    <t>14.C.3.j</t>
  </si>
  <si>
    <t>Provide safe custody, handling and issue/receipt of Non-public Swords, Belts and Gloves.</t>
  </si>
  <si>
    <t>14.C.4</t>
  </si>
  <si>
    <t>DOMESTIC SUPPLY FUNCTIONS</t>
  </si>
  <si>
    <t>14.C.4.a</t>
  </si>
  <si>
    <t>Handover/Takeover of Services Families' Accommodation (SFA's).</t>
  </si>
  <si>
    <t>14.C.4.b</t>
  </si>
  <si>
    <t>Carry out the receipt, secure storage and issue of Clothing and of Defence Accommodation Stores.</t>
  </si>
  <si>
    <t>14.C.4.c</t>
  </si>
  <si>
    <t>Record consumption of utilities by non-entitled consumers.</t>
  </si>
  <si>
    <t>14.C.4.d</t>
  </si>
  <si>
    <t>Provide counter issue service for clothing, laundry, tailoring and dry cleaning.</t>
  </si>
  <si>
    <t>14.C.4.e</t>
  </si>
  <si>
    <t xml:space="preserve">Provide Station domestic services through the  DOE Services and Equipment Guides (SEGS) contracts. </t>
  </si>
  <si>
    <t>14.C.4.f</t>
  </si>
  <si>
    <t>Maintain and operate Initial Kitting Store.</t>
  </si>
  <si>
    <t>14.C.4.g</t>
  </si>
  <si>
    <t>Maintain and operate Field Equipment Group.</t>
  </si>
  <si>
    <t>14.C.5</t>
  </si>
  <si>
    <t>POL</t>
  </si>
  <si>
    <t>14.C.5.a</t>
  </si>
  <si>
    <t>Manage and operate bulk fuel installations.</t>
  </si>
  <si>
    <t>14.C.5.b</t>
  </si>
  <si>
    <t>Ensure the receipt, security and safe storage and issue of POL packed stocks and compressed gasses.</t>
  </si>
  <si>
    <t>14.C.5.c</t>
  </si>
  <si>
    <t>Ensure the collection, secure storage, and preparation for disposal of Hazardous Waste.</t>
  </si>
  <si>
    <t>14.C.5.d</t>
  </si>
  <si>
    <t>Maintain  Station Fuel Spillage  Plan and spillage pack-up.</t>
  </si>
  <si>
    <t>14.C.5.e</t>
  </si>
  <si>
    <t>Exercise/deploy fuel spillage plan and equipment.</t>
  </si>
  <si>
    <t>14.C.6</t>
  </si>
  <si>
    <t>SUPPLY PARENTING</t>
  </si>
  <si>
    <t>14.C.6.a</t>
  </si>
  <si>
    <t>Provide supply services to parented units.</t>
  </si>
  <si>
    <t>14.C.6.b</t>
  </si>
  <si>
    <t>Carry out supply liaison visits to parented ATC Squadrons.</t>
  </si>
  <si>
    <t>14.C.6.c</t>
  </si>
  <si>
    <t>Provide facilities for Supply Officer Training (SOT) familiarisation training.</t>
  </si>
  <si>
    <t>14.C.7</t>
  </si>
  <si>
    <t>OUT OF HOURS SUPPORT</t>
  </si>
  <si>
    <t>14.C.7.a</t>
  </si>
  <si>
    <t>Provide supply cover outside normal working hours.</t>
  </si>
  <si>
    <t>14.C.8</t>
  </si>
  <si>
    <t>MAINTENANCE AND OPERATION OF USAS</t>
  </si>
  <si>
    <t>14.C.8.a</t>
  </si>
  <si>
    <t>Operate the Supply USAS computer system.</t>
  </si>
  <si>
    <t>14.C.8.b</t>
  </si>
  <si>
    <t>Maintain the USAS computer system.</t>
  </si>
  <si>
    <t>14.D</t>
  </si>
  <si>
    <t>14.D.1</t>
  </si>
  <si>
    <t>14.E</t>
  </si>
  <si>
    <t>14.E.1</t>
  </si>
  <si>
    <t>14.E.2</t>
  </si>
  <si>
    <t>Clean, dry, re-wax and pack up to x 86 - 12ft x 12ft Groundsheets following OACTU exercises.</t>
  </si>
  <si>
    <t>Actual</t>
  </si>
  <si>
    <t>14.F</t>
  </si>
  <si>
    <t>14.F.1</t>
  </si>
  <si>
    <t>Compile and forward supply returns and reports to higher formations.</t>
  </si>
  <si>
    <t>14.F.2</t>
  </si>
  <si>
    <t>Provide forecast of outturn for purchased items and services to station budget office.</t>
  </si>
  <si>
    <t>14.G</t>
  </si>
  <si>
    <t>14.G.1</t>
  </si>
  <si>
    <t>GOVERNMENT FURNISHED MATERIAL AND EQUIPMENT (GFM/E)</t>
  </si>
  <si>
    <t>14.G.1.a</t>
  </si>
  <si>
    <t>Equipment currently held on the main supply account as well as equipment held on Technical and Barrack supply inventories will be formally transferred to the Contractor for use in connection with this contract.</t>
  </si>
  <si>
    <t>14.G.1.b</t>
  </si>
  <si>
    <t>Maintain and repair all GFM/E transferred in  accordance with this section.  Return equipment upon completion of contract.</t>
  </si>
  <si>
    <t>14.G.1.c</t>
  </si>
  <si>
    <t>Contractor to be responsible for ordering POL, LPG, aviation fuel and bulk ground fuels through RAF supply system.</t>
  </si>
  <si>
    <t>14.G.1.d</t>
  </si>
  <si>
    <t>All necessary RAF Forms for the day-to-day operation of the RAF supply system will be provided.</t>
  </si>
  <si>
    <t>14.G.2</t>
  </si>
  <si>
    <t xml:space="preserve"> </t>
  </si>
  <si>
    <t>CONTRACTOR FURNISHED MATERIAL AND EQUIPMENT (CFM/E)</t>
  </si>
  <si>
    <t>14.G.2.a</t>
  </si>
  <si>
    <t xml:space="preserve">Provide all parts, equipment and clothing not otherwise provided as GFM/E required to fulfil the contract.  </t>
  </si>
  <si>
    <t>AL12</t>
  </si>
  <si>
    <t>AL 15</t>
  </si>
  <si>
    <t>AL 55</t>
  </si>
  <si>
    <t>RCA 4332</t>
  </si>
  <si>
    <t>SECTION 15 - FIRE AND CRASH RESCUE SERVICES</t>
  </si>
  <si>
    <t xml:space="preserve">IQ Price </t>
  </si>
  <si>
    <t>15.C</t>
  </si>
  <si>
    <t>15.C.1</t>
  </si>
  <si>
    <t>CRASH/FIRE REQUIREMENTS - RAFC Cranwell, RAF Scampton &amp; RAF Barkston Heath</t>
  </si>
  <si>
    <t>15.C.1.a</t>
  </si>
  <si>
    <t>During operational hours, maintain a system of carrying and delivering firefighting media at the appropriate delivery rates.</t>
  </si>
  <si>
    <t>15.C.1.b</t>
  </si>
  <si>
    <t>Respond to all aircraft incidents and control any fire in the critical area within 3 minutes from start of fire fighting operations. Carry out rescue of crew/passengers and provide First Aid as necessary.</t>
  </si>
  <si>
    <t>15.C.1.c</t>
  </si>
  <si>
    <t>Provide additional crash/fire cover, including "rotors running" refuels and engine ground runs.</t>
  </si>
  <si>
    <t>15.C.1.d</t>
  </si>
  <si>
    <t>Provide crash/fire cover for visiting aircraft iaw MoD Regulations for Airfield Crash/Fire and Rescue Services and Fire Service Criteria.</t>
  </si>
  <si>
    <t>[5109]</t>
  </si>
  <si>
    <t>15.C.1.e</t>
  </si>
  <si>
    <t>Inspect all items of equipment on crash/fire trucks to ensure that they are in correct location and are functional.</t>
  </si>
  <si>
    <t>[1120]</t>
  </si>
  <si>
    <t>15.C.1.f</t>
  </si>
  <si>
    <t>15.C.2</t>
  </si>
  <si>
    <t>PRE-DUTY REQUIREMENTS</t>
  </si>
  <si>
    <t>15.C.2.a</t>
  </si>
  <si>
    <t>Ensure all duty firefighters are fully dressed in approved style protective clothing prior to commencement of duty .</t>
  </si>
  <si>
    <t>[831]</t>
  </si>
  <si>
    <t>15.C.2.b</t>
  </si>
  <si>
    <t>15.C.3</t>
  </si>
  <si>
    <t xml:space="preserve">MISCELLANEOUS OPERATIONS </t>
  </si>
  <si>
    <t>15.C.3.a</t>
  </si>
  <si>
    <t>Airfield Operations Support.  Provide assistance to Air Traffic Control at Cranwell, Scampton and Barkston Heath for aircraft on operating surfaces.</t>
  </si>
  <si>
    <t>[468]</t>
  </si>
  <si>
    <t>15.C.3.b</t>
  </si>
  <si>
    <t>Inspect all airfield crash exits.</t>
  </si>
  <si>
    <t>15.C.3.c</t>
  </si>
  <si>
    <t>Provide Runway Visual Range (RVR) support.</t>
  </si>
  <si>
    <t>15.C.3.d</t>
  </si>
  <si>
    <t>Exercise Major Incident Plan iaw Section 3.E.1.</t>
  </si>
  <si>
    <t>[60]</t>
  </si>
  <si>
    <t>15.C.3.e</t>
  </si>
  <si>
    <t>Correct all discrepancies following formal Staff Inspections made by the DO, Command and Departmental Fire Staff, and provide a report of actions taken.</t>
  </si>
  <si>
    <t>[80]</t>
  </si>
  <si>
    <t>15.C.4</t>
  </si>
  <si>
    <t xml:space="preserve">DOMESTIC FIRE COVER </t>
  </si>
  <si>
    <t>15.C.4.a</t>
  </si>
  <si>
    <t>Provide 24 hour cover to all domestic incidents at Cranwell, Scampton and Barkston Heath, iaw Domestic Risk Criteria Document.  Domestic response to be drawn from Cranwell and Scampton airfield crash crew, operations permitting, during flying hours.</t>
  </si>
  <si>
    <t>15.C.4.b</t>
  </si>
  <si>
    <t>Provide Firefighter cover at CHOM during IOT Graduation Days, CAS Conference etc, to prevent spurious fire alarm activation.</t>
  </si>
  <si>
    <t>15.C.5</t>
  </si>
  <si>
    <t>TRAINING REQUIREMENTS</t>
  </si>
  <si>
    <t>15.C.5.a</t>
  </si>
  <si>
    <t>Compile a Training Syllabus for Fire Section Personnel to ensure a high standard of training is maintained.</t>
  </si>
  <si>
    <t>[76]</t>
  </si>
  <si>
    <t>15.C.5.b</t>
  </si>
  <si>
    <t xml:space="preserve">Provide "on the job training", including aircraft escape systems, for fire service personnel. </t>
  </si>
  <si>
    <t>[1080]</t>
  </si>
  <si>
    <t>15.C.5.c</t>
  </si>
  <si>
    <t>Undertake fire-fighter refresher training .</t>
  </si>
  <si>
    <t>[420]</t>
  </si>
  <si>
    <t>15.C.5.d</t>
  </si>
  <si>
    <t>Undertake joint training exercises with the Local Authority Fire Services, or other Emergency Services as required.</t>
  </si>
  <si>
    <t>[16]</t>
  </si>
  <si>
    <t>15.C.5.e</t>
  </si>
  <si>
    <t>Provide arrival/annual fire training for unit Service and civilian personnel.</t>
  </si>
  <si>
    <t>[954]</t>
  </si>
  <si>
    <t>15.C.5.f</t>
  </si>
  <si>
    <t>Provide training for unit Building Custodians in fire risk management.</t>
  </si>
  <si>
    <t>15.C.5.g</t>
  </si>
  <si>
    <t>Provide training for unit Combined Incident Teams.</t>
  </si>
  <si>
    <t>]96]</t>
  </si>
  <si>
    <t>15.C.5.h</t>
  </si>
  <si>
    <t>Provide fire training for IOT cadets, airmen aircrew and ATC cadets.</t>
  </si>
  <si>
    <t>[168]</t>
  </si>
  <si>
    <t>15.C.6</t>
  </si>
  <si>
    <t>WATER SUPPLIES</t>
  </si>
  <si>
    <t>15.C.6.a</t>
  </si>
  <si>
    <t>Carry out annual and 6 monthly inspections of all fire hydrants.</t>
  </si>
  <si>
    <t>[186]</t>
  </si>
  <si>
    <t>15.C.6.b</t>
  </si>
  <si>
    <t>Carry out biannual inspection of Emergency Water Supply (EWS) Tanks.</t>
  </si>
  <si>
    <t>[8]</t>
  </si>
  <si>
    <t>15.C.7</t>
  </si>
  <si>
    <t>FIRE PREVENTION.</t>
  </si>
  <si>
    <t>15.C.7.a</t>
  </si>
  <si>
    <t>Carry out fire risk assessments on all the Unit's controlled buildings, iaw the Authority's directives.  Risk assessments to result in issue of Fire Safety Management Plan (FSMP).</t>
  </si>
  <si>
    <t>[776]</t>
  </si>
  <si>
    <t>15.C.7.b</t>
  </si>
  <si>
    <t>Carry out full fire prevention survey of RAFC Cranwell and parented units, and submit report.</t>
  </si>
  <si>
    <t>[12]</t>
  </si>
  <si>
    <t>15.C.7.c</t>
  </si>
  <si>
    <t>Carry out re-inspections of all buildings to which a Fire Safety Management Plan has been issued.</t>
  </si>
  <si>
    <t>15.C.7.d</t>
  </si>
  <si>
    <t>Inspect clubs and Messes for fire risks when  notified of special events.</t>
  </si>
  <si>
    <t>[90]</t>
  </si>
  <si>
    <t>15.C.7.e</t>
  </si>
  <si>
    <t>Carry out "cease work" inspections in technical areas, as requested by engineering staff.</t>
  </si>
  <si>
    <t>[38]</t>
  </si>
  <si>
    <t>15.C.7.f</t>
  </si>
  <si>
    <t>Provide specialist advice and support to the Station Fire Committee or Safety Health Environmental Fire (SHEF) Committee.</t>
  </si>
  <si>
    <t>15.C.7.g</t>
  </si>
  <si>
    <t>Attend as a member of the Unit's official planning, siting, handover and takeover boards.</t>
  </si>
  <si>
    <t>[376]</t>
  </si>
  <si>
    <t>15.C.7.h</t>
  </si>
  <si>
    <t>Issue Hot Work Permit to any personnel carrying out burning/welding/cutting operations.</t>
  </si>
  <si>
    <t>[65]</t>
  </si>
  <si>
    <t>15.C.7.i</t>
  </si>
  <si>
    <t>Assist building custodians in carrying out drill evacuations of buildings as required by Fire Safety Management Plan.</t>
  </si>
  <si>
    <t>[459]</t>
  </si>
  <si>
    <t>15.C.7.j</t>
  </si>
  <si>
    <t>Maintain building pre-fire plans in association with Fire Safety Management Plan.</t>
  </si>
  <si>
    <t>[194]</t>
  </si>
  <si>
    <t>15.C.8</t>
  </si>
  <si>
    <t>FIRE INVESTIGATION.</t>
  </si>
  <si>
    <t>15.C.8.a</t>
  </si>
  <si>
    <t>Investigate major and minor fires/incidents.</t>
  </si>
  <si>
    <t>15.C.8.b</t>
  </si>
  <si>
    <t>Request attendance of Cmd Fire Staff for investigations into major fires/incidents.</t>
  </si>
  <si>
    <t>15.C.8.c</t>
  </si>
  <si>
    <t>Attend as a professional member of a Board/Unit Inquiry into a fire or other incident.</t>
  </si>
  <si>
    <t>15.C.9</t>
  </si>
  <si>
    <t>FIRE EXTINGUISHERS</t>
  </si>
  <si>
    <t>15.C.9.a</t>
  </si>
  <si>
    <t>Issue and carry out annual servicing of all fire extinguishers.</t>
  </si>
  <si>
    <t>[338]</t>
  </si>
  <si>
    <t>15.C.9.b</t>
  </si>
  <si>
    <t>Carry out discharge tests of fire extinguishers.</t>
  </si>
  <si>
    <t>15.C.9.c</t>
  </si>
  <si>
    <t>Ensure monthly user section checks of fire extinguishers are carried out.</t>
  </si>
  <si>
    <t>15.C.10</t>
  </si>
  <si>
    <t>FIRE EVACUATION DRILLS.</t>
  </si>
  <si>
    <t>15.C.10.a</t>
  </si>
  <si>
    <t>Carry out practice evacuation drills.</t>
  </si>
  <si>
    <t>15.C.11</t>
  </si>
  <si>
    <t>FIRE ALARM AND FIRE PROTECTION EQUIPMENT.</t>
  </si>
  <si>
    <t>15.C.11.a</t>
  </si>
  <si>
    <t>Carry out checks, inspections and tests on all fire alarms and fire protection equipment and systems. User section may carry out daily/weekly checks.</t>
  </si>
  <si>
    <t>15.C.12</t>
  </si>
  <si>
    <t>CRASH/FIRE/RESCUE FIRE-FIGHTING VEHICLES (FFV).</t>
  </si>
  <si>
    <t>15.C.12.a</t>
  </si>
  <si>
    <t>Carry out functional checks and tests on FFV pumps and fire-fighting equipment.</t>
  </si>
  <si>
    <t>[234]</t>
  </si>
  <si>
    <t>15.C.12.b</t>
  </si>
  <si>
    <t>Service, wash, clean and polish all FFVs.</t>
  </si>
  <si>
    <t>[624]</t>
  </si>
  <si>
    <t>15.C.13</t>
  </si>
  <si>
    <t>HOSE TESTING.</t>
  </si>
  <si>
    <t>15.C.13.a</t>
  </si>
  <si>
    <t>Test all delivery and suction hoses.</t>
  </si>
  <si>
    <t>[72]</t>
  </si>
  <si>
    <t>15.C.14</t>
  </si>
  <si>
    <t>FIRE SECTION BUILDINGS</t>
  </si>
  <si>
    <t>15.C.14.a</t>
  </si>
  <si>
    <t>Maintain the cleanliness, fabric and surrounds of the fire section.</t>
  </si>
  <si>
    <t>[1716]</t>
  </si>
  <si>
    <t>15.D</t>
  </si>
  <si>
    <t>WATCHSTANDING REQUIREMENTS.</t>
  </si>
  <si>
    <t>15.D.1</t>
  </si>
  <si>
    <t>Provide a domestic response vehicle.</t>
  </si>
  <si>
    <t>15.E</t>
  </si>
  <si>
    <t>15.E.1</t>
  </si>
  <si>
    <t>15.E.2</t>
  </si>
  <si>
    <t>Respond to a detachment order to detach fire vehicles and/or manpower.</t>
  </si>
  <si>
    <t>15.F</t>
  </si>
  <si>
    <t>15.F.1.a</t>
  </si>
  <si>
    <t>Complete Fire Vehicle Daily Check List.</t>
  </si>
  <si>
    <t>15.F.1.b</t>
  </si>
  <si>
    <t xml:space="preserve">Complete Fire Prevention Inspection Reports.  </t>
  </si>
  <si>
    <t>15.F.1.c</t>
  </si>
  <si>
    <t xml:space="preserve">Submit report of full fire prevention survey. </t>
  </si>
  <si>
    <t>15.F.1.d</t>
  </si>
  <si>
    <t xml:space="preserve">Maintain register of Hot Work Permits issued. </t>
  </si>
  <si>
    <t>15.F.1.e</t>
  </si>
  <si>
    <t xml:space="preserve">Complete MoD Forms 1060 and 1061 - Minor and major fires and Special Services Monthly Return. </t>
  </si>
  <si>
    <t>15.F.1.f</t>
  </si>
  <si>
    <t xml:space="preserve">Forward a report to the DO when a building or area is considered to be inadequately fire protected. </t>
  </si>
  <si>
    <t>15.F.1.g</t>
  </si>
  <si>
    <t>Maintain a register of all fire-fighter training.</t>
  </si>
  <si>
    <t>15.F.1.h</t>
  </si>
  <si>
    <t>Maintain a record of all training given at Ser Nos 15.C.5.e to 15.C.5.h.</t>
  </si>
  <si>
    <t>15.F.2</t>
  </si>
  <si>
    <t>ADMINISTRATION</t>
  </si>
  <si>
    <t>15.F.2.a</t>
  </si>
  <si>
    <t>Provide a comprehensive and efficient Fire Section administration system.</t>
  </si>
  <si>
    <t>[2927]</t>
  </si>
  <si>
    <t>15.G.</t>
  </si>
  <si>
    <t>MATERIALS, EQUIPMENT and FACILITIES</t>
  </si>
  <si>
    <t>15.G.1</t>
  </si>
  <si>
    <t>GOVERNMENT FURNISHED MATERIAL (GFM)</t>
  </si>
  <si>
    <t>15.G.1.a</t>
  </si>
  <si>
    <t>All specific materials for administrative and technical tasks which can only be obtained through MoD sources will be provided by MoD.</t>
  </si>
  <si>
    <t>15.G.1.b</t>
  </si>
  <si>
    <t>Forward demands for controlled items to the DO for counter signature by Departmental Fire Staff.</t>
  </si>
  <si>
    <t>15.G.2</t>
  </si>
  <si>
    <t>15.G.2.a</t>
  </si>
  <si>
    <t>Maintain crash rescue and domestic fire protective clothing.</t>
  </si>
  <si>
    <t>15.G.3</t>
  </si>
  <si>
    <t>15.G.3.a</t>
  </si>
  <si>
    <t>Provide "undress uniform" and foul weather clothing for all fire section personnel.</t>
  </si>
  <si>
    <t>RCA 4338</t>
  </si>
  <si>
    <t>SECTION 16 - ADMINISTRATION SERVICES - CASH IN TRANSIT</t>
  </si>
  <si>
    <t>16.C</t>
  </si>
  <si>
    <t>16.C.1</t>
  </si>
  <si>
    <t>CASH IN TRANSIT</t>
  </si>
  <si>
    <t>16.C.1.a</t>
  </si>
  <si>
    <t>Provide a cash &amp; cheque collection and delivery service between RAFC Cranwell and a local nominated bank in Sleaford.</t>
  </si>
  <si>
    <t>16.D</t>
  </si>
  <si>
    <t>16.D.1</t>
  </si>
  <si>
    <t>16.E</t>
  </si>
  <si>
    <t>16.E.1</t>
  </si>
  <si>
    <t>16.F</t>
  </si>
  <si>
    <t>RECORDS &amp; DELIVERABLES</t>
  </si>
  <si>
    <t>16.F.1</t>
  </si>
  <si>
    <t>16.G</t>
  </si>
  <si>
    <t>MATERIALS &amp; EQUIPMENT</t>
  </si>
  <si>
    <t>16.G.1</t>
  </si>
  <si>
    <t>Provide all necessary specialist equipment/materials for the performance of the tasks.</t>
  </si>
  <si>
    <t>SECTION 19 - ACCOMMODATION CLEANING AND WINDOW CLEANING</t>
  </si>
  <si>
    <t>19.C</t>
  </si>
  <si>
    <t>19.C.1</t>
  </si>
  <si>
    <t>ACCOMMODATION AND WINDOW CLEANING REQUIREMENTS</t>
  </si>
  <si>
    <t>19.C.1.a</t>
  </si>
  <si>
    <t>Provide accom cleaning services at RAF Cranwell and parented Units.</t>
  </si>
  <si>
    <t>19.C.1.b</t>
  </si>
  <si>
    <t>Clean all windows in buildings; inside and out including internal glass.</t>
  </si>
  <si>
    <t>19.D</t>
  </si>
  <si>
    <t>19.D.1</t>
  </si>
  <si>
    <t>19.E</t>
  </si>
  <si>
    <t>19.E.1</t>
  </si>
  <si>
    <t>Additional IQ, iaw Section 2.E.1  may be ordered to support this section.</t>
  </si>
  <si>
    <t>19.E.2</t>
  </si>
  <si>
    <t>Provide emergency carpet cleaning outside of the Services and Equipment Guides (SEGS) contract for office accommodation, barrack blocks and Messes..</t>
  </si>
  <si>
    <t>19.F</t>
  </si>
  <si>
    <t>19.F.1</t>
  </si>
  <si>
    <t>Produce and agree with the DO a programme of work for accommodation cleaning.</t>
  </si>
  <si>
    <t>19.F.2</t>
  </si>
  <si>
    <t>After each building window cleaning task, obtain a signature to record completion of work.</t>
  </si>
  <si>
    <t>19.G</t>
  </si>
  <si>
    <t xml:space="preserve">MATERIALS AND EQUIPMENT </t>
  </si>
  <si>
    <t>19.G.1</t>
  </si>
  <si>
    <t>GOVT FURNISHED MATERIAL (GFM) AND EQUIPMENT (GFE)</t>
  </si>
  <si>
    <t>19.G.1.a</t>
  </si>
  <si>
    <t>Nil.</t>
  </si>
  <si>
    <t>19.G.2</t>
  </si>
  <si>
    <t>CONTRACTOR FURNISHED MATERIAL (CFM) AND EQUIPMENT (CFE)</t>
  </si>
  <si>
    <t>19.G.2.a</t>
  </si>
  <si>
    <t>All necessary materials, consumables and specialist cleaning equipment to be supplied by the Contractor.</t>
  </si>
  <si>
    <t>Amendment No 2</t>
  </si>
  <si>
    <t>Amendment No 27</t>
  </si>
  <si>
    <t>Amendment No 28</t>
  </si>
  <si>
    <t>Amendment No 41</t>
  </si>
  <si>
    <t>RCA 4139</t>
  </si>
  <si>
    <t>Amendment No 50</t>
  </si>
  <si>
    <t>RCA 3980</t>
  </si>
  <si>
    <t>Amendment No 51</t>
  </si>
  <si>
    <t>RCA 4302</t>
  </si>
  <si>
    <t>RCA 4304</t>
  </si>
  <si>
    <t>Amendment No 54</t>
  </si>
  <si>
    <t>RCA 4331</t>
  </si>
  <si>
    <t>RCA 4112</t>
  </si>
  <si>
    <t>Amendment 60</t>
  </si>
  <si>
    <t>SECTION 21 - FUNERAL SERVICES</t>
  </si>
  <si>
    <t>21.C</t>
  </si>
  <si>
    <t>21.C.1</t>
  </si>
  <si>
    <t>FUNERAL SERVICES</t>
  </si>
  <si>
    <t>21.C.1.a</t>
  </si>
  <si>
    <t>21.D</t>
  </si>
  <si>
    <t>21.D.1</t>
  </si>
  <si>
    <t>21.E</t>
  </si>
  <si>
    <t>21.E.1</t>
  </si>
  <si>
    <t>Provide Funeral Services for Service personnel at RAFC Cranwell and all parented units.</t>
  </si>
  <si>
    <t>21.F</t>
  </si>
  <si>
    <t>21.F.1</t>
  </si>
  <si>
    <t>21.G</t>
  </si>
  <si>
    <t>21.G.1</t>
  </si>
  <si>
    <t>Contractor to provide all necessary specialist equipment and materials for the satisfactory performance of the tasks.</t>
  </si>
  <si>
    <t>SECTION 22 - LAUNDRY/DRY CLEANING SERVICES</t>
  </si>
  <si>
    <t>22.C</t>
  </si>
  <si>
    <t>22.C.1</t>
  </si>
  <si>
    <t>LAUNDRY AND DRY-CLEANING SERVICES</t>
  </si>
  <si>
    <t>22.C.1.a</t>
  </si>
  <si>
    <t>Provide a service for articles to be washed, and/or rough dried, ironed, mangled, starched, cleaned, dry cleaned and folded.</t>
  </si>
  <si>
    <t>22.C.1.b</t>
  </si>
  <si>
    <t>Warranty all work provided under this Section.</t>
  </si>
  <si>
    <t>22.D</t>
  </si>
  <si>
    <t>22.D.1.a</t>
  </si>
  <si>
    <t>22.E</t>
  </si>
  <si>
    <t>22.E.1</t>
  </si>
  <si>
    <t>IQ, iaw Section 2.E.1 may be ordered to support this section.</t>
  </si>
  <si>
    <t>22.F</t>
  </si>
  <si>
    <t>RECORDS and DELIVERABLES</t>
  </si>
  <si>
    <t>22.F.1</t>
  </si>
  <si>
    <t xml:space="preserve">Provide a certificate at time of delivery, certifying that the laundered/dry cleaned articles returned are the  actual ones collected. </t>
  </si>
  <si>
    <t>22.F.2</t>
  </si>
  <si>
    <t>Provide with each laundry/dry cleaning bill, supporting invoices or delivery notes.</t>
  </si>
  <si>
    <t>22.G</t>
  </si>
  <si>
    <t>22.G.1</t>
  </si>
  <si>
    <t>The Contractor or his appointed representative shall provide all necessary specialist materials and equipment for the satisfactory completion of the task.</t>
  </si>
  <si>
    <t>RCA 43</t>
  </si>
  <si>
    <t>SECTION 23 - PEST CONTROL</t>
  </si>
  <si>
    <t>23.C</t>
  </si>
  <si>
    <t>23.C.1</t>
  </si>
  <si>
    <t>PEST CONTROL SERVICE</t>
  </si>
  <si>
    <t>23.C.1.a</t>
  </si>
  <si>
    <t>Provide routine Pest Control Inspections and all necessary treatments.</t>
  </si>
  <si>
    <t>23.C.1.b</t>
  </si>
  <si>
    <t>Investigate all incidents recorded in the Pest Book.</t>
  </si>
  <si>
    <t>23.D</t>
  </si>
  <si>
    <t>23.D.1</t>
  </si>
  <si>
    <t>23.E</t>
  </si>
  <si>
    <t>INDEFINITE QUANTITY REQUIREMENTS (IQ)</t>
  </si>
  <si>
    <t>23.E.1</t>
  </si>
  <si>
    <t>23.E.2</t>
  </si>
  <si>
    <t>Provide Emergency Pest Control Inspections and treatments.</t>
  </si>
  <si>
    <t>23.F</t>
  </si>
  <si>
    <t>23.F.1</t>
  </si>
  <si>
    <t>Provide written Infestation Reports by the Pest Control Agent to the DO.</t>
  </si>
  <si>
    <t>23.F.2</t>
  </si>
  <si>
    <t>Produce a schedule for programmed visits.</t>
  </si>
  <si>
    <t>23.F.3</t>
  </si>
  <si>
    <t xml:space="preserve">Maintain the Station Pest Book. </t>
  </si>
  <si>
    <t>23.G</t>
  </si>
  <si>
    <t>CONTRACTOR FURNISHED MATERIALS AND EQUIPMENT</t>
  </si>
  <si>
    <t>23.G.1</t>
  </si>
  <si>
    <t>Contractor provided.</t>
  </si>
  <si>
    <t>SECTION 24 - TAILORING SERVICES</t>
  </si>
  <si>
    <t>24.C</t>
  </si>
  <si>
    <t>24.C.1</t>
  </si>
  <si>
    <t>TAILORING SERVICES</t>
  </si>
  <si>
    <t>24.C.1.a</t>
  </si>
  <si>
    <t>Provide a tailor on site at RAFC Cranwell for clothing parades.</t>
  </si>
  <si>
    <t>24.C.1.b</t>
  </si>
  <si>
    <t>Provide a tailor on site at RAF Digby for clothing parades.</t>
  </si>
  <si>
    <t>24.C.1.c</t>
  </si>
  <si>
    <t>Provide necessary tailoring services for measuring, alteration or repair including alteration to special fit garments.</t>
  </si>
  <si>
    <t>24.D</t>
  </si>
  <si>
    <t>24.D.1</t>
  </si>
  <si>
    <t>24.E</t>
  </si>
  <si>
    <t>24.E.1</t>
  </si>
  <si>
    <t>24.F</t>
  </si>
  <si>
    <t>24.F.1</t>
  </si>
  <si>
    <t>Provide with each tailoring bill, supporting receipts on RAF Form 350 for all articles returned after alteration &amp; repair.</t>
  </si>
  <si>
    <t>24.G</t>
  </si>
  <si>
    <t xml:space="preserve">CONTRACTOR FURNISHED MATERIALS AND EQUIPMENT </t>
  </si>
  <si>
    <t>24.G.1</t>
  </si>
  <si>
    <t>RCA 4134</t>
  </si>
  <si>
    <t>RCA 4354</t>
  </si>
  <si>
    <t>SECTION 25 - WASTE DISPOSAL SERVICES</t>
  </si>
  <si>
    <t>25.C</t>
  </si>
  <si>
    <t>25.C.1</t>
  </si>
  <si>
    <t>WASTE DISPOSAL SERVICES</t>
  </si>
  <si>
    <t>25.C.1.a</t>
  </si>
  <si>
    <t>Provide waste disposal services.</t>
  </si>
  <si>
    <t>25.C.1.b</t>
  </si>
  <si>
    <t>Hire, service and maintain 1 x mobile block toilet.</t>
  </si>
  <si>
    <t>25.C.1.c</t>
  </si>
  <si>
    <t>Supply and service sanitary and nappy bins.</t>
  </si>
  <si>
    <t>25.D</t>
  </si>
  <si>
    <t>25.D.1</t>
  </si>
  <si>
    <t>25.E</t>
  </si>
  <si>
    <t>25.E.1</t>
  </si>
  <si>
    <t>25.E.2</t>
  </si>
  <si>
    <t>Provide a service to empty the old RAFAT Waste Dye Pit at RAF Cranwell and the new pit at RAF Scampton.</t>
  </si>
  <si>
    <t>25.E.3</t>
  </si>
  <si>
    <t>Provide a service to empty any Cess Pit/Septic Tank/Klargester at any site operated/parented by RAF Cranwell.</t>
  </si>
  <si>
    <t>25.F</t>
  </si>
  <si>
    <t>25.F.1</t>
  </si>
  <si>
    <t>Provide and maintain waste records.</t>
  </si>
  <si>
    <t>25.F.2</t>
  </si>
  <si>
    <t>Provide the DO with contractor/sub-contractors' current licences.</t>
  </si>
  <si>
    <t>25.G</t>
  </si>
  <si>
    <t>25.G.1</t>
  </si>
  <si>
    <t>25.G.1.a</t>
  </si>
  <si>
    <t>All GFE in-use refuse bins will be transferred to Contractor.</t>
  </si>
  <si>
    <t>25.G.2</t>
  </si>
  <si>
    <t>25.G.2.a</t>
  </si>
  <si>
    <t>AL 25</t>
  </si>
  <si>
    <t>AL 33</t>
  </si>
  <si>
    <t>AL 34</t>
  </si>
  <si>
    <t>AL 41 (Land Fill)</t>
  </si>
  <si>
    <t>AL 41 (Sani Servs)</t>
  </si>
  <si>
    <t>RCA 4111</t>
  </si>
  <si>
    <t>RCA 4213</t>
  </si>
  <si>
    <t>RCA 4136</t>
  </si>
  <si>
    <t>AL 54</t>
  </si>
  <si>
    <t>RCA 4183</t>
  </si>
  <si>
    <t>RCA 4334</t>
  </si>
  <si>
    <t>AL 59</t>
  </si>
  <si>
    <t>RCA 4361</t>
  </si>
  <si>
    <t>SECTION 30 - MIS</t>
  </si>
  <si>
    <t>30.</t>
  </si>
  <si>
    <t>Multi Interim Solution</t>
  </si>
  <si>
    <t>AL 16 - Vis Sim Upgrade</t>
  </si>
  <si>
    <t>AL20</t>
  </si>
  <si>
    <t>RCA 4326</t>
  </si>
  <si>
    <t>AL 58</t>
  </si>
  <si>
    <t>AL 61</t>
  </si>
  <si>
    <t>SECTION 31 - APTITUDE TESTING TEAM (DofR)(RAF)</t>
  </si>
  <si>
    <t>31.C</t>
  </si>
  <si>
    <t>31.C.1</t>
  </si>
  <si>
    <t>ATS MAINTENANCE</t>
  </si>
  <si>
    <t>31.C.1.a</t>
  </si>
  <si>
    <t>Maintain ATS test stations to Depth A, B and C.</t>
  </si>
  <si>
    <t>31.C.1.b</t>
  </si>
  <si>
    <t>Monitor and maintain ATS and Stats system.</t>
  </si>
  <si>
    <t>31.C.1.c</t>
  </si>
  <si>
    <t>Recover ATS and Stats system following loss of electrical power outside normal working hours.</t>
  </si>
  <si>
    <t>31.C.2</t>
  </si>
  <si>
    <t>SYSTEM PROGRAMMING AND ADMINISTRATION</t>
  </si>
  <si>
    <t>31.C.2.a</t>
  </si>
  <si>
    <t>Develop and test experimental aptitude test programmes.</t>
  </si>
  <si>
    <t>31.C.2.b</t>
  </si>
  <si>
    <t>Maintain and test aptitude test programmes.</t>
  </si>
  <si>
    <t>31.C.2.c</t>
  </si>
  <si>
    <t>Develop, test and maintain aptitude application programmes.</t>
  </si>
  <si>
    <t>31.C.2.d</t>
  </si>
  <si>
    <t>Produce and maintain development design documentation and user instruction guides in support of 31.C.2.a to 31.C.2.c.</t>
  </si>
  <si>
    <t>31.C.2.e</t>
  </si>
  <si>
    <t>Provide software programming support to Stats and Psychology section.</t>
  </si>
  <si>
    <t>31.C.2.f</t>
  </si>
  <si>
    <t>Produce disc and hard copy of source code for fully developed executive tests.</t>
  </si>
  <si>
    <t>31.C.2.g</t>
  </si>
  <si>
    <t>Administer ATS and Stats systems.</t>
  </si>
  <si>
    <t>31.C.3</t>
  </si>
  <si>
    <t>APTITUDE TESTING SUPPORT</t>
  </si>
  <si>
    <t>31.C.3.a</t>
  </si>
  <si>
    <t>Provide Aptitude Testing (AT) administrative support.</t>
  </si>
  <si>
    <t>Additional information:  Results processing of candidates results forms and letters iaw current policies.  Provide ad hoc inquiry, reception and briefing support and liaise with external agencies (RN, Army, GAPAN, Civil authorities etc).</t>
  </si>
  <si>
    <t>31.D</t>
  </si>
  <si>
    <t>31.D.1</t>
  </si>
  <si>
    <t>31.E</t>
  </si>
  <si>
    <t>31.E.1</t>
  </si>
  <si>
    <t>31.F</t>
  </si>
  <si>
    <t>31.F.1</t>
  </si>
  <si>
    <t>DOCUMENTATION AND PUBLICATIONS</t>
  </si>
  <si>
    <t>31.F.1.a</t>
  </si>
  <si>
    <t>Administer, control and maintain computer hardware and software manuals, discs, maintenance procedures and documentation held by team.</t>
  </si>
  <si>
    <t>31.F.2</t>
  </si>
  <si>
    <t>REGISTERS AND RETURNS</t>
  </si>
  <si>
    <t>31.F.2.a</t>
  </si>
  <si>
    <t>Produce and maintain statistical return of manhours spent on all taskings during reporting periods and maintain record of all ATS and Stats system malfunctions.</t>
  </si>
  <si>
    <t>31.F.3</t>
  </si>
  <si>
    <t>AUTHORISATIONS AND CERTIFICATIONS</t>
  </si>
  <si>
    <t>31.F.3.a</t>
  </si>
  <si>
    <t>Maintain details of relevant training, qualifications and experience for employees engaged in work under this section.</t>
  </si>
  <si>
    <t>31.G</t>
  </si>
  <si>
    <t>31.G.1</t>
  </si>
  <si>
    <t>31.G.1.a</t>
  </si>
  <si>
    <t>Control and maintain sections tools.</t>
  </si>
  <si>
    <t>31.G.1.b</t>
  </si>
  <si>
    <t>Control Section inventories.</t>
  </si>
  <si>
    <t>31.G.2</t>
  </si>
  <si>
    <t>31.G.2.a</t>
  </si>
  <si>
    <t>Provide protective clothing to personnel directly involved in work in section.</t>
  </si>
  <si>
    <t>Sect No</t>
  </si>
  <si>
    <t>Total Section Price</t>
  </si>
  <si>
    <t>Esc rate</t>
  </si>
  <si>
    <t>32-1</t>
  </si>
  <si>
    <t>General Information (32-1)</t>
  </si>
  <si>
    <t>32-2</t>
  </si>
  <si>
    <t>Management &amp; Administration (32-2)</t>
  </si>
  <si>
    <t>32-3</t>
  </si>
  <si>
    <t>Contingency Planning (32-3)</t>
  </si>
  <si>
    <t>32-5</t>
  </si>
  <si>
    <t>Aircraft Mechanical Support</t>
  </si>
  <si>
    <t>32-6</t>
  </si>
  <si>
    <t>Aircraft Avionics &amp; Electrical Support Facilities (32-6)</t>
  </si>
  <si>
    <t>32-7</t>
  </si>
  <si>
    <t>Aircraft Flying Clothing</t>
  </si>
  <si>
    <t>32-8</t>
  </si>
  <si>
    <t>Media Services (32-8)</t>
  </si>
  <si>
    <t>32-9</t>
  </si>
  <si>
    <t>Eng Ops and Records Spt Facilities</t>
  </si>
  <si>
    <t>32-10</t>
  </si>
  <si>
    <t>General Engineering Support (Inc Armament &amp; Range De-Leading ) (32-10)</t>
  </si>
  <si>
    <t>32-11</t>
  </si>
  <si>
    <t>Communication Information Systems (32-11)</t>
  </si>
  <si>
    <t>32-12</t>
  </si>
  <si>
    <t>Mechanical Transport Operations (32-12)</t>
  </si>
  <si>
    <t>32-14</t>
  </si>
  <si>
    <t>Supply Support Services (32-14)</t>
  </si>
  <si>
    <t>32-15</t>
  </si>
  <si>
    <t>Fire and Crash Rescue Services (32-15)</t>
  </si>
  <si>
    <t>Accommodation Cleaning (Inc Window Cleaning) (32-19)</t>
  </si>
  <si>
    <t>Administration (General Duties) 32-20</t>
  </si>
  <si>
    <t>Funeral Services (32-21)</t>
  </si>
  <si>
    <t>Laundry/Dry Cleaning Services (32-22)</t>
  </si>
  <si>
    <t>Pest Control Services (32-23)</t>
  </si>
  <si>
    <t>Tailoring Services (32-24)</t>
  </si>
  <si>
    <t>Waste Disposal Services (32-25)</t>
  </si>
  <si>
    <t>Misc.</t>
  </si>
  <si>
    <t>G &amp; A and Fee</t>
  </si>
  <si>
    <t>Fitness &amp; Leisure</t>
  </si>
  <si>
    <t>SPFS</t>
  </si>
  <si>
    <t>TOTALS Excl G&amp;A Fee</t>
  </si>
  <si>
    <t>32.C</t>
  </si>
  <si>
    <t>Contract Start (AL 19)</t>
  </si>
  <si>
    <t>AL 30</t>
  </si>
  <si>
    <t>AL 32 (Sect 12)</t>
  </si>
  <si>
    <t>AL 32 (Sect 14)</t>
  </si>
  <si>
    <t>AL 33 (Sec 25)</t>
  </si>
  <si>
    <t>AL 34 (Sec 25)</t>
  </si>
  <si>
    <t>AL 35 (Sec 12)</t>
  </si>
  <si>
    <t>AL 35 (Sec 14)</t>
  </si>
  <si>
    <t>AL 35 (Sec 15)</t>
  </si>
  <si>
    <t>AL 38 (Sec 2)</t>
  </si>
  <si>
    <t>AL 38 (Sec 6)</t>
  </si>
  <si>
    <t>AL 38 (Sec 10)</t>
  </si>
  <si>
    <t>AL 38 (Sec 11)</t>
  </si>
  <si>
    <t>AL 38 (Sec 12)</t>
  </si>
  <si>
    <t>AL 38 (Sec 14)</t>
  </si>
  <si>
    <t>AL 38 (Sec 15)</t>
  </si>
  <si>
    <t>AL 38 (Sec 19)</t>
  </si>
  <si>
    <t>AL 38 (Sec 22)</t>
  </si>
  <si>
    <t>AL 38 (Sec 23)</t>
  </si>
  <si>
    <t>AL 38 (Sec 24)</t>
  </si>
  <si>
    <t>AL 38 (Sec 25)</t>
  </si>
  <si>
    <t>AL 39 (Sec 32)</t>
  </si>
  <si>
    <t>AL 41 (Sec 25)</t>
  </si>
  <si>
    <t>AL 41 (Sec 12)</t>
  </si>
  <si>
    <t>AL 43 (Sec 19)</t>
  </si>
  <si>
    <t>RCA 3834</t>
  </si>
  <si>
    <t>AL 43 (Sec 20)</t>
  </si>
  <si>
    <t>RCA 3870</t>
  </si>
  <si>
    <t>AL 45 (Sec 12)</t>
  </si>
  <si>
    <t>RCA 3928</t>
  </si>
  <si>
    <t>AL 45 (Sec 33)</t>
  </si>
  <si>
    <t>RCA 4096</t>
  </si>
  <si>
    <t>AL 46 (Sec 14)</t>
  </si>
  <si>
    <t>AL 46 (Sec 15)</t>
  </si>
  <si>
    <t>AL 48 (Sec 19)</t>
  </si>
  <si>
    <t>RCA 4163</t>
  </si>
  <si>
    <t>AL 51 (Sec 12)</t>
  </si>
  <si>
    <t>RCA 4190</t>
  </si>
  <si>
    <t>AL 50 (Sec 19)</t>
  </si>
  <si>
    <t>RCA 4168</t>
  </si>
  <si>
    <t>AL 53 (Sec 5)</t>
  </si>
  <si>
    <t>RCA4211</t>
  </si>
  <si>
    <t>AL 53 (Sec 6)</t>
  </si>
  <si>
    <t>AL 53 (Sec 7)</t>
  </si>
  <si>
    <t>AL 53 (Sec 8)</t>
  </si>
  <si>
    <t>AL 53 (Sec 9)</t>
  </si>
  <si>
    <t>AL 53 (Sec 10)</t>
  </si>
  <si>
    <t>AL 55 (Sec 19)</t>
  </si>
  <si>
    <t>RCA 4171</t>
  </si>
  <si>
    <t>AL 55 (Sec 23)</t>
  </si>
  <si>
    <t>AL 55 (Sec 24)</t>
  </si>
  <si>
    <t>AL 55 (Sec 25)</t>
  </si>
  <si>
    <t>AL 56 (Sec 15)</t>
  </si>
  <si>
    <t>RCA 4357</t>
  </si>
  <si>
    <t>AL 59 (Sec 10)</t>
  </si>
  <si>
    <t>AL 59 (Sec 12)</t>
  </si>
  <si>
    <t>Note:  Ensure that the cells are copied to the above spreadsheet</t>
  </si>
  <si>
    <t>Breakdown of Section 32-10, already included in total.</t>
  </si>
  <si>
    <t>Breakdown of Section 32-14, already included in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</si>
</sst>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44" formatCode="_-&quot;£&quot;* #,##0.00_-;\-&quot;£&quot;* #,##0.00_-;_-&quot;£&quot;* &quot;-&quot;??_-;_-@_-"/>
    <numFmt numFmtId="43" formatCode="_-* #,##0.00_-;\-* #,##0.00_-;_-* &quot;-&quot;??_-;_-@_-"/>
    <numFmt numFmtId="164" formatCode="[$£-809]#,##0.00"/>
    <numFmt numFmtId="165" formatCode="&quot;£&quot;#,##0.00"/>
    <numFmt numFmtId="166" formatCode="_-* #,##0_-;\-* #,##0_-;_-* &quot;-&quot;??_-;_-@_-"/>
  </numFmts>
  <fonts count="38">
    <font>
      <sz val="9"/>
      <name val="Arial"/>
      <family val="2"/>
    </font>
    <font>
      <sz val="10"/>
      <name val="Geneva"/>
    </font>
    <font>
      <b/>
      <sz val="9"/>
      <name val="Arial"/>
      <family val="2"/>
    </font>
    <font>
      <sz val="9"/>
      <name val="Arial"/>
      <family val="2"/>
    </font>
    <font>
      <u/>
      <sz val="9"/>
      <name val="Arial"/>
      <family val="2"/>
    </font>
    <font>
      <b/>
      <sz val="10"/>
      <name val="Arial"/>
      <family val="2"/>
    </font>
    <font>
      <sz val="10"/>
      <name val="Arial"/>
      <family val="2"/>
    </font>
    <font>
      <b/>
      <sz val="28"/>
      <name val="Arial"/>
      <family val="2"/>
    </font>
    <font>
      <b/>
      <sz val="16"/>
      <name val="Arial"/>
      <family val="2"/>
    </font>
    <font>
      <b/>
      <sz val="14"/>
      <name val="Arial"/>
      <family val="2"/>
    </font>
    <font>
      <b/>
      <sz val="12"/>
      <name val="Arial"/>
      <family val="2"/>
    </font>
    <font>
      <sz val="10"/>
      <name val="Arial"/>
      <family val="2"/>
    </font>
    <font>
      <sz val="9"/>
      <name val="Arial"/>
      <family val="2"/>
    </font>
    <font>
      <sz val="12"/>
      <name val="Arial"/>
      <family val="2"/>
    </font>
    <font>
      <b/>
      <i/>
      <sz val="12"/>
      <name val="Arial"/>
      <family val="2"/>
    </font>
    <font>
      <b/>
      <sz val="13"/>
      <name val="Arial"/>
      <family val="2"/>
    </font>
    <font>
      <sz val="13"/>
      <name val="Arial"/>
      <family val="2"/>
    </font>
    <font>
      <sz val="9"/>
      <color indexed="8"/>
      <name val="Arial"/>
      <family val="2"/>
    </font>
    <font>
      <b/>
      <i/>
      <sz val="9"/>
      <name val="Arial"/>
      <family val="2"/>
    </font>
    <font>
      <sz val="11"/>
      <name val="Arial"/>
      <family val="2"/>
    </font>
    <font>
      <b/>
      <sz val="11"/>
      <name val="Arial"/>
      <family val="2"/>
    </font>
    <font>
      <sz val="8"/>
      <color indexed="81"/>
      <name val="Tahoma"/>
      <family val="2"/>
    </font>
    <font>
      <b/>
      <sz val="8"/>
      <color indexed="81"/>
      <name val="Tahoma"/>
      <family val="2"/>
    </font>
    <font>
      <sz val="9"/>
      <color indexed="10"/>
      <name val="Arial"/>
      <family val="2"/>
    </font>
    <font>
      <vertAlign val="superscript"/>
      <sz val="9"/>
      <name val="Arial"/>
      <family val="2"/>
    </font>
    <font>
      <sz val="9"/>
      <name val="Arial"/>
      <family val="2"/>
    </font>
    <font>
      <b/>
      <sz val="9"/>
      <color indexed="10"/>
      <name val="Arial"/>
      <family val="2"/>
    </font>
    <font>
      <b/>
      <u/>
      <sz val="11"/>
      <name val="Arial"/>
      <family val="2"/>
    </font>
    <font>
      <b/>
      <u/>
      <sz val="11"/>
      <color rgb="FFFF0000"/>
      <name val="Arial"/>
      <family val="2"/>
    </font>
    <font>
      <sz val="11"/>
      <color rgb="FFFF0000"/>
      <name val="Arial"/>
      <family val="2"/>
    </font>
    <font>
      <sz val="10"/>
      <color rgb="FFFF0000"/>
      <name val="Arial"/>
      <family val="2"/>
    </font>
    <font>
      <b/>
      <u/>
      <sz val="18"/>
      <name val="Arial"/>
      <family val="2"/>
    </font>
    <font>
      <b/>
      <u/>
      <sz val="9"/>
      <name val="Arial"/>
      <family val="2"/>
    </font>
    <font>
      <sz val="9"/>
      <color rgb="FFFF0000"/>
      <name val="Arial"/>
      <family val="2"/>
    </font>
    <font>
      <b/>
      <u/>
      <sz val="11"/>
      <color theme="1"/>
      <name val="Arial"/>
      <family val="2"/>
    </font>
    <font>
      <sz val="11"/>
      <color rgb="FF000000"/>
      <name val="Arial"/>
      <family val="2"/>
    </font>
    <font>
      <b/>
      <sz val="11"/>
      <color theme="1"/>
      <name val="Arial"/>
      <family val="2"/>
    </font>
    <font>
      <b/>
      <sz val="11"/>
      <color rgb="FF000000"/>
      <name val="Arial"/>
      <family val="2"/>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000000"/>
        <bgColor indexed="64"/>
      </patternFill>
    </fill>
    <fill>
      <patternFill patternType="solid">
        <fgColor theme="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alignment vertical="top" wrapText="1"/>
    </xf>
    <xf numFmtId="43" fontId="11" fillId="0" borderId="0" applyFont="0" applyFill="0" applyBorder="0" applyAlignment="0" applyProtection="0"/>
    <xf numFmtId="0" fontId="6" fillId="0" borderId="0">
      <alignment vertical="top"/>
    </xf>
    <xf numFmtId="0" fontId="3" fillId="0" borderId="0">
      <alignment horizontal="left" vertical="top" wrapText="1"/>
    </xf>
    <xf numFmtId="0" fontId="12" fillId="0" borderId="0">
      <alignment horizontal="left" vertical="top" wrapText="1"/>
    </xf>
    <xf numFmtId="0" fontId="3" fillId="0" borderId="0">
      <alignment vertical="top" wrapText="1"/>
    </xf>
    <xf numFmtId="0" fontId="3" fillId="0" borderId="0">
      <alignment vertical="top" wrapText="1"/>
    </xf>
    <xf numFmtId="9" fontId="1" fillId="0" borderId="0" applyFont="0" applyFill="0" applyBorder="0" applyAlignment="0" applyProtection="0"/>
    <xf numFmtId="44" fontId="3" fillId="0" borderId="0" applyFont="0" applyFill="0" applyBorder="0" applyAlignment="0" applyProtection="0"/>
  </cellStyleXfs>
  <cellXfs count="547">
    <xf numFmtId="0" fontId="0" fillId="0" borderId="0" xfId="0">
      <alignment vertical="top" wrapText="1"/>
    </xf>
    <xf numFmtId="0" fontId="3" fillId="0" borderId="0" xfId="0" applyFont="1">
      <alignment vertical="top" wrapText="1"/>
    </xf>
    <xf numFmtId="0" fontId="7" fillId="0" borderId="0" xfId="0" applyFont="1" applyAlignment="1">
      <alignment horizontal="center" vertical="top" wrapText="1"/>
    </xf>
    <xf numFmtId="0" fontId="0" fillId="0" borderId="0" xfId="0" applyAlignment="1">
      <alignment vertical="top"/>
    </xf>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Alignment="1">
      <alignment vertical="center" wrapText="1"/>
    </xf>
    <xf numFmtId="0" fontId="8" fillId="0" borderId="0" xfId="0" applyFont="1" applyAlignment="1">
      <alignment horizontal="left" vertical="top"/>
    </xf>
    <xf numFmtId="0" fontId="2" fillId="0" borderId="0" xfId="0" applyFont="1" applyAlignment="1">
      <alignment vertical="top"/>
    </xf>
    <xf numFmtId="0" fontId="2" fillId="0" borderId="1" xfId="0" applyFont="1" applyBorder="1" applyAlignment="1">
      <alignment horizontal="center" vertical="top"/>
    </xf>
    <xf numFmtId="0" fontId="0" fillId="0" borderId="1" xfId="0" applyBorder="1" applyAlignment="1">
      <alignment vertical="top"/>
    </xf>
    <xf numFmtId="0" fontId="10" fillId="0" borderId="0" xfId="2" applyFont="1" applyAlignment="1">
      <alignment horizontal="center" vertical="top"/>
    </xf>
    <xf numFmtId="0" fontId="13" fillId="0" borderId="0" xfId="2" applyFont="1">
      <alignment vertical="top"/>
    </xf>
    <xf numFmtId="0" fontId="3" fillId="0" borderId="0" xfId="5" applyAlignment="1">
      <alignment horizontal="left" vertical="top" wrapText="1"/>
    </xf>
    <xf numFmtId="4" fontId="2" fillId="2" borderId="1" xfId="5" applyNumberFormat="1" applyFont="1" applyFill="1" applyBorder="1" applyAlignment="1">
      <alignment horizontal="center" vertical="top" wrapText="1"/>
    </xf>
    <xf numFmtId="0" fontId="2" fillId="2" borderId="1" xfId="5" applyFont="1" applyFill="1" applyBorder="1" applyAlignment="1">
      <alignment horizontal="center" vertical="top" wrapText="1"/>
    </xf>
    <xf numFmtId="0" fontId="2" fillId="2" borderId="2" xfId="5" applyFont="1" applyFill="1" applyBorder="1" applyAlignment="1">
      <alignment horizontal="center" vertical="top" wrapText="1"/>
    </xf>
    <xf numFmtId="0" fontId="3" fillId="0" borderId="0" xfId="5">
      <alignment vertical="top" wrapText="1"/>
    </xf>
    <xf numFmtId="0" fontId="2" fillId="0" borderId="3" xfId="5" applyFont="1" applyBorder="1" applyAlignment="1">
      <alignment horizontal="left" vertical="top" wrapText="1"/>
    </xf>
    <xf numFmtId="4" fontId="2" fillId="0" borderId="1" xfId="5" applyNumberFormat="1" applyFont="1" applyBorder="1" applyAlignment="1">
      <alignment horizontal="center" vertical="top" wrapText="1"/>
    </xf>
    <xf numFmtId="3" fontId="2" fillId="0" borderId="1" xfId="5" applyNumberFormat="1" applyFont="1" applyBorder="1" applyAlignment="1">
      <alignment horizontal="center" vertical="top" wrapText="1"/>
    </xf>
    <xf numFmtId="0" fontId="2" fillId="0" borderId="0" xfId="5" applyFont="1" applyAlignment="1">
      <alignment horizontal="left" vertical="top"/>
    </xf>
    <xf numFmtId="4" fontId="2" fillId="3" borderId="1" xfId="5" applyNumberFormat="1" applyFont="1" applyFill="1" applyBorder="1" applyAlignment="1" applyProtection="1">
      <alignment horizontal="center" vertical="center"/>
      <protection locked="0"/>
    </xf>
    <xf numFmtId="4" fontId="2" fillId="3" borderId="4" xfId="5" applyNumberFormat="1" applyFont="1" applyFill="1" applyBorder="1" applyAlignment="1" applyProtection="1">
      <alignment horizontal="center" vertical="center"/>
      <protection locked="0"/>
    </xf>
    <xf numFmtId="4" fontId="3" fillId="0" borderId="0" xfId="5" applyNumberFormat="1">
      <alignment vertical="top" wrapText="1"/>
    </xf>
    <xf numFmtId="0" fontId="3" fillId="0" borderId="1" xfId="5" applyBorder="1">
      <alignment vertical="top" wrapText="1"/>
    </xf>
    <xf numFmtId="164" fontId="3" fillId="0" borderId="0" xfId="5" applyNumberFormat="1">
      <alignment vertical="top" wrapText="1"/>
    </xf>
    <xf numFmtId="0" fontId="3" fillId="0" borderId="3" xfId="5" applyBorder="1">
      <alignment vertical="top" wrapText="1"/>
    </xf>
    <xf numFmtId="0" fontId="3" fillId="4" borderId="0" xfId="5" applyFill="1" applyAlignment="1">
      <alignment horizontal="left" vertical="top" wrapText="1"/>
    </xf>
    <xf numFmtId="4" fontId="2" fillId="4" borderId="0" xfId="5" applyNumberFormat="1" applyFont="1" applyFill="1">
      <alignment vertical="top" wrapText="1"/>
    </xf>
    <xf numFmtId="165" fontId="2" fillId="3" borderId="1" xfId="5" applyNumberFormat="1" applyFont="1" applyFill="1" applyBorder="1" applyAlignment="1" applyProtection="1">
      <alignment horizontal="center" vertical="center"/>
      <protection locked="0"/>
    </xf>
    <xf numFmtId="165" fontId="2" fillId="3" borderId="2" xfId="5" applyNumberFormat="1" applyFont="1" applyFill="1" applyBorder="1" applyAlignment="1" applyProtection="1">
      <alignment horizontal="center" vertical="center"/>
      <protection locked="0"/>
    </xf>
    <xf numFmtId="0" fontId="3" fillId="0" borderId="0" xfId="5" applyAlignment="1">
      <alignment wrapText="1"/>
    </xf>
    <xf numFmtId="4" fontId="3" fillId="0" borderId="0" xfId="5" applyNumberFormat="1" applyAlignment="1">
      <alignment horizontal="center" wrapText="1"/>
    </xf>
    <xf numFmtId="0" fontId="3" fillId="0" borderId="0" xfId="5" applyAlignment="1">
      <alignment horizontal="center" wrapText="1"/>
    </xf>
    <xf numFmtId="4" fontId="2" fillId="3" borderId="1" xfId="5" applyNumberFormat="1" applyFont="1" applyFill="1" applyBorder="1" applyAlignment="1" applyProtection="1">
      <alignment horizontal="center" vertical="center" wrapText="1"/>
      <protection locked="0"/>
    </xf>
    <xf numFmtId="4" fontId="3" fillId="0" borderId="3" xfId="5" applyNumberFormat="1" applyBorder="1" applyAlignment="1">
      <alignment horizontal="center" wrapText="1"/>
    </xf>
    <xf numFmtId="0" fontId="3" fillId="4" borderId="5" xfId="5" applyFill="1" applyBorder="1" applyAlignment="1">
      <alignment horizontal="left" vertical="top" wrapText="1"/>
    </xf>
    <xf numFmtId="4" fontId="2" fillId="4" borderId="1" xfId="5" applyNumberFormat="1" applyFont="1" applyFill="1" applyBorder="1" applyAlignment="1">
      <alignment horizontal="center" wrapText="1"/>
    </xf>
    <xf numFmtId="0" fontId="2" fillId="0" borderId="0" xfId="5" applyFont="1" applyAlignment="1">
      <alignment horizontal="left" vertical="top" wrapText="1"/>
    </xf>
    <xf numFmtId="0" fontId="2" fillId="0" borderId="6" xfId="5" applyFont="1" applyBorder="1" applyAlignment="1">
      <alignment horizontal="center" vertical="top" wrapText="1"/>
    </xf>
    <xf numFmtId="0" fontId="2" fillId="0" borderId="0" xfId="5" applyFont="1">
      <alignment vertical="top" wrapText="1"/>
    </xf>
    <xf numFmtId="165" fontId="2" fillId="3" borderId="1" xfId="5" applyNumberFormat="1" applyFont="1" applyFill="1" applyBorder="1" applyAlignment="1" applyProtection="1">
      <alignment horizontal="center" vertical="center" wrapText="1"/>
      <protection locked="0"/>
    </xf>
    <xf numFmtId="3" fontId="2" fillId="0" borderId="0" xfId="5" applyNumberFormat="1" applyFont="1">
      <alignment vertical="top" wrapText="1"/>
    </xf>
    <xf numFmtId="165" fontId="2" fillId="0" borderId="0" xfId="5" applyNumberFormat="1" applyFont="1">
      <alignment vertical="top" wrapText="1"/>
    </xf>
    <xf numFmtId="4" fontId="2" fillId="0" borderId="0" xfId="5" applyNumberFormat="1" applyFont="1" applyAlignment="1">
      <alignment horizontal="center" vertical="top" wrapText="1"/>
    </xf>
    <xf numFmtId="165" fontId="2" fillId="0" borderId="0" xfId="5" applyNumberFormat="1" applyFont="1" applyAlignment="1">
      <alignment horizontal="center" vertical="top" wrapText="1"/>
    </xf>
    <xf numFmtId="3" fontId="3" fillId="0" borderId="0" xfId="5" applyNumberFormat="1" applyAlignment="1">
      <alignment horizontal="center" vertical="top" wrapText="1"/>
    </xf>
    <xf numFmtId="165" fontId="3" fillId="0" borderId="0" xfId="5" applyNumberFormat="1" applyAlignment="1">
      <alignment horizontal="center" vertical="top" wrapText="1"/>
    </xf>
    <xf numFmtId="0" fontId="2" fillId="0" borderId="3" xfId="5" applyFont="1" applyBorder="1" applyAlignment="1">
      <alignment horizontal="center" vertical="top" wrapText="1"/>
    </xf>
    <xf numFmtId="1" fontId="3" fillId="0" borderId="0" xfId="5" applyNumberFormat="1" applyAlignment="1">
      <alignment horizontal="left" vertical="top" wrapText="1"/>
    </xf>
    <xf numFmtId="165" fontId="3" fillId="0" borderId="0" xfId="5" applyNumberFormat="1">
      <alignment vertical="top" wrapText="1"/>
    </xf>
    <xf numFmtId="0" fontId="2" fillId="0" borderId="0" xfId="5" applyFont="1" applyAlignment="1">
      <alignment vertical="top"/>
    </xf>
    <xf numFmtId="4" fontId="2" fillId="3" borderId="1" xfId="5" applyNumberFormat="1" applyFont="1" applyFill="1" applyBorder="1" applyProtection="1">
      <alignment vertical="top" wrapText="1"/>
      <protection locked="0"/>
    </xf>
    <xf numFmtId="0" fontId="3" fillId="0" borderId="0" xfId="5" applyAlignment="1">
      <alignment vertical="top"/>
    </xf>
    <xf numFmtId="165" fontId="2" fillId="3" borderId="1" xfId="5" applyNumberFormat="1" applyFont="1" applyFill="1" applyBorder="1" applyProtection="1">
      <alignment vertical="top" wrapText="1"/>
      <protection locked="0"/>
    </xf>
    <xf numFmtId="0" fontId="3" fillId="0" borderId="3" xfId="5" applyBorder="1" applyAlignment="1">
      <alignment horizontal="left" vertical="top" wrapText="1"/>
    </xf>
    <xf numFmtId="1" fontId="3" fillId="0" borderId="3" xfId="5" applyNumberFormat="1" applyBorder="1" applyAlignment="1">
      <alignment horizontal="left" vertical="top" wrapText="1"/>
    </xf>
    <xf numFmtId="4" fontId="3" fillId="0" borderId="3" xfId="5" applyNumberFormat="1" applyBorder="1">
      <alignment vertical="top" wrapText="1"/>
    </xf>
    <xf numFmtId="165" fontId="3" fillId="0" borderId="3" xfId="5" applyNumberFormat="1" applyBorder="1">
      <alignment vertical="top" wrapText="1"/>
    </xf>
    <xf numFmtId="0" fontId="3" fillId="0" borderId="4" xfId="5" applyBorder="1">
      <alignment vertical="top" wrapText="1"/>
    </xf>
    <xf numFmtId="0" fontId="3" fillId="4" borderId="4" xfId="5" applyFill="1" applyBorder="1">
      <alignment vertical="top" wrapText="1"/>
    </xf>
    <xf numFmtId="4" fontId="2" fillId="4" borderId="1" xfId="5" applyNumberFormat="1" applyFont="1" applyFill="1" applyBorder="1">
      <alignment vertical="top" wrapText="1"/>
    </xf>
    <xf numFmtId="165" fontId="2" fillId="4" borderId="1" xfId="5" applyNumberFormat="1" applyFont="1" applyFill="1" applyBorder="1">
      <alignment vertical="top" wrapText="1"/>
    </xf>
    <xf numFmtId="0" fontId="15" fillId="0" borderId="0" xfId="5" applyFont="1" applyAlignment="1">
      <alignment horizontal="left" vertical="top"/>
    </xf>
    <xf numFmtId="0" fontId="15" fillId="0" borderId="0" xfId="5" applyFont="1" applyAlignment="1">
      <alignment vertical="top"/>
    </xf>
    <xf numFmtId="0" fontId="15" fillId="0" borderId="6" xfId="5" applyFont="1" applyBorder="1" applyAlignment="1">
      <alignment horizontal="center" vertical="top"/>
    </xf>
    <xf numFmtId="0" fontId="15" fillId="0" borderId="6" xfId="5" applyFont="1" applyBorder="1" applyAlignment="1">
      <alignment horizontal="right" vertical="top"/>
    </xf>
    <xf numFmtId="3" fontId="15" fillId="0" borderId="0" xfId="5" applyNumberFormat="1" applyFont="1" applyAlignment="1">
      <alignment vertical="top"/>
    </xf>
    <xf numFmtId="0" fontId="16" fillId="0" borderId="0" xfId="5" applyFont="1" applyAlignment="1">
      <alignment horizontal="left" vertical="top" wrapText="1"/>
    </xf>
    <xf numFmtId="0" fontId="16" fillId="0" borderId="0" xfId="5" applyFont="1">
      <alignment vertical="top" wrapText="1"/>
    </xf>
    <xf numFmtId="4" fontId="15" fillId="0" borderId="0" xfId="5" applyNumberFormat="1" applyFont="1" applyAlignment="1">
      <alignment horizontal="center" vertical="top"/>
    </xf>
    <xf numFmtId="165" fontId="15" fillId="0" borderId="0" xfId="5" applyNumberFormat="1" applyFont="1" applyAlignment="1">
      <alignment horizontal="center" vertical="top"/>
    </xf>
    <xf numFmtId="4" fontId="15" fillId="2" borderId="1" xfId="5" applyNumberFormat="1" applyFont="1" applyFill="1" applyBorder="1" applyAlignment="1">
      <alignment horizontal="center" vertical="top" wrapText="1"/>
    </xf>
    <xf numFmtId="3" fontId="16" fillId="0" borderId="0" xfId="5" applyNumberFormat="1" applyFont="1" applyAlignment="1">
      <alignment horizontal="center" vertical="top" wrapText="1"/>
    </xf>
    <xf numFmtId="0" fontId="16" fillId="0" borderId="0" xfId="5" applyFont="1" applyAlignment="1">
      <alignment horizontal="center" vertical="top" wrapText="1"/>
    </xf>
    <xf numFmtId="3" fontId="3" fillId="0" borderId="0" xfId="5" applyNumberFormat="1">
      <alignment vertical="top" wrapText="1"/>
    </xf>
    <xf numFmtId="0" fontId="5" fillId="0" borderId="0" xfId="5" applyFont="1" applyAlignment="1">
      <alignment horizontal="left" vertical="top"/>
    </xf>
    <xf numFmtId="164" fontId="2" fillId="3" borderId="1" xfId="5" applyNumberFormat="1" applyFont="1" applyFill="1" applyBorder="1" applyAlignment="1" applyProtection="1">
      <alignment horizontal="center" vertical="center"/>
      <protection locked="0"/>
    </xf>
    <xf numFmtId="4" fontId="2" fillId="4" borderId="7" xfId="5" applyNumberFormat="1" applyFont="1" applyFill="1" applyBorder="1">
      <alignment vertical="top" wrapText="1"/>
    </xf>
    <xf numFmtId="165" fontId="2" fillId="4" borderId="7" xfId="5" applyNumberFormat="1" applyFont="1" applyFill="1" applyBorder="1">
      <alignment vertical="top" wrapText="1"/>
    </xf>
    <xf numFmtId="0" fontId="15" fillId="0" borderId="0" xfId="5" applyFont="1" applyAlignment="1">
      <alignment horizontal="right" vertical="top"/>
    </xf>
    <xf numFmtId="0" fontId="3" fillId="4" borderId="0" xfId="5" applyFill="1">
      <alignment vertical="top" wrapText="1"/>
    </xf>
    <xf numFmtId="165" fontId="2" fillId="4" borderId="0" xfId="5" applyNumberFormat="1" applyFont="1" applyFill="1">
      <alignment vertical="top" wrapText="1"/>
    </xf>
    <xf numFmtId="4" fontId="2" fillId="4" borderId="8" xfId="5" applyNumberFormat="1" applyFont="1" applyFill="1" applyBorder="1">
      <alignment vertical="top" wrapText="1"/>
    </xf>
    <xf numFmtId="4" fontId="3" fillId="0" borderId="0" xfId="5" applyNumberFormat="1" applyAlignment="1">
      <alignment vertical="top"/>
    </xf>
    <xf numFmtId="165" fontId="3" fillId="0" borderId="0" xfId="5" applyNumberFormat="1" applyAlignment="1">
      <alignment vertical="top"/>
    </xf>
    <xf numFmtId="164" fontId="3" fillId="0" borderId="0" xfId="5" applyNumberFormat="1" applyAlignment="1">
      <alignment vertical="top"/>
    </xf>
    <xf numFmtId="1" fontId="3" fillId="0" borderId="0" xfId="5" applyNumberFormat="1" applyAlignment="1">
      <alignment vertical="top"/>
    </xf>
    <xf numFmtId="1" fontId="2" fillId="0" borderId="0" xfId="5" applyNumberFormat="1" applyFont="1" applyAlignment="1">
      <alignment vertical="top"/>
    </xf>
    <xf numFmtId="4" fontId="2" fillId="3" borderId="1" xfId="5" applyNumberFormat="1" applyFont="1" applyFill="1" applyBorder="1" applyAlignment="1" applyProtection="1">
      <alignment vertical="top"/>
      <protection locked="0"/>
    </xf>
    <xf numFmtId="165" fontId="2" fillId="3" borderId="1" xfId="5" applyNumberFormat="1" applyFont="1" applyFill="1" applyBorder="1" applyAlignment="1" applyProtection="1">
      <alignment vertical="top"/>
      <protection locked="0"/>
    </xf>
    <xf numFmtId="1" fontId="3" fillId="0" borderId="0" xfId="5" applyNumberFormat="1">
      <alignment vertical="top" wrapText="1"/>
    </xf>
    <xf numFmtId="1" fontId="2" fillId="0" borderId="0" xfId="5" applyNumberFormat="1" applyFont="1" applyAlignment="1">
      <alignment horizontal="left" vertical="top"/>
    </xf>
    <xf numFmtId="4" fontId="3" fillId="0" borderId="3" xfId="5" applyNumberFormat="1" applyBorder="1" applyAlignment="1">
      <alignment vertical="top"/>
    </xf>
    <xf numFmtId="165" fontId="3" fillId="0" borderId="3" xfId="5" applyNumberFormat="1" applyBorder="1" applyAlignment="1">
      <alignment vertical="top"/>
    </xf>
    <xf numFmtId="0" fontId="3" fillId="4" borderId="0" xfId="5" applyFill="1" applyAlignment="1">
      <alignment vertical="top"/>
    </xf>
    <xf numFmtId="4" fontId="2" fillId="4" borderId="0" xfId="5" applyNumberFormat="1" applyFont="1" applyFill="1" applyAlignment="1">
      <alignment vertical="top"/>
    </xf>
    <xf numFmtId="165" fontId="2" fillId="4" borderId="0" xfId="5" applyNumberFormat="1" applyFont="1" applyFill="1" applyAlignment="1">
      <alignment vertical="top"/>
    </xf>
    <xf numFmtId="4" fontId="2" fillId="4" borderId="8" xfId="5" applyNumberFormat="1" applyFont="1" applyFill="1" applyBorder="1" applyAlignment="1">
      <alignment vertical="top"/>
    </xf>
    <xf numFmtId="0" fontId="16" fillId="0" borderId="0" xfId="5" applyFont="1" applyAlignment="1">
      <alignment vertical="top"/>
    </xf>
    <xf numFmtId="3" fontId="3" fillId="0" borderId="0" xfId="5" applyNumberFormat="1" applyAlignment="1">
      <alignment vertical="top"/>
    </xf>
    <xf numFmtId="0" fontId="3" fillId="0" borderId="0" xfId="5" applyAlignment="1" applyProtection="1">
      <alignment horizontal="left" vertical="top" wrapText="1"/>
      <protection locked="0"/>
    </xf>
    <xf numFmtId="1" fontId="2" fillId="0" borderId="0" xfId="5" applyNumberFormat="1" applyFont="1" applyAlignment="1">
      <alignment horizontal="left" vertical="top" wrapText="1"/>
    </xf>
    <xf numFmtId="0" fontId="17" fillId="0" borderId="0" xfId="5" applyFont="1" applyAlignment="1">
      <alignment horizontal="left" vertical="top" wrapText="1"/>
    </xf>
    <xf numFmtId="1" fontId="3" fillId="0" borderId="0" xfId="5" applyNumberFormat="1" applyAlignment="1">
      <alignment horizontal="left" vertical="top"/>
    </xf>
    <xf numFmtId="4" fontId="2" fillId="3" borderId="1" xfId="5" applyNumberFormat="1" applyFont="1" applyFill="1" applyBorder="1" applyAlignment="1" applyProtection="1">
      <alignment horizontal="right"/>
      <protection locked="0"/>
    </xf>
    <xf numFmtId="4" fontId="3" fillId="0" borderId="0" xfId="5" applyNumberFormat="1" applyAlignment="1">
      <alignment horizontal="right"/>
    </xf>
    <xf numFmtId="0" fontId="3" fillId="0" borderId="0" xfId="3">
      <alignment horizontal="left" vertical="top" wrapText="1"/>
    </xf>
    <xf numFmtId="0" fontId="2" fillId="0" borderId="0" xfId="3" applyFont="1" applyAlignment="1">
      <alignment horizontal="left" vertical="top"/>
    </xf>
    <xf numFmtId="0" fontId="3" fillId="0" borderId="0" xfId="3" applyAlignment="1">
      <alignment vertical="top"/>
    </xf>
    <xf numFmtId="0" fontId="2" fillId="0" borderId="0" xfId="3" applyFont="1">
      <alignment horizontal="left" vertical="top" wrapText="1"/>
    </xf>
    <xf numFmtId="0" fontId="3" fillId="0" borderId="0" xfId="3" applyAlignment="1">
      <alignment vertical="top" wrapText="1"/>
    </xf>
    <xf numFmtId="0" fontId="3" fillId="0" borderId="0" xfId="3" applyAlignment="1">
      <alignment horizontal="left" vertical="top"/>
    </xf>
    <xf numFmtId="0" fontId="2" fillId="0" borderId="0" xfId="3" applyFont="1" applyAlignment="1">
      <alignment vertical="top"/>
    </xf>
    <xf numFmtId="0" fontId="3" fillId="0" borderId="3" xfId="3" applyBorder="1" applyAlignment="1">
      <alignment vertical="top"/>
    </xf>
    <xf numFmtId="0" fontId="3" fillId="0" borderId="3" xfId="3" applyBorder="1">
      <alignment horizontal="left" vertical="top" wrapText="1"/>
    </xf>
    <xf numFmtId="164" fontId="2" fillId="0" borderId="0" xfId="5" applyNumberFormat="1" applyFont="1" applyAlignment="1">
      <alignment horizontal="center" vertical="top"/>
    </xf>
    <xf numFmtId="4" fontId="2" fillId="3" borderId="2" xfId="5" applyNumberFormat="1" applyFont="1" applyFill="1" applyBorder="1" applyProtection="1">
      <alignment vertical="top" wrapText="1"/>
      <protection locked="0"/>
    </xf>
    <xf numFmtId="4" fontId="2" fillId="3" borderId="5" xfId="5" applyNumberFormat="1" applyFont="1" applyFill="1" applyBorder="1" applyProtection="1">
      <alignment vertical="top" wrapText="1"/>
      <protection locked="0"/>
    </xf>
    <xf numFmtId="4" fontId="2" fillId="3" borderId="4" xfId="5" applyNumberFormat="1" applyFont="1" applyFill="1" applyBorder="1" applyProtection="1">
      <alignment vertical="top" wrapText="1"/>
      <protection locked="0"/>
    </xf>
    <xf numFmtId="0" fontId="3" fillId="0" borderId="0" xfId="4" applyFont="1">
      <alignment horizontal="left" vertical="top" wrapText="1"/>
    </xf>
    <xf numFmtId="0" fontId="2" fillId="0" borderId="0" xfId="4" applyFont="1" applyAlignment="1">
      <alignment horizontal="left" vertical="top"/>
    </xf>
    <xf numFmtId="0" fontId="18" fillId="0" borderId="0" xfId="5" applyFont="1">
      <alignment vertical="top" wrapText="1"/>
    </xf>
    <xf numFmtId="3" fontId="2" fillId="3" borderId="1" xfId="5" applyNumberFormat="1" applyFont="1" applyFill="1" applyBorder="1" applyAlignment="1" applyProtection="1">
      <alignment horizontal="right"/>
      <protection locked="0"/>
    </xf>
    <xf numFmtId="0" fontId="3" fillId="0" borderId="3" xfId="4" applyFont="1" applyBorder="1">
      <alignment horizontal="left" vertical="top" wrapText="1"/>
    </xf>
    <xf numFmtId="165" fontId="3" fillId="0" borderId="9" xfId="5" applyNumberFormat="1" applyBorder="1">
      <alignment vertical="top" wrapText="1"/>
    </xf>
    <xf numFmtId="0" fontId="6" fillId="0" borderId="0" xfId="5" applyFont="1" applyAlignment="1">
      <alignment horizontal="left" vertical="top" wrapText="1"/>
    </xf>
    <xf numFmtId="0" fontId="3" fillId="0" borderId="0" xfId="0" applyFont="1" applyAlignment="1">
      <alignment horizontal="left" vertical="top" wrapText="1"/>
    </xf>
    <xf numFmtId="164" fontId="2" fillId="3" borderId="1" xfId="5" applyNumberFormat="1" applyFont="1" applyFill="1" applyBorder="1" applyAlignment="1" applyProtection="1">
      <alignment horizontal="center" vertical="top" wrapText="1"/>
      <protection locked="0"/>
    </xf>
    <xf numFmtId="4" fontId="2" fillId="3" borderId="7" xfId="5" applyNumberFormat="1" applyFont="1" applyFill="1" applyBorder="1" applyProtection="1">
      <alignment vertical="top" wrapText="1"/>
      <protection locked="0"/>
    </xf>
    <xf numFmtId="4" fontId="2" fillId="0" borderId="0" xfId="5" applyNumberFormat="1" applyFont="1">
      <alignment vertical="top" wrapText="1"/>
    </xf>
    <xf numFmtId="0" fontId="3" fillId="0" borderId="3" xfId="5" applyBorder="1" applyAlignment="1">
      <alignment vertical="top"/>
    </xf>
    <xf numFmtId="165" fontId="5" fillId="0" borderId="0" xfId="5" applyNumberFormat="1" applyFont="1" applyAlignment="1">
      <alignment vertical="top"/>
    </xf>
    <xf numFmtId="4" fontId="5" fillId="0" borderId="0" xfId="5" applyNumberFormat="1" applyFont="1" applyAlignment="1">
      <alignment vertical="top"/>
    </xf>
    <xf numFmtId="4" fontId="2" fillId="3" borderId="1" xfId="5" applyNumberFormat="1" applyFont="1" applyFill="1" applyBorder="1" applyAlignment="1" applyProtection="1">
      <alignment horizontal="center" vertical="top"/>
      <protection locked="0"/>
    </xf>
    <xf numFmtId="4" fontId="2" fillId="4" borderId="1" xfId="5" applyNumberFormat="1" applyFont="1" applyFill="1" applyBorder="1" applyAlignment="1">
      <alignment vertical="top"/>
    </xf>
    <xf numFmtId="165" fontId="2" fillId="0" borderId="0" xfId="5" applyNumberFormat="1" applyFont="1" applyAlignment="1" applyProtection="1">
      <alignment vertical="top"/>
      <protection locked="0"/>
    </xf>
    <xf numFmtId="0" fontId="13" fillId="0" borderId="0" xfId="5" applyFont="1" applyAlignment="1">
      <alignment horizontal="left" vertical="top" wrapText="1"/>
    </xf>
    <xf numFmtId="0" fontId="13" fillId="0" borderId="0" xfId="5" applyFont="1" applyAlignment="1">
      <alignment vertical="top"/>
    </xf>
    <xf numFmtId="4" fontId="10" fillId="0" borderId="0" xfId="5" applyNumberFormat="1" applyFont="1" applyAlignment="1">
      <alignment horizontal="center" vertical="top"/>
    </xf>
    <xf numFmtId="165" fontId="10" fillId="0" borderId="0" xfId="5" applyNumberFormat="1" applyFont="1" applyAlignment="1">
      <alignment horizontal="center" vertical="top"/>
    </xf>
    <xf numFmtId="165" fontId="10" fillId="3" borderId="1" xfId="5" applyNumberFormat="1" applyFont="1" applyFill="1" applyBorder="1" applyAlignment="1" applyProtection="1">
      <alignment vertical="top"/>
      <protection locked="0"/>
    </xf>
    <xf numFmtId="3" fontId="13" fillId="0" borderId="0" xfId="5" applyNumberFormat="1" applyFont="1" applyAlignment="1">
      <alignment horizontal="center" vertical="top" wrapText="1"/>
    </xf>
    <xf numFmtId="0" fontId="13" fillId="0" borderId="0" xfId="5" applyFont="1" applyAlignment="1">
      <alignment horizontal="center" vertical="top" wrapText="1"/>
    </xf>
    <xf numFmtId="4" fontId="10" fillId="2" borderId="1" xfId="5" applyNumberFormat="1" applyFont="1" applyFill="1" applyBorder="1" applyAlignment="1">
      <alignment horizontal="center" vertical="top" wrapText="1"/>
    </xf>
    <xf numFmtId="0" fontId="3" fillId="0" borderId="0" xfId="5" applyAlignment="1"/>
    <xf numFmtId="0" fontId="13" fillId="0" borderId="0" xfId="5" applyFont="1">
      <alignment vertical="top" wrapText="1"/>
    </xf>
    <xf numFmtId="165" fontId="10" fillId="3" borderId="1" xfId="5" applyNumberFormat="1" applyFont="1" applyFill="1" applyBorder="1" applyProtection="1">
      <alignment vertical="top" wrapText="1"/>
      <protection locked="0"/>
    </xf>
    <xf numFmtId="164" fontId="2" fillId="3" borderId="1" xfId="5" applyNumberFormat="1" applyFont="1" applyFill="1" applyBorder="1" applyAlignment="1" applyProtection="1">
      <alignment horizontal="center" vertical="top"/>
      <protection locked="0"/>
    </xf>
    <xf numFmtId="0" fontId="19" fillId="0" borderId="0" xfId="5" applyFont="1" applyAlignment="1">
      <alignment horizontal="left" vertical="top" wrapText="1"/>
    </xf>
    <xf numFmtId="0" fontId="19" fillId="0" borderId="0" xfId="5" applyFont="1" applyAlignment="1">
      <alignment vertical="top"/>
    </xf>
    <xf numFmtId="4" fontId="20" fillId="0" borderId="0" xfId="5" applyNumberFormat="1" applyFont="1" applyAlignment="1">
      <alignment horizontal="center" vertical="top"/>
    </xf>
    <xf numFmtId="165" fontId="20" fillId="0" borderId="0" xfId="5" applyNumberFormat="1" applyFont="1" applyAlignment="1">
      <alignment horizontal="center" vertical="top"/>
    </xf>
    <xf numFmtId="4" fontId="20" fillId="2" borderId="1" xfId="5" applyNumberFormat="1" applyFont="1" applyFill="1" applyBorder="1" applyAlignment="1">
      <alignment horizontal="center" vertical="top" wrapText="1"/>
    </xf>
    <xf numFmtId="3" fontId="19" fillId="0" borderId="0" xfId="5" applyNumberFormat="1" applyFont="1" applyAlignment="1">
      <alignment horizontal="center" vertical="top" wrapText="1"/>
    </xf>
    <xf numFmtId="0" fontId="19" fillId="0" borderId="0" xfId="5" applyFont="1" applyAlignment="1">
      <alignment horizontal="center" vertical="top" wrapText="1"/>
    </xf>
    <xf numFmtId="165" fontId="20" fillId="3" borderId="1" xfId="5" applyNumberFormat="1" applyFont="1" applyFill="1" applyBorder="1" applyAlignment="1" applyProtection="1">
      <alignment vertical="top"/>
      <protection locked="0"/>
    </xf>
    <xf numFmtId="0" fontId="20" fillId="2" borderId="1" xfId="5" applyFont="1" applyFill="1" applyBorder="1" applyAlignment="1">
      <alignment horizontal="center" vertical="top" wrapText="1"/>
    </xf>
    <xf numFmtId="0" fontId="20" fillId="2" borderId="4" xfId="5" applyFont="1" applyFill="1" applyBorder="1" applyAlignment="1">
      <alignment horizontal="center" vertical="top" wrapText="1"/>
    </xf>
    <xf numFmtId="165" fontId="20" fillId="3" borderId="1" xfId="5" applyNumberFormat="1" applyFont="1" applyFill="1" applyBorder="1" applyAlignment="1" applyProtection="1">
      <alignment horizontal="center" vertical="top"/>
      <protection locked="0"/>
    </xf>
    <xf numFmtId="165" fontId="20" fillId="3" borderId="4" xfId="5" applyNumberFormat="1" applyFont="1" applyFill="1" applyBorder="1" applyAlignment="1" applyProtection="1">
      <alignment horizontal="center" vertical="top"/>
      <protection locked="0"/>
    </xf>
    <xf numFmtId="0" fontId="20" fillId="0" borderId="0" xfId="5" applyFont="1" applyAlignment="1">
      <alignment horizontal="left" vertical="top"/>
    </xf>
    <xf numFmtId="0" fontId="20" fillId="0" borderId="0" xfId="5" applyFont="1" applyAlignment="1">
      <alignment vertical="top"/>
    </xf>
    <xf numFmtId="0" fontId="19" fillId="0" borderId="0" xfId="5" applyFont="1">
      <alignment vertical="top" wrapText="1"/>
    </xf>
    <xf numFmtId="0" fontId="20" fillId="2" borderId="2" xfId="5" applyFont="1" applyFill="1" applyBorder="1" applyAlignment="1">
      <alignment horizontal="center" vertical="top" wrapText="1"/>
    </xf>
    <xf numFmtId="165" fontId="20" fillId="3" borderId="1" xfId="5" applyNumberFormat="1" applyFont="1" applyFill="1" applyBorder="1" applyAlignment="1" applyProtection="1">
      <alignment horizontal="center" vertical="center"/>
      <protection locked="0"/>
    </xf>
    <xf numFmtId="165" fontId="20" fillId="3" borderId="2" xfId="5" applyNumberFormat="1" applyFont="1" applyFill="1" applyBorder="1" applyAlignment="1" applyProtection="1">
      <alignment horizontal="center" vertical="center"/>
      <protection locked="0"/>
    </xf>
    <xf numFmtId="0" fontId="20" fillId="0" borderId="0" xfId="5" applyFont="1" applyAlignment="1">
      <alignment horizontal="right" vertical="top"/>
    </xf>
    <xf numFmtId="165" fontId="20" fillId="0" borderId="0" xfId="5" applyNumberFormat="1" applyFont="1" applyAlignment="1">
      <alignment vertical="top"/>
    </xf>
    <xf numFmtId="3" fontId="20" fillId="0" borderId="0" xfId="5" applyNumberFormat="1" applyFont="1" applyAlignment="1">
      <alignment vertical="top"/>
    </xf>
    <xf numFmtId="165" fontId="19" fillId="0" borderId="0" xfId="5" applyNumberFormat="1" applyFont="1" applyAlignment="1">
      <alignment horizontal="center" vertical="top" wrapText="1"/>
    </xf>
    <xf numFmtId="4" fontId="2" fillId="3" borderId="5" xfId="5" applyNumberFormat="1" applyFont="1" applyFill="1" applyBorder="1" applyAlignment="1" applyProtection="1">
      <alignment horizontal="center" vertical="top"/>
      <protection locked="0"/>
    </xf>
    <xf numFmtId="4" fontId="2" fillId="3" borderId="4" xfId="5" applyNumberFormat="1" applyFont="1" applyFill="1" applyBorder="1" applyAlignment="1" applyProtection="1">
      <alignment horizontal="center" vertical="top"/>
      <protection locked="0"/>
    </xf>
    <xf numFmtId="0" fontId="20" fillId="2" borderId="5" xfId="5" applyFont="1" applyFill="1" applyBorder="1" applyAlignment="1">
      <alignment horizontal="center" vertical="top" wrapText="1"/>
    </xf>
    <xf numFmtId="165" fontId="20" fillId="3" borderId="5" xfId="5" applyNumberFormat="1" applyFont="1" applyFill="1" applyBorder="1" applyAlignment="1" applyProtection="1">
      <alignment horizontal="center" vertical="top"/>
      <protection locked="0"/>
    </xf>
    <xf numFmtId="0" fontId="2" fillId="4" borderId="0" xfId="5" applyFont="1" applyFill="1" applyAlignment="1">
      <alignment vertical="top"/>
    </xf>
    <xf numFmtId="164" fontId="2" fillId="4" borderId="0" xfId="5" applyNumberFormat="1" applyFont="1" applyFill="1" applyAlignment="1">
      <alignment vertical="top"/>
    </xf>
    <xf numFmtId="166" fontId="2" fillId="3" borderId="1" xfId="1" applyNumberFormat="1" applyFont="1" applyFill="1" applyBorder="1" applyAlignment="1" applyProtection="1">
      <alignment horizontal="center" vertical="top"/>
      <protection locked="0"/>
    </xf>
    <xf numFmtId="165" fontId="2" fillId="3" borderId="1" xfId="5" applyNumberFormat="1" applyFont="1" applyFill="1" applyBorder="1" applyAlignment="1" applyProtection="1">
      <alignment horizontal="center" vertical="top"/>
      <protection locked="0"/>
    </xf>
    <xf numFmtId="4" fontId="2" fillId="3" borderId="4" xfId="5" applyNumberFormat="1" applyFont="1" applyFill="1" applyBorder="1" applyAlignment="1" applyProtection="1">
      <alignment vertical="top"/>
      <protection locked="0"/>
    </xf>
    <xf numFmtId="4" fontId="2" fillId="3" borderId="5" xfId="5" applyNumberFormat="1" applyFont="1" applyFill="1" applyBorder="1" applyAlignment="1" applyProtection="1">
      <alignment vertical="top"/>
      <protection locked="0"/>
    </xf>
    <xf numFmtId="0" fontId="5" fillId="0" borderId="0" xfId="5" applyFont="1" applyAlignment="1">
      <alignment vertical="top"/>
    </xf>
    <xf numFmtId="0" fontId="5" fillId="0" borderId="0" xfId="5" applyFont="1" applyAlignment="1">
      <alignment horizontal="right" vertical="top"/>
    </xf>
    <xf numFmtId="0" fontId="6" fillId="0" borderId="0" xfId="5" applyFont="1" applyAlignment="1">
      <alignment vertical="top"/>
    </xf>
    <xf numFmtId="4" fontId="5" fillId="2" borderId="1" xfId="5" applyNumberFormat="1" applyFont="1" applyFill="1" applyBorder="1" applyAlignment="1">
      <alignment horizontal="center" vertical="top" wrapText="1"/>
    </xf>
    <xf numFmtId="0" fontId="5" fillId="2" borderId="1" xfId="5" applyFont="1" applyFill="1" applyBorder="1" applyAlignment="1">
      <alignment horizontal="center" vertical="top" wrapText="1"/>
    </xf>
    <xf numFmtId="165" fontId="5" fillId="3" borderId="1" xfId="5" applyNumberFormat="1" applyFont="1" applyFill="1" applyBorder="1" applyAlignment="1" applyProtection="1">
      <alignment horizontal="center" vertical="top"/>
      <protection locked="0"/>
    </xf>
    <xf numFmtId="0" fontId="5" fillId="0" borderId="0" xfId="5" applyFont="1" applyAlignment="1">
      <alignment horizontal="center" vertical="top"/>
    </xf>
    <xf numFmtId="0" fontId="5" fillId="2" borderId="5" xfId="5" applyFont="1" applyFill="1" applyBorder="1" applyAlignment="1">
      <alignment horizontal="center" vertical="top" wrapText="1"/>
    </xf>
    <xf numFmtId="0" fontId="5" fillId="2" borderId="2" xfId="5" applyFont="1" applyFill="1" applyBorder="1" applyAlignment="1">
      <alignment horizontal="center" vertical="top" wrapText="1"/>
    </xf>
    <xf numFmtId="4" fontId="2" fillId="3" borderId="1" xfId="5" applyNumberFormat="1" applyFont="1" applyFill="1" applyBorder="1" applyAlignment="1">
      <alignment horizontal="center" vertical="top" wrapText="1"/>
    </xf>
    <xf numFmtId="0" fontId="2" fillId="3" borderId="1" xfId="5" applyFont="1" applyFill="1" applyBorder="1" applyAlignment="1">
      <alignment horizontal="center" vertical="top" wrapText="1"/>
    </xf>
    <xf numFmtId="0" fontId="2" fillId="3" borderId="1" xfId="5" applyFont="1" applyFill="1" applyBorder="1" applyAlignment="1">
      <alignment horizontal="left" vertical="top" wrapText="1"/>
    </xf>
    <xf numFmtId="0" fontId="23" fillId="5" borderId="0" xfId="0" applyFont="1" applyFill="1" applyAlignment="1">
      <alignment horizontal="left" vertical="top" wrapText="1"/>
    </xf>
    <xf numFmtId="165" fontId="23" fillId="5" borderId="0" xfId="5" applyNumberFormat="1" applyFont="1" applyFill="1">
      <alignment vertical="top" wrapText="1"/>
    </xf>
    <xf numFmtId="0" fontId="23" fillId="5" borderId="0" xfId="5" applyFont="1" applyFill="1">
      <alignment vertical="top" wrapText="1"/>
    </xf>
    <xf numFmtId="0" fontId="3" fillId="5" borderId="0" xfId="5" applyFill="1" applyAlignment="1">
      <alignment horizontal="left" vertical="top" wrapText="1"/>
    </xf>
    <xf numFmtId="0" fontId="3" fillId="5" borderId="0" xfId="5" applyFill="1">
      <alignment vertical="top" wrapText="1"/>
    </xf>
    <xf numFmtId="165" fontId="3" fillId="5" borderId="0" xfId="5" applyNumberFormat="1" applyFill="1">
      <alignment vertical="top" wrapText="1"/>
    </xf>
    <xf numFmtId="3" fontId="3" fillId="5" borderId="0" xfId="5" applyNumberFormat="1" applyFill="1">
      <alignment vertical="top" wrapText="1"/>
    </xf>
    <xf numFmtId="3" fontId="3" fillId="5" borderId="0" xfId="5" applyNumberFormat="1" applyFill="1" applyAlignment="1">
      <alignment horizontal="center" vertical="top" wrapText="1"/>
    </xf>
    <xf numFmtId="3" fontId="3" fillId="0" borderId="1" xfId="5" applyNumberFormat="1" applyBorder="1" applyAlignment="1">
      <alignment horizontal="center" vertical="top" wrapText="1"/>
    </xf>
    <xf numFmtId="3" fontId="3" fillId="0" borderId="1" xfId="3" applyNumberFormat="1" applyBorder="1" applyAlignment="1">
      <alignment horizontal="center" vertical="top" wrapText="1"/>
    </xf>
    <xf numFmtId="0" fontId="3" fillId="0" borderId="1" xfId="5" applyBorder="1" applyAlignment="1">
      <alignment horizontal="left" vertical="top" wrapText="1"/>
    </xf>
    <xf numFmtId="0" fontId="3" fillId="0" borderId="1" xfId="0" applyFont="1" applyBorder="1">
      <alignment vertical="top" wrapText="1"/>
    </xf>
    <xf numFmtId="1" fontId="3" fillId="0" borderId="1" xfId="5" applyNumberFormat="1" applyBorder="1" applyAlignment="1">
      <alignment horizontal="left" vertical="top" wrapText="1"/>
    </xf>
    <xf numFmtId="1" fontId="3" fillId="0" borderId="1" xfId="5" applyNumberFormat="1" applyBorder="1" applyAlignment="1">
      <alignment vertical="top"/>
    </xf>
    <xf numFmtId="1" fontId="3" fillId="0" borderId="1" xfId="5" applyNumberFormat="1" applyBorder="1">
      <alignment vertical="top" wrapText="1"/>
    </xf>
    <xf numFmtId="0" fontId="3" fillId="0" borderId="1" xfId="3" applyBorder="1">
      <alignment horizontal="left" vertical="top" wrapText="1"/>
    </xf>
    <xf numFmtId="3" fontId="3" fillId="0" borderId="1" xfId="5" applyNumberFormat="1" applyBorder="1" applyAlignment="1">
      <alignment horizontal="left" vertical="top" wrapText="1"/>
    </xf>
    <xf numFmtId="0" fontId="3" fillId="0" borderId="10" xfId="5" applyBorder="1" applyAlignment="1">
      <alignment horizontal="left" vertical="top" wrapText="1"/>
    </xf>
    <xf numFmtId="0" fontId="3" fillId="0" borderId="6" xfId="5" applyBorder="1" applyAlignment="1">
      <alignment horizontal="left" vertical="top" wrapText="1"/>
    </xf>
    <xf numFmtId="0" fontId="23" fillId="5" borderId="11" xfId="5" applyFont="1" applyFill="1" applyBorder="1" applyAlignment="1">
      <alignment horizontal="left" vertical="top" wrapText="1"/>
    </xf>
    <xf numFmtId="0" fontId="23" fillId="5" borderId="12" xfId="5" applyFont="1" applyFill="1" applyBorder="1">
      <alignment vertical="top" wrapText="1"/>
    </xf>
    <xf numFmtId="0" fontId="3" fillId="5" borderId="11" xfId="5" applyFill="1" applyBorder="1" applyAlignment="1">
      <alignment horizontal="left" vertical="top" wrapText="1"/>
    </xf>
    <xf numFmtId="0" fontId="3" fillId="5" borderId="12" xfId="5" applyFill="1" applyBorder="1">
      <alignment vertical="top" wrapText="1"/>
    </xf>
    <xf numFmtId="0" fontId="3" fillId="5" borderId="13" xfId="5" applyFill="1" applyBorder="1" applyAlignment="1">
      <alignment horizontal="left" vertical="top" wrapText="1"/>
    </xf>
    <xf numFmtId="0" fontId="3" fillId="5" borderId="3" xfId="5" applyFill="1" applyBorder="1" applyAlignment="1">
      <alignment horizontal="left" vertical="top" wrapText="1"/>
    </xf>
    <xf numFmtId="165" fontId="3" fillId="5" borderId="3" xfId="5" applyNumberFormat="1" applyFill="1" applyBorder="1">
      <alignment vertical="top" wrapText="1"/>
    </xf>
    <xf numFmtId="0" fontId="3" fillId="5" borderId="3" xfId="5" applyFill="1" applyBorder="1">
      <alignment vertical="top" wrapText="1"/>
    </xf>
    <xf numFmtId="0" fontId="3" fillId="5" borderId="9" xfId="5" applyFill="1" applyBorder="1">
      <alignment vertical="top" wrapText="1"/>
    </xf>
    <xf numFmtId="0" fontId="2" fillId="0" borderId="0" xfId="0" applyFont="1" applyAlignment="1">
      <alignment horizontal="left" vertical="top"/>
    </xf>
    <xf numFmtId="0" fontId="3" fillId="0" borderId="0" xfId="5" quotePrefix="1" applyAlignment="1">
      <alignment vertical="top"/>
    </xf>
    <xf numFmtId="0" fontId="2" fillId="0" borderId="0" xfId="6" applyFont="1" applyAlignment="1">
      <alignment horizontal="left" vertical="center" wrapText="1"/>
    </xf>
    <xf numFmtId="0" fontId="2" fillId="5" borderId="0" xfId="6" applyFont="1" applyFill="1" applyAlignment="1">
      <alignment horizontal="center" vertical="center" wrapText="1"/>
    </xf>
    <xf numFmtId="164" fontId="2" fillId="5" borderId="0" xfId="6" applyNumberFormat="1" applyFont="1" applyFill="1" applyAlignment="1">
      <alignment horizontal="center" vertical="center" wrapText="1"/>
    </xf>
    <xf numFmtId="0" fontId="2" fillId="0" borderId="0" xfId="6" applyFont="1" applyAlignment="1">
      <alignment vertical="center" wrapText="1"/>
    </xf>
    <xf numFmtId="0" fontId="2" fillId="0" borderId="0" xfId="6" applyFont="1" applyAlignment="1">
      <alignment horizontal="center" vertical="center" wrapText="1"/>
    </xf>
    <xf numFmtId="165" fontId="2" fillId="0" borderId="1" xfId="6" applyNumberFormat="1" applyFont="1" applyBorder="1" applyAlignment="1">
      <alignment horizontal="center" vertical="center" wrapText="1"/>
    </xf>
    <xf numFmtId="2" fontId="2" fillId="0" borderId="1" xfId="6" applyNumberFormat="1" applyFont="1" applyBorder="1" applyAlignment="1">
      <alignment horizontal="center" vertical="center" wrapText="1"/>
    </xf>
    <xf numFmtId="0" fontId="3" fillId="0" borderId="0" xfId="6" applyAlignment="1">
      <alignment vertical="center" wrapText="1"/>
    </xf>
    <xf numFmtId="164" fontId="3" fillId="0" borderId="1" xfId="6" applyNumberFormat="1" applyBorder="1" applyAlignment="1">
      <alignment horizontal="left" vertical="center" wrapText="1"/>
    </xf>
    <xf numFmtId="164" fontId="3" fillId="0" borderId="1" xfId="6" applyNumberFormat="1" applyBorder="1" applyAlignment="1">
      <alignment vertical="center" wrapText="1"/>
    </xf>
    <xf numFmtId="2" fontId="3" fillId="0" borderId="1" xfId="6" applyNumberFormat="1" applyBorder="1" applyAlignment="1">
      <alignment vertical="center" wrapText="1"/>
    </xf>
    <xf numFmtId="0" fontId="3" fillId="5" borderId="0" xfId="6" applyFill="1" applyAlignment="1">
      <alignment vertical="center" wrapText="1"/>
    </xf>
    <xf numFmtId="164" fontId="3" fillId="0" borderId="0" xfId="6" applyNumberFormat="1" applyAlignment="1">
      <alignment vertical="center" wrapText="1"/>
    </xf>
    <xf numFmtId="0" fontId="3" fillId="0" borderId="1" xfId="6" applyBorder="1" applyAlignment="1">
      <alignment horizontal="left" vertical="center" wrapText="1"/>
    </xf>
    <xf numFmtId="164" fontId="3" fillId="6" borderId="1" xfId="6" applyNumberFormat="1" applyFill="1" applyBorder="1" applyAlignment="1">
      <alignment horizontal="left" vertical="center" wrapText="1"/>
    </xf>
    <xf numFmtId="0" fontId="3" fillId="6" borderId="1" xfId="6" applyFill="1" applyBorder="1" applyAlignment="1">
      <alignment horizontal="left" vertical="center" wrapText="1"/>
    </xf>
    <xf numFmtId="165" fontId="3" fillId="6" borderId="1" xfId="6" applyNumberFormat="1" applyFill="1" applyBorder="1" applyAlignment="1">
      <alignment vertical="center" wrapText="1"/>
    </xf>
    <xf numFmtId="2" fontId="3" fillId="6" borderId="1" xfId="6" applyNumberFormat="1" applyFill="1" applyBorder="1" applyAlignment="1">
      <alignment vertical="center" wrapText="1"/>
    </xf>
    <xf numFmtId="165" fontId="3" fillId="6" borderId="11" xfId="6" applyNumberFormat="1" applyFill="1" applyBorder="1" applyAlignment="1">
      <alignment vertical="center" wrapText="1"/>
    </xf>
    <xf numFmtId="2" fontId="3" fillId="6" borderId="0" xfId="6" applyNumberFormat="1" applyFill="1" applyAlignment="1">
      <alignment vertical="center" wrapText="1"/>
    </xf>
    <xf numFmtId="0" fontId="3" fillId="0" borderId="0" xfId="6" applyAlignment="1">
      <alignment horizontal="left" vertical="center" wrapText="1"/>
    </xf>
    <xf numFmtId="165" fontId="2" fillId="0" borderId="1" xfId="6" applyNumberFormat="1" applyFont="1" applyBorder="1" applyAlignment="1">
      <alignment vertical="center" wrapText="1"/>
    </xf>
    <xf numFmtId="2" fontId="2" fillId="0" borderId="1" xfId="6" applyNumberFormat="1" applyFont="1" applyBorder="1" applyAlignment="1">
      <alignment vertical="center" wrapText="1"/>
    </xf>
    <xf numFmtId="0" fontId="2" fillId="5" borderId="0" xfId="6" applyFont="1" applyFill="1" applyAlignment="1">
      <alignment vertical="center" wrapText="1"/>
    </xf>
    <xf numFmtId="165" fontId="3" fillId="0" borderId="0" xfId="6" applyNumberFormat="1" applyAlignment="1">
      <alignment vertical="center" wrapText="1"/>
    </xf>
    <xf numFmtId="2" fontId="3" fillId="0" borderId="0" xfId="6" applyNumberFormat="1" applyAlignment="1">
      <alignment vertical="center" wrapText="1"/>
    </xf>
    <xf numFmtId="0" fontId="2" fillId="0" borderId="0" xfId="0" applyFont="1">
      <alignment vertical="top" wrapText="1"/>
    </xf>
    <xf numFmtId="49" fontId="3" fillId="0" borderId="0" xfId="5" applyNumberFormat="1">
      <alignment vertical="top" wrapText="1"/>
    </xf>
    <xf numFmtId="1" fontId="0" fillId="0" borderId="0" xfId="0" applyNumberFormat="1">
      <alignment vertical="top" wrapText="1"/>
    </xf>
    <xf numFmtId="4" fontId="3" fillId="0" borderId="1" xfId="6" applyNumberFormat="1" applyBorder="1" applyAlignment="1">
      <alignment vertical="center" wrapText="1"/>
    </xf>
    <xf numFmtId="165" fontId="20" fillId="3" borderId="1" xfId="0" applyNumberFormat="1" applyFont="1" applyFill="1" applyBorder="1" applyAlignment="1" applyProtection="1">
      <alignment horizontal="center" vertical="center"/>
      <protection locked="0"/>
    </xf>
    <xf numFmtId="164" fontId="2" fillId="3" borderId="1" xfId="0" applyNumberFormat="1" applyFont="1" applyFill="1" applyBorder="1" applyAlignment="1" applyProtection="1">
      <alignment horizontal="center" vertical="center"/>
      <protection locked="0"/>
    </xf>
    <xf numFmtId="1" fontId="3" fillId="0" borderId="0" xfId="0" applyNumberFormat="1" applyFont="1" applyAlignment="1">
      <alignment horizontal="left" vertical="top" wrapText="1"/>
    </xf>
    <xf numFmtId="4" fontId="2" fillId="3" borderId="0" xfId="5" applyNumberFormat="1" applyFont="1" applyFill="1" applyAlignment="1" applyProtection="1">
      <alignment vertical="top"/>
      <protection locked="0"/>
    </xf>
    <xf numFmtId="165" fontId="2" fillId="3" borderId="0" xfId="5" applyNumberFormat="1" applyFont="1" applyFill="1" applyAlignment="1" applyProtection="1">
      <alignment vertical="top"/>
      <protection locked="0"/>
    </xf>
    <xf numFmtId="0" fontId="14" fillId="3" borderId="0" xfId="2" applyFont="1" applyFill="1" applyAlignment="1" applyProtection="1">
      <alignment horizontal="center" vertical="center" wrapText="1"/>
      <protection locked="0"/>
    </xf>
    <xf numFmtId="165" fontId="2" fillId="0" borderId="0" xfId="5" applyNumberFormat="1" applyFont="1" applyAlignment="1">
      <alignment vertical="top"/>
    </xf>
    <xf numFmtId="165" fontId="20" fillId="3" borderId="7" xfId="5" applyNumberFormat="1" applyFont="1" applyFill="1" applyBorder="1" applyAlignment="1" applyProtection="1">
      <alignment vertical="top"/>
      <protection locked="0"/>
    </xf>
    <xf numFmtId="164" fontId="20" fillId="3" borderId="1" xfId="5" applyNumberFormat="1" applyFont="1" applyFill="1" applyBorder="1" applyAlignment="1">
      <alignment vertical="top"/>
    </xf>
    <xf numFmtId="1" fontId="3" fillId="0" borderId="0" xfId="0" applyNumberFormat="1" applyFont="1" applyAlignment="1">
      <alignment vertical="top"/>
    </xf>
    <xf numFmtId="4" fontId="2" fillId="3" borderId="0" xfId="5" applyNumberFormat="1" applyFont="1" applyFill="1" applyProtection="1">
      <alignment vertical="top" wrapText="1"/>
      <protection locked="0"/>
    </xf>
    <xf numFmtId="0" fontId="3" fillId="0" borderId="11" xfId="0" applyFont="1" applyBorder="1" applyAlignment="1">
      <alignment vertical="top"/>
    </xf>
    <xf numFmtId="0" fontId="3" fillId="0" borderId="0" xfId="0" applyFont="1" applyAlignment="1">
      <alignment horizontal="left" vertical="top"/>
    </xf>
    <xf numFmtId="164" fontId="2" fillId="3" borderId="0" xfId="5" applyNumberFormat="1" applyFont="1" applyFill="1" applyAlignment="1" applyProtection="1">
      <alignment horizontal="center" vertical="center"/>
      <protection locked="0"/>
    </xf>
    <xf numFmtId="0" fontId="25" fillId="0" borderId="0" xfId="5" applyFont="1">
      <alignment vertical="top" wrapText="1"/>
    </xf>
    <xf numFmtId="0" fontId="3" fillId="0" borderId="11" xfId="5" applyBorder="1">
      <alignment vertical="top" wrapText="1"/>
    </xf>
    <xf numFmtId="0" fontId="3" fillId="0" borderId="12" xfId="5" applyBorder="1">
      <alignment vertical="top" wrapText="1"/>
    </xf>
    <xf numFmtId="0" fontId="3" fillId="0" borderId="11" xfId="5" applyBorder="1" applyAlignment="1">
      <alignment vertical="top"/>
    </xf>
    <xf numFmtId="0" fontId="3" fillId="0" borderId="12" xfId="5" applyBorder="1" applyAlignment="1">
      <alignment vertical="top"/>
    </xf>
    <xf numFmtId="0" fontId="2" fillId="0" borderId="12" xfId="5" applyFont="1" applyBorder="1" applyAlignment="1">
      <alignment vertical="top"/>
    </xf>
    <xf numFmtId="0" fontId="2" fillId="0" borderId="11" xfId="5" applyFont="1" applyBorder="1" applyAlignment="1">
      <alignment vertical="top"/>
    </xf>
    <xf numFmtId="0" fontId="2" fillId="3" borderId="7" xfId="5" applyFont="1" applyFill="1" applyBorder="1" applyAlignment="1">
      <alignment horizontal="center" vertical="top" wrapText="1"/>
    </xf>
    <xf numFmtId="0" fontId="2" fillId="3" borderId="7" xfId="5" applyFont="1" applyFill="1" applyBorder="1" applyAlignment="1">
      <alignment horizontal="left" vertical="top" wrapText="1"/>
    </xf>
    <xf numFmtId="3" fontId="2" fillId="3" borderId="7" xfId="5" applyNumberFormat="1" applyFont="1" applyFill="1" applyBorder="1" applyAlignment="1">
      <alignment horizontal="center" vertical="top" wrapText="1"/>
    </xf>
    <xf numFmtId="4" fontId="2" fillId="3" borderId="7" xfId="5" applyNumberFormat="1" applyFont="1" applyFill="1" applyBorder="1" applyAlignment="1">
      <alignment horizontal="center" vertical="top" wrapText="1"/>
    </xf>
    <xf numFmtId="1" fontId="3" fillId="0" borderId="7" xfId="5" applyNumberFormat="1" applyBorder="1" applyAlignment="1">
      <alignment horizontal="left" vertical="top" wrapText="1"/>
    </xf>
    <xf numFmtId="3" fontId="3" fillId="0" borderId="7" xfId="5" applyNumberFormat="1" applyBorder="1" applyAlignment="1">
      <alignment horizontal="center" vertical="top" wrapText="1"/>
    </xf>
    <xf numFmtId="165" fontId="2" fillId="3" borderId="7" xfId="5" applyNumberFormat="1" applyFont="1" applyFill="1" applyBorder="1" applyAlignment="1" applyProtection="1">
      <alignment vertical="top"/>
      <protection locked="0"/>
    </xf>
    <xf numFmtId="1" fontId="3" fillId="0" borderId="8" xfId="5" applyNumberFormat="1" applyBorder="1">
      <alignment vertical="top" wrapText="1"/>
    </xf>
    <xf numFmtId="3" fontId="3" fillId="0" borderId="8" xfId="5" applyNumberFormat="1" applyBorder="1" applyAlignment="1">
      <alignment horizontal="center" vertical="top" wrapText="1"/>
    </xf>
    <xf numFmtId="165" fontId="2" fillId="3" borderId="8" xfId="5" applyNumberFormat="1" applyFont="1" applyFill="1" applyBorder="1" applyAlignment="1" applyProtection="1">
      <alignment vertical="top"/>
      <protection locked="0"/>
    </xf>
    <xf numFmtId="165" fontId="10" fillId="3" borderId="7" xfId="5" applyNumberFormat="1" applyFont="1" applyFill="1" applyBorder="1" applyAlignment="1" applyProtection="1">
      <alignment vertical="top"/>
      <protection locked="0"/>
    </xf>
    <xf numFmtId="165" fontId="10" fillId="3" borderId="1" xfId="5" applyNumberFormat="1" applyFont="1" applyFill="1" applyBorder="1" applyAlignment="1">
      <alignment vertical="top"/>
    </xf>
    <xf numFmtId="0" fontId="3" fillId="0" borderId="0" xfId="0" applyFont="1" applyAlignment="1">
      <alignment horizontal="center" vertical="top"/>
    </xf>
    <xf numFmtId="0" fontId="3" fillId="0" borderId="0" xfId="5" applyAlignment="1">
      <alignment horizontal="center" vertical="top"/>
    </xf>
    <xf numFmtId="10" fontId="3" fillId="0" borderId="0" xfId="7" applyNumberFormat="1" applyFont="1" applyAlignment="1">
      <alignment vertical="top"/>
    </xf>
    <xf numFmtId="0" fontId="2" fillId="7" borderId="1" xfId="5" applyFont="1" applyFill="1" applyBorder="1" applyAlignment="1">
      <alignment horizontal="center" vertical="top" wrapText="1"/>
    </xf>
    <xf numFmtId="0" fontId="26" fillId="0" borderId="0" xfId="5" applyFont="1" applyAlignment="1">
      <alignment vertical="top"/>
    </xf>
    <xf numFmtId="165" fontId="6" fillId="0" borderId="0" xfId="5" applyNumberFormat="1" applyFont="1" applyAlignment="1">
      <alignment vertical="top"/>
    </xf>
    <xf numFmtId="0" fontId="23" fillId="0" borderId="0" xfId="0" applyFont="1" applyAlignment="1">
      <alignment horizontal="center" vertical="top"/>
    </xf>
    <xf numFmtId="0" fontId="23" fillId="0" borderId="0" xfId="5" applyFont="1" applyAlignment="1">
      <alignment vertical="top"/>
    </xf>
    <xf numFmtId="0" fontId="23" fillId="0" borderId="0" xfId="0" applyFont="1">
      <alignment vertical="top" wrapText="1"/>
    </xf>
    <xf numFmtId="10" fontId="23" fillId="0" borderId="0" xfId="7" applyNumberFormat="1" applyFont="1" applyAlignment="1">
      <alignment vertical="top"/>
    </xf>
    <xf numFmtId="165" fontId="20" fillId="3" borderId="1" xfId="5" applyNumberFormat="1" applyFont="1" applyFill="1" applyBorder="1">
      <alignment vertical="top" wrapText="1"/>
    </xf>
    <xf numFmtId="165" fontId="20" fillId="3" borderId="1" xfId="5" applyNumberFormat="1" applyFont="1" applyFill="1" applyBorder="1" applyAlignment="1" applyProtection="1">
      <alignment horizontal="right" vertical="center"/>
      <protection locked="0"/>
    </xf>
    <xf numFmtId="165" fontId="20" fillId="3" borderId="5" xfId="5" applyNumberFormat="1" applyFont="1" applyFill="1" applyBorder="1" applyAlignment="1" applyProtection="1">
      <alignment horizontal="right" vertical="center"/>
      <protection locked="0"/>
    </xf>
    <xf numFmtId="165" fontId="20" fillId="3" borderId="4" xfId="5" applyNumberFormat="1" applyFont="1" applyFill="1" applyBorder="1" applyAlignment="1" applyProtection="1">
      <alignment horizontal="right" vertical="center"/>
      <protection locked="0"/>
    </xf>
    <xf numFmtId="165" fontId="20" fillId="3" borderId="2" xfId="5" applyNumberFormat="1" applyFont="1" applyFill="1" applyBorder="1" applyAlignment="1" applyProtection="1">
      <alignment horizontal="right" vertical="center"/>
      <protection locked="0"/>
    </xf>
    <xf numFmtId="164" fontId="20" fillId="3" borderId="1" xfId="5" applyNumberFormat="1" applyFont="1" applyFill="1" applyBorder="1" applyAlignment="1">
      <alignment horizontal="right" vertical="top" wrapText="1"/>
    </xf>
    <xf numFmtId="165" fontId="20" fillId="3" borderId="1" xfId="5" applyNumberFormat="1" applyFont="1" applyFill="1" applyBorder="1" applyAlignment="1">
      <alignment horizontal="right" vertical="top" wrapText="1"/>
    </xf>
    <xf numFmtId="165" fontId="20" fillId="3" borderId="1" xfId="5" applyNumberFormat="1" applyFont="1" applyFill="1" applyBorder="1" applyAlignment="1">
      <alignment vertical="top"/>
    </xf>
    <xf numFmtId="165" fontId="20" fillId="3" borderId="7" xfId="0" applyNumberFormat="1" applyFont="1" applyFill="1" applyBorder="1" applyAlignment="1" applyProtection="1">
      <alignment horizontal="center" vertical="center"/>
      <protection locked="0"/>
    </xf>
    <xf numFmtId="165" fontId="20" fillId="3" borderId="1" xfId="5" applyNumberFormat="1" applyFont="1" applyFill="1" applyBorder="1" applyAlignment="1">
      <alignment horizontal="center" vertical="top" wrapText="1"/>
    </xf>
    <xf numFmtId="165" fontId="20" fillId="3" borderId="7" xfId="5" applyNumberFormat="1" applyFont="1" applyFill="1" applyBorder="1" applyAlignment="1" applyProtection="1">
      <alignment horizontal="center" vertical="top"/>
      <protection locked="0"/>
    </xf>
    <xf numFmtId="10" fontId="5" fillId="0" borderId="0" xfId="5" applyNumberFormat="1" applyFont="1" applyAlignment="1">
      <alignment vertical="top"/>
    </xf>
    <xf numFmtId="165" fontId="20" fillId="3" borderId="1" xfId="5" applyNumberFormat="1" applyFont="1" applyFill="1" applyBorder="1" applyAlignment="1">
      <alignment horizontal="center" vertical="top"/>
    </xf>
    <xf numFmtId="165" fontId="19" fillId="0" borderId="0" xfId="5" applyNumberFormat="1" applyFont="1" applyAlignment="1">
      <alignment vertical="top"/>
    </xf>
    <xf numFmtId="165" fontId="5" fillId="0" borderId="0" xfId="5" applyNumberFormat="1" applyFont="1" applyAlignment="1" applyProtection="1">
      <alignment horizontal="center" vertical="top"/>
      <protection locked="0"/>
    </xf>
    <xf numFmtId="165" fontId="2" fillId="0" borderId="0" xfId="5" applyNumberFormat="1" applyFont="1" applyAlignment="1">
      <alignment horizontal="right" vertical="top" wrapText="1"/>
    </xf>
    <xf numFmtId="165" fontId="26" fillId="0" borderId="0" xfId="5" applyNumberFormat="1" applyFont="1" applyAlignment="1">
      <alignment horizontal="right" vertical="top" wrapText="1"/>
    </xf>
    <xf numFmtId="4" fontId="26" fillId="0" borderId="0" xfId="5" applyNumberFormat="1" applyFont="1" applyAlignment="1">
      <alignment horizontal="right" vertical="top"/>
    </xf>
    <xf numFmtId="165" fontId="2" fillId="0" borderId="0" xfId="5" applyNumberFormat="1" applyFont="1" applyAlignment="1">
      <alignment horizontal="right" vertical="top"/>
    </xf>
    <xf numFmtId="4" fontId="2" fillId="7" borderId="1" xfId="5" applyNumberFormat="1" applyFont="1" applyFill="1" applyBorder="1" applyAlignment="1">
      <alignment horizontal="right" vertical="top" wrapText="1"/>
    </xf>
    <xf numFmtId="165" fontId="2" fillId="3" borderId="1" xfId="5" applyNumberFormat="1" applyFont="1" applyFill="1" applyBorder="1" applyAlignment="1">
      <alignment horizontal="right" vertical="top"/>
    </xf>
    <xf numFmtId="4" fontId="2" fillId="3" borderId="1" xfId="5" applyNumberFormat="1" applyFont="1" applyFill="1" applyBorder="1" applyAlignment="1" applyProtection="1">
      <alignment horizontal="center" vertical="top" wrapText="1"/>
      <protection locked="0"/>
    </xf>
    <xf numFmtId="165" fontId="2" fillId="3" borderId="1" xfId="5" applyNumberFormat="1" applyFont="1" applyFill="1" applyBorder="1" applyAlignment="1" applyProtection="1">
      <alignment horizontal="center" vertical="top" wrapText="1"/>
      <protection locked="0"/>
    </xf>
    <xf numFmtId="165" fontId="2" fillId="3" borderId="1" xfId="5" applyNumberFormat="1" applyFont="1" applyFill="1" applyBorder="1" applyAlignment="1">
      <alignment horizontal="right" vertical="top" wrapText="1"/>
    </xf>
    <xf numFmtId="164" fontId="2" fillId="3" borderId="0" xfId="5" applyNumberFormat="1" applyFont="1" applyFill="1" applyAlignment="1" applyProtection="1">
      <alignment horizontal="center" vertical="top"/>
      <protection locked="0"/>
    </xf>
    <xf numFmtId="4" fontId="2" fillId="3" borderId="1" xfId="5" applyNumberFormat="1" applyFont="1" applyFill="1" applyBorder="1" applyAlignment="1" applyProtection="1">
      <alignment horizontal="right" vertical="top"/>
      <protection locked="0"/>
    </xf>
    <xf numFmtId="4" fontId="2" fillId="3" borderId="1" xfId="5" applyNumberFormat="1" applyFont="1" applyFill="1" applyBorder="1" applyAlignment="1">
      <alignment horizontal="right" vertical="top" wrapText="1"/>
    </xf>
    <xf numFmtId="4" fontId="2" fillId="3" borderId="11" xfId="5" applyNumberFormat="1" applyFont="1" applyFill="1" applyBorder="1" applyAlignment="1">
      <alignment horizontal="right" vertical="top" wrapText="1"/>
    </xf>
    <xf numFmtId="165" fontId="2" fillId="3" borderId="11" xfId="5" applyNumberFormat="1" applyFont="1" applyFill="1" applyBorder="1" applyAlignment="1">
      <alignment horizontal="right" vertical="top" wrapText="1"/>
    </xf>
    <xf numFmtId="4" fontId="2" fillId="3" borderId="1" xfId="5" applyNumberFormat="1" applyFont="1" applyFill="1" applyBorder="1" applyAlignment="1">
      <alignment horizontal="right" vertical="top"/>
    </xf>
    <xf numFmtId="165" fontId="2" fillId="3" borderId="14" xfId="5" applyNumberFormat="1" applyFont="1" applyFill="1" applyBorder="1" applyAlignment="1">
      <alignment horizontal="right" vertical="top" wrapText="1"/>
    </xf>
    <xf numFmtId="4" fontId="2" fillId="3" borderId="14" xfId="5" applyNumberFormat="1" applyFont="1" applyFill="1" applyBorder="1" applyAlignment="1">
      <alignment horizontal="right" vertical="top" wrapText="1"/>
    </xf>
    <xf numFmtId="0" fontId="3" fillId="5" borderId="10" xfId="5" applyFill="1" applyBorder="1" applyAlignment="1">
      <alignment horizontal="left" vertical="top" wrapText="1"/>
    </xf>
    <xf numFmtId="0" fontId="3" fillId="0" borderId="14" xfId="5" applyBorder="1" applyAlignment="1">
      <alignment vertical="top"/>
    </xf>
    <xf numFmtId="0" fontId="19" fillId="0" borderId="0" xfId="0" applyFont="1">
      <alignment vertical="top" wrapText="1"/>
    </xf>
    <xf numFmtId="0" fontId="19" fillId="0" borderId="0" xfId="0" applyFont="1" applyAlignment="1">
      <alignment vertical="top"/>
    </xf>
    <xf numFmtId="0" fontId="6" fillId="0" borderId="0" xfId="0" applyFont="1">
      <alignment vertical="top" wrapText="1"/>
    </xf>
    <xf numFmtId="0" fontId="30" fillId="0" borderId="3" xfId="0" applyFont="1" applyBorder="1">
      <alignment vertical="top" wrapText="1"/>
    </xf>
    <xf numFmtId="0" fontId="27" fillId="0" borderId="11" xfId="0" applyFont="1" applyBorder="1" applyAlignment="1">
      <alignment horizontal="center" vertical="top" wrapText="1"/>
    </xf>
    <xf numFmtId="0" fontId="27" fillId="0" borderId="12" xfId="0" applyFont="1" applyBorder="1" applyAlignment="1">
      <alignment horizontal="center" vertical="top" wrapText="1"/>
    </xf>
    <xf numFmtId="0" fontId="9" fillId="0" borderId="0" xfId="0" applyFont="1" applyAlignment="1">
      <alignment horizontal="center" vertical="top"/>
    </xf>
    <xf numFmtId="0" fontId="8" fillId="0" borderId="0" xfId="0" applyFont="1" applyAlignment="1">
      <alignment horizontal="center" vertical="top"/>
    </xf>
    <xf numFmtId="0" fontId="2" fillId="0" borderId="0" xfId="5" applyFont="1" applyAlignment="1">
      <alignment horizontal="center" vertical="top" wrapText="1"/>
    </xf>
    <xf numFmtId="164" fontId="2" fillId="0" borderId="0" xfId="5" applyNumberFormat="1" applyFont="1" applyAlignment="1">
      <alignment horizontal="center" vertical="top" wrapText="1"/>
    </xf>
    <xf numFmtId="0" fontId="15" fillId="0" borderId="0" xfId="5" applyFont="1" applyAlignment="1">
      <alignment horizontal="center" vertical="top"/>
    </xf>
    <xf numFmtId="0" fontId="20" fillId="0" borderId="0" xfId="5" applyFont="1" applyAlignment="1">
      <alignment horizontal="center" vertical="top"/>
    </xf>
    <xf numFmtId="0" fontId="3" fillId="0" borderId="0" xfId="5" applyAlignment="1">
      <alignment horizontal="center" vertical="top" wrapText="1"/>
    </xf>
    <xf numFmtId="0" fontId="27" fillId="0" borderId="0" xfId="0" applyFont="1" applyAlignment="1">
      <alignment horizontal="center" vertical="top" wrapText="1"/>
    </xf>
    <xf numFmtId="3" fontId="3" fillId="0" borderId="6" xfId="5" applyNumberFormat="1" applyBorder="1" applyAlignment="1">
      <alignment horizontal="center" vertical="top" wrapText="1"/>
    </xf>
    <xf numFmtId="0" fontId="3" fillId="0" borderId="11" xfId="5" applyBorder="1" applyAlignment="1">
      <alignment horizontal="left" vertical="top" wrapText="1"/>
    </xf>
    <xf numFmtId="0" fontId="3" fillId="0" borderId="0" xfId="5" applyAlignment="1">
      <alignment horizontal="left" vertical="top"/>
    </xf>
    <xf numFmtId="0" fontId="3" fillId="0" borderId="3" xfId="5" applyBorder="1" applyAlignment="1">
      <alignment horizontal="left" vertical="top"/>
    </xf>
    <xf numFmtId="43" fontId="3" fillId="0" borderId="0" xfId="1" applyFont="1" applyBorder="1" applyAlignment="1" applyProtection="1">
      <alignment horizontal="left" vertical="top" wrapText="1"/>
    </xf>
    <xf numFmtId="43" fontId="3" fillId="0" borderId="0" xfId="1" applyFont="1" applyBorder="1" applyAlignment="1">
      <alignment vertical="top" wrapText="1"/>
    </xf>
    <xf numFmtId="0" fontId="3" fillId="0" borderId="0" xfId="5" applyAlignment="1">
      <alignment horizontal="left" vertical="center" wrapText="1"/>
    </xf>
    <xf numFmtId="0" fontId="2" fillId="0" borderId="0" xfId="5" applyFont="1" applyAlignment="1">
      <alignment horizontal="left" vertical="center" wrapText="1"/>
    </xf>
    <xf numFmtId="0" fontId="2" fillId="0" borderId="0" xfId="5" applyFont="1" applyAlignment="1">
      <alignment horizontal="left" vertical="center"/>
    </xf>
    <xf numFmtId="0" fontId="3" fillId="0" borderId="11" xfId="0" applyFont="1" applyBorder="1" applyAlignment="1">
      <alignment horizontal="left" vertical="top" wrapText="1"/>
    </xf>
    <xf numFmtId="0" fontId="6" fillId="0" borderId="0" xfId="5" applyFont="1">
      <alignment vertical="top" wrapText="1"/>
    </xf>
    <xf numFmtId="0" fontId="3" fillId="0" borderId="0" xfId="5" applyProtection="1">
      <alignment vertical="top" wrapText="1"/>
      <protection locked="0"/>
    </xf>
    <xf numFmtId="0" fontId="3" fillId="0" borderId="0" xfId="5" applyAlignment="1" applyProtection="1">
      <alignment vertical="top"/>
      <protection locked="0"/>
    </xf>
    <xf numFmtId="0" fontId="2" fillId="0" borderId="0" xfId="5" applyFont="1" applyAlignment="1" applyProtection="1">
      <alignment horizontal="left" vertical="top"/>
      <protection locked="0"/>
    </xf>
    <xf numFmtId="0" fontId="28" fillId="0" borderId="0" xfId="0" applyFont="1" applyAlignment="1">
      <alignment horizontal="center" vertical="top"/>
    </xf>
    <xf numFmtId="0" fontId="19" fillId="0" borderId="1" xfId="0" applyFont="1" applyBorder="1">
      <alignment vertical="top" wrapText="1"/>
    </xf>
    <xf numFmtId="0" fontId="20" fillId="6" borderId="16" xfId="0" applyFont="1" applyFill="1" applyBorder="1" applyAlignment="1">
      <alignment horizontal="center" vertical="center" wrapText="1"/>
    </xf>
    <xf numFmtId="0" fontId="27" fillId="0" borderId="24" xfId="0" applyFont="1" applyBorder="1" applyAlignment="1">
      <alignment horizontal="center" vertical="top" wrapText="1"/>
    </xf>
    <xf numFmtId="0" fontId="27" fillId="0" borderId="25" xfId="0" applyFont="1" applyBorder="1" applyAlignment="1">
      <alignment horizontal="center" vertical="top" wrapText="1"/>
    </xf>
    <xf numFmtId="0" fontId="20" fillId="0" borderId="21" xfId="0" applyFont="1" applyBorder="1" applyAlignment="1">
      <alignment horizontal="center" vertical="top" wrapText="1"/>
    </xf>
    <xf numFmtId="0" fontId="20" fillId="0" borderId="22" xfId="0" applyFont="1" applyBorder="1" applyAlignment="1">
      <alignment horizontal="center" vertical="top" wrapText="1"/>
    </xf>
    <xf numFmtId="0" fontId="20" fillId="0" borderId="23" xfId="0" applyFont="1" applyBorder="1" applyAlignment="1">
      <alignment horizontal="center" vertical="top" wrapText="1"/>
    </xf>
    <xf numFmtId="0" fontId="27" fillId="0" borderId="16" xfId="0" applyFont="1" applyBorder="1" applyAlignment="1">
      <alignment horizontal="center" vertical="center" wrapText="1"/>
    </xf>
    <xf numFmtId="0" fontId="19" fillId="0" borderId="0" xfId="0" applyFont="1" applyAlignment="1">
      <alignment horizontal="center" vertical="center" wrapText="1"/>
    </xf>
    <xf numFmtId="0" fontId="20" fillId="0" borderId="16" xfId="0" applyFont="1" applyBorder="1" applyAlignment="1">
      <alignment horizontal="center" vertical="center" wrapText="1"/>
    </xf>
    <xf numFmtId="0" fontId="27" fillId="0" borderId="26" xfId="0" applyFont="1" applyBorder="1" applyAlignment="1">
      <alignment horizontal="center" vertical="top" wrapText="1"/>
    </xf>
    <xf numFmtId="0" fontId="27" fillId="0" borderId="27" xfId="0" applyFont="1" applyBorder="1" applyAlignment="1">
      <alignment horizontal="center" vertical="top" wrapText="1"/>
    </xf>
    <xf numFmtId="0" fontId="27" fillId="0" borderId="28" xfId="0" applyFont="1" applyBorder="1" applyAlignment="1">
      <alignment horizontal="center" vertical="top" wrapText="1"/>
    </xf>
    <xf numFmtId="0" fontId="20" fillId="0" borderId="1" xfId="0" applyFont="1" applyBorder="1">
      <alignment vertical="top" wrapText="1"/>
    </xf>
    <xf numFmtId="0" fontId="28" fillId="0" borderId="24" xfId="0" applyFont="1" applyBorder="1" applyAlignment="1">
      <alignment horizontal="center" vertical="top"/>
    </xf>
    <xf numFmtId="0" fontId="28" fillId="0" borderId="25" xfId="0" applyFont="1" applyBorder="1" applyAlignment="1">
      <alignment horizontal="center" vertical="top"/>
    </xf>
    <xf numFmtId="0" fontId="30" fillId="0" borderId="34" xfId="0" applyFont="1" applyBorder="1">
      <alignment vertical="top" wrapText="1"/>
    </xf>
    <xf numFmtId="0" fontId="30" fillId="0" borderId="35" xfId="0" applyFont="1" applyBorder="1">
      <alignment vertical="top" wrapText="1"/>
    </xf>
    <xf numFmtId="0" fontId="19" fillId="0" borderId="32" xfId="0" applyFont="1" applyBorder="1">
      <alignment vertical="top" wrapText="1"/>
    </xf>
    <xf numFmtId="0" fontId="20" fillId="0" borderId="16" xfId="0" applyFont="1" applyBorder="1">
      <alignment vertical="top" wrapText="1"/>
    </xf>
    <xf numFmtId="0" fontId="20" fillId="0" borderId="17" xfId="0" applyFont="1" applyBorder="1">
      <alignment vertical="top" wrapText="1"/>
    </xf>
    <xf numFmtId="0" fontId="6" fillId="0" borderId="13" xfId="0" applyFont="1" applyBorder="1">
      <alignment vertical="top" wrapText="1"/>
    </xf>
    <xf numFmtId="0" fontId="6" fillId="0" borderId="3" xfId="0" applyFont="1" applyBorder="1">
      <alignment vertical="top" wrapText="1"/>
    </xf>
    <xf numFmtId="0" fontId="6" fillId="0" borderId="9" xfId="0" applyFont="1" applyBorder="1">
      <alignment vertical="top" wrapText="1"/>
    </xf>
    <xf numFmtId="0" fontId="20" fillId="8"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6" fillId="0" borderId="34" xfId="0" applyFont="1" applyBorder="1">
      <alignment vertical="top" wrapText="1"/>
    </xf>
    <xf numFmtId="0" fontId="6" fillId="0" borderId="35" xfId="0" applyFont="1" applyBorder="1">
      <alignment vertical="top" wrapText="1"/>
    </xf>
    <xf numFmtId="9" fontId="19" fillId="0" borderId="0" xfId="7" applyFont="1" applyBorder="1" applyAlignment="1">
      <alignment vertical="top" wrapText="1"/>
    </xf>
    <xf numFmtId="0" fontId="20" fillId="10" borderId="17" xfId="0" applyFont="1" applyFill="1" applyBorder="1" applyAlignment="1">
      <alignment horizontal="center" vertical="center" wrapText="1"/>
    </xf>
    <xf numFmtId="0" fontId="0" fillId="0" borderId="0" xfId="0" applyProtection="1">
      <alignment vertical="top" wrapText="1"/>
      <protection hidden="1"/>
    </xf>
    <xf numFmtId="0" fontId="0" fillId="0" borderId="0" xfId="0"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0" fillId="11" borderId="37" xfId="0" applyFill="1" applyBorder="1" applyAlignment="1" applyProtection="1">
      <alignment horizontal="center" vertical="center" wrapText="1"/>
      <protection hidden="1"/>
    </xf>
    <xf numFmtId="0" fontId="0" fillId="11" borderId="38" xfId="0" applyFill="1" applyBorder="1" applyAlignment="1" applyProtection="1">
      <alignment horizontal="center" vertical="center" wrapText="1"/>
      <protection hidden="1"/>
    </xf>
    <xf numFmtId="0" fontId="0" fillId="0" borderId="32" xfId="0" applyBorder="1" applyAlignment="1" applyProtection="1">
      <alignment horizontal="left" vertical="center" wrapText="1"/>
      <protection hidden="1"/>
    </xf>
    <xf numFmtId="0" fontId="0" fillId="0" borderId="8"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16" xfId="0" applyBorder="1" applyAlignment="1" applyProtection="1">
      <alignment horizontal="left" vertical="center" wrapText="1"/>
      <protection hidden="1"/>
    </xf>
    <xf numFmtId="0" fontId="0" fillId="0" borderId="1" xfId="0" applyBorder="1" applyAlignment="1" applyProtection="1">
      <alignment vertical="center" wrapText="1"/>
      <protection hidden="1"/>
    </xf>
    <xf numFmtId="0" fontId="0" fillId="0" borderId="22" xfId="0" applyBorder="1" applyAlignment="1" applyProtection="1">
      <alignment horizontal="left" vertical="center" wrapText="1"/>
      <protection hidden="1"/>
    </xf>
    <xf numFmtId="0" fontId="0" fillId="0" borderId="22" xfId="0" applyBorder="1" applyAlignment="1" applyProtection="1">
      <alignment horizontal="right" vertical="center" wrapText="1"/>
      <protection hidden="1"/>
    </xf>
    <xf numFmtId="0" fontId="0" fillId="0" borderId="51" xfId="0" applyBorder="1" applyAlignment="1" applyProtection="1">
      <alignment horizontal="left" vertical="center" wrapText="1"/>
      <protection hidden="1"/>
    </xf>
    <xf numFmtId="0" fontId="0" fillId="0" borderId="7" xfId="0" applyBorder="1" applyAlignment="1" applyProtection="1">
      <alignment vertical="center" wrapText="1"/>
      <protection hidden="1"/>
    </xf>
    <xf numFmtId="0" fontId="27" fillId="0" borderId="11" xfId="0" applyFont="1" applyBorder="1" applyAlignment="1">
      <alignment horizontal="center" vertical="top"/>
    </xf>
    <xf numFmtId="0" fontId="27" fillId="0" borderId="0" xfId="0" applyFont="1" applyAlignment="1">
      <alignment horizontal="center" vertical="top"/>
    </xf>
    <xf numFmtId="0" fontId="27" fillId="0" borderId="12" xfId="0" applyFont="1" applyBorder="1" applyAlignment="1">
      <alignment horizontal="center" vertical="top"/>
    </xf>
    <xf numFmtId="0" fontId="27" fillId="0" borderId="24" xfId="0" applyFont="1" applyBorder="1" applyAlignment="1">
      <alignment horizontal="center" vertical="top"/>
    </xf>
    <xf numFmtId="0" fontId="27" fillId="0" borderId="25" xfId="0" applyFont="1" applyBorder="1" applyAlignment="1">
      <alignment horizontal="center" vertical="top"/>
    </xf>
    <xf numFmtId="0" fontId="0" fillId="0" borderId="0" xfId="0" applyAlignment="1" applyProtection="1">
      <alignment horizontal="center" vertical="top" wrapText="1"/>
      <protection hidden="1"/>
    </xf>
    <xf numFmtId="0" fontId="0" fillId="0" borderId="54" xfId="0" applyBorder="1" applyAlignment="1" applyProtection="1">
      <alignment horizontal="left" vertical="center" wrapText="1"/>
      <protection hidden="1"/>
    </xf>
    <xf numFmtId="0" fontId="0" fillId="0" borderId="55" xfId="0" applyBorder="1" applyAlignment="1" applyProtection="1">
      <alignment vertical="center" wrapText="1"/>
      <protection hidden="1"/>
    </xf>
    <xf numFmtId="0" fontId="0" fillId="0" borderId="18" xfId="0" applyBorder="1" applyAlignment="1" applyProtection="1">
      <alignment horizontal="left" vertical="center" wrapText="1"/>
      <protection hidden="1"/>
    </xf>
    <xf numFmtId="0" fontId="0" fillId="0" borderId="19" xfId="0" applyBorder="1" applyAlignment="1" applyProtection="1">
      <alignment vertical="center"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right" vertical="center" wrapText="1"/>
      <protection hidden="1"/>
    </xf>
    <xf numFmtId="0" fontId="32" fillId="0" borderId="0" xfId="0" applyFont="1" applyAlignment="1" applyProtection="1">
      <alignment horizontal="center" vertical="center" wrapText="1"/>
      <protection hidden="1"/>
    </xf>
    <xf numFmtId="0" fontId="19" fillId="0" borderId="1" xfId="0" applyFont="1" applyBorder="1" applyProtection="1">
      <alignment vertical="top" wrapText="1"/>
      <protection locked="0"/>
    </xf>
    <xf numFmtId="7" fontId="19" fillId="0" borderId="1" xfId="0" applyNumberFormat="1" applyFont="1" applyBorder="1" applyProtection="1">
      <alignment vertical="top" wrapText="1"/>
      <protection locked="0"/>
    </xf>
    <xf numFmtId="0" fontId="6" fillId="0" borderId="1" xfId="0" applyFont="1" applyBorder="1" applyProtection="1">
      <alignment vertical="top" wrapText="1"/>
      <protection locked="0"/>
    </xf>
    <xf numFmtId="0" fontId="19" fillId="0" borderId="16" xfId="0" applyFont="1" applyBorder="1" applyProtection="1">
      <alignment vertical="top" wrapText="1"/>
      <protection locked="0"/>
    </xf>
    <xf numFmtId="7" fontId="19" fillId="0" borderId="17" xfId="0" applyNumberFormat="1" applyFont="1" applyBorder="1" applyProtection="1">
      <alignment vertical="top" wrapText="1"/>
      <protection locked="0"/>
    </xf>
    <xf numFmtId="0" fontId="6" fillId="0" borderId="16" xfId="0" applyFont="1" applyBorder="1" applyProtection="1">
      <alignment vertical="top" wrapText="1"/>
      <protection locked="0"/>
    </xf>
    <xf numFmtId="0" fontId="6" fillId="0" borderId="18" xfId="0" applyFont="1" applyBorder="1" applyProtection="1">
      <alignment vertical="top" wrapText="1"/>
      <protection locked="0"/>
    </xf>
    <xf numFmtId="7" fontId="19" fillId="0" borderId="19" xfId="0" applyNumberFormat="1" applyFont="1" applyBorder="1" applyProtection="1">
      <alignment vertical="top" wrapText="1"/>
      <protection locked="0"/>
    </xf>
    <xf numFmtId="7" fontId="19" fillId="0" borderId="20" xfId="0" applyNumberFormat="1" applyFont="1" applyBorder="1" applyProtection="1">
      <alignment vertical="top" wrapText="1"/>
      <protection locked="0"/>
    </xf>
    <xf numFmtId="0" fontId="29" fillId="0" borderId="16" xfId="0" applyFont="1" applyBorder="1" applyProtection="1">
      <alignment vertical="top" wrapText="1"/>
      <protection locked="0"/>
    </xf>
    <xf numFmtId="7" fontId="29" fillId="0" borderId="1" xfId="0" applyNumberFormat="1" applyFont="1" applyBorder="1" applyProtection="1">
      <alignment vertical="top" wrapText="1"/>
      <protection locked="0"/>
    </xf>
    <xf numFmtId="7" fontId="29" fillId="0" borderId="17" xfId="0" applyNumberFormat="1" applyFont="1" applyBorder="1" applyProtection="1">
      <alignment vertical="top" wrapText="1"/>
      <protection locked="0"/>
    </xf>
    <xf numFmtId="0" fontId="30" fillId="0" borderId="16" xfId="0" applyFont="1" applyBorder="1" applyProtection="1">
      <alignment vertical="top" wrapText="1"/>
      <protection locked="0"/>
    </xf>
    <xf numFmtId="0" fontId="30" fillId="0" borderId="18" xfId="0" applyFont="1" applyBorder="1" applyProtection="1">
      <alignment vertical="top" wrapText="1"/>
      <protection locked="0"/>
    </xf>
    <xf numFmtId="7" fontId="29" fillId="0" borderId="19" xfId="0" applyNumberFormat="1" applyFont="1" applyBorder="1" applyProtection="1">
      <alignment vertical="top" wrapText="1"/>
      <protection locked="0"/>
    </xf>
    <xf numFmtId="7" fontId="29" fillId="0" borderId="20" xfId="0" applyNumberFormat="1" applyFont="1" applyBorder="1" applyProtection="1">
      <alignment vertical="top" wrapText="1"/>
      <protection locked="0"/>
    </xf>
    <xf numFmtId="0" fontId="19" fillId="12" borderId="0" xfId="0" applyFont="1" applyFill="1" applyAlignment="1"/>
    <xf numFmtId="0" fontId="19" fillId="12" borderId="0" xfId="0" applyFont="1" applyFill="1">
      <alignment vertical="top" wrapText="1"/>
    </xf>
    <xf numFmtId="0" fontId="20" fillId="12" borderId="1" xfId="0" applyFont="1" applyFill="1" applyBorder="1" applyAlignment="1">
      <alignment horizontal="center"/>
    </xf>
    <xf numFmtId="0" fontId="34" fillId="12" borderId="0" xfId="0" applyFont="1" applyFill="1" applyAlignment="1"/>
    <xf numFmtId="0" fontId="35" fillId="12" borderId="0" xfId="0" applyFont="1" applyFill="1" applyAlignment="1">
      <alignment vertical="center"/>
    </xf>
    <xf numFmtId="0" fontId="36" fillId="12" borderId="7" xfId="0" applyFont="1" applyFill="1" applyBorder="1" applyAlignment="1">
      <alignment horizontal="center"/>
    </xf>
    <xf numFmtId="0" fontId="37" fillId="12" borderId="1" xfId="0" applyFont="1" applyFill="1" applyBorder="1" applyAlignment="1">
      <alignment horizontal="left" vertical="center"/>
    </xf>
    <xf numFmtId="0" fontId="35" fillId="12" borderId="1" xfId="0" applyFont="1" applyFill="1" applyBorder="1" applyAlignment="1">
      <alignment horizontal="center" vertical="center"/>
    </xf>
    <xf numFmtId="44" fontId="0" fillId="0" borderId="0" xfId="8" applyFont="1" applyAlignment="1" applyProtection="1">
      <alignment vertical="center" wrapText="1"/>
      <protection hidden="1"/>
    </xf>
    <xf numFmtId="4" fontId="0" fillId="0" borderId="0" xfId="0" applyNumberFormat="1" applyAlignment="1" applyProtection="1">
      <alignment vertical="center" wrapText="1"/>
      <protection hidden="1"/>
    </xf>
    <xf numFmtId="44" fontId="0" fillId="0" borderId="0" xfId="0" applyNumberFormat="1" applyAlignment="1" applyProtection="1">
      <alignment vertical="center" wrapText="1"/>
      <protection hidden="1"/>
    </xf>
    <xf numFmtId="165" fontId="20" fillId="13" borderId="42" xfId="0" applyNumberFormat="1" applyFont="1" applyFill="1" applyBorder="1" applyAlignment="1">
      <alignment horizontal="center" vertical="center" wrapText="1"/>
    </xf>
    <xf numFmtId="4" fontId="0" fillId="13" borderId="1" xfId="0" applyNumberFormat="1" applyFill="1" applyBorder="1" applyAlignment="1" applyProtection="1">
      <alignment horizontal="center" vertical="center" wrapText="1"/>
      <protection hidden="1"/>
    </xf>
    <xf numFmtId="4" fontId="0" fillId="13" borderId="17" xfId="0" applyNumberFormat="1" applyFill="1" applyBorder="1" applyAlignment="1" applyProtection="1">
      <alignment horizontal="center" vertical="center" wrapText="1"/>
      <protection hidden="1"/>
    </xf>
    <xf numFmtId="4" fontId="0" fillId="13" borderId="37" xfId="0" applyNumberFormat="1" applyFill="1" applyBorder="1" applyAlignment="1" applyProtection="1">
      <alignment horizontal="center" vertical="center" wrapText="1"/>
      <protection hidden="1"/>
    </xf>
    <xf numFmtId="4" fontId="0" fillId="13" borderId="38" xfId="0" applyNumberFormat="1" applyFill="1" applyBorder="1" applyAlignment="1" applyProtection="1">
      <alignment horizontal="center" vertical="center" wrapText="1"/>
      <protection hidden="1"/>
    </xf>
    <xf numFmtId="4" fontId="0" fillId="13" borderId="7" xfId="0" applyNumberFormat="1" applyFill="1" applyBorder="1" applyAlignment="1" applyProtection="1">
      <alignment horizontal="center" vertical="center" wrapText="1"/>
      <protection hidden="1"/>
    </xf>
    <xf numFmtId="4" fontId="0" fillId="13" borderId="50" xfId="0" applyNumberFormat="1" applyFill="1" applyBorder="1" applyAlignment="1" applyProtection="1">
      <alignment horizontal="center" vertical="center" wrapText="1"/>
      <protection hidden="1"/>
    </xf>
    <xf numFmtId="4" fontId="32" fillId="13" borderId="36" xfId="0" applyNumberFormat="1" applyFont="1" applyFill="1" applyBorder="1" applyAlignment="1" applyProtection="1">
      <alignment horizontal="center" vertical="center" wrapText="1"/>
      <protection hidden="1"/>
    </xf>
    <xf numFmtId="4" fontId="32" fillId="13" borderId="37" xfId="0" applyNumberFormat="1" applyFont="1" applyFill="1" applyBorder="1" applyAlignment="1" applyProtection="1">
      <alignment horizontal="center" vertical="center" wrapText="1"/>
      <protection hidden="1"/>
    </xf>
    <xf numFmtId="4" fontId="32" fillId="13" borderId="38" xfId="0" applyNumberFormat="1" applyFont="1" applyFill="1" applyBorder="1" applyAlignment="1" applyProtection="1">
      <alignment horizontal="center" vertical="center" wrapText="1"/>
      <protection hidden="1"/>
    </xf>
    <xf numFmtId="7" fontId="19" fillId="14" borderId="1" xfId="0" applyNumberFormat="1" applyFont="1" applyFill="1" applyBorder="1" applyProtection="1">
      <alignment vertical="top" wrapText="1"/>
      <protection hidden="1"/>
    </xf>
    <xf numFmtId="4" fontId="0" fillId="13" borderId="8" xfId="0" applyNumberFormat="1" applyFill="1" applyBorder="1" applyAlignment="1" applyProtection="1">
      <alignment horizontal="center" vertical="center" wrapText="1"/>
      <protection hidden="1"/>
    </xf>
    <xf numFmtId="4" fontId="0" fillId="13" borderId="33" xfId="0" applyNumberFormat="1" applyFill="1" applyBorder="1" applyAlignment="1" applyProtection="1">
      <alignment horizontal="center" vertical="center" wrapText="1"/>
      <protection hidden="1"/>
    </xf>
    <xf numFmtId="4" fontId="0" fillId="13" borderId="55" xfId="0" applyNumberFormat="1" applyFill="1" applyBorder="1" applyAlignment="1" applyProtection="1">
      <alignment horizontal="center" vertical="center" wrapText="1"/>
      <protection hidden="1"/>
    </xf>
    <xf numFmtId="4" fontId="0" fillId="13" borderId="56" xfId="0" applyNumberFormat="1" applyFill="1" applyBorder="1" applyAlignment="1" applyProtection="1">
      <alignment horizontal="center" vertical="center" wrapText="1"/>
      <protection hidden="1"/>
    </xf>
    <xf numFmtId="4" fontId="0" fillId="13" borderId="19" xfId="0" applyNumberFormat="1" applyFill="1" applyBorder="1" applyAlignment="1" applyProtection="1">
      <alignment horizontal="center" vertical="center" wrapText="1"/>
      <protection hidden="1"/>
    </xf>
    <xf numFmtId="4" fontId="0" fillId="13" borderId="20" xfId="0" applyNumberFormat="1" applyFill="1" applyBorder="1" applyAlignment="1" applyProtection="1">
      <alignment horizontal="center" vertical="center" wrapText="1"/>
      <protection hidden="1"/>
    </xf>
    <xf numFmtId="165" fontId="19" fillId="13" borderId="1" xfId="0" applyNumberFormat="1" applyFont="1" applyFill="1" applyBorder="1" applyAlignment="1" applyProtection="1">
      <alignment horizontal="center" vertical="center" wrapText="1"/>
      <protection hidden="1"/>
    </xf>
    <xf numFmtId="165" fontId="19" fillId="13" borderId="1" xfId="0" applyNumberFormat="1" applyFont="1" applyFill="1" applyBorder="1" applyAlignment="1" applyProtection="1">
      <alignment horizontal="center" vertical="center"/>
      <protection hidden="1"/>
    </xf>
    <xf numFmtId="165" fontId="20" fillId="13" borderId="1" xfId="0" applyNumberFormat="1" applyFont="1" applyFill="1" applyBorder="1" applyAlignment="1" applyProtection="1">
      <alignment horizontal="center" vertical="center" wrapText="1"/>
      <protection hidden="1"/>
    </xf>
    <xf numFmtId="7" fontId="19" fillId="14" borderId="17" xfId="0" applyNumberFormat="1" applyFont="1" applyFill="1" applyBorder="1" applyProtection="1">
      <alignment vertical="top" wrapText="1"/>
      <protection hidden="1"/>
    </xf>
    <xf numFmtId="165" fontId="19" fillId="14" borderId="1" xfId="0" applyNumberFormat="1" applyFont="1" applyFill="1" applyBorder="1" applyAlignment="1" applyProtection="1">
      <protection hidden="1"/>
    </xf>
    <xf numFmtId="0" fontId="20" fillId="0" borderId="39" xfId="0" applyFont="1" applyBorder="1" applyAlignment="1">
      <alignment horizontal="right" vertical="center" wrapText="1"/>
    </xf>
    <xf numFmtId="0" fontId="20" fillId="0" borderId="4" xfId="0" applyFont="1" applyBorder="1" applyAlignment="1">
      <alignment horizontal="right" vertical="center" wrapText="1"/>
    </xf>
    <xf numFmtId="0" fontId="20" fillId="6" borderId="29" xfId="0" applyFont="1" applyFill="1" applyBorder="1" applyAlignment="1">
      <alignment horizontal="center" vertical="top" wrapText="1"/>
    </xf>
    <xf numFmtId="0" fontId="20" fillId="6" borderId="30" xfId="0" applyFont="1" applyFill="1" applyBorder="1" applyAlignment="1">
      <alignment horizontal="center" vertical="top" wrapText="1"/>
    </xf>
    <xf numFmtId="0" fontId="20" fillId="6" borderId="31" xfId="0" applyFont="1" applyFill="1" applyBorder="1" applyAlignment="1">
      <alignment horizontal="center" vertical="top" wrapText="1"/>
    </xf>
    <xf numFmtId="0" fontId="20" fillId="6" borderId="26" xfId="0" applyFont="1" applyFill="1" applyBorder="1" applyAlignment="1">
      <alignment horizontal="center" vertical="top" wrapText="1"/>
    </xf>
    <xf numFmtId="0" fontId="20" fillId="6" borderId="27" xfId="0" applyFont="1" applyFill="1" applyBorder="1" applyAlignment="1">
      <alignment horizontal="center" vertical="top" wrapText="1"/>
    </xf>
    <xf numFmtId="0" fontId="20" fillId="6" borderId="28" xfId="0" applyFont="1" applyFill="1" applyBorder="1" applyAlignment="1">
      <alignment horizontal="center" vertical="top" wrapText="1"/>
    </xf>
    <xf numFmtId="0" fontId="19" fillId="6" borderId="40" xfId="0" applyFont="1" applyFill="1" applyBorder="1" applyAlignment="1">
      <alignment horizontal="center" vertical="top" wrapText="1"/>
    </xf>
    <xf numFmtId="0" fontId="19" fillId="6" borderId="41" xfId="0" applyFont="1" applyFill="1" applyBorder="1" applyAlignment="1">
      <alignment horizontal="center" vertical="top" wrapText="1"/>
    </xf>
    <xf numFmtId="0" fontId="19" fillId="6" borderId="43" xfId="0" applyFont="1" applyFill="1" applyBorder="1" applyAlignment="1">
      <alignment horizontal="center" vertical="top" wrapText="1"/>
    </xf>
    <xf numFmtId="0" fontId="20" fillId="0" borderId="44" xfId="0" applyFont="1" applyBorder="1" applyAlignment="1">
      <alignment horizontal="center" vertical="top"/>
    </xf>
    <xf numFmtId="0" fontId="20" fillId="0" borderId="45" xfId="0" applyFont="1" applyBorder="1" applyAlignment="1">
      <alignment horizontal="center" vertical="top"/>
    </xf>
    <xf numFmtId="0" fontId="20" fillId="0" borderId="46" xfId="0" applyFont="1" applyBorder="1" applyAlignment="1">
      <alignment horizontal="center" vertical="top"/>
    </xf>
    <xf numFmtId="0" fontId="31" fillId="0" borderId="24" xfId="0" applyFont="1" applyBorder="1" applyAlignment="1">
      <alignment horizontal="center" vertical="top" wrapText="1"/>
    </xf>
    <xf numFmtId="0" fontId="31" fillId="0" borderId="0" xfId="0" applyFont="1" applyAlignment="1">
      <alignment horizontal="center" vertical="top" wrapText="1"/>
    </xf>
    <xf numFmtId="0" fontId="31" fillId="0" borderId="25" xfId="0" applyFont="1" applyBorder="1" applyAlignment="1">
      <alignment horizontal="center" vertical="top" wrapText="1"/>
    </xf>
    <xf numFmtId="0" fontId="33" fillId="0" borderId="55" xfId="0" applyFont="1" applyBorder="1" applyAlignment="1" applyProtection="1">
      <alignment horizontal="left" vertical="top" wrapText="1"/>
      <protection hidden="1"/>
    </xf>
    <xf numFmtId="0" fontId="0" fillId="0" borderId="55" xfId="0" applyBorder="1" applyAlignment="1" applyProtection="1">
      <alignment horizontal="left" vertical="top" wrapText="1"/>
      <protection hidden="1"/>
    </xf>
    <xf numFmtId="0" fontId="0" fillId="0" borderId="56" xfId="0" applyBorder="1" applyAlignment="1" applyProtection="1">
      <alignment horizontal="left" vertical="top" wrapText="1"/>
      <protection hidden="1"/>
    </xf>
    <xf numFmtId="0" fontId="2" fillId="0" borderId="47" xfId="0" applyFont="1" applyBorder="1" applyAlignment="1" applyProtection="1">
      <alignment horizontal="center" vertical="center" wrapText="1"/>
      <protection hidden="1"/>
    </xf>
    <xf numFmtId="0" fontId="2" fillId="0" borderId="48" xfId="0" applyFont="1" applyBorder="1" applyAlignment="1" applyProtection="1">
      <alignment horizontal="center" vertical="center" wrapText="1"/>
      <protection hidden="1"/>
    </xf>
    <xf numFmtId="0" fontId="2" fillId="0" borderId="49" xfId="0" applyFont="1" applyBorder="1" applyAlignment="1" applyProtection="1">
      <alignment horizontal="center" vertical="center" wrapText="1"/>
      <protection hidden="1"/>
    </xf>
    <xf numFmtId="0" fontId="33" fillId="0" borderId="19" xfId="0" applyFont="1" applyBorder="1" applyAlignment="1" applyProtection="1">
      <alignment horizontal="left" vertical="center" wrapText="1"/>
      <protection hidden="1"/>
    </xf>
    <xf numFmtId="0" fontId="33" fillId="0" borderId="20" xfId="0" applyFont="1" applyBorder="1" applyAlignment="1" applyProtection="1">
      <alignment horizontal="left" vertical="center" wrapText="1"/>
      <protection hidden="1"/>
    </xf>
    <xf numFmtId="0" fontId="0" fillId="11" borderId="47" xfId="0" applyFill="1" applyBorder="1" applyAlignment="1" applyProtection="1">
      <alignment horizontal="right" vertical="center" wrapText="1"/>
      <protection hidden="1"/>
    </xf>
    <xf numFmtId="0" fontId="0" fillId="11" borderId="52" xfId="0" applyFill="1" applyBorder="1" applyAlignment="1" applyProtection="1">
      <alignment horizontal="right" vertical="center" wrapText="1"/>
      <protection hidden="1"/>
    </xf>
    <xf numFmtId="0" fontId="0" fillId="11" borderId="40" xfId="0" applyFill="1" applyBorder="1" applyAlignment="1" applyProtection="1">
      <alignment horizontal="right" vertical="center" wrapText="1"/>
      <protection hidden="1"/>
    </xf>
    <xf numFmtId="0" fontId="0" fillId="11" borderId="53" xfId="0" applyFill="1" applyBorder="1" applyAlignment="1" applyProtection="1">
      <alignment horizontal="right" vertical="center" wrapText="1"/>
      <protection hidden="1"/>
    </xf>
    <xf numFmtId="0" fontId="0" fillId="0" borderId="54" xfId="0" applyBorder="1" applyAlignment="1" applyProtection="1">
      <alignment horizontal="left" vertical="center" wrapText="1"/>
      <protection hidden="1"/>
    </xf>
    <xf numFmtId="0" fontId="0" fillId="0" borderId="18" xfId="0" applyBorder="1" applyAlignment="1" applyProtection="1">
      <alignment horizontal="left" vertical="center" wrapText="1"/>
      <protection hidden="1"/>
    </xf>
    <xf numFmtId="0" fontId="20" fillId="0" borderId="1" xfId="0" applyFont="1" applyBorder="1" applyAlignment="1">
      <alignment horizontal="center" vertical="top" wrapText="1"/>
    </xf>
    <xf numFmtId="0" fontId="20" fillId="6" borderId="10" xfId="0" applyFont="1" applyFill="1" applyBorder="1" applyAlignment="1">
      <alignment horizontal="center" vertical="top" wrapText="1"/>
    </xf>
    <xf numFmtId="0" fontId="20" fillId="6" borderId="6" xfId="0" applyFont="1" applyFill="1" applyBorder="1" applyAlignment="1">
      <alignment horizontal="center" vertical="top" wrapText="1"/>
    </xf>
    <xf numFmtId="0" fontId="20" fillId="6" borderId="15" xfId="0" applyFont="1" applyFill="1" applyBorder="1" applyAlignment="1">
      <alignment horizontal="center" vertical="top" wrapText="1"/>
    </xf>
    <xf numFmtId="0" fontId="20" fillId="6" borderId="11" xfId="0" applyFont="1" applyFill="1" applyBorder="1" applyAlignment="1">
      <alignment horizontal="center" vertical="top" wrapText="1"/>
    </xf>
    <xf numFmtId="0" fontId="20" fillId="6" borderId="0" xfId="0" applyFont="1" applyFill="1" applyAlignment="1">
      <alignment horizontal="center" vertical="top" wrapText="1"/>
    </xf>
    <xf numFmtId="0" fontId="20" fillId="6" borderId="12" xfId="0" applyFont="1" applyFill="1" applyBorder="1" applyAlignment="1">
      <alignment horizontal="center" vertical="top" wrapText="1"/>
    </xf>
    <xf numFmtId="0" fontId="27" fillId="0" borderId="10" xfId="0" applyFont="1" applyBorder="1" applyAlignment="1">
      <alignment horizontal="center" vertical="top" wrapText="1"/>
    </xf>
    <xf numFmtId="0" fontId="27" fillId="0" borderId="6" xfId="0" applyFont="1" applyBorder="1" applyAlignment="1">
      <alignment horizontal="center" vertical="top" wrapText="1"/>
    </xf>
    <xf numFmtId="0" fontId="27" fillId="0" borderId="15" xfId="0" applyFont="1" applyBorder="1" applyAlignment="1">
      <alignment horizontal="center" vertical="top" wrapText="1"/>
    </xf>
    <xf numFmtId="0" fontId="27" fillId="0" borderId="11" xfId="0" applyFont="1" applyBorder="1" applyAlignment="1">
      <alignment horizontal="center" vertical="top"/>
    </xf>
    <xf numFmtId="0" fontId="27" fillId="0" borderId="0" xfId="0" applyFont="1" applyAlignment="1">
      <alignment horizontal="center" vertical="top"/>
    </xf>
    <xf numFmtId="0" fontId="27" fillId="0" borderId="12" xfId="0" applyFont="1" applyBorder="1" applyAlignment="1">
      <alignment horizontal="center" vertical="top"/>
    </xf>
    <xf numFmtId="0" fontId="20" fillId="0" borderId="8" xfId="0" applyFont="1" applyBorder="1" applyAlignment="1">
      <alignment horizontal="center" vertical="top" wrapText="1"/>
    </xf>
    <xf numFmtId="0" fontId="20" fillId="0" borderId="33" xfId="0" applyFont="1" applyBorder="1" applyAlignment="1">
      <alignment horizontal="center" vertical="top" wrapText="1"/>
    </xf>
    <xf numFmtId="0" fontId="20" fillId="6" borderId="21" xfId="0" applyFont="1" applyFill="1" applyBorder="1" applyAlignment="1">
      <alignment horizontal="center" vertical="top" wrapText="1"/>
    </xf>
    <xf numFmtId="0" fontId="20" fillId="6" borderId="22" xfId="0" applyFont="1" applyFill="1" applyBorder="1" applyAlignment="1">
      <alignment horizontal="center" vertical="top" wrapText="1"/>
    </xf>
    <xf numFmtId="0" fontId="20" fillId="6" borderId="23" xfId="0" applyFont="1" applyFill="1" applyBorder="1" applyAlignment="1">
      <alignment horizontal="center" vertical="top" wrapText="1"/>
    </xf>
    <xf numFmtId="0" fontId="20" fillId="6" borderId="24" xfId="0" applyFont="1" applyFill="1" applyBorder="1" applyAlignment="1">
      <alignment horizontal="center" vertical="top" wrapText="1"/>
    </xf>
    <xf numFmtId="0" fontId="20" fillId="6" borderId="25" xfId="0" applyFont="1" applyFill="1" applyBorder="1" applyAlignment="1">
      <alignment horizontal="center" vertical="top" wrapText="1"/>
    </xf>
    <xf numFmtId="0" fontId="27" fillId="0" borderId="24" xfId="0" applyFont="1" applyBorder="1" applyAlignment="1">
      <alignment horizontal="center" vertical="top" wrapText="1"/>
    </xf>
    <xf numFmtId="0" fontId="27" fillId="0" borderId="0" xfId="0" applyFont="1" applyAlignment="1">
      <alignment horizontal="center" vertical="top" wrapText="1"/>
    </xf>
    <xf numFmtId="0" fontId="27" fillId="0" borderId="25" xfId="0" applyFont="1" applyBorder="1" applyAlignment="1">
      <alignment horizontal="center" vertical="top" wrapText="1"/>
    </xf>
    <xf numFmtId="0" fontId="27" fillId="0" borderId="24" xfId="0" applyFont="1" applyBorder="1" applyAlignment="1">
      <alignment horizontal="center" vertical="top"/>
    </xf>
    <xf numFmtId="0" fontId="27" fillId="0" borderId="25" xfId="0" applyFont="1" applyBorder="1" applyAlignment="1">
      <alignment horizontal="center" vertical="top"/>
    </xf>
    <xf numFmtId="0" fontId="36" fillId="12" borderId="5" xfId="0" applyFont="1" applyFill="1" applyBorder="1" applyAlignment="1">
      <alignment horizontal="center"/>
    </xf>
    <xf numFmtId="0" fontId="36" fillId="12" borderId="4" xfId="0" applyFont="1" applyFill="1" applyBorder="1" applyAlignment="1">
      <alignment horizontal="center"/>
    </xf>
    <xf numFmtId="0" fontId="36" fillId="12" borderId="2" xfId="0" applyFont="1" applyFill="1" applyBorder="1" applyAlignment="1">
      <alignment horizontal="center"/>
    </xf>
    <xf numFmtId="165" fontId="19" fillId="14" borderId="5" xfId="0" applyNumberFormat="1" applyFont="1" applyFill="1" applyBorder="1" applyAlignment="1" applyProtection="1">
      <alignment horizontal="center"/>
      <protection hidden="1"/>
    </xf>
    <xf numFmtId="165" fontId="19" fillId="14" borderId="4" xfId="0" applyNumberFormat="1" applyFont="1" applyFill="1" applyBorder="1" applyAlignment="1" applyProtection="1">
      <alignment horizontal="center"/>
      <protection hidden="1"/>
    </xf>
    <xf numFmtId="165" fontId="19" fillId="14" borderId="2" xfId="0" applyNumberFormat="1" applyFont="1" applyFill="1" applyBorder="1" applyAlignment="1" applyProtection="1">
      <alignment horizontal="center"/>
      <protection hidden="1"/>
    </xf>
    <xf numFmtId="0" fontId="9" fillId="0" borderId="0" xfId="0" applyFont="1" applyAlignment="1">
      <alignment horizontal="center" vertical="top"/>
    </xf>
    <xf numFmtId="0" fontId="8" fillId="0" borderId="0" xfId="0" applyFont="1" applyAlignment="1">
      <alignment horizontal="center" vertical="top"/>
    </xf>
    <xf numFmtId="0" fontId="4" fillId="0" borderId="0" xfId="5" applyFont="1" applyAlignment="1">
      <alignment horizontal="center" vertical="top" wrapText="1"/>
    </xf>
    <xf numFmtId="0" fontId="2" fillId="0" borderId="5" xfId="6" applyFont="1" applyBorder="1" applyAlignment="1">
      <alignment horizontal="center" vertical="center" wrapText="1"/>
    </xf>
    <xf numFmtId="0" fontId="2" fillId="0" borderId="4" xfId="6" applyFont="1" applyBorder="1" applyAlignment="1">
      <alignment horizontal="center" vertical="center" wrapText="1"/>
    </xf>
    <xf numFmtId="164" fontId="2" fillId="0" borderId="5" xfId="6" applyNumberFormat="1" applyFont="1" applyBorder="1" applyAlignment="1">
      <alignment horizontal="center" vertical="center" wrapText="1"/>
    </xf>
    <xf numFmtId="164" fontId="2" fillId="0" borderId="4" xfId="6" applyNumberFormat="1" applyFont="1" applyBorder="1" applyAlignment="1">
      <alignment horizontal="center" vertical="center" wrapText="1"/>
    </xf>
    <xf numFmtId="0" fontId="2" fillId="0" borderId="0" xfId="5" applyFont="1" applyAlignment="1">
      <alignment horizontal="center" vertical="top"/>
    </xf>
    <xf numFmtId="0" fontId="2" fillId="2" borderId="13" xfId="5" applyFont="1" applyFill="1" applyBorder="1" applyAlignment="1">
      <alignment horizontal="center" vertical="top" wrapText="1"/>
    </xf>
    <xf numFmtId="0" fontId="2" fillId="2" borderId="3" xfId="5" applyFont="1" applyFill="1" applyBorder="1" applyAlignment="1">
      <alignment horizontal="center" vertical="top" wrapText="1"/>
    </xf>
    <xf numFmtId="0" fontId="2" fillId="0" borderId="0" xfId="5" applyFont="1" applyAlignment="1">
      <alignment horizontal="center" vertical="top" wrapText="1"/>
    </xf>
    <xf numFmtId="4" fontId="2" fillId="2" borderId="13" xfId="5" applyNumberFormat="1" applyFont="1" applyFill="1" applyBorder="1" applyAlignment="1">
      <alignment horizontal="center" vertical="top" wrapText="1"/>
    </xf>
    <xf numFmtId="4" fontId="2" fillId="2" borderId="3" xfId="5" applyNumberFormat="1" applyFont="1" applyFill="1" applyBorder="1" applyAlignment="1">
      <alignment horizontal="center" vertical="top" wrapText="1"/>
    </xf>
    <xf numFmtId="164" fontId="2" fillId="0" borderId="0" xfId="5" applyNumberFormat="1" applyFont="1" applyAlignment="1">
      <alignment horizontal="center" vertical="top" wrapText="1"/>
    </xf>
    <xf numFmtId="0" fontId="15" fillId="0" borderId="0" xfId="5" applyFont="1" applyAlignment="1">
      <alignment horizontal="center" vertical="top"/>
    </xf>
    <xf numFmtId="0" fontId="20" fillId="0" borderId="0" xfId="5" applyFont="1" applyAlignment="1">
      <alignment horizontal="center" vertical="top"/>
    </xf>
    <xf numFmtId="0" fontId="3" fillId="0" borderId="0" xfId="5" applyAlignment="1">
      <alignment horizontal="center" vertical="top" wrapText="1"/>
    </xf>
  </cellXfs>
  <cellStyles count="9">
    <cellStyle name="Comma_Serco Cranwell Pricing Sheets" xfId="1" xr:uid="{00000000-0005-0000-0000-000000000000}"/>
    <cellStyle name="Currency" xfId="8" builtinId="4"/>
    <cellStyle name="Normal" xfId="0" builtinId="0"/>
    <cellStyle name="Normal_Cover Sheet" xfId="2" xr:uid="{00000000-0005-0000-0000-000002000000}"/>
    <cellStyle name="Normal_Cra12cg - MT Ops Rev" xfId="3" xr:uid="{00000000-0005-0000-0000-000003000000}"/>
    <cellStyle name="Normal_Cra15cg Crash&amp;Fire Rev" xfId="4" xr:uid="{00000000-0005-0000-0000-000004000000}"/>
    <cellStyle name="Normal_Serco Cranwell Pricing Sheets" xfId="5" xr:uid="{00000000-0005-0000-0000-000005000000}"/>
    <cellStyle name="Normal_Serco Cranwell Pricing Sheets_1" xfId="6" xr:uid="{00000000-0005-0000-0000-000006000000}"/>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47" Type="http://schemas.openxmlformats.org/officeDocument/2006/relationships/customXml" Target="../customXml/item5.xml"/><Relationship Id="rId50" Type="http://schemas.openxmlformats.org/officeDocument/2006/relationships/customXml" Target="../customXml/item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48" Type="http://schemas.openxmlformats.org/officeDocument/2006/relationships/customXml" Target="../customXml/item6.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MP/PRICE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Vers Changes"/>
      <sheetName val="SRAL"/>
      <sheetName val="Hours"/>
      <sheetName val="Dir Resources"/>
      <sheetName val="Staffing"/>
      <sheetName val="Pay"/>
      <sheetName val="Totals"/>
      <sheetName val="Price Summary"/>
      <sheetName val="Price Schedule"/>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43"/>
  <sheetViews>
    <sheetView zoomScale="50" zoomScaleNormal="50" workbookViewId="0">
      <selection activeCell="A24" sqref="A24"/>
    </sheetView>
  </sheetViews>
  <sheetFormatPr defaultColWidth="20.7109375" defaultRowHeight="12"/>
  <cols>
    <col min="1" max="1" width="124" customWidth="1"/>
    <col min="2" max="2" width="15.140625" customWidth="1"/>
    <col min="3" max="3" width="15.7109375" customWidth="1"/>
    <col min="4" max="4" width="2.7109375" customWidth="1"/>
  </cols>
  <sheetData>
    <row r="1" spans="1:1" ht="35.25">
      <c r="A1" s="2" t="s">
        <v>0</v>
      </c>
    </row>
    <row r="2" spans="1:1" ht="35.25">
      <c r="A2" s="2" t="s">
        <v>1</v>
      </c>
    </row>
    <row r="3" spans="1:1" ht="35.25">
      <c r="A3" s="2"/>
    </row>
    <row r="4" spans="1:1" ht="35.25">
      <c r="A4" s="2"/>
    </row>
    <row r="5" spans="1:1" ht="35.25">
      <c r="A5" s="2" t="s">
        <v>2</v>
      </c>
    </row>
    <row r="6" spans="1:1" ht="35.25">
      <c r="A6" s="2" t="s">
        <v>3</v>
      </c>
    </row>
    <row r="7" spans="1:1" ht="35.25">
      <c r="A7" s="2" t="s">
        <v>4</v>
      </c>
    </row>
    <row r="8" spans="1:1" ht="35.25">
      <c r="A8" s="2" t="s">
        <v>5</v>
      </c>
    </row>
    <row r="9" spans="1:1" ht="35.25">
      <c r="A9" s="2"/>
    </row>
    <row r="10" spans="1:1" ht="35.25">
      <c r="A10" s="2"/>
    </row>
    <row r="11" spans="1:1" ht="35.25">
      <c r="A11" s="2" t="s">
        <v>6</v>
      </c>
    </row>
    <row r="12" spans="1:1" ht="35.25">
      <c r="A12" s="2" t="s">
        <v>0</v>
      </c>
    </row>
    <row r="13" spans="1:1" ht="35.25">
      <c r="A13" s="2" t="s">
        <v>1</v>
      </c>
    </row>
    <row r="14" spans="1:1" ht="35.25">
      <c r="A14" s="2"/>
    </row>
    <row r="15" spans="1:1" ht="35.25">
      <c r="A15" s="2"/>
    </row>
    <row r="16" spans="1:1" ht="35.25">
      <c r="A16" s="2" t="s">
        <v>2</v>
      </c>
    </row>
    <row r="17" spans="1:1" ht="35.25">
      <c r="A17" s="2" t="s">
        <v>3</v>
      </c>
    </row>
    <row r="18" spans="1:1" ht="35.25">
      <c r="A18" s="2" t="s">
        <v>4</v>
      </c>
    </row>
    <row r="19" spans="1:1" ht="35.25">
      <c r="A19" s="2" t="s">
        <v>5</v>
      </c>
    </row>
    <row r="20" spans="1:1" ht="35.25">
      <c r="A20" s="2"/>
    </row>
    <row r="21" spans="1:1" ht="35.25">
      <c r="A21" s="2"/>
    </row>
    <row r="22" spans="1:1" ht="35.25">
      <c r="A22" s="2" t="s">
        <v>7</v>
      </c>
    </row>
    <row r="23" spans="1:1" ht="35.25">
      <c r="A23" s="2" t="s">
        <v>0</v>
      </c>
    </row>
    <row r="24" spans="1:1" ht="35.25">
      <c r="A24" s="2" t="s">
        <v>1</v>
      </c>
    </row>
    <row r="25" spans="1:1" ht="35.25">
      <c r="A25" s="2"/>
    </row>
    <row r="26" spans="1:1" ht="35.25">
      <c r="A26" s="2"/>
    </row>
    <row r="27" spans="1:1" ht="35.25">
      <c r="A27" s="2" t="s">
        <v>2</v>
      </c>
    </row>
    <row r="28" spans="1:1" ht="35.25">
      <c r="A28" s="2" t="s">
        <v>3</v>
      </c>
    </row>
    <row r="29" spans="1:1" ht="35.25">
      <c r="A29" s="2" t="s">
        <v>4</v>
      </c>
    </row>
    <row r="30" spans="1:1" ht="35.25">
      <c r="A30" s="2" t="s">
        <v>5</v>
      </c>
    </row>
    <row r="31" spans="1:1" ht="35.25">
      <c r="A31" s="2"/>
    </row>
    <row r="32" spans="1:1" ht="35.25">
      <c r="A32" s="2"/>
    </row>
    <row r="33" spans="1:1" ht="35.25">
      <c r="A33" s="2" t="s">
        <v>8</v>
      </c>
    </row>
    <row r="34" spans="1:1" ht="35.25">
      <c r="A34" s="2" t="s">
        <v>0</v>
      </c>
    </row>
    <row r="35" spans="1:1" ht="35.25">
      <c r="A35" s="2" t="s">
        <v>1</v>
      </c>
    </row>
    <row r="36" spans="1:1" ht="35.25">
      <c r="A36" s="2"/>
    </row>
    <row r="37" spans="1:1" ht="35.25">
      <c r="A37" s="2"/>
    </row>
    <row r="38" spans="1:1" ht="35.25">
      <c r="A38" s="2" t="s">
        <v>2</v>
      </c>
    </row>
    <row r="39" spans="1:1" ht="35.25">
      <c r="A39" s="2" t="s">
        <v>3</v>
      </c>
    </row>
    <row r="40" spans="1:1" ht="35.25">
      <c r="A40" s="2" t="s">
        <v>4</v>
      </c>
    </row>
    <row r="41" spans="1:1" ht="35.25">
      <c r="A41" s="2" t="s">
        <v>5</v>
      </c>
    </row>
    <row r="42" spans="1:1" ht="35.25">
      <c r="A42" s="2"/>
    </row>
    <row r="43" spans="1:1" ht="35.25">
      <c r="A43" s="2"/>
    </row>
    <row r="44" spans="1:1" ht="35.25">
      <c r="A44" s="2" t="s">
        <v>9</v>
      </c>
    </row>
    <row r="45" spans="1:1" ht="35.25">
      <c r="A45" s="2" t="s">
        <v>0</v>
      </c>
    </row>
    <row r="46" spans="1:1" ht="35.25">
      <c r="A46" s="2" t="s">
        <v>1</v>
      </c>
    </row>
    <row r="47" spans="1:1" ht="35.25">
      <c r="A47" s="2"/>
    </row>
    <row r="48" spans="1:1" ht="35.25">
      <c r="A48" s="2"/>
    </row>
    <row r="49" spans="1:1" ht="35.25">
      <c r="A49" s="2" t="s">
        <v>2</v>
      </c>
    </row>
    <row r="50" spans="1:1" ht="35.25">
      <c r="A50" s="2" t="s">
        <v>3</v>
      </c>
    </row>
    <row r="51" spans="1:1" ht="35.25">
      <c r="A51" s="2" t="s">
        <v>4</v>
      </c>
    </row>
    <row r="52" spans="1:1" ht="35.25">
      <c r="A52" s="2" t="s">
        <v>5</v>
      </c>
    </row>
    <row r="53" spans="1:1" ht="35.25">
      <c r="A53" s="2"/>
    </row>
    <row r="54" spans="1:1" ht="35.25">
      <c r="A54" s="2"/>
    </row>
    <row r="55" spans="1:1" ht="35.25">
      <c r="A55" s="2" t="s">
        <v>10</v>
      </c>
    </row>
    <row r="56" spans="1:1" ht="35.25">
      <c r="A56" s="2" t="s">
        <v>0</v>
      </c>
    </row>
    <row r="57" spans="1:1" ht="35.25">
      <c r="A57" s="2" t="s">
        <v>1</v>
      </c>
    </row>
    <row r="58" spans="1:1" ht="35.25">
      <c r="A58" s="2"/>
    </row>
    <row r="59" spans="1:1" ht="35.25">
      <c r="A59" s="2"/>
    </row>
    <row r="60" spans="1:1" ht="35.25">
      <c r="A60" s="2" t="s">
        <v>2</v>
      </c>
    </row>
    <row r="61" spans="1:1" ht="35.25">
      <c r="A61" s="2" t="s">
        <v>3</v>
      </c>
    </row>
    <row r="62" spans="1:1" ht="35.25">
      <c r="A62" s="2" t="s">
        <v>4</v>
      </c>
    </row>
    <row r="63" spans="1:1" ht="35.25">
      <c r="A63" s="2" t="s">
        <v>5</v>
      </c>
    </row>
    <row r="64" spans="1:1" ht="35.25">
      <c r="A64" s="2"/>
    </row>
    <row r="65" spans="1:1" ht="35.25">
      <c r="A65" s="2"/>
    </row>
    <row r="66" spans="1:1" ht="35.25">
      <c r="A66" s="2" t="s">
        <v>11</v>
      </c>
    </row>
    <row r="67" spans="1:1" ht="35.25">
      <c r="A67" s="2" t="s">
        <v>0</v>
      </c>
    </row>
    <row r="68" spans="1:1" ht="35.25">
      <c r="A68" s="2" t="s">
        <v>1</v>
      </c>
    </row>
    <row r="69" spans="1:1" ht="35.25">
      <c r="A69" s="2"/>
    </row>
    <row r="70" spans="1:1" ht="35.25">
      <c r="A70" s="2"/>
    </row>
    <row r="71" spans="1:1" ht="35.25">
      <c r="A71" s="2" t="s">
        <v>2</v>
      </c>
    </row>
    <row r="72" spans="1:1" ht="35.25">
      <c r="A72" s="2" t="s">
        <v>3</v>
      </c>
    </row>
    <row r="73" spans="1:1" ht="35.25">
      <c r="A73" s="2" t="s">
        <v>4</v>
      </c>
    </row>
    <row r="74" spans="1:1" ht="35.25">
      <c r="A74" s="2" t="s">
        <v>5</v>
      </c>
    </row>
    <row r="75" spans="1:1" ht="35.25">
      <c r="A75" s="2"/>
    </row>
    <row r="76" spans="1:1" ht="35.25">
      <c r="A76" s="2"/>
    </row>
    <row r="77" spans="1:1" ht="35.25">
      <c r="A77" s="2" t="s">
        <v>12</v>
      </c>
    </row>
    <row r="78" spans="1:1" ht="35.25">
      <c r="A78" s="2" t="s">
        <v>0</v>
      </c>
    </row>
    <row r="79" spans="1:1" ht="35.25">
      <c r="A79" s="2" t="s">
        <v>1</v>
      </c>
    </row>
    <row r="80" spans="1:1" ht="35.25">
      <c r="A80" s="2"/>
    </row>
    <row r="81" spans="1:1" ht="35.25">
      <c r="A81" s="2"/>
    </row>
    <row r="82" spans="1:1" ht="35.25">
      <c r="A82" s="2" t="s">
        <v>2</v>
      </c>
    </row>
    <row r="83" spans="1:1" ht="35.25">
      <c r="A83" s="2" t="s">
        <v>3</v>
      </c>
    </row>
    <row r="84" spans="1:1" ht="35.25">
      <c r="A84" s="2" t="s">
        <v>4</v>
      </c>
    </row>
    <row r="85" spans="1:1" ht="35.25">
      <c r="A85" s="2" t="s">
        <v>5</v>
      </c>
    </row>
    <row r="86" spans="1:1" ht="35.25">
      <c r="A86" s="2"/>
    </row>
    <row r="87" spans="1:1" ht="35.25">
      <c r="A87" s="2"/>
    </row>
    <row r="88" spans="1:1" ht="35.25">
      <c r="A88" s="2" t="s">
        <v>13</v>
      </c>
    </row>
    <row r="89" spans="1:1" ht="35.25">
      <c r="A89" s="2" t="s">
        <v>0</v>
      </c>
    </row>
    <row r="90" spans="1:1" ht="35.25">
      <c r="A90" s="2" t="s">
        <v>1</v>
      </c>
    </row>
    <row r="91" spans="1:1" ht="35.25">
      <c r="A91" s="2"/>
    </row>
    <row r="92" spans="1:1" ht="35.25">
      <c r="A92" s="2"/>
    </row>
    <row r="93" spans="1:1" ht="35.25">
      <c r="A93" s="2" t="s">
        <v>2</v>
      </c>
    </row>
    <row r="94" spans="1:1" ht="35.25">
      <c r="A94" s="2" t="s">
        <v>3</v>
      </c>
    </row>
    <row r="95" spans="1:1" ht="35.25">
      <c r="A95" s="2" t="s">
        <v>4</v>
      </c>
    </row>
    <row r="96" spans="1:1" ht="35.25">
      <c r="A96" s="2" t="s">
        <v>5</v>
      </c>
    </row>
    <row r="97" spans="1:1" ht="35.25">
      <c r="A97" s="2"/>
    </row>
    <row r="98" spans="1:1" ht="35.25">
      <c r="A98" s="2"/>
    </row>
    <row r="99" spans="1:1" ht="35.25">
      <c r="A99" s="2" t="s">
        <v>14</v>
      </c>
    </row>
    <row r="100" spans="1:1" ht="35.25">
      <c r="A100" s="2" t="s">
        <v>0</v>
      </c>
    </row>
    <row r="101" spans="1:1" ht="35.25">
      <c r="A101" s="2" t="s">
        <v>1</v>
      </c>
    </row>
    <row r="102" spans="1:1" ht="35.25">
      <c r="A102" s="2"/>
    </row>
    <row r="103" spans="1:1" ht="35.25">
      <c r="A103" s="2"/>
    </row>
    <row r="104" spans="1:1" ht="35.25">
      <c r="A104" s="2" t="s">
        <v>2</v>
      </c>
    </row>
    <row r="105" spans="1:1" ht="35.25">
      <c r="A105" s="2" t="s">
        <v>3</v>
      </c>
    </row>
    <row r="106" spans="1:1" ht="35.25">
      <c r="A106" s="2" t="s">
        <v>4</v>
      </c>
    </row>
    <row r="107" spans="1:1" ht="35.25">
      <c r="A107" s="2" t="s">
        <v>5</v>
      </c>
    </row>
    <row r="108" spans="1:1" ht="35.25">
      <c r="A108" s="2"/>
    </row>
    <row r="109" spans="1:1" ht="35.25">
      <c r="A109" s="2"/>
    </row>
    <row r="110" spans="1:1" ht="35.25">
      <c r="A110" s="2" t="s">
        <v>15</v>
      </c>
    </row>
    <row r="111" spans="1:1" ht="35.25">
      <c r="A111" s="2" t="s">
        <v>0</v>
      </c>
    </row>
    <row r="112" spans="1:1" ht="35.25">
      <c r="A112" s="2" t="s">
        <v>1</v>
      </c>
    </row>
    <row r="113" spans="1:1" ht="35.25">
      <c r="A113" s="2"/>
    </row>
    <row r="114" spans="1:1" ht="35.25">
      <c r="A114" s="2"/>
    </row>
    <row r="115" spans="1:1" ht="35.25">
      <c r="A115" s="2" t="s">
        <v>2</v>
      </c>
    </row>
    <row r="116" spans="1:1" ht="35.25">
      <c r="A116" s="2" t="s">
        <v>3</v>
      </c>
    </row>
    <row r="117" spans="1:1" ht="35.25">
      <c r="A117" s="2" t="s">
        <v>4</v>
      </c>
    </row>
    <row r="118" spans="1:1" ht="35.25">
      <c r="A118" s="2" t="s">
        <v>5</v>
      </c>
    </row>
    <row r="119" spans="1:1" ht="35.25">
      <c r="A119" s="2"/>
    </row>
    <row r="120" spans="1:1" ht="35.25">
      <c r="A120" s="2"/>
    </row>
    <row r="121" spans="1:1" ht="35.25">
      <c r="A121" s="2" t="s">
        <v>16</v>
      </c>
    </row>
    <row r="122" spans="1:1" ht="35.25">
      <c r="A122" s="2" t="s">
        <v>0</v>
      </c>
    </row>
    <row r="123" spans="1:1" ht="35.25">
      <c r="A123" s="2" t="s">
        <v>1</v>
      </c>
    </row>
    <row r="124" spans="1:1" ht="35.25">
      <c r="A124" s="2"/>
    </row>
    <row r="125" spans="1:1" ht="35.25">
      <c r="A125" s="2"/>
    </row>
    <row r="126" spans="1:1" ht="35.25">
      <c r="A126" s="2" t="s">
        <v>2</v>
      </c>
    </row>
    <row r="127" spans="1:1" ht="35.25">
      <c r="A127" s="2" t="s">
        <v>3</v>
      </c>
    </row>
    <row r="128" spans="1:1" ht="35.25">
      <c r="A128" s="2" t="s">
        <v>4</v>
      </c>
    </row>
    <row r="129" spans="1:1" ht="35.25">
      <c r="A129" s="2" t="s">
        <v>5</v>
      </c>
    </row>
    <row r="130" spans="1:1" ht="35.25">
      <c r="A130" s="2"/>
    </row>
    <row r="131" spans="1:1" ht="35.25">
      <c r="A131" s="2"/>
    </row>
    <row r="132" spans="1:1" ht="35.25">
      <c r="A132" s="2" t="s">
        <v>15</v>
      </c>
    </row>
    <row r="133" spans="1:1" ht="35.25">
      <c r="A133" s="2" t="s">
        <v>0</v>
      </c>
    </row>
    <row r="134" spans="1:1" ht="35.25">
      <c r="A134" s="2" t="s">
        <v>1</v>
      </c>
    </row>
    <row r="135" spans="1:1" ht="35.25">
      <c r="A135" s="2"/>
    </row>
    <row r="136" spans="1:1" ht="35.25">
      <c r="A136" s="2"/>
    </row>
    <row r="137" spans="1:1" ht="35.25">
      <c r="A137" s="2" t="s">
        <v>2</v>
      </c>
    </row>
    <row r="138" spans="1:1" ht="35.25">
      <c r="A138" s="2" t="s">
        <v>3</v>
      </c>
    </row>
    <row r="139" spans="1:1" ht="35.25">
      <c r="A139" s="2" t="s">
        <v>4</v>
      </c>
    </row>
    <row r="140" spans="1:1" ht="35.25">
      <c r="A140" s="2" t="s">
        <v>5</v>
      </c>
    </row>
    <row r="141" spans="1:1" ht="35.25">
      <c r="A141" s="2"/>
    </row>
    <row r="142" spans="1:1" ht="35.25">
      <c r="A142" s="2"/>
    </row>
    <row r="143" spans="1:1" ht="35.25">
      <c r="A143" s="2" t="s">
        <v>17</v>
      </c>
    </row>
  </sheetData>
  <dataConsolidate/>
  <phoneticPr fontId="0" type="noConversion"/>
  <printOptions horizontalCentered="1" verticalCentered="1"/>
  <pageMargins left="0.5" right="0.5" top="1" bottom="1" header="0.5" footer="0.5"/>
  <pageSetup paperSize="9" firstPageNumber="5" fitToHeight="0" orientation="landscape" useFirstPageNumber="1" horizontalDpi="300" verticalDpi="300" r:id="rId1"/>
  <headerFooter alignWithMargins="0">
    <oddHeader>&amp;C&amp;"Calibri"&amp;10&amp;K737373Serco Business&amp;1#_x000D_&amp;"Calibri"&amp;11&amp;K000000&amp;"Calibri"&amp;11&amp;K000000&amp;"Arial,Bold"&amp;10COMMERCIAL</oddHeader>
    <oddFooter>&amp;L&amp;8Intro&amp;C&amp;10 1
&amp;"Arial,Bold"COMMERCIAL&amp;R&amp;8Amendment No 21/Apr 05</oddFooter>
  </headerFooter>
  <rowBreaks count="10" manualBreakCount="10">
    <brk id="11" max="16383" man="1"/>
    <brk id="22" man="1"/>
    <brk id="33" man="1"/>
    <brk id="44" man="1"/>
    <brk id="55" man="1"/>
    <brk id="66" man="1"/>
    <brk id="77" man="1"/>
    <brk id="88" man="1"/>
    <brk id="99" man="1"/>
    <brk id="1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19"/>
  <sheetViews>
    <sheetView topLeftCell="A11" zoomScale="75" workbookViewId="0">
      <selection activeCell="A20" sqref="A20"/>
    </sheetView>
  </sheetViews>
  <sheetFormatPr defaultColWidth="9.140625" defaultRowHeight="15"/>
  <cols>
    <col min="1" max="1" width="103.5703125" style="12" customWidth="1"/>
    <col min="2" max="16384" width="9.140625" style="12"/>
  </cols>
  <sheetData>
    <row r="1" spans="1:1" ht="15.75">
      <c r="A1" s="11" t="s">
        <v>145</v>
      </c>
    </row>
    <row r="2" spans="1:1" ht="15.75">
      <c r="A2" s="11"/>
    </row>
    <row r="3" spans="1:1" ht="15.75">
      <c r="A3" s="11"/>
    </row>
    <row r="4" spans="1:1" ht="15.75">
      <c r="A4" s="11"/>
    </row>
    <row r="5" spans="1:1" ht="15.75">
      <c r="A5" s="11" t="s">
        <v>171</v>
      </c>
    </row>
    <row r="6" spans="1:1" ht="15.75">
      <c r="A6" s="11"/>
    </row>
    <row r="7" spans="1:1" ht="15.75">
      <c r="A7" s="11"/>
    </row>
    <row r="8" spans="1:1" ht="15.75">
      <c r="A8" s="11"/>
    </row>
    <row r="9" spans="1:1" ht="15.75">
      <c r="A9" s="11" t="s">
        <v>5</v>
      </c>
    </row>
    <row r="10" spans="1:1" ht="15.75">
      <c r="A10" s="11" t="s">
        <v>172</v>
      </c>
    </row>
    <row r="11" spans="1:1" ht="15.75">
      <c r="A11" s="11"/>
    </row>
    <row r="12" spans="1:1" ht="15.75">
      <c r="A12" s="11"/>
    </row>
    <row r="13" spans="1:1" ht="15.75">
      <c r="A13" s="11"/>
    </row>
    <row r="14" spans="1:1" ht="15.75">
      <c r="A14" s="11" t="s">
        <v>150</v>
      </c>
    </row>
    <row r="15" spans="1:1" ht="15.75">
      <c r="A15" s="11" t="s">
        <v>151</v>
      </c>
    </row>
    <row r="16" spans="1:1" ht="15.75">
      <c r="A16" s="11"/>
    </row>
    <row r="18" spans="1:1" ht="30">
      <c r="A18" s="259" t="s">
        <v>173</v>
      </c>
    </row>
    <row r="19" spans="1:1" ht="20.100000000000001" customHeight="1"/>
  </sheetData>
  <phoneticPr fontId="0" type="noConversion"/>
  <printOptions horizontalCentered="1"/>
  <pageMargins left="0.75" right="0.75" top="1" bottom="1" header="0.5" footer="0.5"/>
  <pageSetup paperSize="9" orientation="landscape" r:id="rId1"/>
  <headerFooter alignWithMargins="0">
    <oddHeader>&amp;C&amp;"Calibri"&amp;10&amp;K737373Serco Business&amp;1#_x000D_&amp;"Calibri"&amp;11&amp;K000000&amp;"Calibri"&amp;11&amp;K000000&amp;"Arial,Bold"COMMERCIAL</oddHeader>
    <oddFooter>&amp;L&amp;8PTC/CB/00642&amp;C&amp;10 1-0
&amp;"Arial,Bold"
COMMERCIAL&amp;R&amp;8Pricing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P45"/>
  <sheetViews>
    <sheetView view="pageBreakPreview" zoomScale="75" zoomScaleNormal="75" workbookViewId="0">
      <selection activeCell="N22" sqref="N22:O22"/>
    </sheetView>
  </sheetViews>
  <sheetFormatPr defaultColWidth="14.7109375" defaultRowHeight="12"/>
  <cols>
    <col min="1" max="1" width="2.7109375" style="17" customWidth="1"/>
    <col min="2" max="2" width="9" style="13" customWidth="1"/>
    <col min="3" max="3" width="30.42578125" style="13" customWidth="1"/>
    <col min="4" max="4" width="8.85546875" style="47" bestFit="1" customWidth="1"/>
    <col min="5" max="7" width="11.7109375" style="51" customWidth="1"/>
    <col min="8" max="12" width="11.7109375" style="17" customWidth="1"/>
    <col min="13" max="13" width="2.7109375" style="17" customWidth="1" collapsed="1"/>
    <col min="14" max="16" width="14.7109375" style="17" customWidth="1"/>
    <col min="17" max="17" width="14.7109375" style="17" customWidth="1" collapsed="1"/>
    <col min="18" max="18" width="14.7109375" style="17" customWidth="1"/>
    <col min="19" max="68" width="14.7109375" style="17" customWidth="1" collapsed="1"/>
    <col min="69" max="16384" width="14.7109375" style="17"/>
  </cols>
  <sheetData>
    <row r="1" spans="1:13" s="268" customFormat="1">
      <c r="A1" s="17"/>
      <c r="B1" s="13"/>
      <c r="C1" s="13"/>
      <c r="D1" s="47"/>
      <c r="E1" s="51"/>
      <c r="F1" s="51"/>
      <c r="G1" s="51"/>
      <c r="H1" s="17"/>
      <c r="I1" s="17"/>
      <c r="J1" s="17"/>
      <c r="K1" s="532" t="s">
        <v>174</v>
      </c>
      <c r="L1" s="532"/>
      <c r="M1" s="17"/>
    </row>
    <row r="2" spans="1:13" s="268" customFormat="1">
      <c r="A2" s="17"/>
      <c r="B2" s="13"/>
      <c r="C2" s="13"/>
      <c r="D2" s="47"/>
      <c r="E2" s="51"/>
      <c r="F2" s="51"/>
      <c r="G2" s="51"/>
      <c r="H2" s="17"/>
      <c r="I2" s="17"/>
      <c r="J2" s="17"/>
      <c r="K2" s="17"/>
      <c r="L2" s="17"/>
      <c r="M2" s="17"/>
    </row>
    <row r="3" spans="1:13">
      <c r="B3" s="211"/>
      <c r="C3" s="212"/>
      <c r="D3" s="345"/>
      <c r="E3" s="14" t="s">
        <v>175</v>
      </c>
      <c r="F3" s="15" t="s">
        <v>176</v>
      </c>
      <c r="G3" s="15" t="s">
        <v>177</v>
      </c>
      <c r="H3" s="14" t="s">
        <v>178</v>
      </c>
      <c r="I3" s="14" t="s">
        <v>179</v>
      </c>
      <c r="J3" s="14" t="s">
        <v>180</v>
      </c>
      <c r="K3" s="14" t="s">
        <v>181</v>
      </c>
      <c r="L3" s="14" t="s">
        <v>182</v>
      </c>
    </row>
    <row r="4" spans="1:13" ht="24">
      <c r="B4" s="275" t="s">
        <v>183</v>
      </c>
      <c r="C4" s="276" t="s">
        <v>184</v>
      </c>
      <c r="D4" s="277" t="s">
        <v>185</v>
      </c>
      <c r="E4" s="278" t="s">
        <v>186</v>
      </c>
      <c r="F4" s="278" t="s">
        <v>186</v>
      </c>
      <c r="G4" s="278" t="s">
        <v>186</v>
      </c>
      <c r="H4" s="278" t="s">
        <v>186</v>
      </c>
      <c r="I4" s="278" t="s">
        <v>186</v>
      </c>
      <c r="J4" s="278" t="s">
        <v>186</v>
      </c>
      <c r="K4" s="278" t="s">
        <v>186</v>
      </c>
      <c r="L4" s="278" t="s">
        <v>186</v>
      </c>
    </row>
    <row r="5" spans="1:13" ht="36">
      <c r="B5" s="25" t="str">
        <f>'5'!A8</f>
        <v>5.C.1.c</v>
      </c>
      <c r="C5" s="25" t="str">
        <f>'5'!C8</f>
        <v>Maintain Dominie and RAFAT Hawk aircraft hydraulic and mechanical components to Depth A &amp; B.</v>
      </c>
      <c r="D5" s="202">
        <f>SUM('5'!D8)</f>
        <v>326</v>
      </c>
      <c r="E5" s="55">
        <v>40579.834703886489</v>
      </c>
      <c r="F5" s="55">
        <v>41889.364344968963</v>
      </c>
      <c r="G5" s="55">
        <v>43241.244112183747</v>
      </c>
      <c r="H5" s="55">
        <v>44744.948779198552</v>
      </c>
      <c r="I5" s="55">
        <v>46301.03963763608</v>
      </c>
      <c r="J5" s="55">
        <v>48142.849315586252</v>
      </c>
      <c r="K5" s="55">
        <v>50298.738670005696</v>
      </c>
      <c r="L5" s="55">
        <v>52551.274185106653</v>
      </c>
    </row>
    <row r="6" spans="1:13" ht="36">
      <c r="A6" s="269"/>
      <c r="B6" s="25" t="str">
        <f>'5'!A10</f>
        <v>5.C.1.e</v>
      </c>
      <c r="C6" s="25" t="str">
        <f>'5'!C10</f>
        <v>Undertake Depth A &amp; B maintenance of Dominie and RAFAT Hawk wheels and tyres.</v>
      </c>
      <c r="D6" s="202">
        <f>SUM('5'!D10)</f>
        <v>300</v>
      </c>
      <c r="E6" s="55">
        <v>14950.46541722134</v>
      </c>
      <c r="F6" s="55">
        <v>15432.923706041196</v>
      </c>
      <c r="G6" s="55">
        <v>15930.984672909806</v>
      </c>
      <c r="H6" s="55">
        <v>16484.981129178414</v>
      </c>
      <c r="I6" s="55">
        <v>17058.277761234345</v>
      </c>
      <c r="J6" s="55">
        <v>17736.83922153178</v>
      </c>
      <c r="K6" s="55">
        <v>18531.114246844205</v>
      </c>
      <c r="L6" s="55">
        <v>19360.995752407718</v>
      </c>
      <c r="M6" s="270"/>
    </row>
    <row r="7" spans="1:13" ht="36">
      <c r="A7" s="269"/>
      <c r="B7" s="25" t="str">
        <f>'5'!A12</f>
        <v>5.C.1.g</v>
      </c>
      <c r="C7" s="25" t="str">
        <f>'5'!C12</f>
        <v>Maintain Dominie and RAFAT Hawk aircraft oxygen components to Depth A &amp; B.</v>
      </c>
      <c r="D7" s="202">
        <f>SUM('5'!D12)</f>
        <v>310</v>
      </c>
      <c r="E7" s="55">
        <v>7475.2327086106698</v>
      </c>
      <c r="F7" s="55">
        <v>7716.4618530205989</v>
      </c>
      <c r="G7" s="55">
        <v>7965.4923364549031</v>
      </c>
      <c r="H7" s="55">
        <v>8242.4905645892068</v>
      </c>
      <c r="I7" s="55">
        <v>8529.1388806171726</v>
      </c>
      <c r="J7" s="55">
        <v>8868.41961076589</v>
      </c>
      <c r="K7" s="55">
        <v>9265.5571234221024</v>
      </c>
      <c r="L7" s="55">
        <v>9680.4978762038591</v>
      </c>
      <c r="M7" s="270"/>
    </row>
    <row r="8" spans="1:13">
      <c r="B8" s="215"/>
      <c r="C8" s="198"/>
      <c r="D8" s="201"/>
      <c r="E8" s="199"/>
      <c r="F8" s="198"/>
      <c r="G8" s="198"/>
      <c r="H8" s="198"/>
      <c r="I8" s="198"/>
      <c r="J8" s="198"/>
      <c r="K8" s="198"/>
      <c r="L8" s="216"/>
    </row>
    <row r="9" spans="1:13" ht="48">
      <c r="A9" s="269"/>
      <c r="B9" s="204" t="str">
        <f>'6'!A6</f>
        <v>6.C.1.a</v>
      </c>
      <c r="C9" s="204" t="str">
        <f>'6'!C6</f>
        <v>Maintain Dominie and Hawk avionics and electrical equipment at 2nd line to Depth B and limited Depth C.</v>
      </c>
      <c r="D9" s="202">
        <f>SUM('6'!D6)</f>
        <v>1630</v>
      </c>
      <c r="E9" s="55">
        <v>91078.31</v>
      </c>
      <c r="F9" s="55">
        <v>94017.64</v>
      </c>
      <c r="G9" s="55">
        <v>97052.04</v>
      </c>
      <c r="H9" s="55">
        <v>100427.21</v>
      </c>
      <c r="I9" s="55">
        <v>103919.97</v>
      </c>
      <c r="J9" s="55">
        <v>108054.01</v>
      </c>
      <c r="K9" s="55">
        <v>112893.02</v>
      </c>
      <c r="L9" s="55">
        <v>117948.95</v>
      </c>
      <c r="M9" s="270"/>
    </row>
    <row r="10" spans="1:13" ht="36">
      <c r="A10" s="269"/>
      <c r="B10" s="204" t="str">
        <f>'6'!A7</f>
        <v>6.C.1.b</v>
      </c>
      <c r="C10" s="204" t="str">
        <f>'6'!C7</f>
        <v>Maintain limited Tucano avionics and electrical equipment at 2nd line to Depth B.</v>
      </c>
      <c r="D10" s="202">
        <f>SUM('6'!D7)</f>
        <v>220</v>
      </c>
      <c r="E10" s="55">
        <v>5519.8974735223119</v>
      </c>
      <c r="F10" s="55">
        <v>5698.0389644384531</v>
      </c>
      <c r="G10" s="55">
        <v>5881.9418123274663</v>
      </c>
      <c r="H10" s="55">
        <v>6086.4974803884488</v>
      </c>
      <c r="I10" s="55">
        <v>6298.1797894473038</v>
      </c>
      <c r="J10" s="55">
        <v>6548.7282507015871</v>
      </c>
      <c r="K10" s="55">
        <v>6842.0009297498418</v>
      </c>
      <c r="L10" s="55">
        <v>7148.4211761271008</v>
      </c>
      <c r="M10" s="270"/>
    </row>
    <row r="11" spans="1:13" ht="36">
      <c r="A11" s="269"/>
      <c r="B11" s="204" t="str">
        <f>'6'!A8</f>
        <v>6.C.1.c</v>
      </c>
      <c r="C11" s="204" t="str">
        <f>'6'!C8</f>
        <v>Maintain limited Glider avionics and electrical equipment at 2nd line to Depth B.</v>
      </c>
      <c r="D11" s="202">
        <f>SUM('6'!D8)</f>
        <v>50</v>
      </c>
      <c r="E11" s="55">
        <v>1655.9692420566937</v>
      </c>
      <c r="F11" s="55">
        <v>1709.4116893315359</v>
      </c>
      <c r="G11" s="55">
        <v>1764.58254369824</v>
      </c>
      <c r="H11" s="55">
        <v>1825.9492441165346</v>
      </c>
      <c r="I11" s="55">
        <v>1889.4539368341912</v>
      </c>
      <c r="J11" s="55">
        <v>1964.6184752104762</v>
      </c>
      <c r="K11" s="55">
        <v>2052.6002789249524</v>
      </c>
      <c r="L11" s="55">
        <v>2144.5263528381302</v>
      </c>
      <c r="M11" s="270"/>
    </row>
    <row r="12" spans="1:13">
      <c r="A12" s="269"/>
      <c r="B12" s="204" t="str">
        <f>'6'!A10</f>
        <v>6.C.1.e</v>
      </c>
      <c r="C12" s="204" t="str">
        <f>'6'!C10</f>
        <v xml:space="preserve">Maintain and repair headsets. </v>
      </c>
      <c r="D12" s="202">
        <f>SUM('6'!D10)</f>
        <v>280</v>
      </c>
      <c r="E12" s="55">
        <v>4415.9179788178499</v>
      </c>
      <c r="F12" s="55">
        <v>4558.431171550762</v>
      </c>
      <c r="G12" s="55">
        <v>4705.5534498619727</v>
      </c>
      <c r="H12" s="55">
        <v>4869.1979843107583</v>
      </c>
      <c r="I12" s="55">
        <v>5038.5438315578431</v>
      </c>
      <c r="J12" s="55">
        <v>5238.9826005612695</v>
      </c>
      <c r="K12" s="55">
        <v>5473.6007437998724</v>
      </c>
      <c r="L12" s="55">
        <v>5718.7369409016801</v>
      </c>
      <c r="M12" s="270"/>
    </row>
    <row r="13" spans="1:13">
      <c r="B13" s="215"/>
      <c r="C13" s="197"/>
      <c r="D13" s="201"/>
      <c r="E13" s="199"/>
      <c r="F13" s="199"/>
      <c r="G13" s="199"/>
      <c r="H13" s="198"/>
      <c r="I13" s="198"/>
      <c r="J13" s="198"/>
      <c r="K13" s="198"/>
      <c r="L13" s="216"/>
    </row>
    <row r="14" spans="1:13" s="54" customFormat="1" ht="48">
      <c r="B14" s="204" t="str">
        <f>'7'!A7</f>
        <v>7.C.1.b</v>
      </c>
      <c r="C14" s="204" t="str">
        <f>'7'!C7</f>
        <v>Maintain  Aircrew Equipment Assemblies (AEA) for Dominie and Firefly aircraft to Depths A and B and visiting aircrew to Depth A.</v>
      </c>
      <c r="D14" s="202">
        <f>SUM('7'!D7)</f>
        <v>3050</v>
      </c>
      <c r="E14" s="91">
        <v>35730.190125762383</v>
      </c>
      <c r="F14" s="91">
        <v>36884.502008701813</v>
      </c>
      <c r="G14" s="91">
        <v>38076.17334367345</v>
      </c>
      <c r="H14" s="91">
        <v>39401.605243333848</v>
      </c>
      <c r="I14" s="91">
        <v>40773.246405298138</v>
      </c>
      <c r="J14" s="91">
        <v>42396.57586441889</v>
      </c>
      <c r="K14" s="91">
        <v>44296.593369313821</v>
      </c>
      <c r="L14" s="91">
        <v>46281.837667613872</v>
      </c>
    </row>
    <row r="15" spans="1:13" s="54" customFormat="1">
      <c r="B15" s="204" t="str">
        <f>'7'!A10</f>
        <v>7.C.1.e</v>
      </c>
      <c r="C15" s="204" t="str">
        <f>'7'!C10</f>
        <v>Fit AEA to aircraft passengers.</v>
      </c>
      <c r="D15" s="202">
        <f>SUM('7'!D10)</f>
        <v>680</v>
      </c>
      <c r="E15" s="91">
        <v>8098.8430951728069</v>
      </c>
      <c r="F15" s="91">
        <v>8360.4871219724118</v>
      </c>
      <c r="G15" s="91">
        <v>8630.5992912326492</v>
      </c>
      <c r="H15" s="91">
        <v>8931.0305218223402</v>
      </c>
      <c r="I15" s="91">
        <v>9241.9358518675781</v>
      </c>
      <c r="J15" s="91">
        <v>9609.890529268283</v>
      </c>
      <c r="K15" s="91">
        <v>10040.561163711132</v>
      </c>
      <c r="L15" s="91">
        <v>10490.549871325811</v>
      </c>
    </row>
    <row r="16" spans="1:13">
      <c r="B16" s="215"/>
      <c r="C16" s="197"/>
      <c r="D16" s="201"/>
      <c r="E16" s="199"/>
      <c r="F16" s="199"/>
      <c r="G16" s="199"/>
      <c r="H16" s="198"/>
      <c r="I16" s="198"/>
      <c r="J16" s="198"/>
      <c r="K16" s="198"/>
      <c r="L16" s="216"/>
    </row>
    <row r="17" spans="1:13" s="54" customFormat="1" ht="36">
      <c r="B17" s="206" t="str">
        <f>'8'!A6</f>
        <v>8.C.1.a</v>
      </c>
      <c r="C17" s="210" t="str">
        <f>'8'!C6</f>
        <v>Provide photographic support  to RAF Cranwell and parented units listed at Table 8-4.</v>
      </c>
      <c r="D17" s="202">
        <f>SUM('8'!D6)</f>
        <v>1500</v>
      </c>
      <c r="E17" s="91">
        <v>75147.528254079938</v>
      </c>
      <c r="F17" s="91">
        <v>87476.200285609753</v>
      </c>
      <c r="G17" s="91">
        <v>90166.329538309161</v>
      </c>
      <c r="H17" s="91">
        <v>93165.864752293914</v>
      </c>
      <c r="I17" s="91">
        <v>96266.47654077175</v>
      </c>
      <c r="J17" s="91">
        <v>99952.937287603869</v>
      </c>
      <c r="K17" s="91">
        <v>104281.69520130333</v>
      </c>
      <c r="L17" s="91">
        <v>108799.32787187074</v>
      </c>
    </row>
    <row r="18" spans="1:13" s="54" customFormat="1">
      <c r="B18" s="206" t="str">
        <f>'8'!A7</f>
        <v>8.C.1.b</v>
      </c>
      <c r="C18" s="210" t="str">
        <f>'8'!C7</f>
        <v>Provide a reproduction service.</v>
      </c>
      <c r="D18" s="202">
        <f>SUM('8'!D7)</f>
        <v>8000000</v>
      </c>
      <c r="E18" s="91">
        <v>110406.125283335</v>
      </c>
      <c r="F18" s="91">
        <v>75438.191071993744</v>
      </c>
      <c r="G18" s="91">
        <v>77758.119051385889</v>
      </c>
      <c r="H18" s="91">
        <v>80344.874190051632</v>
      </c>
      <c r="I18" s="91">
        <v>83018.796282867392</v>
      </c>
      <c r="J18" s="91">
        <v>86197.945917750141</v>
      </c>
      <c r="K18" s="91">
        <v>89931.003201123982</v>
      </c>
      <c r="L18" s="91">
        <v>93826.943302347252</v>
      </c>
    </row>
    <row r="19" spans="1:13" s="54" customFormat="1" ht="36">
      <c r="A19" s="271"/>
      <c r="B19" s="206" t="str">
        <f>'8'!A11</f>
        <v>8.C.1.f</v>
      </c>
      <c r="C19" s="206" t="str">
        <f>'8'!C11</f>
        <v>Provide a general/specialist graphics service to include visual aids preparation.</v>
      </c>
      <c r="D19" s="202">
        <f>SUM('8'!D11)</f>
        <v>10000</v>
      </c>
      <c r="E19" s="91">
        <v>170095.4</v>
      </c>
      <c r="F19" s="91">
        <v>198001.18</v>
      </c>
      <c r="G19" s="91">
        <v>204090.25</v>
      </c>
      <c r="H19" s="91">
        <v>210879.65</v>
      </c>
      <c r="I19" s="91">
        <v>217897.84</v>
      </c>
      <c r="J19" s="91">
        <v>226242.1</v>
      </c>
      <c r="K19" s="91">
        <v>236040.18</v>
      </c>
      <c r="L19" s="91">
        <v>246265.78</v>
      </c>
      <c r="M19" s="272"/>
    </row>
    <row r="20" spans="1:13">
      <c r="B20" s="215"/>
      <c r="C20" s="197"/>
      <c r="D20" s="201"/>
      <c r="E20" s="199"/>
      <c r="F20" s="199"/>
      <c r="G20" s="200"/>
      <c r="H20" s="198"/>
      <c r="I20" s="198"/>
      <c r="J20" s="198"/>
      <c r="K20" s="198"/>
      <c r="L20" s="216"/>
    </row>
    <row r="21" spans="1:13" s="54" customFormat="1" ht="36">
      <c r="A21" s="271"/>
      <c r="B21" s="207" t="str">
        <f>'10'!A7</f>
        <v>10.C.1.a(i)</v>
      </c>
      <c r="C21" s="208" t="str">
        <f>'10'!C7</f>
        <v>Maintain mechanical and electrical Major GSE to Depth A &amp; B iaw AP100E-10.</v>
      </c>
      <c r="D21" s="202">
        <f>SUM('10'!D7)</f>
        <v>1400</v>
      </c>
      <c r="E21" s="91">
        <v>137684.44129267643</v>
      </c>
      <c r="F21" s="91">
        <v>142072.93241076011</v>
      </c>
      <c r="G21" s="91">
        <v>146602.10879264306</v>
      </c>
      <c r="H21" s="91">
        <v>151643.0043156858</v>
      </c>
      <c r="I21" s="91">
        <v>156858.0767249176</v>
      </c>
      <c r="J21" s="91">
        <v>163037.65623355165</v>
      </c>
      <c r="K21" s="91">
        <v>170276.76489688797</v>
      </c>
      <c r="L21" s="91">
        <v>177838.21794472326</v>
      </c>
      <c r="M21" s="272"/>
    </row>
    <row r="22" spans="1:13" s="54" customFormat="1" ht="48">
      <c r="A22" s="271"/>
      <c r="B22" s="207" t="str">
        <f>'10'!A13</f>
        <v>10.C.1.d</v>
      </c>
      <c r="C22" s="208" t="str">
        <f>'10'!C13</f>
        <v>Maintain lifting tackle to Depths A and B iaw AP119K-0001-1 and the schedules laid down in AP119K-0001-5F.</v>
      </c>
      <c r="D22" s="202">
        <f>SUM('10'!D13)</f>
        <v>256</v>
      </c>
      <c r="E22" s="91">
        <v>12720.214042603322</v>
      </c>
      <c r="F22" s="91">
        <v>13125.652346466757</v>
      </c>
      <c r="G22" s="91">
        <v>13544.088100524026</v>
      </c>
      <c r="H22" s="91">
        <v>14009.799908027402</v>
      </c>
      <c r="I22" s="91">
        <v>14491.603346893022</v>
      </c>
      <c r="J22" s="91">
        <v>15062.514433905524</v>
      </c>
      <c r="K22" s="91">
        <v>15731.311945162155</v>
      </c>
      <c r="L22" s="91">
        <v>16429.889797085911</v>
      </c>
      <c r="M22" s="272"/>
    </row>
    <row r="23" spans="1:13" s="54" customFormat="1" ht="24">
      <c r="B23" s="207" t="str">
        <f>'10'!A15</f>
        <v>10.C.1.f</v>
      </c>
      <c r="C23" s="208" t="str">
        <f>'10'!C15</f>
        <v>Maintain racking to Depth A and B iaw AP119A-1501-1.</v>
      </c>
      <c r="D23" s="202">
        <f>SUM('10'!D15)</f>
        <v>577</v>
      </c>
      <c r="E23" s="91">
        <v>6323.1603415098662</v>
      </c>
      <c r="F23" s="91">
        <v>6524.7018718121062</v>
      </c>
      <c r="G23" s="91">
        <v>6732.7043752812378</v>
      </c>
      <c r="H23" s="91">
        <v>6964.2075891356126</v>
      </c>
      <c r="I23" s="91">
        <v>7203.7098794928797</v>
      </c>
      <c r="J23" s="91">
        <v>7487.5071750285551</v>
      </c>
      <c r="K23" s="91">
        <v>7819.9633652714774</v>
      </c>
      <c r="L23" s="91">
        <v>8167.2232269331616</v>
      </c>
    </row>
    <row r="24" spans="1:13" s="54" customFormat="1" ht="72">
      <c r="B24" s="206" t="str">
        <f>'10'!A17</f>
        <v>10.C.2.a</v>
      </c>
      <c r="C24" s="206" t="str">
        <f>'10'!C17</f>
        <v>Maintain alkaline and lead acid batteries to Depth B for RAF Cranwell and parented units.  This includes battery powered airfield obstruction lights used by OACTU during field exercises.</v>
      </c>
      <c r="D24" s="202">
        <f>SUM('10'!D17)</f>
        <v>1600</v>
      </c>
      <c r="E24" s="91">
        <v>49371.320396062853</v>
      </c>
      <c r="F24" s="91">
        <v>50944.95935636932</v>
      </c>
      <c r="G24" s="91">
        <v>52569.045681453004</v>
      </c>
      <c r="H24" s="91">
        <v>54376.625867090595</v>
      </c>
      <c r="I24" s="91">
        <v>56246.662948895166</v>
      </c>
      <c r="J24" s="91">
        <v>58462.556022718789</v>
      </c>
      <c r="K24" s="91">
        <v>61058.378396284977</v>
      </c>
      <c r="L24" s="91">
        <v>63769.788034000667</v>
      </c>
    </row>
    <row r="25" spans="1:13" s="54" customFormat="1" ht="120">
      <c r="A25" s="271"/>
      <c r="B25" s="206" t="str">
        <f>'10'!A23</f>
        <v>10.C.4.b</v>
      </c>
      <c r="C25" s="206" t="str">
        <f>'10'!C23</f>
        <v>Manufacture, from drawing or pattern, sheet metal components, assemblies and signs.  Manufacture welded assemblies and signs, weld repair components and assemblies iaw AP119A-1201-1.  Welding of aircraft components to be undertaken iaw AP119G-0008-1 Chap 3.  Manufacture and modify machined components.</v>
      </c>
      <c r="D25" s="202">
        <f>SUM('10'!D23)</f>
        <v>3300</v>
      </c>
      <c r="E25" s="91">
        <v>44705.48</v>
      </c>
      <c r="F25" s="91">
        <v>46130.400000000001</v>
      </c>
      <c r="G25" s="91">
        <v>47601.01</v>
      </c>
      <c r="H25" s="91">
        <v>49237.760000000002</v>
      </c>
      <c r="I25" s="91">
        <v>50931.07</v>
      </c>
      <c r="J25" s="91">
        <v>52937.55</v>
      </c>
      <c r="K25" s="91">
        <v>55288.06</v>
      </c>
      <c r="L25" s="91">
        <v>57743.23</v>
      </c>
      <c r="M25" s="272"/>
    </row>
    <row r="26" spans="1:13" s="54" customFormat="1" ht="24">
      <c r="A26" s="271"/>
      <c r="B26" s="279" t="str">
        <f>'10'!A26</f>
        <v>10.C.4.e</v>
      </c>
      <c r="C26" s="279" t="str">
        <f>'10'!C26</f>
        <v xml:space="preserve">Manufacture, repair and modify timber  items. </v>
      </c>
      <c r="D26" s="280">
        <f>SUM('10'!D26)</f>
        <v>3500</v>
      </c>
      <c r="E26" s="281">
        <v>46088.343991706308</v>
      </c>
      <c r="F26" s="281">
        <v>47557.342858650511</v>
      </c>
      <c r="G26" s="281">
        <v>49073.434561732705</v>
      </c>
      <c r="H26" s="281">
        <v>50760.81858792335</v>
      </c>
      <c r="I26" s="281">
        <v>52506.506400443926</v>
      </c>
      <c r="J26" s="281">
        <v>54575.052297453542</v>
      </c>
      <c r="K26" s="281">
        <v>56998.26386106055</v>
      </c>
      <c r="L26" s="281">
        <v>59529.376642387615</v>
      </c>
      <c r="M26" s="272"/>
    </row>
    <row r="27" spans="1:13" s="54" customFormat="1" ht="60">
      <c r="B27" s="208" t="str">
        <f>'10'!A30</f>
        <v>10.C.5.a</v>
      </c>
      <c r="C27" s="208" t="str">
        <f>'10'!C30</f>
        <v>Maintain and restore on-aircraft surface finish to Depths A, B, C and D for RAF Cranwell based Dominie aircraft and to Depths A, B and C for RAFAT Hawk aircraft.</v>
      </c>
      <c r="D27" s="202">
        <f>SUM('10'!D30)</f>
        <v>1214</v>
      </c>
      <c r="E27" s="91">
        <v>27097.750578724248</v>
      </c>
      <c r="F27" s="91">
        <v>27961.451928116319</v>
      </c>
      <c r="G27" s="91">
        <v>28852.841621614258</v>
      </c>
      <c r="H27" s="91">
        <v>29844.943040586175</v>
      </c>
      <c r="I27" s="91">
        <v>30871.324308277493</v>
      </c>
      <c r="J27" s="91">
        <v>32087.530748411184</v>
      </c>
      <c r="K27" s="91">
        <v>33512.26370392635</v>
      </c>
      <c r="L27" s="91">
        <v>35000.437434953965</v>
      </c>
    </row>
    <row r="28" spans="1:13" s="54" customFormat="1" ht="60">
      <c r="A28" s="271"/>
      <c r="B28" s="282" t="str">
        <f>'10'!A31</f>
        <v>10.C.5.b</v>
      </c>
      <c r="C28" s="282" t="str">
        <f>'10'!C31</f>
        <v xml:space="preserve">For RAF Cranwell based and RAFAT aircraft, maintain and restore off-aircraft surface finish of aircraft panels, components and role equipment to Depth A and B. </v>
      </c>
      <c r="D28" s="283">
        <f>SUM('10'!D31)</f>
        <v>1200</v>
      </c>
      <c r="E28" s="284">
        <v>25334.866142944378</v>
      </c>
      <c r="F28" s="284">
        <v>26142.378117444168</v>
      </c>
      <c r="G28" s="284">
        <v>26975.777129674414</v>
      </c>
      <c r="H28" s="284">
        <v>27903.335916403124</v>
      </c>
      <c r="I28" s="284">
        <v>28862.944425347101</v>
      </c>
      <c r="J28" s="284">
        <v>30000.028748027598</v>
      </c>
      <c r="K28" s="284">
        <v>31332.073583725454</v>
      </c>
      <c r="L28" s="284">
        <v>32723.431961000984</v>
      </c>
      <c r="M28" s="272"/>
    </row>
    <row r="29" spans="1:13" s="54" customFormat="1">
      <c r="A29" s="271"/>
      <c r="B29" s="206" t="str">
        <f>'10'!A35</f>
        <v>10.C.5.f</v>
      </c>
      <c r="C29" s="206" t="str">
        <f>'10'!C35</f>
        <v xml:space="preserve">Make and maintain signs. </v>
      </c>
      <c r="D29" s="202">
        <f>SUM('10'!D35)</f>
        <v>1300</v>
      </c>
      <c r="E29" s="91">
        <v>16457.106798687619</v>
      </c>
      <c r="F29" s="91">
        <v>16981.653118789774</v>
      </c>
      <c r="G29" s="91">
        <v>17523.015227151005</v>
      </c>
      <c r="H29" s="91">
        <v>18125.541955696863</v>
      </c>
      <c r="I29" s="91">
        <v>18748.887649631721</v>
      </c>
      <c r="J29" s="91">
        <v>19487.518674239596</v>
      </c>
      <c r="K29" s="91">
        <v>20352.79279876166</v>
      </c>
      <c r="L29" s="91">
        <v>21256.596011333557</v>
      </c>
      <c r="M29" s="272"/>
    </row>
    <row r="30" spans="1:13" s="54" customFormat="1" ht="36">
      <c r="A30" s="271"/>
      <c r="B30" s="206" t="str">
        <f>'10'!A36</f>
        <v>10.C.5.g</v>
      </c>
      <c r="C30" s="206" t="str">
        <f>'10'!C36</f>
        <v>Make engraved signs, door plates and name tags for RAF Cranwell and parented units.</v>
      </c>
      <c r="D30" s="202">
        <f>SUM('10'!D36)</f>
        <v>575</v>
      </c>
      <c r="E30" s="91">
        <v>7674.3532024669012</v>
      </c>
      <c r="F30" s="91">
        <v>7918.962038075796</v>
      </c>
      <c r="G30" s="91">
        <v>8171.4124888638735</v>
      </c>
      <c r="H30" s="91">
        <v>8452.3855046771132</v>
      </c>
      <c r="I30" s="91">
        <v>8743.0669155113919</v>
      </c>
      <c r="J30" s="91">
        <v>9087.5087082566934</v>
      </c>
      <c r="K30" s="91">
        <v>9491.0072897368354</v>
      </c>
      <c r="L30" s="91">
        <v>9912.472931519882</v>
      </c>
      <c r="M30" s="272"/>
    </row>
    <row r="31" spans="1:13" s="54" customFormat="1" ht="36">
      <c r="A31" s="271"/>
      <c r="B31" s="206" t="str">
        <f>'10'!A37</f>
        <v>10.C.5.h</v>
      </c>
      <c r="C31" s="206" t="str">
        <f>'10'!C37</f>
        <v>Apply protective finish to components and equipment manufactured in station workshops.</v>
      </c>
      <c r="D31" s="202">
        <f>SUM('10'!D37)</f>
        <v>1300</v>
      </c>
      <c r="E31" s="91">
        <v>17111.590840713681</v>
      </c>
      <c r="F31" s="91">
        <v>17656.997886823749</v>
      </c>
      <c r="G31" s="91">
        <v>18219.889469667592</v>
      </c>
      <c r="H31" s="91">
        <v>18846.378133537277</v>
      </c>
      <c r="I31" s="91">
        <v>19494.513713953187</v>
      </c>
      <c r="J31" s="91">
        <v>20262.519416896976</v>
      </c>
      <c r="K31" s="91">
        <v>21162.204699674567</v>
      </c>
      <c r="L31" s="91">
        <v>22101.951336992748</v>
      </c>
      <c r="M31" s="272"/>
    </row>
    <row r="32" spans="1:13" s="52" customFormat="1" ht="36">
      <c r="A32" s="274"/>
      <c r="B32" s="204" t="str">
        <f>'10'!A43</f>
        <v>10.C.7.a</v>
      </c>
      <c r="C32" s="25" t="str">
        <f>'10'!C43</f>
        <v>Store, issue and receive small arms iaw AP110K-0001-2(R)1 Part 1 Leaflet 001.</v>
      </c>
      <c r="D32" s="202">
        <f>SUM('10'!D43)</f>
        <v>15000</v>
      </c>
      <c r="E32" s="91">
        <v>16457.106798687619</v>
      </c>
      <c r="F32" s="91">
        <v>16981.653118789774</v>
      </c>
      <c r="G32" s="91">
        <v>17523.015227151005</v>
      </c>
      <c r="H32" s="91">
        <v>18125.541955696863</v>
      </c>
      <c r="I32" s="91">
        <v>18748.887649631721</v>
      </c>
      <c r="J32" s="91">
        <v>19487.518674239596</v>
      </c>
      <c r="K32" s="91">
        <v>20352.79279876166</v>
      </c>
      <c r="L32" s="91">
        <v>21256.596011333557</v>
      </c>
      <c r="M32" s="273"/>
    </row>
    <row r="33" spans="1:13" s="54" customFormat="1" ht="48">
      <c r="B33" s="204" t="str">
        <f>'10'!A51</f>
        <v>10.C.8.b</v>
      </c>
      <c r="C33" s="204" t="str">
        <f>'10'!C51</f>
        <v>Issue ammunition and pyrotechnic devices undertaken in support of Station and parented unit requirements.</v>
      </c>
      <c r="D33" s="202">
        <f>SUM('10'!D51)</f>
        <v>600</v>
      </c>
      <c r="E33" s="91">
        <v>3335.7573754876757</v>
      </c>
      <c r="F33" s="91">
        <v>3442.0797854634816</v>
      </c>
      <c r="G33" s="91">
        <v>3551.8106554071305</v>
      </c>
      <c r="H33" s="91">
        <v>3673.9392289930774</v>
      </c>
      <c r="I33" s="91">
        <v>3800.287682670702</v>
      </c>
      <c r="J33" s="91">
        <v>3950.0037851569673</v>
      </c>
      <c r="K33" s="91">
        <v>4125.3896885238519</v>
      </c>
      <c r="L33" s="91">
        <v>4308.5852081984631</v>
      </c>
    </row>
    <row r="34" spans="1:13">
      <c r="B34" s="215"/>
      <c r="C34" s="197"/>
      <c r="D34" s="201"/>
      <c r="E34" s="199"/>
      <c r="F34" s="199"/>
      <c r="G34" s="199"/>
      <c r="H34" s="198"/>
      <c r="I34" s="198"/>
      <c r="J34" s="198"/>
      <c r="K34" s="198"/>
      <c r="L34" s="216"/>
    </row>
    <row r="35" spans="1:13" s="54" customFormat="1" ht="36">
      <c r="A35" s="271"/>
      <c r="B35" s="209" t="str">
        <f>'12'!A19</f>
        <v>12.C.2.d</v>
      </c>
      <c r="C35" s="209" t="str">
        <f>'12'!C19</f>
        <v>Convey all station and parented personnel to/from railheads as directed.</v>
      </c>
      <c r="D35" s="203">
        <f>SUM('12'!D19)</f>
        <v>1000</v>
      </c>
      <c r="E35" s="91">
        <v>23157.414588779644</v>
      </c>
      <c r="F35" s="91">
        <v>23892.608173898006</v>
      </c>
      <c r="G35" s="91">
        <v>24651.30354677984</v>
      </c>
      <c r="H35" s="91">
        <v>25495.883954309953</v>
      </c>
      <c r="I35" s="91">
        <v>26369.569295688438</v>
      </c>
      <c r="J35" s="91">
        <v>27405.214705568058</v>
      </c>
      <c r="K35" s="91">
        <v>28618.737884512269</v>
      </c>
      <c r="L35" s="91">
        <v>29886.179704610742</v>
      </c>
      <c r="M35" s="272"/>
    </row>
    <row r="36" spans="1:13" s="54" customFormat="1" ht="24">
      <c r="A36" s="271"/>
      <c r="B36" s="209" t="str">
        <f>'12'!A22</f>
        <v>12.C.2.g</v>
      </c>
      <c r="C36" s="209" t="str">
        <f>'12'!C22</f>
        <v>Convey all parented personnel to/from airheads as directed.</v>
      </c>
      <c r="D36" s="203">
        <f>SUM('12'!D22)</f>
        <v>880</v>
      </c>
      <c r="E36" s="91">
        <v>55722.528854251024</v>
      </c>
      <c r="F36" s="91">
        <v>57491.588418442079</v>
      </c>
      <c r="G36" s="91">
        <v>59317.199159438991</v>
      </c>
      <c r="H36" s="91">
        <v>61349.470765058322</v>
      </c>
      <c r="I36" s="91">
        <v>63451.776117750305</v>
      </c>
      <c r="J36" s="91">
        <v>65943.797885273147</v>
      </c>
      <c r="K36" s="91">
        <v>68863.838034607645</v>
      </c>
      <c r="L36" s="91">
        <v>71913.619914219598</v>
      </c>
      <c r="M36" s="272"/>
    </row>
    <row r="37" spans="1:13" s="54" customFormat="1" ht="36">
      <c r="A37" s="271"/>
      <c r="B37" s="209" t="str">
        <f>'12'!A25</f>
        <v>12.C.2.j</v>
      </c>
      <c r="C37" s="209" t="str">
        <f>'12'!C25</f>
        <v xml:space="preserve">Undertake all transport requirements in support of Unit VIP visits/events. </v>
      </c>
      <c r="D37" s="203">
        <f>SUM('12'!D25)</f>
        <v>270</v>
      </c>
      <c r="E37" s="91">
        <v>9893.49</v>
      </c>
      <c r="F37" s="91">
        <v>10209.23</v>
      </c>
      <c r="G37" s="91">
        <v>10533.42</v>
      </c>
      <c r="H37" s="91">
        <v>10894.31</v>
      </c>
      <c r="I37" s="91">
        <v>11267.64</v>
      </c>
      <c r="J37" s="91">
        <v>11710.17</v>
      </c>
      <c r="K37" s="91">
        <v>12228.7</v>
      </c>
      <c r="L37" s="91">
        <v>12770.28</v>
      </c>
      <c r="M37" s="272"/>
    </row>
    <row r="38" spans="1:13" s="54" customFormat="1" ht="84">
      <c r="A38" s="271"/>
      <c r="B38" s="209" t="str">
        <f>'12'!A41</f>
        <v>12.C.2.z</v>
      </c>
      <c r="C38" s="209" t="str">
        <f>'12'!C41</f>
        <v>Routinely convey various types of equipment to/from units and unspecified establishments. Convey urgent aircraft spares (Priority State/AOG demands) as directed by Supply Sqn in support of all Unit aircraft, including the RAFAT.</v>
      </c>
      <c r="D38" s="203">
        <f>SUM('12'!D41)</f>
        <v>150</v>
      </c>
      <c r="E38" s="91">
        <v>8684.0304707923679</v>
      </c>
      <c r="F38" s="91">
        <v>8959.7280652117533</v>
      </c>
      <c r="G38" s="91">
        <v>9244.2388300424391</v>
      </c>
      <c r="H38" s="91">
        <v>9560.9564828662315</v>
      </c>
      <c r="I38" s="91">
        <v>9888.5884858831632</v>
      </c>
      <c r="J38" s="91">
        <v>10276.95551458802</v>
      </c>
      <c r="K38" s="91">
        <v>10732.026706692101</v>
      </c>
      <c r="L38" s="91">
        <v>11207.317389229029</v>
      </c>
      <c r="M38" s="272"/>
    </row>
    <row r="39" spans="1:13">
      <c r="B39" s="215"/>
      <c r="C39" s="197"/>
      <c r="D39" s="201"/>
      <c r="E39" s="199"/>
      <c r="F39" s="199"/>
      <c r="G39" s="199"/>
      <c r="H39" s="198"/>
      <c r="I39" s="198"/>
      <c r="J39" s="198"/>
      <c r="K39" s="198"/>
      <c r="L39" s="216"/>
    </row>
    <row r="40" spans="1:13" s="54" customFormat="1" ht="48">
      <c r="A40" s="271"/>
      <c r="B40" s="204" t="str">
        <f>'14'!A9</f>
        <v>14.C.2.a</v>
      </c>
      <c r="C40" s="204" t="str">
        <f>'14'!C9</f>
        <v>Maintain and operate the station supply account currently operated under the Supply Central Computer System.</v>
      </c>
      <c r="D40" s="202">
        <f>SUM('14'!D9)</f>
        <v>348000</v>
      </c>
      <c r="E40" s="91">
        <v>23837.03336148111</v>
      </c>
      <c r="F40" s="91">
        <v>24606.305504581804</v>
      </c>
      <c r="G40" s="91">
        <v>25400.456784907445</v>
      </c>
      <c r="H40" s="91">
        <v>26283.79416671304</v>
      </c>
      <c r="I40" s="91">
        <v>27197.906391740184</v>
      </c>
      <c r="J40" s="91">
        <v>28279.856562331774</v>
      </c>
      <c r="K40" s="91">
        <v>29546.305040006355</v>
      </c>
      <c r="L40" s="91">
        <v>30869.528621809222</v>
      </c>
      <c r="M40" s="272"/>
    </row>
    <row r="41" spans="1:13" s="54" customFormat="1" ht="24">
      <c r="A41" s="271"/>
      <c r="B41" s="204" t="str">
        <f>'14'!A10</f>
        <v>14.C.2.b</v>
      </c>
      <c r="C41" s="204" t="str">
        <f>'14'!C10</f>
        <v>Maintain and operate supply account for Non-SCC items of equipment.</v>
      </c>
      <c r="D41" s="202">
        <f>SUM('14'!D10)</f>
        <v>20000</v>
      </c>
      <c r="E41" s="91">
        <v>12344.177990767004</v>
      </c>
      <c r="F41" s="91">
        <v>12742.551064872721</v>
      </c>
      <c r="G41" s="91">
        <v>13153.807977898499</v>
      </c>
      <c r="H41" s="91">
        <v>13611.250550619256</v>
      </c>
      <c r="I41" s="91">
        <v>14084.630095722598</v>
      </c>
      <c r="J41" s="91">
        <v>14644.925719778956</v>
      </c>
      <c r="K41" s="91">
        <v>15300.765110003294</v>
      </c>
      <c r="L41" s="91">
        <v>15986.005893436923</v>
      </c>
      <c r="M41" s="272"/>
    </row>
    <row r="42" spans="1:13" s="54" customFormat="1" ht="24">
      <c r="A42" s="271"/>
      <c r="B42" s="204" t="str">
        <f>'14'!A15</f>
        <v>14.C.2.g</v>
      </c>
      <c r="C42" s="204" t="str">
        <f>'14'!C15</f>
        <v>Supply miscellaneous items and services for Station use.</v>
      </c>
      <c r="D42" s="202">
        <f>SUM('14'!D15)</f>
        <v>1100</v>
      </c>
      <c r="E42" s="91">
        <v>5107.9357203173813</v>
      </c>
      <c r="F42" s="91">
        <v>5272.7797509818156</v>
      </c>
      <c r="G42" s="91">
        <v>5442.95502533731</v>
      </c>
      <c r="H42" s="91">
        <v>5632.241607152795</v>
      </c>
      <c r="I42" s="91">
        <v>5828.1227982300397</v>
      </c>
      <c r="J42" s="91">
        <v>6059.9692633568084</v>
      </c>
      <c r="K42" s="91">
        <v>6331.3510800013628</v>
      </c>
      <c r="L42" s="91">
        <v>6614.8989903876927</v>
      </c>
      <c r="M42" s="272"/>
    </row>
    <row r="43" spans="1:13">
      <c r="B43" s="215"/>
      <c r="C43" s="197"/>
      <c r="D43" s="201"/>
      <c r="E43" s="199"/>
      <c r="F43" s="199"/>
      <c r="G43" s="199"/>
      <c r="H43" s="198"/>
      <c r="I43" s="198"/>
      <c r="J43" s="198"/>
      <c r="K43" s="198"/>
      <c r="L43" s="216"/>
    </row>
    <row r="44" spans="1:13" s="54" customFormat="1" ht="48">
      <c r="B44" s="204" t="str">
        <f>'22'!A5</f>
        <v>22.C.1.a</v>
      </c>
      <c r="C44" s="204" t="str">
        <f>'22'!C5</f>
        <v>Provide a service for articles to be washed, and/or rough dried, ironed, mangled, starched, cleaned, dry cleaned and folded.</v>
      </c>
      <c r="D44" s="202">
        <f>SUM('22'!E5)</f>
        <v>190768</v>
      </c>
      <c r="E44" s="91">
        <v>67419</v>
      </c>
      <c r="F44" s="91">
        <v>70789.95</v>
      </c>
      <c r="G44" s="91">
        <v>74329.447499999995</v>
      </c>
      <c r="H44" s="91">
        <v>78045.919874999992</v>
      </c>
      <c r="I44" s="91">
        <v>81948.21586874999</v>
      </c>
      <c r="J44" s="91">
        <v>86045.626662187497</v>
      </c>
      <c r="K44" s="91">
        <v>90347.907995296875</v>
      </c>
      <c r="L44" s="91">
        <v>94865.303395061725</v>
      </c>
    </row>
    <row r="45" spans="1:13">
      <c r="B45" s="215"/>
      <c r="C45" s="197"/>
      <c r="D45" s="201"/>
      <c r="E45" s="199"/>
      <c r="F45" s="199"/>
      <c r="G45" s="199"/>
      <c r="H45" s="198"/>
      <c r="I45" s="198"/>
      <c r="J45" s="198"/>
      <c r="K45" s="198"/>
      <c r="L45" s="216"/>
    </row>
  </sheetData>
  <mergeCells count="1">
    <mergeCell ref="K1:L1"/>
  </mergeCells>
  <phoneticPr fontId="0" type="noConversion"/>
  <printOptions horizontalCentered="1"/>
  <pageMargins left="0.5" right="0.5" top="1" bottom="1" header="0.5" footer="0.5"/>
  <pageSetup paperSize="9" pageOrder="overThenDown" orientation="landscape" r:id="rId1"/>
  <headerFooter alignWithMargins="0">
    <oddHeader>&amp;C&amp;"Calibri"&amp;10&amp;K737373Serco Business&amp;1#_x000D_&amp;"Calibri"&amp;11&amp;K000000&amp;"Calibri"&amp;11&amp;K000000&amp;"Arial,Bold"&amp;10COMMERCIAL</oddHeader>
    <oddFooter>&amp;L&amp;8PTC/CB/00642&amp;C&amp;10 1-A-&amp;P
&amp;"Arial,Bold"COMMERCIAL&amp;R&amp;8Amendment No 26/Jun 05</oddFooter>
  </headerFooter>
  <rowBreaks count="3" manualBreakCount="3">
    <brk id="19" max="12" man="1"/>
    <brk id="26" max="12" man="1"/>
    <brk id="3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BP34"/>
  <sheetViews>
    <sheetView topLeftCell="A22" zoomScale="75" zoomScaleNormal="75" workbookViewId="0">
      <selection activeCell="B37" sqref="B37"/>
    </sheetView>
  </sheetViews>
  <sheetFormatPr defaultColWidth="14.7109375" defaultRowHeight="12"/>
  <cols>
    <col min="1" max="1" width="2.7109375" style="17" customWidth="1"/>
    <col min="2" max="2" width="8" style="13" customWidth="1"/>
    <col min="3" max="3" width="29.140625" style="13" customWidth="1"/>
    <col min="4" max="6" width="12.7109375" style="51" customWidth="1"/>
    <col min="7" max="7" width="12.7109375" style="17" customWidth="1"/>
    <col min="8" max="8" width="12.42578125" style="17" customWidth="1"/>
    <col min="9" max="10" width="13.5703125" style="17" customWidth="1"/>
    <col min="11" max="11" width="13.140625" style="17" customWidth="1"/>
    <col min="12" max="12" width="2.7109375" style="17" customWidth="1" collapsed="1"/>
    <col min="13" max="15" width="14.7109375" style="17" customWidth="1"/>
    <col min="16" max="16" width="14.7109375" style="17" customWidth="1" collapsed="1"/>
    <col min="17" max="17" width="14.7109375" style="17" customWidth="1"/>
    <col min="18" max="68" width="14.7109375" style="17" customWidth="1" collapsed="1"/>
    <col min="69" max="16384" width="14.7109375" style="17"/>
  </cols>
  <sheetData>
    <row r="1" spans="1:12">
      <c r="J1" s="532" t="s">
        <v>187</v>
      </c>
      <c r="K1" s="532"/>
    </row>
    <row r="3" spans="1:12">
      <c r="B3" s="211"/>
      <c r="C3" s="212"/>
      <c r="D3" s="14" t="s">
        <v>175</v>
      </c>
      <c r="E3" s="15" t="s">
        <v>176</v>
      </c>
      <c r="F3" s="15" t="s">
        <v>177</v>
      </c>
      <c r="G3" s="14" t="s">
        <v>178</v>
      </c>
      <c r="H3" s="14" t="s">
        <v>179</v>
      </c>
      <c r="I3" s="14" t="s">
        <v>180</v>
      </c>
      <c r="J3" s="14" t="s">
        <v>181</v>
      </c>
      <c r="K3" s="14" t="s">
        <v>182</v>
      </c>
    </row>
    <row r="4" spans="1:12" ht="24">
      <c r="B4" s="192" t="s">
        <v>183</v>
      </c>
      <c r="C4" s="193" t="s">
        <v>184</v>
      </c>
      <c r="D4" s="191" t="s">
        <v>188</v>
      </c>
      <c r="E4" s="191" t="s">
        <v>188</v>
      </c>
      <c r="F4" s="191" t="s">
        <v>188</v>
      </c>
      <c r="G4" s="191" t="s">
        <v>188</v>
      </c>
      <c r="H4" s="191" t="s">
        <v>188</v>
      </c>
      <c r="I4" s="191" t="s">
        <v>188</v>
      </c>
      <c r="J4" s="191" t="s">
        <v>188</v>
      </c>
      <c r="K4" s="191" t="s">
        <v>188</v>
      </c>
    </row>
    <row r="5" spans="1:12" ht="60">
      <c r="B5" s="205" t="str">
        <f>'4'!A17</f>
        <v>4.E.2</v>
      </c>
      <c r="C5" s="205" t="str">
        <f>'4'!B17</f>
        <v>Recover RAF Cranwell aircraft from any emergency, forced landing or unserviceability state at any airfield or landing strip in the UK or overseas.</v>
      </c>
      <c r="D5" s="55">
        <f>SUM('4'!F17)</f>
        <v>12.501056550046519</v>
      </c>
      <c r="E5" s="55">
        <f>SUM('4'!K17)</f>
        <v>12.901048292835412</v>
      </c>
      <c r="F5" s="55">
        <f>SUM('4'!P17)</f>
        <v>13.31389818387547</v>
      </c>
      <c r="G5" s="55">
        <f>SUM('4'!U17)</f>
        <v>13.773305672818285</v>
      </c>
      <c r="H5" s="55">
        <f>SUM('4'!Z17)</f>
        <v>14.248627950186775</v>
      </c>
      <c r="I5" s="55">
        <f>SUM('4'!AE17)</f>
        <v>14.811661061484596</v>
      </c>
      <c r="J5" s="55">
        <f>SUM('4'!AJ17)</f>
        <v>15.471066442340463</v>
      </c>
      <c r="K5" s="55">
        <f>SUM('4'!AO17)</f>
        <v>16.159895887492958</v>
      </c>
    </row>
    <row r="6" spans="1:12" ht="60">
      <c r="B6" s="205" t="str">
        <f>'4'!A18</f>
        <v>4.E.3</v>
      </c>
      <c r="C6" s="205" t="str">
        <f>'4'!B18</f>
        <v>Provide aircraft engineering facilities and support aircraft maintenance activities undertaken by other agents at the request of the Authority.</v>
      </c>
      <c r="D6" s="55">
        <f>SUM('4'!F18)</f>
        <v>12.501056550046519</v>
      </c>
      <c r="E6" s="55">
        <f>SUM('4'!K18)</f>
        <v>12.901048292835412</v>
      </c>
      <c r="F6" s="55">
        <f>SUM('4'!P18)</f>
        <v>13.31389818387547</v>
      </c>
      <c r="G6" s="55">
        <f>SUM('4'!U18)</f>
        <v>13.773305672818285</v>
      </c>
      <c r="H6" s="55">
        <f>SUM('4'!Z18)</f>
        <v>14.248627950186775</v>
      </c>
      <c r="I6" s="55">
        <f>SUM('4'!AE18)</f>
        <v>14.811661061484596</v>
      </c>
      <c r="J6" s="55">
        <f>SUM('4'!AJ18)</f>
        <v>15.471066442340463</v>
      </c>
      <c r="K6" s="55">
        <f>SUM('4'!AO18)</f>
        <v>16.159895887492958</v>
      </c>
    </row>
    <row r="7" spans="1:12">
      <c r="B7" s="213"/>
      <c r="C7" s="194"/>
      <c r="D7" s="195"/>
      <c r="E7" s="195"/>
      <c r="F7" s="195"/>
      <c r="G7" s="196"/>
      <c r="H7" s="196"/>
      <c r="I7" s="196"/>
      <c r="J7" s="196"/>
      <c r="K7" s="214"/>
    </row>
    <row r="8" spans="1:12" ht="36">
      <c r="B8" s="204" t="str">
        <f>'6'!A25</f>
        <v>6.E.2</v>
      </c>
      <c r="C8" s="204" t="str">
        <f>'6'!C25</f>
        <v>Maintain Canberra electrical equipment as requested by ES Air, Avionics &amp; EW IPTL.</v>
      </c>
      <c r="D8" s="55">
        <f>SUM('6'!G25)</f>
        <v>11.039794947044625</v>
      </c>
      <c r="E8" s="55">
        <f>SUM('6'!L25)</f>
        <v>11.396077928876906</v>
      </c>
      <c r="F8" s="55">
        <f>SUM('6'!Q25)</f>
        <v>11.763883624654934</v>
      </c>
      <c r="G8" s="55">
        <f>SUM('6'!V25)</f>
        <v>12.172994960776897</v>
      </c>
      <c r="H8" s="55">
        <f>SUM('6'!AA25)</f>
        <v>12.596359578894608</v>
      </c>
      <c r="I8" s="55">
        <f>SUM('6'!AF25)</f>
        <v>13.097456501403174</v>
      </c>
      <c r="J8" s="55">
        <f>SUM('6'!AK25)</f>
        <v>13.684001859499682</v>
      </c>
      <c r="K8" s="55">
        <f>SUM('6'!AP25)</f>
        <v>14.296842352254201</v>
      </c>
    </row>
    <row r="9" spans="1:12" ht="48">
      <c r="A9" s="269"/>
      <c r="B9" s="204" t="str">
        <f>'6'!A26</f>
        <v>6.E.3</v>
      </c>
      <c r="C9" s="204" t="str">
        <f>'6'!C26</f>
        <v>Maintain specified Jetstream avionics and electrical equipment at 2nd line to Depth B, as requested by ES Air AVC avinel1b.</v>
      </c>
      <c r="D9" s="319" t="str">
        <f>'6'!H26</f>
        <v>£2000 per month</v>
      </c>
      <c r="E9" s="319" t="str">
        <f>'6'!M26</f>
        <v>£2060 per month</v>
      </c>
      <c r="F9" s="319" t="str">
        <f>'6'!R26</f>
        <v>£2120 per month</v>
      </c>
      <c r="G9" s="319" t="str">
        <f>'6'!W26</f>
        <v>£2199.05 per month</v>
      </c>
      <c r="H9" s="319" t="str">
        <f>'6'!AB26</f>
        <v>£2269.41 per month</v>
      </c>
      <c r="I9" s="319" t="str">
        <f>'6'!AG26</f>
        <v>£2342.04 per month</v>
      </c>
      <c r="J9" s="319" t="str">
        <f>'6'!AL26</f>
        <v>£2416.98 per month</v>
      </c>
      <c r="K9" s="319" t="str">
        <f>'6'!AQ26</f>
        <v>£2494.32 per month</v>
      </c>
      <c r="L9" s="270"/>
    </row>
    <row r="10" spans="1:12">
      <c r="B10" s="215"/>
      <c r="C10" s="197"/>
      <c r="D10" s="199"/>
      <c r="E10" s="199"/>
      <c r="F10" s="199"/>
      <c r="G10" s="198"/>
      <c r="H10" s="198"/>
      <c r="I10" s="198"/>
      <c r="J10" s="198"/>
      <c r="K10" s="216"/>
    </row>
    <row r="11" spans="1:12" s="54" customFormat="1" ht="96">
      <c r="B11" s="204" t="str">
        <f>'7'!A29</f>
        <v>7.E.2</v>
      </c>
      <c r="C11" s="204" t="str">
        <f>'7'!C29</f>
        <v>Fit and issue sea drill immersion coveralls and protective helmets.  Provide SE fitter support to accompany and recover equipment on sea drills.  Carry out periodic, after use and corrective maintenance of all sea drill equipment.</v>
      </c>
      <c r="D11" s="91">
        <f>SUM('7'!G29)</f>
        <v>11.910063375254127</v>
      </c>
      <c r="E11" s="91">
        <f>SUM('7'!L29)</f>
        <v>12.294834002900604</v>
      </c>
      <c r="F11" s="91">
        <f>SUM('7'!Q29)</f>
        <v>12.692057781224483</v>
      </c>
      <c r="G11" s="91">
        <f>SUM('7'!V29)</f>
        <v>13.133868414444617</v>
      </c>
      <c r="H11" s="91">
        <f>SUM('7'!AA29)</f>
        <v>13.591082135099379</v>
      </c>
      <c r="I11" s="91">
        <f>SUM('7'!AF29)</f>
        <v>14.132191954806297</v>
      </c>
      <c r="J11" s="91">
        <f>SUM('7'!AK29)</f>
        <v>14.765531123104607</v>
      </c>
      <c r="K11" s="91">
        <f>SUM('7'!AP29)</f>
        <v>15.427279222537956</v>
      </c>
    </row>
    <row r="12" spans="1:12" s="54" customFormat="1" ht="48">
      <c r="A12" s="271"/>
      <c r="B12" s="206" t="str">
        <f>'10'!A71</f>
        <v>10.E.2</v>
      </c>
      <c r="C12" s="206" t="str">
        <f>'10'!C71</f>
        <v>Issue weapons and or explosives to OACTU for events not covered in Table 10-4 and outside of the Station normal operating hours.</v>
      </c>
      <c r="D12" s="320">
        <f>'10'!G71</f>
        <v>11.04</v>
      </c>
      <c r="E12" s="320">
        <f>'10'!K71</f>
        <v>11.4</v>
      </c>
      <c r="F12" s="320">
        <f>'10'!O71</f>
        <v>11.76</v>
      </c>
      <c r="G12" s="320">
        <f>'10'!S71</f>
        <v>18.18</v>
      </c>
      <c r="H12" s="320">
        <f>'10'!W71</f>
        <v>18.91</v>
      </c>
      <c r="I12" s="320">
        <f>'10'!AA71</f>
        <v>19.670000000000002</v>
      </c>
      <c r="J12" s="320">
        <f>'10'!AE71</f>
        <v>20.46</v>
      </c>
      <c r="K12" s="320">
        <f>'10'!AI71</f>
        <v>21.28</v>
      </c>
      <c r="L12" s="272"/>
    </row>
    <row r="13" spans="1:12">
      <c r="B13" s="215"/>
      <c r="C13" s="197"/>
      <c r="D13" s="199"/>
      <c r="E13" s="199"/>
      <c r="F13" s="199"/>
      <c r="G13" s="198"/>
      <c r="H13" s="198"/>
      <c r="I13" s="198"/>
      <c r="J13" s="198"/>
      <c r="K13" s="216"/>
    </row>
    <row r="14" spans="1:12" s="54" customFormat="1" ht="36">
      <c r="B14" s="209" t="str">
        <f>'12'!A94</f>
        <v>12.E.1.b</v>
      </c>
      <c r="C14" s="209" t="str">
        <f>'12'!C94</f>
        <v>Carry out Unit Snow Clearing Operations iaw Station Snow &amp; Ice Plan and AP119J-0100-01.</v>
      </c>
      <c r="D14" s="91">
        <f>SUM('12'!G94)</f>
        <v>9.6489227453248532</v>
      </c>
      <c r="E14" s="91">
        <f>SUM('12'!L94)</f>
        <v>9.9552534057908364</v>
      </c>
      <c r="F14" s="91">
        <f>SUM('12'!Q94)</f>
        <v>10.271376477824933</v>
      </c>
      <c r="G14" s="91">
        <f>SUM('12'!V94)</f>
        <v>10.623284980962481</v>
      </c>
      <c r="H14" s="91">
        <f>SUM('12'!AA94)</f>
        <v>10.987320539870183</v>
      </c>
      <c r="I14" s="91">
        <f>SUM('12'!AF94)</f>
        <v>11.418839460653357</v>
      </c>
      <c r="J14" s="91">
        <f>SUM('12'!AK94)</f>
        <v>11.924474118546778</v>
      </c>
      <c r="K14" s="91">
        <f>SUM('12'!AP94)</f>
        <v>12.452574876921142</v>
      </c>
    </row>
    <row r="15" spans="1:12" s="54" customFormat="1" ht="24">
      <c r="B15" s="209" t="str">
        <f>'12'!A95</f>
        <v>12.E.1.c</v>
      </c>
      <c r="C15" s="209" t="str">
        <f>'12'!C95</f>
        <v>Provide additional vehicles where necessary to meet the Unit tasking.</v>
      </c>
      <c r="D15" s="91">
        <f>SUM('12'!G95)</f>
        <v>9.6489227453248532</v>
      </c>
      <c r="E15" s="91">
        <f>SUM('12'!L95)</f>
        <v>9.9552534057908364</v>
      </c>
      <c r="F15" s="91">
        <f>SUM('12'!Q95)</f>
        <v>10.271376477824933</v>
      </c>
      <c r="G15" s="91">
        <f>SUM('12'!V95)</f>
        <v>10.623284980962481</v>
      </c>
      <c r="H15" s="91">
        <f>SUM('12'!AA95)</f>
        <v>10.987320539870183</v>
      </c>
      <c r="I15" s="91">
        <f>SUM('12'!AF95)</f>
        <v>11.418839460653357</v>
      </c>
      <c r="J15" s="91">
        <f>SUM('12'!AK95)</f>
        <v>11.924474118546778</v>
      </c>
      <c r="K15" s="91">
        <f>SUM('12'!AP95)</f>
        <v>12.452574876921142</v>
      </c>
    </row>
    <row r="16" spans="1:12" s="54" customFormat="1" ht="24">
      <c r="B16" s="209" t="str">
        <f>'12'!A96</f>
        <v>12.E.1.d</v>
      </c>
      <c r="C16" s="209" t="str">
        <f>'12'!C96</f>
        <v>Convey aircrew to/from Sea Drill training.</v>
      </c>
      <c r="D16" s="91">
        <f>SUM('12'!G96)</f>
        <v>9.6489227453248532</v>
      </c>
      <c r="E16" s="91">
        <f>SUM('12'!L96)</f>
        <v>9.9552534057908364</v>
      </c>
      <c r="F16" s="91">
        <f>SUM('12'!Q96)</f>
        <v>10.271376477824933</v>
      </c>
      <c r="G16" s="91">
        <f>SUM('12'!V96)</f>
        <v>10.623284980962481</v>
      </c>
      <c r="H16" s="91">
        <f>SUM('12'!AA96)</f>
        <v>10.987320539870183</v>
      </c>
      <c r="I16" s="91">
        <f>SUM('12'!AF96)</f>
        <v>11.418839460653357</v>
      </c>
      <c r="J16" s="91">
        <f>SUM('12'!AK96)</f>
        <v>11.924474118546778</v>
      </c>
      <c r="K16" s="91">
        <f>SUM('12'!AP96)</f>
        <v>12.452574876921142</v>
      </c>
    </row>
    <row r="17" spans="1:12" s="54" customFormat="1" ht="36">
      <c r="A17" s="271"/>
      <c r="B17" s="209" t="str">
        <f>'12'!A97</f>
        <v>12.E.1.e</v>
      </c>
      <c r="C17" s="209" t="str">
        <f>'12'!C97</f>
        <v>Carry out anti-icing and snow clearing operations of roads at RAF Digby.</v>
      </c>
      <c r="D17" s="91">
        <f>SUM('12'!G97)</f>
        <v>9.6489227453248532</v>
      </c>
      <c r="E17" s="91">
        <f>SUM('12'!L97)</f>
        <v>9.9552534057908364</v>
      </c>
      <c r="F17" s="91">
        <f>SUM('12'!Q97)</f>
        <v>10.271376477824933</v>
      </c>
      <c r="G17" s="91">
        <f>SUM('12'!V97)</f>
        <v>10.623284980962481</v>
      </c>
      <c r="H17" s="91">
        <f>SUM('12'!AA97)</f>
        <v>10.987320539870183</v>
      </c>
      <c r="I17" s="91">
        <f>SUM('12'!AF97)</f>
        <v>11.418839460653357</v>
      </c>
      <c r="J17" s="91">
        <f>SUM('12'!AK97)</f>
        <v>11.924474118546778</v>
      </c>
      <c r="K17" s="91">
        <f>SUM('12'!AP97)</f>
        <v>12.452574876921142</v>
      </c>
      <c r="L17" s="272"/>
    </row>
    <row r="18" spans="1:12" s="54" customFormat="1" ht="36">
      <c r="B18" s="209" t="str">
        <f>'12'!A98</f>
        <v>12.E.1.f</v>
      </c>
      <c r="C18" s="209" t="str">
        <f>'12'!C98</f>
        <v>Provide drivers for College Air Officers or deputies in the absence of dedicated Service drivers.</v>
      </c>
      <c r="D18" s="91">
        <f>SUM('12'!G98)</f>
        <v>9.6489227453248532</v>
      </c>
      <c r="E18" s="91">
        <f>SUM('12'!L98)</f>
        <v>9.9552534057908364</v>
      </c>
      <c r="F18" s="91">
        <f>SUM('12'!Q98)</f>
        <v>10.271376477824933</v>
      </c>
      <c r="G18" s="91">
        <f>SUM('12'!V98)</f>
        <v>10.623284980962481</v>
      </c>
      <c r="H18" s="91">
        <f>SUM('12'!AA98)</f>
        <v>10.987320539870183</v>
      </c>
      <c r="I18" s="91">
        <f>SUM('12'!AF98)</f>
        <v>11.418839460653357</v>
      </c>
      <c r="J18" s="91">
        <f>SUM('12'!AK98)</f>
        <v>11.924474118546778</v>
      </c>
      <c r="K18" s="91">
        <f>SUM('12'!AP98)</f>
        <v>12.452574876921142</v>
      </c>
    </row>
    <row r="19" spans="1:12" s="54" customFormat="1" ht="72">
      <c r="B19" s="209" t="str">
        <f>'12'!A99</f>
        <v>12.E.1.g</v>
      </c>
      <c r="C19" s="209" t="str">
        <f>'12'!C99</f>
        <v>Convey EAC 6738 (Launcher MVG) &amp; EAC 3202 (Caravan Launch) to/from RAF Syerston/RAFC Cranwell for random rectification/routine 2nd line maintenance.</v>
      </c>
      <c r="D19" s="91">
        <f>SUM('12'!G99)</f>
        <v>9.6489227453248532</v>
      </c>
      <c r="E19" s="91">
        <f>SUM('12'!L99)</f>
        <v>9.9552534057908364</v>
      </c>
      <c r="F19" s="91">
        <f>SUM('12'!Q99)</f>
        <v>10.271376477824933</v>
      </c>
      <c r="G19" s="91">
        <f>SUM('12'!V99)</f>
        <v>10.623284980962481</v>
      </c>
      <c r="H19" s="91">
        <f>SUM('12'!AA99)</f>
        <v>10.987320539870183</v>
      </c>
      <c r="I19" s="91">
        <f>SUM('12'!AF99)</f>
        <v>11.418839460653357</v>
      </c>
      <c r="J19" s="91">
        <f>SUM('12'!AK99)</f>
        <v>11.924474118546778</v>
      </c>
      <c r="K19" s="91">
        <f>SUM('12'!AP99)</f>
        <v>12.452574876921142</v>
      </c>
    </row>
    <row r="20" spans="1:12" s="54" customFormat="1" ht="36">
      <c r="A20" s="271"/>
      <c r="B20" s="209" t="str">
        <f>'12'!A100</f>
        <v>12.E.1.h</v>
      </c>
      <c r="C20" s="209" t="str">
        <f>'12'!C100</f>
        <v>Provide a driver for IOC Leadership Centre, as directed, in an appropriate type car.</v>
      </c>
      <c r="D20" s="91">
        <f>'12'!H100</f>
        <v>9.65</v>
      </c>
      <c r="E20" s="91">
        <f>SUM('12'!L100)</f>
        <v>9.9552534057908364</v>
      </c>
      <c r="F20" s="91">
        <f>SUM('12'!Q100)</f>
        <v>10.271376477824933</v>
      </c>
      <c r="G20" s="91">
        <f>SUM('12'!V100)</f>
        <v>10.623284980962481</v>
      </c>
      <c r="H20" s="91">
        <f>SUM('12'!AA100)</f>
        <v>10.987320539870183</v>
      </c>
      <c r="I20" s="91">
        <f>SUM('12'!AF100)</f>
        <v>11.418839460653357</v>
      </c>
      <c r="J20" s="91">
        <f>SUM('12'!AK100)</f>
        <v>11.924474118546778</v>
      </c>
      <c r="K20" s="91">
        <f>SUM('12'!AP100)</f>
        <v>12.452574876921142</v>
      </c>
      <c r="L20" s="272"/>
    </row>
    <row r="21" spans="1:12">
      <c r="B21" s="329"/>
      <c r="C21" s="197"/>
      <c r="D21" s="199"/>
      <c r="E21" s="199"/>
      <c r="F21" s="199"/>
      <c r="G21" s="198"/>
      <c r="H21" s="198"/>
      <c r="I21" s="198"/>
      <c r="J21" s="198"/>
      <c r="K21" s="216"/>
    </row>
    <row r="22" spans="1:12" s="54" customFormat="1" ht="96">
      <c r="A22" s="271"/>
      <c r="B22" s="346" t="str">
        <f>'13'!A18</f>
        <v>13.E.2</v>
      </c>
      <c r="C22" s="346" t="str">
        <f>'13'!C18</f>
        <v>Carry out 2nd line vehicle Scheduled Maintenance (including Electrical Maintenance) and Random Rectification and repairs on vehicles not covered under 13.C.1.a iaw AP3260 Books 1, 2, 3 and relevant AESP or Maintenance Schedules.</v>
      </c>
      <c r="D22" s="325">
        <f>'13'!D18</f>
        <v>11.04</v>
      </c>
      <c r="E22" s="325">
        <f>'13'!E18</f>
        <v>11.4</v>
      </c>
      <c r="F22" s="325">
        <f>'13'!F18</f>
        <v>11.76</v>
      </c>
      <c r="G22" s="325">
        <f>'13'!G18</f>
        <v>20.02</v>
      </c>
      <c r="H22" s="325">
        <f>'13'!H18</f>
        <v>20.82</v>
      </c>
      <c r="I22" s="325">
        <f>'13'!I18</f>
        <v>21.65</v>
      </c>
      <c r="J22" s="325">
        <f>'13'!J18</f>
        <v>22.52</v>
      </c>
      <c r="K22" s="327">
        <f>'13'!K18</f>
        <v>23.42</v>
      </c>
      <c r="L22" s="272"/>
    </row>
    <row r="23" spans="1:12">
      <c r="B23" s="215"/>
      <c r="C23" s="197"/>
      <c r="D23" s="199"/>
      <c r="E23" s="199"/>
      <c r="F23" s="199"/>
      <c r="G23" s="198"/>
      <c r="H23" s="198"/>
      <c r="I23" s="198"/>
      <c r="J23" s="198"/>
      <c r="K23" s="216"/>
    </row>
    <row r="24" spans="1:12" s="54" customFormat="1" ht="36">
      <c r="A24" s="271"/>
      <c r="B24" s="346" t="str">
        <f>'14'!A57</f>
        <v>14.E.2</v>
      </c>
      <c r="C24" s="346" t="str">
        <f>'14'!C57</f>
        <v>Clean, dry, re-wax and pack up to x 86 - 12ft x 12ft Groundsheets following OACTU exercises.</v>
      </c>
      <c r="D24" s="324" t="str">
        <f>'14'!H57</f>
        <v>Actual</v>
      </c>
      <c r="E24" s="324" t="str">
        <f>'14'!I57</f>
        <v>Actual</v>
      </c>
      <c r="F24" s="324" t="str">
        <f>'14'!J57</f>
        <v>Actual</v>
      </c>
      <c r="G24" s="324" t="str">
        <f>'14'!K57</f>
        <v>Actual</v>
      </c>
      <c r="H24" s="324" t="str">
        <f>'14'!L57</f>
        <v>Actual</v>
      </c>
      <c r="I24" s="324" t="str">
        <f>'14'!M57</f>
        <v>Actual</v>
      </c>
      <c r="J24" s="324" t="str">
        <f>'14'!N57</f>
        <v>Actual</v>
      </c>
      <c r="K24" s="328" t="str">
        <f>'14'!O57</f>
        <v>Actual</v>
      </c>
      <c r="L24" s="272"/>
    </row>
    <row r="25" spans="1:12">
      <c r="B25" s="215"/>
      <c r="C25" s="197"/>
      <c r="D25" s="199"/>
      <c r="E25" s="199"/>
      <c r="F25" s="199"/>
      <c r="G25" s="198"/>
      <c r="H25" s="198"/>
      <c r="I25" s="198"/>
      <c r="J25" s="198"/>
      <c r="K25" s="216"/>
    </row>
    <row r="26" spans="1:12" s="54" customFormat="1" ht="36">
      <c r="B26" s="204" t="str">
        <f>'15'!A70</f>
        <v>15.E.2</v>
      </c>
      <c r="C26" s="204" t="str">
        <f>'15'!C70</f>
        <v>Respond to a detachment order to detach fire vehicles and/or manpower.</v>
      </c>
      <c r="D26" s="91">
        <f>SUM('15'!D70)</f>
        <v>12.544069273204112</v>
      </c>
      <c r="E26" s="91">
        <f>SUM('15'!F70)</f>
        <v>12.920391382550065</v>
      </c>
      <c r="F26" s="91">
        <f>SUM('15'!H70)</f>
        <v>13.308003094886402</v>
      </c>
      <c r="G26" s="91">
        <f>SUM('15'!J70)</f>
        <v>13.707243239984324</v>
      </c>
      <c r="H26" s="91">
        <f>SUM('15'!L70)</f>
        <v>14.118460494980859</v>
      </c>
      <c r="I26" s="91">
        <f>SUM('15'!N70)</f>
        <v>14.683198886644762</v>
      </c>
      <c r="J26" s="91">
        <f>SUM('15'!P70)</f>
        <v>15.27052693455521</v>
      </c>
      <c r="K26" s="91">
        <f>SUM('15'!R70)</f>
        <v>15.881347983802089</v>
      </c>
    </row>
    <row r="27" spans="1:12">
      <c r="B27" s="215"/>
      <c r="C27" s="197"/>
      <c r="D27" s="199"/>
      <c r="E27" s="199"/>
      <c r="F27" s="199"/>
      <c r="G27" s="198"/>
      <c r="H27" s="198"/>
      <c r="I27" s="198"/>
      <c r="J27" s="198"/>
      <c r="K27" s="216"/>
    </row>
    <row r="28" spans="1:12" s="54" customFormat="1" ht="60">
      <c r="A28" s="330"/>
      <c r="B28" s="346" t="str">
        <f>'19'!A12</f>
        <v>19.E.2</v>
      </c>
      <c r="C28" s="346" t="str">
        <f>'19'!C12</f>
        <v>Provide emergency carpet cleaning outside of the Services and Equipment Guides (SEGS) contract for office accommodation, barrack blocks and Messes..</v>
      </c>
      <c r="D28" s="179" t="str">
        <f>'19'!E12</f>
        <v>Actual</v>
      </c>
      <c r="E28" s="179" t="str">
        <f>'19'!F12</f>
        <v>Actual</v>
      </c>
      <c r="F28" s="179" t="str">
        <f>'19'!G12</f>
        <v>Actual</v>
      </c>
      <c r="G28" s="179" t="str">
        <f>'19'!H12</f>
        <v>Actual</v>
      </c>
      <c r="H28" s="179" t="str">
        <f>'19'!I12</f>
        <v>Actual</v>
      </c>
      <c r="I28" s="179" t="str">
        <f>'19'!J12</f>
        <v>Actual</v>
      </c>
      <c r="J28" s="179" t="str">
        <f>'19'!K12</f>
        <v>Actual</v>
      </c>
      <c r="K28" s="179" t="str">
        <f>'19'!L12</f>
        <v>Actual</v>
      </c>
      <c r="L28" s="330"/>
    </row>
    <row r="29" spans="1:12">
      <c r="B29" s="215"/>
      <c r="C29" s="197"/>
      <c r="D29" s="199"/>
      <c r="E29" s="199"/>
      <c r="F29" s="199"/>
      <c r="G29" s="198"/>
      <c r="H29" s="198"/>
      <c r="I29" s="198"/>
      <c r="J29" s="198"/>
      <c r="K29" s="216"/>
    </row>
    <row r="30" spans="1:12" s="54" customFormat="1" ht="24">
      <c r="B30" s="204" t="str">
        <f>'23'!A12</f>
        <v>23.E.2</v>
      </c>
      <c r="C30" s="204" t="str">
        <f>'23'!C12</f>
        <v>Provide Emergency Pest Control Inspections and treatments.</v>
      </c>
      <c r="D30" s="91">
        <f>SUM('23'!D12)</f>
        <v>40</v>
      </c>
      <c r="E30" s="91">
        <f>SUM('23'!F12)</f>
        <v>42</v>
      </c>
      <c r="F30" s="91">
        <f>SUM('23'!H12)</f>
        <v>44.1</v>
      </c>
      <c r="G30" s="91">
        <f>SUM('23'!J12)</f>
        <v>46.305</v>
      </c>
      <c r="H30" s="91">
        <f>SUM('23'!L12)</f>
        <v>48.620250000000006</v>
      </c>
      <c r="I30" s="91">
        <f>SUM('23'!N12)</f>
        <v>51.051262500000007</v>
      </c>
      <c r="J30" s="91">
        <f>SUM('23'!P12)</f>
        <v>53.603825625000013</v>
      </c>
      <c r="K30" s="91">
        <f>SUM('23'!R12)</f>
        <v>56.284016906250017</v>
      </c>
    </row>
    <row r="31" spans="1:12">
      <c r="B31" s="215"/>
      <c r="C31" s="197"/>
      <c r="D31" s="199"/>
      <c r="E31" s="199"/>
      <c r="F31" s="199"/>
      <c r="G31" s="198"/>
      <c r="H31" s="198"/>
      <c r="I31" s="198"/>
      <c r="J31" s="198"/>
      <c r="K31" s="216"/>
    </row>
    <row r="32" spans="1:12" s="54" customFormat="1" ht="48">
      <c r="A32" s="330"/>
      <c r="B32" s="204" t="str">
        <f>'25'!A13</f>
        <v>25.E.2</v>
      </c>
      <c r="C32" s="204" t="str">
        <f>'25'!C13</f>
        <v>Provide a service to empty the old RAFAT Waste Dye Pit at RAF Cranwell and the new pit at RAF Scampton.</v>
      </c>
      <c r="D32" s="179" t="str">
        <f>'25'!D13</f>
        <v>Actual</v>
      </c>
      <c r="E32" s="179" t="str">
        <f>'25'!E13</f>
        <v>Actual</v>
      </c>
      <c r="F32" s="179" t="str">
        <f>'25'!F13</f>
        <v>Actual</v>
      </c>
      <c r="G32" s="179" t="str">
        <f>'25'!G13</f>
        <v>Actual</v>
      </c>
      <c r="H32" s="179" t="str">
        <f>'25'!H13</f>
        <v>Actual</v>
      </c>
      <c r="I32" s="179" t="str">
        <f>'25'!I13</f>
        <v>Actual</v>
      </c>
      <c r="J32" s="179" t="str">
        <f>'25'!J13</f>
        <v>Actual</v>
      </c>
      <c r="K32" s="179" t="str">
        <f>'25'!K13</f>
        <v>Actual</v>
      </c>
      <c r="L32" s="330"/>
    </row>
    <row r="33" spans="1:12" s="54" customFormat="1" ht="48">
      <c r="A33" s="330"/>
      <c r="B33" s="204" t="str">
        <f>'25'!A14</f>
        <v>25.E.3</v>
      </c>
      <c r="C33" s="204" t="str">
        <f>'25'!C14</f>
        <v>Provide a service to empty any Cess Pit/Septic Tank/Klargester at any site operated/parented by RAF Cranwell.</v>
      </c>
      <c r="D33" s="179" t="str">
        <f>'25'!D14</f>
        <v>Actual</v>
      </c>
      <c r="E33" s="179" t="str">
        <f>'25'!E14</f>
        <v>Actual</v>
      </c>
      <c r="F33" s="179" t="str">
        <f>'25'!F14</f>
        <v>Actual</v>
      </c>
      <c r="G33" s="179" t="str">
        <f>'25'!G14</f>
        <v>Actual</v>
      </c>
      <c r="H33" s="179" t="str">
        <f>'25'!H14</f>
        <v>Actual</v>
      </c>
      <c r="I33" s="179" t="str">
        <f>'25'!I14</f>
        <v>Actual</v>
      </c>
      <c r="J33" s="179" t="str">
        <f>'25'!J14</f>
        <v>Actual</v>
      </c>
      <c r="K33" s="179" t="str">
        <f>'25'!K14</f>
        <v>Actual</v>
      </c>
      <c r="L33" s="330"/>
    </row>
    <row r="34" spans="1:12">
      <c r="B34" s="217"/>
      <c r="C34" s="218"/>
      <c r="D34" s="219"/>
      <c r="E34" s="219"/>
      <c r="F34" s="219"/>
      <c r="G34" s="220"/>
      <c r="H34" s="220"/>
      <c r="I34" s="220"/>
      <c r="J34" s="220"/>
      <c r="K34" s="221"/>
    </row>
  </sheetData>
  <mergeCells count="1">
    <mergeCell ref="J1:K1"/>
  </mergeCells>
  <phoneticPr fontId="0" type="noConversion"/>
  <printOptions horizontalCentered="1"/>
  <pageMargins left="0.5" right="0.5" top="1" bottom="1" header="0.5" footer="0.5"/>
  <pageSetup paperSize="9" pageOrder="overThenDown" orientation="landscape" r:id="rId1"/>
  <headerFooter alignWithMargins="0">
    <oddHeader>&amp;C&amp;"Calibri"&amp;10&amp;K737373Serco Business&amp;1#_x000D_&amp;"Calibri"&amp;11&amp;K000000&amp;"Calibri"&amp;11&amp;K000000&amp;"Arial,Bold"&amp;10COMMERCIAL</oddHeader>
    <oddFooter>&amp;L&amp;8PTC/CB/00642&amp;C&amp;10 1-B-&amp;P
&amp;"Arial,Bold"COMMERCIAL&amp;R&amp;8Amendment No 57/Oct 07</oddFooter>
  </headerFooter>
  <rowBreaks count="2" manualBreakCount="2">
    <brk id="13" max="11" man="1"/>
    <brk id="25"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Y30"/>
  <sheetViews>
    <sheetView topLeftCell="G1" zoomScale="75" zoomScaleNormal="75" workbookViewId="0">
      <pane ySplit="810" activePane="bottomLeft"/>
      <selection activeCell="C9" sqref="C9"/>
      <selection pane="bottomLeft" activeCell="R3" sqref="R3"/>
    </sheetView>
  </sheetViews>
  <sheetFormatPr defaultColWidth="9.140625" defaultRowHeight="12"/>
  <cols>
    <col min="1" max="1" width="10.7109375" style="244" customWidth="1"/>
    <col min="2" max="2" width="45" style="244" customWidth="1"/>
    <col min="3" max="3" width="17.5703125" style="248" bestFit="1" customWidth="1"/>
    <col min="4" max="4" width="12.42578125" style="249" bestFit="1" customWidth="1"/>
    <col min="5" max="5" width="1.7109375" style="231" customWidth="1"/>
    <col min="6" max="6" width="17.28515625" style="236" bestFit="1" customWidth="1"/>
    <col min="7" max="7" width="12.42578125" style="249" bestFit="1" customWidth="1"/>
    <col min="8" max="8" width="1.7109375" style="231" customWidth="1"/>
    <col min="9" max="9" width="17.5703125" style="236" bestFit="1" customWidth="1"/>
    <col min="10" max="10" width="12.42578125" style="249" bestFit="1" customWidth="1"/>
    <col min="11" max="11" width="1.7109375" style="231" customWidth="1"/>
    <col min="12" max="12" width="16.85546875" style="236" bestFit="1" customWidth="1"/>
    <col min="13" max="13" width="12.42578125" style="249" bestFit="1" customWidth="1"/>
    <col min="14" max="14" width="1.7109375" style="231" customWidth="1"/>
    <col min="15" max="15" width="17.28515625" style="236" bestFit="1" customWidth="1"/>
    <col min="16" max="16" width="12.42578125" style="249" bestFit="1" customWidth="1"/>
    <col min="17" max="17" width="1.7109375" style="231" customWidth="1"/>
    <col min="18" max="18" width="16.85546875" style="236" bestFit="1" customWidth="1"/>
    <col min="19" max="19" width="12.42578125" style="249" bestFit="1" customWidth="1"/>
    <col min="20" max="20" width="1.7109375" style="231" customWidth="1"/>
    <col min="21" max="21" width="17.5703125" style="236" bestFit="1" customWidth="1"/>
    <col min="22" max="22" width="12.42578125" style="249" bestFit="1" customWidth="1"/>
    <col min="23" max="23" width="1.7109375" style="231" customWidth="1"/>
    <col min="24" max="24" width="16.140625" style="236" bestFit="1" customWidth="1"/>
    <col min="25" max="25" width="12.42578125" style="249" bestFit="1" customWidth="1"/>
    <col min="26" max="16384" width="9.140625" style="231"/>
  </cols>
  <sheetData>
    <row r="1" spans="1:25" s="227" customFormat="1">
      <c r="A1" s="224"/>
      <c r="B1" s="224"/>
      <c r="C1" s="533" t="s">
        <v>189</v>
      </c>
      <c r="D1" s="534"/>
      <c r="E1" s="225"/>
      <c r="F1" s="535" t="s">
        <v>190</v>
      </c>
      <c r="G1" s="536"/>
      <c r="H1" s="226"/>
      <c r="I1" s="535" t="s">
        <v>191</v>
      </c>
      <c r="J1" s="536"/>
      <c r="K1" s="226"/>
      <c r="L1" s="535" t="s">
        <v>192</v>
      </c>
      <c r="M1" s="536"/>
      <c r="N1" s="226"/>
      <c r="O1" s="535" t="s">
        <v>193</v>
      </c>
      <c r="P1" s="536"/>
      <c r="Q1" s="226"/>
      <c r="R1" s="535" t="s">
        <v>194</v>
      </c>
      <c r="S1" s="536"/>
      <c r="T1" s="226"/>
      <c r="U1" s="535" t="s">
        <v>195</v>
      </c>
      <c r="V1" s="536"/>
      <c r="W1" s="226"/>
      <c r="X1" s="535" t="s">
        <v>196</v>
      </c>
      <c r="Y1" s="536"/>
    </row>
    <row r="2" spans="1:25">
      <c r="A2" s="228"/>
      <c r="B2" s="228"/>
      <c r="C2" s="229" t="s">
        <v>197</v>
      </c>
      <c r="D2" s="230" t="s">
        <v>198</v>
      </c>
      <c r="E2" s="225"/>
      <c r="F2" s="229" t="s">
        <v>197</v>
      </c>
      <c r="G2" s="230" t="s">
        <v>198</v>
      </c>
      <c r="H2" s="225"/>
      <c r="I2" s="229" t="s">
        <v>197</v>
      </c>
      <c r="J2" s="230" t="s">
        <v>198</v>
      </c>
      <c r="K2" s="225"/>
      <c r="L2" s="229" t="s">
        <v>197</v>
      </c>
      <c r="M2" s="230" t="s">
        <v>198</v>
      </c>
      <c r="N2" s="225"/>
      <c r="O2" s="229" t="s">
        <v>197</v>
      </c>
      <c r="P2" s="230" t="s">
        <v>198</v>
      </c>
      <c r="Q2" s="225"/>
      <c r="R2" s="229" t="s">
        <v>197</v>
      </c>
      <c r="S2" s="230" t="s">
        <v>198</v>
      </c>
      <c r="T2" s="225"/>
      <c r="U2" s="229" t="s">
        <v>197</v>
      </c>
      <c r="V2" s="230" t="s">
        <v>198</v>
      </c>
      <c r="W2" s="225"/>
      <c r="X2" s="229" t="s">
        <v>197</v>
      </c>
      <c r="Y2" s="230" t="s">
        <v>198</v>
      </c>
    </row>
    <row r="3" spans="1:25" s="236" customFormat="1" ht="18" customHeight="1">
      <c r="A3" s="232" t="s">
        <v>199</v>
      </c>
      <c r="B3" s="232" t="s">
        <v>200</v>
      </c>
      <c r="C3" s="233">
        <f>'2'!E72</f>
        <v>405922.72810226283</v>
      </c>
      <c r="D3" s="234">
        <f>'2'!E69</f>
        <v>10620</v>
      </c>
      <c r="E3" s="235"/>
      <c r="F3" s="233">
        <f>'2'!F72</f>
        <v>400452.99736722483</v>
      </c>
      <c r="G3" s="234">
        <f>'2'!F69</f>
        <v>10620</v>
      </c>
      <c r="H3" s="235"/>
      <c r="I3" s="233">
        <f>'2'!G72</f>
        <v>409587.28013913584</v>
      </c>
      <c r="J3" s="234">
        <f>'2'!G69</f>
        <v>10620</v>
      </c>
      <c r="K3" s="235"/>
      <c r="L3" s="233">
        <f>'2'!H72</f>
        <v>419787.15242288954</v>
      </c>
      <c r="M3" s="234">
        <f>'2'!H69</f>
        <v>10620</v>
      </c>
      <c r="N3" s="235"/>
      <c r="O3" s="233">
        <f>'2'!I72</f>
        <v>430323.70516007143</v>
      </c>
      <c r="P3" s="234">
        <f>'2'!I69</f>
        <v>10620</v>
      </c>
      <c r="Q3" s="235"/>
      <c r="R3" s="233">
        <f>'2'!J72</f>
        <v>347944.07591165963</v>
      </c>
      <c r="S3" s="234">
        <f>'2'!J69</f>
        <v>10620</v>
      </c>
      <c r="T3" s="235"/>
      <c r="U3" s="233">
        <f>'2'!K72</f>
        <v>362722.0448782437</v>
      </c>
      <c r="V3" s="234">
        <f>'2'!K69</f>
        <v>10620</v>
      </c>
      <c r="W3" s="235"/>
      <c r="X3" s="233">
        <f>'2'!L72</f>
        <v>378134.25484734366</v>
      </c>
      <c r="Y3" s="234">
        <f>'2'!L69</f>
        <v>10620</v>
      </c>
    </row>
    <row r="4" spans="1:25" ht="18" customHeight="1">
      <c r="A4" s="232" t="s">
        <v>201</v>
      </c>
      <c r="B4" s="237" t="s">
        <v>202</v>
      </c>
      <c r="C4" s="233">
        <f>'3'!E30</f>
        <v>0</v>
      </c>
      <c r="D4" s="253">
        <f>'3'!E27</f>
        <v>0</v>
      </c>
      <c r="E4" s="235"/>
      <c r="F4" s="233">
        <f>'3'!F30</f>
        <v>0</v>
      </c>
      <c r="G4" s="253">
        <f>'3'!F27</f>
        <v>0</v>
      </c>
      <c r="H4" s="235"/>
      <c r="I4" s="233">
        <f>'3'!G30</f>
        <v>0</v>
      </c>
      <c r="J4" s="253">
        <f>'3'!G27</f>
        <v>0</v>
      </c>
      <c r="K4" s="235"/>
      <c r="L4" s="233">
        <f>'3'!H30</f>
        <v>0</v>
      </c>
      <c r="M4" s="253">
        <f>'3'!H27</f>
        <v>0</v>
      </c>
      <c r="N4" s="235"/>
      <c r="O4" s="233">
        <f>'3'!I30</f>
        <v>0</v>
      </c>
      <c r="P4" s="253">
        <f>'3'!I27</f>
        <v>0</v>
      </c>
      <c r="Q4" s="235"/>
      <c r="R4" s="233">
        <f>'3'!J30</f>
        <v>0</v>
      </c>
      <c r="S4" s="253">
        <f>'3'!J27</f>
        <v>0</v>
      </c>
      <c r="T4" s="235"/>
      <c r="U4" s="233">
        <f>'3'!K30</f>
        <v>0</v>
      </c>
      <c r="V4" s="253">
        <f>'3'!K27</f>
        <v>0</v>
      </c>
      <c r="W4" s="235"/>
      <c r="X4" s="233">
        <f>'3'!L30</f>
        <v>0</v>
      </c>
      <c r="Y4" s="253">
        <f>'3'!L27</f>
        <v>0</v>
      </c>
    </row>
    <row r="5" spans="1:25" ht="18" customHeight="1">
      <c r="A5" s="232" t="s">
        <v>203</v>
      </c>
      <c r="B5" s="237" t="s">
        <v>204</v>
      </c>
      <c r="C5" s="233">
        <f>'4'!G33</f>
        <v>707509.79650643282</v>
      </c>
      <c r="D5" s="234">
        <f>'4'!G30</f>
        <v>56596</v>
      </c>
      <c r="E5" s="235"/>
      <c r="F5" s="233">
        <f>'4'!L33</f>
        <v>731569.72918131296</v>
      </c>
      <c r="G5" s="234">
        <f>'4'!L30</f>
        <v>56596</v>
      </c>
      <c r="H5" s="235"/>
      <c r="I5" s="233">
        <f>'4'!Q33</f>
        <v>757335.351614616</v>
      </c>
      <c r="J5" s="234">
        <f>'4'!Q30</f>
        <v>56596</v>
      </c>
      <c r="K5" s="235"/>
      <c r="L5" s="233">
        <f>'4'!V33</f>
        <v>783452.54785882367</v>
      </c>
      <c r="M5" s="234">
        <f>'4'!V30</f>
        <v>56596</v>
      </c>
      <c r="N5" s="235"/>
      <c r="O5" s="233">
        <f>'4'!AA33</f>
        <v>810480.41746877064</v>
      </c>
      <c r="P5" s="234">
        <f>'4'!AA30</f>
        <v>56596</v>
      </c>
      <c r="Q5" s="235"/>
      <c r="R5" s="233">
        <f>'4'!AF33</f>
        <v>842476.40943578223</v>
      </c>
      <c r="S5" s="234">
        <f>'4'!AF30</f>
        <v>56596</v>
      </c>
      <c r="T5" s="235"/>
      <c r="U5" s="233">
        <f>'4'!AK33</f>
        <v>879930.89637070091</v>
      </c>
      <c r="V5" s="234">
        <f>'4'!AK30</f>
        <v>56596</v>
      </c>
      <c r="W5" s="235"/>
      <c r="X5" s="233">
        <f>'4'!AP33</f>
        <v>919054.99764855148</v>
      </c>
      <c r="Y5" s="234">
        <f>'4'!AP30</f>
        <v>56596</v>
      </c>
    </row>
    <row r="6" spans="1:25" ht="18" customHeight="1">
      <c r="A6" s="232" t="s">
        <v>205</v>
      </c>
      <c r="B6" s="237" t="s">
        <v>206</v>
      </c>
      <c r="C6" s="233">
        <f>'5'!G32</f>
        <v>116442.76779241534</v>
      </c>
      <c r="D6" s="234">
        <f>'5'!G29</f>
        <v>10154</v>
      </c>
      <c r="E6" s="235"/>
      <c r="F6" s="233">
        <f>'5'!K32</f>
        <v>120200.42863619515</v>
      </c>
      <c r="G6" s="234">
        <f>'5'!K29</f>
        <v>10154</v>
      </c>
      <c r="H6" s="235"/>
      <c r="I6" s="233">
        <f>'5'!O32</f>
        <v>124079.61205243466</v>
      </c>
      <c r="J6" s="234">
        <f>'5'!O29</f>
        <v>10154</v>
      </c>
      <c r="K6" s="235"/>
      <c r="L6" s="233">
        <f>'5'!S32</f>
        <v>75942.853023258154</v>
      </c>
      <c r="M6" s="234">
        <f>'5'!S29</f>
        <v>10154</v>
      </c>
      <c r="N6" s="235"/>
      <c r="O6" s="233">
        <f>'5'!W32</f>
        <v>79115.334791785222</v>
      </c>
      <c r="P6" s="234">
        <f>'5'!W29</f>
        <v>10154</v>
      </c>
      <c r="Q6" s="235"/>
      <c r="R6" s="233">
        <f>'5'!AA32</f>
        <v>82676.649193987498</v>
      </c>
      <c r="S6" s="234">
        <f>'5'!AA29</f>
        <v>10154</v>
      </c>
      <c r="T6" s="235"/>
      <c r="U6" s="233">
        <f>'5'!AE32</f>
        <v>87083.926962563724</v>
      </c>
      <c r="V6" s="234">
        <f>'5'!AE29</f>
        <v>10154</v>
      </c>
      <c r="W6" s="235"/>
      <c r="X6" s="233">
        <f>'5'!AI32</f>
        <v>91716.49834589551</v>
      </c>
      <c r="Y6" s="234">
        <f>'5'!AI29</f>
        <v>10154</v>
      </c>
    </row>
    <row r="7" spans="1:25" ht="18" customHeight="1">
      <c r="A7" s="232" t="s">
        <v>207</v>
      </c>
      <c r="B7" s="237" t="s">
        <v>208</v>
      </c>
      <c r="C7" s="233">
        <f>'6'!H44</f>
        <v>145758.41268583018</v>
      </c>
      <c r="D7" s="234">
        <f>'6'!H41</f>
        <v>9453</v>
      </c>
      <c r="E7" s="235"/>
      <c r="F7" s="233">
        <f>'6'!M44</f>
        <v>148650.43689496178</v>
      </c>
      <c r="G7" s="234">
        <f>'6'!M41</f>
        <v>9453</v>
      </c>
      <c r="H7" s="235"/>
      <c r="I7" s="233">
        <f>'6'!R44</f>
        <v>153448.09549631909</v>
      </c>
      <c r="J7" s="234">
        <f>'6'!R41</f>
        <v>9453</v>
      </c>
      <c r="K7" s="235"/>
      <c r="L7" s="233">
        <f>'6'!W44</f>
        <v>134905.87246713735</v>
      </c>
      <c r="M7" s="234">
        <f>'6'!W41</f>
        <v>9453</v>
      </c>
      <c r="N7" s="235"/>
      <c r="O7" s="233">
        <f>'6'!AB44</f>
        <v>139661.74552014552</v>
      </c>
      <c r="P7" s="234">
        <f>'6'!AB41</f>
        <v>9453</v>
      </c>
      <c r="Q7" s="235"/>
      <c r="R7" s="233">
        <f>'6'!AG44</f>
        <v>145406.93818802611</v>
      </c>
      <c r="S7" s="234">
        <f>'6'!AG41</f>
        <v>9453</v>
      </c>
      <c r="T7" s="235"/>
      <c r="U7" s="233">
        <f>'6'!AL44</f>
        <v>152241.32655097428</v>
      </c>
      <c r="V7" s="234">
        <f>'6'!AL41</f>
        <v>9453</v>
      </c>
      <c r="W7" s="235"/>
      <c r="X7" s="233">
        <f>'6'!AQ44</f>
        <v>159392.50957681221</v>
      </c>
      <c r="Y7" s="234">
        <f>'6'!AQ41</f>
        <v>9453</v>
      </c>
    </row>
    <row r="8" spans="1:25" ht="18" customHeight="1">
      <c r="A8" s="232" t="s">
        <v>209</v>
      </c>
      <c r="B8" s="237" t="s">
        <v>210</v>
      </c>
      <c r="C8" s="233">
        <f>'7'!H42</f>
        <v>163930.1122969978</v>
      </c>
      <c r="D8" s="234">
        <f>'7'!H39</f>
        <v>13764</v>
      </c>
      <c r="E8" s="235"/>
      <c r="F8" s="233">
        <f>'7'!M42</f>
        <v>194915.91521592392</v>
      </c>
      <c r="G8" s="234">
        <f>'7'!M39</f>
        <v>13764</v>
      </c>
      <c r="H8" s="235"/>
      <c r="I8" s="233">
        <f>'7'!R42</f>
        <v>220428.01330077377</v>
      </c>
      <c r="J8" s="234">
        <f>'7'!R39</f>
        <v>13764</v>
      </c>
      <c r="K8" s="235"/>
      <c r="L8" s="233">
        <f>'7'!W42</f>
        <v>217960.46485641573</v>
      </c>
      <c r="M8" s="234">
        <f>'7'!W39</f>
        <v>13764</v>
      </c>
      <c r="N8" s="235"/>
      <c r="O8" s="233">
        <f>'7'!AB42</f>
        <v>225546.34450750786</v>
      </c>
      <c r="P8" s="234">
        <f>'7'!AB39</f>
        <v>13764</v>
      </c>
      <c r="Q8" s="235"/>
      <c r="R8" s="233">
        <f>'7'!AG42</f>
        <v>234453.32006595389</v>
      </c>
      <c r="S8" s="234">
        <f>'7'!AG39</f>
        <v>13764</v>
      </c>
      <c r="T8" s="235"/>
      <c r="U8" s="233">
        <f>'7'!AL42</f>
        <v>244811.5103784118</v>
      </c>
      <c r="V8" s="234">
        <f>'7'!AL39</f>
        <v>13764</v>
      </c>
      <c r="W8" s="235"/>
      <c r="X8" s="233">
        <f>'7'!AQ42</f>
        <v>255629.08121901247</v>
      </c>
      <c r="Y8" s="234">
        <f>'7'!AQ39</f>
        <v>13764</v>
      </c>
    </row>
    <row r="9" spans="1:25" ht="18" customHeight="1">
      <c r="A9" s="232" t="s">
        <v>211</v>
      </c>
      <c r="B9" s="237" t="s">
        <v>212</v>
      </c>
      <c r="C9" s="233">
        <f>'8'!G37</f>
        <v>398145.32154134236</v>
      </c>
      <c r="D9" s="234">
        <f>'8'!G34</f>
        <v>25568</v>
      </c>
      <c r="E9" s="235"/>
      <c r="F9" s="233">
        <f>'8'!K37</f>
        <v>413894.52943164593</v>
      </c>
      <c r="G9" s="234">
        <f>'8'!K34</f>
        <v>25568</v>
      </c>
      <c r="H9" s="235"/>
      <c r="I9" s="233">
        <f>'8'!O37</f>
        <v>451158.89763953921</v>
      </c>
      <c r="J9" s="234">
        <f>'8'!O34</f>
        <v>25568</v>
      </c>
      <c r="K9" s="235"/>
      <c r="L9" s="233">
        <f>'8'!S37</f>
        <v>480465.92559388088</v>
      </c>
      <c r="M9" s="234">
        <f>'8'!S34</f>
        <v>25568</v>
      </c>
      <c r="N9" s="235"/>
      <c r="O9" s="233">
        <f>'8'!W37</f>
        <v>496434.10177879862</v>
      </c>
      <c r="P9" s="234">
        <f>'8'!W34</f>
        <v>25568</v>
      </c>
      <c r="Q9" s="235"/>
      <c r="R9" s="233">
        <f>'8'!AA37</f>
        <v>515323.23579256068</v>
      </c>
      <c r="S9" s="234">
        <f>'8'!AA34</f>
        <v>25568</v>
      </c>
      <c r="T9" s="235"/>
      <c r="U9" s="233">
        <f>'8'!AE37</f>
        <v>537413.48741411441</v>
      </c>
      <c r="V9" s="234">
        <f>'8'!AE34</f>
        <v>25568</v>
      </c>
      <c r="W9" s="235"/>
      <c r="X9" s="233">
        <f>'8'!AI37</f>
        <v>560459.72156476905</v>
      </c>
      <c r="Y9" s="234">
        <f>'8'!AI34</f>
        <v>25568</v>
      </c>
    </row>
    <row r="10" spans="1:25" ht="18" customHeight="1">
      <c r="A10" s="232" t="s">
        <v>213</v>
      </c>
      <c r="B10" s="237" t="s">
        <v>214</v>
      </c>
      <c r="C10" s="233">
        <f>'9'!D32</f>
        <v>65461.425394799648</v>
      </c>
      <c r="D10" s="234">
        <f>'9'!D29</f>
        <v>5655</v>
      </c>
      <c r="E10" s="235"/>
      <c r="F10" s="233">
        <f>'9'!E32</f>
        <v>67575.377298614825</v>
      </c>
      <c r="G10" s="234">
        <f>'9'!E29</f>
        <v>5655</v>
      </c>
      <c r="H10" s="235"/>
      <c r="I10" s="233">
        <f>'9'!F32</f>
        <v>69757.727889819915</v>
      </c>
      <c r="J10" s="234">
        <f>'9'!F29</f>
        <v>5655</v>
      </c>
      <c r="K10" s="235"/>
      <c r="L10" s="233">
        <f>'9'!G32</f>
        <v>70276.737588616204</v>
      </c>
      <c r="M10" s="234">
        <f>'9'!G29</f>
        <v>5655</v>
      </c>
      <c r="N10" s="235"/>
      <c r="O10" s="233">
        <f>'9'!H32</f>
        <v>72727.440857436683</v>
      </c>
      <c r="P10" s="234">
        <f>'9'!H29</f>
        <v>5655</v>
      </c>
      <c r="Q10" s="235"/>
      <c r="R10" s="233">
        <f>'9'!I32</f>
        <v>75637.215225033564</v>
      </c>
      <c r="S10" s="234">
        <f>'9'!I29</f>
        <v>5655</v>
      </c>
      <c r="T10" s="235"/>
      <c r="U10" s="233">
        <f>'9'!J32</f>
        <v>79051.793713458435</v>
      </c>
      <c r="V10" s="234">
        <f>'9'!J29</f>
        <v>5655</v>
      </c>
      <c r="W10" s="235"/>
      <c r="X10" s="233">
        <f>'9'!K32</f>
        <v>82620.328143977866</v>
      </c>
      <c r="Y10" s="234">
        <f>'9'!K29</f>
        <v>5655</v>
      </c>
    </row>
    <row r="11" spans="1:25" ht="24">
      <c r="A11" s="232" t="s">
        <v>215</v>
      </c>
      <c r="B11" s="237" t="s">
        <v>216</v>
      </c>
      <c r="C11" s="233">
        <f>'10'!G99</f>
        <v>612643.13155144209</v>
      </c>
      <c r="D11" s="234">
        <f>'10'!G96</f>
        <v>54856.04</v>
      </c>
      <c r="E11" s="235"/>
      <c r="F11" s="233">
        <f>'10'!K99</f>
        <v>626060.59539522196</v>
      </c>
      <c r="G11" s="234">
        <f>'10'!K96</f>
        <v>54856.4</v>
      </c>
      <c r="H11" s="235"/>
      <c r="I11" s="233">
        <f>'10'!O99</f>
        <v>650760.88340458693</v>
      </c>
      <c r="J11" s="234">
        <f>'10'!O96</f>
        <v>54856.76</v>
      </c>
      <c r="K11" s="235"/>
      <c r="L11" s="233">
        <f>'10'!S99</f>
        <v>666773.86236078409</v>
      </c>
      <c r="M11" s="234">
        <f>'10'!S96</f>
        <v>54863.18</v>
      </c>
      <c r="N11" s="235"/>
      <c r="O11" s="233">
        <f>'10'!W99</f>
        <v>689709.74303637398</v>
      </c>
      <c r="P11" s="234">
        <f>'10'!W96</f>
        <v>54863.91</v>
      </c>
      <c r="Q11" s="235"/>
      <c r="R11" s="233">
        <f>'10'!AA99</f>
        <v>716992.4409468649</v>
      </c>
      <c r="S11" s="234">
        <f>'10'!AA96</f>
        <v>54864.67</v>
      </c>
      <c r="T11" s="235"/>
      <c r="U11" s="233">
        <f>'10'!AE99</f>
        <v>749029.38355418097</v>
      </c>
      <c r="V11" s="234">
        <f>'10'!AE96</f>
        <v>54865.46</v>
      </c>
      <c r="W11" s="235"/>
      <c r="X11" s="233">
        <f>'10'!AI99</f>
        <v>782499.36241934204</v>
      </c>
      <c r="Y11" s="234">
        <f>'10'!AI96</f>
        <v>54866.28</v>
      </c>
    </row>
    <row r="12" spans="1:25" ht="18" customHeight="1">
      <c r="A12" s="232" t="s">
        <v>217</v>
      </c>
      <c r="B12" s="237" t="s">
        <v>218</v>
      </c>
      <c r="C12" s="233">
        <f>'11'!D48</f>
        <v>270165.42224744137</v>
      </c>
      <c r="D12" s="234">
        <f>'11'!D45</f>
        <v>20177</v>
      </c>
      <c r="E12" s="235"/>
      <c r="F12" s="233">
        <f>'11'!E48</f>
        <v>215745.12659077629</v>
      </c>
      <c r="G12" s="234">
        <f>'11'!E45</f>
        <v>20177</v>
      </c>
      <c r="H12" s="235"/>
      <c r="I12" s="233">
        <f>'11'!F48</f>
        <v>222706.76031350277</v>
      </c>
      <c r="J12" s="234">
        <f>'11'!F45</f>
        <v>20177</v>
      </c>
      <c r="K12" s="235"/>
      <c r="L12" s="233">
        <f>'11'!G48</f>
        <v>230450.29188119341</v>
      </c>
      <c r="M12" s="234">
        <f>'11'!G45</f>
        <v>20177</v>
      </c>
      <c r="N12" s="235"/>
      <c r="O12" s="233">
        <f>'11'!H48</f>
        <v>238463.56375142132</v>
      </c>
      <c r="P12" s="234">
        <f>'11'!H45</f>
        <v>20177</v>
      </c>
      <c r="Q12" s="235"/>
      <c r="R12" s="233">
        <f>'11'!I48</f>
        <v>247948.29827972394</v>
      </c>
      <c r="S12" s="234">
        <f>'11'!I45</f>
        <v>20177</v>
      </c>
      <c r="T12" s="235"/>
      <c r="U12" s="233">
        <f>'11'!J48</f>
        <v>259050.55454590445</v>
      </c>
      <c r="V12" s="234">
        <f>'11'!J45</f>
        <v>20177</v>
      </c>
      <c r="W12" s="235"/>
      <c r="X12" s="233">
        <f>'11'!K48</f>
        <v>270650.46606933902</v>
      </c>
      <c r="Y12" s="234">
        <f>'11'!K45</f>
        <v>20177</v>
      </c>
    </row>
    <row r="13" spans="1:25" ht="18" customHeight="1">
      <c r="A13" s="232" t="s">
        <v>219</v>
      </c>
      <c r="B13" s="237" t="s">
        <v>220</v>
      </c>
      <c r="C13" s="233">
        <f>'12'!H116</f>
        <v>918732.16066428402</v>
      </c>
      <c r="D13" s="234">
        <f>'12'!H113</f>
        <v>95030.549999999959</v>
      </c>
      <c r="E13" s="235"/>
      <c r="F13" s="233">
        <f>'12'!M116</f>
        <v>937311.36917411478</v>
      </c>
      <c r="G13" s="234">
        <f>'12'!M113</f>
        <v>95032.720000000045</v>
      </c>
      <c r="H13" s="235"/>
      <c r="I13" s="233">
        <f>'12'!R116</f>
        <v>972081.04446368897</v>
      </c>
      <c r="J13" s="234">
        <f>'12'!R113</f>
        <v>95034.890000000029</v>
      </c>
      <c r="K13" s="235"/>
      <c r="L13" s="233">
        <f>'12'!W116</f>
        <v>1015972.70164714</v>
      </c>
      <c r="M13" s="234">
        <f>'12'!W113</f>
        <v>95037.339999999967</v>
      </c>
      <c r="N13" s="235"/>
      <c r="O13" s="233">
        <f>'12'!AB116</f>
        <v>1051150.38042769</v>
      </c>
      <c r="P13" s="234">
        <f>'12'!AB113</f>
        <v>95039.930000000037</v>
      </c>
      <c r="Q13" s="235"/>
      <c r="R13" s="233">
        <f>'12'!AG116</f>
        <v>1092327.2017020201</v>
      </c>
      <c r="S13" s="234">
        <f>'12'!AG113</f>
        <v>95042.939999999988</v>
      </c>
      <c r="T13" s="235"/>
      <c r="U13" s="233">
        <f>'12'!AL116</f>
        <v>1140508.05571956</v>
      </c>
      <c r="V13" s="234">
        <f>'12'!AL113</f>
        <v>95046.439999999988</v>
      </c>
      <c r="W13" s="235"/>
      <c r="X13" s="233">
        <f>'12'!AQ116</f>
        <v>1190823.1880370595</v>
      </c>
      <c r="Y13" s="234">
        <f>'12'!AQ113</f>
        <v>95050.14999999998</v>
      </c>
    </row>
    <row r="14" spans="1:25" ht="18" customHeight="1">
      <c r="A14" s="232" t="s">
        <v>221</v>
      </c>
      <c r="B14" s="237" t="s">
        <v>222</v>
      </c>
      <c r="C14" s="233">
        <f>'13'!D32</f>
        <v>94952.531598164351</v>
      </c>
      <c r="D14" s="234">
        <f>'13'!D29</f>
        <v>5715.04</v>
      </c>
      <c r="E14" s="235"/>
      <c r="F14" s="233">
        <f>'13'!E32</f>
        <v>97997.263757704699</v>
      </c>
      <c r="G14" s="234">
        <f>'13'!E29</f>
        <v>5715.4</v>
      </c>
      <c r="H14" s="235"/>
      <c r="I14" s="233">
        <f>'13'!F32</f>
        <v>101139.9154356636</v>
      </c>
      <c r="J14" s="234">
        <f>'13'!F29</f>
        <v>5715.76</v>
      </c>
      <c r="K14" s="235"/>
      <c r="L14" s="233">
        <f>'13'!G32</f>
        <v>104636.49165406407</v>
      </c>
      <c r="M14" s="234">
        <f>'13'!G29</f>
        <v>5724.02</v>
      </c>
      <c r="N14" s="235"/>
      <c r="O14" s="233">
        <f>'13'!H32</f>
        <v>108254.24748081237</v>
      </c>
      <c r="P14" s="234">
        <f>'13'!H29</f>
        <v>5724.82</v>
      </c>
      <c r="Q14" s="235"/>
      <c r="R14" s="233">
        <f>'13'!I32</f>
        <v>112538.65939812231</v>
      </c>
      <c r="S14" s="234">
        <f>'13'!I29</f>
        <v>5725.65</v>
      </c>
      <c r="T14" s="235"/>
      <c r="U14" s="233">
        <f>'13'!J32</f>
        <v>117555.65233365761</v>
      </c>
      <c r="V14" s="234">
        <f>'13'!J29</f>
        <v>5726.52</v>
      </c>
      <c r="W14" s="235"/>
      <c r="X14" s="233">
        <f>'13'!K32</f>
        <v>122796.63001648369</v>
      </c>
      <c r="Y14" s="234">
        <f>'13'!K29</f>
        <v>5727.42</v>
      </c>
    </row>
    <row r="15" spans="1:25" ht="18" customHeight="1">
      <c r="A15" s="232" t="s">
        <v>223</v>
      </c>
      <c r="B15" s="237" t="s">
        <v>224</v>
      </c>
      <c r="C15" s="233">
        <f>'14'!G72</f>
        <v>576651.85052805196</v>
      </c>
      <c r="D15" s="234">
        <f>'14'!G69</f>
        <v>64370</v>
      </c>
      <c r="E15" s="235"/>
      <c r="F15" s="233">
        <f>'14'!K72</f>
        <v>576926.05761783198</v>
      </c>
      <c r="G15" s="234">
        <f>'14'!K69</f>
        <v>64370</v>
      </c>
      <c r="H15" s="235"/>
      <c r="I15" s="233">
        <f>'14'!O72</f>
        <v>661606.33830160403</v>
      </c>
      <c r="J15" s="234">
        <f>'14'!O69</f>
        <v>64370</v>
      </c>
      <c r="K15" s="235"/>
      <c r="L15" s="233">
        <f>'14'!S72</f>
        <v>688131.57375404192</v>
      </c>
      <c r="M15" s="234">
        <f>'14'!S69</f>
        <v>64370</v>
      </c>
      <c r="N15" s="235"/>
      <c r="O15" s="233">
        <f>'14'!W72</f>
        <v>712119.02087011305</v>
      </c>
      <c r="P15" s="234">
        <f>'14'!W69</f>
        <v>64370</v>
      </c>
      <c r="Q15" s="235"/>
      <c r="R15" s="233">
        <f>'14'!AA72</f>
        <v>740486.88247046317</v>
      </c>
      <c r="S15" s="234">
        <f>'14'!AA69</f>
        <v>64370</v>
      </c>
      <c r="T15" s="235"/>
      <c r="U15" s="233">
        <f>'14'!AE72</f>
        <v>773669.59836614598</v>
      </c>
      <c r="V15" s="234">
        <f>'14'!AE69</f>
        <v>64370</v>
      </c>
      <c r="W15" s="235"/>
      <c r="X15" s="233">
        <f>'14'!AI72</f>
        <v>808340.78335209296</v>
      </c>
      <c r="Y15" s="234">
        <f>'14'!AI69</f>
        <v>64370</v>
      </c>
    </row>
    <row r="16" spans="1:25" ht="18" customHeight="1">
      <c r="A16" s="232" t="s">
        <v>225</v>
      </c>
      <c r="B16" s="237" t="s">
        <v>226</v>
      </c>
      <c r="C16" s="233">
        <f>'15'!E93</f>
        <v>1250872.3600000001</v>
      </c>
      <c r="D16" s="234">
        <f>'15'!E90</f>
        <v>99519</v>
      </c>
      <c r="E16" s="235"/>
      <c r="F16" s="233">
        <f>'15'!G93</f>
        <v>692718.2899999998</v>
      </c>
      <c r="G16" s="234">
        <f>'15'!G90</f>
        <v>99519</v>
      </c>
      <c r="H16" s="235"/>
      <c r="I16" s="233">
        <f>'15'!I93</f>
        <v>713499.83</v>
      </c>
      <c r="J16" s="234">
        <f>'15'!I90</f>
        <v>99519</v>
      </c>
      <c r="K16" s="235"/>
      <c r="L16" s="233">
        <f>'15'!K93</f>
        <v>738300.31999999972</v>
      </c>
      <c r="M16" s="234">
        <f>'15'!K90</f>
        <v>99519</v>
      </c>
      <c r="N16" s="235"/>
      <c r="O16" s="233">
        <f>'15'!M93</f>
        <v>760449.31999999983</v>
      </c>
      <c r="P16" s="234">
        <f>'15'!M90</f>
        <v>99519</v>
      </c>
      <c r="Q16" s="235"/>
      <c r="R16" s="233">
        <f>'15'!O93</f>
        <v>790867.28</v>
      </c>
      <c r="S16" s="234">
        <f>'15'!O90</f>
        <v>99519</v>
      </c>
      <c r="T16" s="235"/>
      <c r="U16" s="233">
        <f>'15'!Q93</f>
        <v>822501.9800000001</v>
      </c>
      <c r="V16" s="234">
        <f>'15'!Q90</f>
        <v>99519</v>
      </c>
      <c r="W16" s="235"/>
      <c r="X16" s="233">
        <f>'15'!S93</f>
        <v>855402.07000000018</v>
      </c>
      <c r="Y16" s="234">
        <f>'15'!S90</f>
        <v>99519</v>
      </c>
    </row>
    <row r="17" spans="1:25" ht="18" customHeight="1">
      <c r="A17" s="232" t="s">
        <v>227</v>
      </c>
      <c r="B17" s="237" t="s">
        <v>228</v>
      </c>
      <c r="C17" s="233">
        <f>'16'!D18</f>
        <v>2080</v>
      </c>
      <c r="D17" s="234">
        <f>'16'!D15</f>
        <v>0</v>
      </c>
      <c r="E17" s="235"/>
      <c r="F17" s="233">
        <f>'16'!E18</f>
        <v>2184</v>
      </c>
      <c r="G17" s="234">
        <f>'16'!E15</f>
        <v>0</v>
      </c>
      <c r="H17" s="235"/>
      <c r="I17" s="233">
        <f>'16'!F18</f>
        <v>2293.1999999999998</v>
      </c>
      <c r="J17" s="234">
        <f>'16'!F15</f>
        <v>0</v>
      </c>
      <c r="K17" s="235"/>
      <c r="L17" s="233">
        <f>'16'!G18</f>
        <v>2407.86</v>
      </c>
      <c r="M17" s="234">
        <f>'16'!G15</f>
        <v>0</v>
      </c>
      <c r="N17" s="235"/>
      <c r="O17" s="233">
        <f>'16'!H18</f>
        <v>2528.2530000000006</v>
      </c>
      <c r="P17" s="234">
        <f>'16'!H15</f>
        <v>0</v>
      </c>
      <c r="Q17" s="235"/>
      <c r="R17" s="233">
        <f>'16'!I18</f>
        <v>2654.6656500000008</v>
      </c>
      <c r="S17" s="234">
        <f>'16'!I15</f>
        <v>0</v>
      </c>
      <c r="T17" s="235"/>
      <c r="U17" s="233">
        <f>'16'!J18</f>
        <v>2787.3989325000011</v>
      </c>
      <c r="V17" s="234">
        <f>'16'!J15</f>
        <v>0</v>
      </c>
      <c r="W17" s="235"/>
      <c r="X17" s="233">
        <f>'16'!K18</f>
        <v>2926.7688791250011</v>
      </c>
      <c r="Y17" s="234">
        <f>'16'!K15</f>
        <v>0</v>
      </c>
    </row>
    <row r="18" spans="1:25">
      <c r="A18" s="238" t="s">
        <v>229</v>
      </c>
      <c r="B18" s="239" t="s">
        <v>230</v>
      </c>
      <c r="C18" s="240"/>
      <c r="D18" s="241"/>
      <c r="E18" s="235"/>
      <c r="F18" s="240"/>
      <c r="G18" s="241"/>
      <c r="H18" s="235"/>
      <c r="I18" s="240"/>
      <c r="J18" s="241"/>
      <c r="K18" s="235"/>
      <c r="L18" s="240"/>
      <c r="M18" s="241"/>
      <c r="N18" s="235"/>
      <c r="O18" s="240"/>
      <c r="P18" s="241"/>
      <c r="Q18" s="235"/>
      <c r="R18" s="240"/>
      <c r="S18" s="241"/>
      <c r="T18" s="235"/>
      <c r="U18" s="240"/>
      <c r="V18" s="241"/>
      <c r="W18" s="235"/>
      <c r="X18" s="240"/>
      <c r="Y18" s="241"/>
    </row>
    <row r="19" spans="1:25">
      <c r="A19" s="238" t="s">
        <v>231</v>
      </c>
      <c r="B19" s="239" t="s">
        <v>230</v>
      </c>
      <c r="C19" s="240"/>
      <c r="D19" s="241"/>
      <c r="E19" s="235"/>
      <c r="F19" s="240"/>
      <c r="G19" s="241"/>
      <c r="H19" s="235"/>
      <c r="I19" s="240"/>
      <c r="J19" s="241"/>
      <c r="K19" s="235"/>
      <c r="L19" s="240"/>
      <c r="M19" s="241"/>
      <c r="N19" s="235"/>
      <c r="O19" s="240"/>
      <c r="P19" s="241"/>
      <c r="Q19" s="235"/>
      <c r="R19" s="240"/>
      <c r="S19" s="241"/>
      <c r="T19" s="235"/>
      <c r="U19" s="240"/>
      <c r="V19" s="241"/>
      <c r="W19" s="235"/>
      <c r="X19" s="240"/>
      <c r="Y19" s="241"/>
    </row>
    <row r="20" spans="1:25" ht="18" customHeight="1">
      <c r="A20" s="232" t="s">
        <v>232</v>
      </c>
      <c r="B20" s="237" t="s">
        <v>233</v>
      </c>
      <c r="C20" s="233">
        <f>'19'!E24</f>
        <v>771851.88399999996</v>
      </c>
      <c r="D20" s="234">
        <f>'19'!E21</f>
        <v>15934.07</v>
      </c>
      <c r="E20" s="235"/>
      <c r="F20" s="233">
        <f>'19'!G24</f>
        <v>757277.3</v>
      </c>
      <c r="G20" s="234">
        <f>'19'!G21</f>
        <v>15934.07</v>
      </c>
      <c r="H20" s="235"/>
      <c r="I20" s="233">
        <f>'19'!I24</f>
        <v>790990.59000000008</v>
      </c>
      <c r="J20" s="234">
        <f>'19'!I21</f>
        <v>15934.07</v>
      </c>
      <c r="K20" s="235"/>
      <c r="L20" s="233">
        <f>'19'!K24</f>
        <v>801274.005</v>
      </c>
      <c r="M20" s="234">
        <f>'19'!K21</f>
        <v>15934.07</v>
      </c>
      <c r="N20" s="235"/>
      <c r="O20" s="233">
        <f>'19'!M24</f>
        <v>821895.06187500001</v>
      </c>
      <c r="P20" s="234">
        <f>'19'!M21</f>
        <v>15934.07</v>
      </c>
      <c r="Q20" s="235"/>
      <c r="R20" s="233">
        <f>'19'!O24</f>
        <v>842849.79042187496</v>
      </c>
      <c r="S20" s="234">
        <f>'19'!O21</f>
        <v>15934.07</v>
      </c>
      <c r="T20" s="235"/>
      <c r="U20" s="233">
        <f>'19'!Q24</f>
        <v>864334.08668242209</v>
      </c>
      <c r="V20" s="234">
        <f>'19'!Q21</f>
        <v>15934.07</v>
      </c>
      <c r="W20" s="235"/>
      <c r="X20" s="233">
        <f>'19'!S24</f>
        <v>886362.41259948188</v>
      </c>
      <c r="Y20" s="234">
        <f>'19'!S21</f>
        <v>15934.07</v>
      </c>
    </row>
    <row r="21" spans="1:25">
      <c r="A21" s="238" t="s">
        <v>234</v>
      </c>
      <c r="B21" s="239" t="s">
        <v>230</v>
      </c>
      <c r="C21" s="242"/>
      <c r="D21" s="243"/>
      <c r="E21" s="235"/>
      <c r="F21" s="240"/>
      <c r="G21" s="241"/>
      <c r="H21" s="235"/>
      <c r="I21" s="240"/>
      <c r="J21" s="241"/>
      <c r="K21" s="235"/>
      <c r="L21" s="240"/>
      <c r="M21" s="241"/>
      <c r="N21" s="235"/>
      <c r="O21" s="240"/>
      <c r="P21" s="241"/>
      <c r="Q21" s="235"/>
      <c r="R21" s="240"/>
      <c r="S21" s="241"/>
      <c r="T21" s="235"/>
      <c r="U21" s="240"/>
      <c r="V21" s="241"/>
      <c r="W21" s="235"/>
      <c r="X21" s="240"/>
      <c r="Y21" s="241"/>
    </row>
    <row r="22" spans="1:25" ht="18" customHeight="1">
      <c r="A22" s="232" t="s">
        <v>235</v>
      </c>
      <c r="B22" s="237" t="s">
        <v>236</v>
      </c>
      <c r="C22" s="233">
        <f>'21'!E18</f>
        <v>0</v>
      </c>
      <c r="D22" s="234">
        <f>'21'!E15</f>
        <v>0</v>
      </c>
      <c r="E22" s="235"/>
      <c r="F22" s="233">
        <f>'21'!G18</f>
        <v>0</v>
      </c>
      <c r="G22" s="234">
        <f>'21'!G15</f>
        <v>0</v>
      </c>
      <c r="H22" s="235"/>
      <c r="I22" s="233">
        <f>'21'!I18</f>
        <v>0</v>
      </c>
      <c r="J22" s="234">
        <f>'21'!I15</f>
        <v>0</v>
      </c>
      <c r="K22" s="235"/>
      <c r="L22" s="233">
        <f>'21'!K18</f>
        <v>0</v>
      </c>
      <c r="M22" s="234">
        <f>'21'!K15</f>
        <v>0</v>
      </c>
      <c r="N22" s="235"/>
      <c r="O22" s="233">
        <f>'21'!M18</f>
        <v>0</v>
      </c>
      <c r="P22" s="234">
        <f>'21'!M15</f>
        <v>0</v>
      </c>
      <c r="Q22" s="235"/>
      <c r="R22" s="233">
        <f>'21'!O18</f>
        <v>0</v>
      </c>
      <c r="S22" s="234">
        <f>'21'!O15</f>
        <v>0</v>
      </c>
      <c r="T22" s="235"/>
      <c r="U22" s="233">
        <f>'21'!Q18</f>
        <v>0</v>
      </c>
      <c r="V22" s="234">
        <f>'21'!Q15</f>
        <v>0</v>
      </c>
      <c r="W22" s="235"/>
      <c r="X22" s="233">
        <f>'21'!S18</f>
        <v>0</v>
      </c>
      <c r="Y22" s="234">
        <f>'21'!S15</f>
        <v>0</v>
      </c>
    </row>
    <row r="23" spans="1:25" ht="18" customHeight="1">
      <c r="A23" s="232" t="s">
        <v>237</v>
      </c>
      <c r="B23" s="237" t="s">
        <v>238</v>
      </c>
      <c r="C23" s="233">
        <f>'22'!H19</f>
        <v>67419</v>
      </c>
      <c r="D23" s="234">
        <f>'22'!H16</f>
        <v>0</v>
      </c>
      <c r="E23" s="235"/>
      <c r="F23" s="233">
        <f>'22'!L19</f>
        <v>57594.6</v>
      </c>
      <c r="G23" s="234">
        <f>'22'!L16</f>
        <v>0</v>
      </c>
      <c r="H23" s="235"/>
      <c r="I23" s="233">
        <f>'22'!P19</f>
        <v>70631.137499999997</v>
      </c>
      <c r="J23" s="234">
        <f>'22'!P16</f>
        <v>0</v>
      </c>
      <c r="K23" s="235"/>
      <c r="L23" s="233">
        <f>'22'!T19</f>
        <v>74162.689874999996</v>
      </c>
      <c r="M23" s="234">
        <f>'22'!T16</f>
        <v>0</v>
      </c>
      <c r="N23" s="235"/>
      <c r="O23" s="233">
        <f>'22'!X19</f>
        <v>77870.825868749991</v>
      </c>
      <c r="P23" s="234">
        <f>'22'!X16</f>
        <v>0</v>
      </c>
      <c r="Q23" s="235"/>
      <c r="R23" s="233">
        <f>'22'!AB19</f>
        <v>81764.366662187502</v>
      </c>
      <c r="S23" s="234">
        <f>'22'!AB16</f>
        <v>0</v>
      </c>
      <c r="T23" s="235"/>
      <c r="U23" s="233">
        <f>'22'!AF19</f>
        <v>85852.587995296868</v>
      </c>
      <c r="V23" s="234">
        <f>'22'!AF16</f>
        <v>0</v>
      </c>
      <c r="W23" s="235"/>
      <c r="X23" s="233">
        <f>'22'!AJ19</f>
        <v>90145.213395061728</v>
      </c>
      <c r="Y23" s="234">
        <f>'22'!AJ16</f>
        <v>0</v>
      </c>
    </row>
    <row r="24" spans="1:25" ht="18" customHeight="1">
      <c r="A24" s="232" t="s">
        <v>239</v>
      </c>
      <c r="B24" s="237" t="s">
        <v>240</v>
      </c>
      <c r="C24" s="233">
        <f>'23'!E22</f>
        <v>11968</v>
      </c>
      <c r="D24" s="234">
        <f>'23'!E19</f>
        <v>0</v>
      </c>
      <c r="E24" s="235"/>
      <c r="F24" s="233">
        <f>'23'!G22</f>
        <v>10053.119999999999</v>
      </c>
      <c r="G24" s="234">
        <f>'23'!G19</f>
        <v>0</v>
      </c>
      <c r="H24" s="235"/>
      <c r="I24" s="233">
        <f>'23'!I22</f>
        <v>10555.779999999999</v>
      </c>
      <c r="J24" s="234">
        <f>'23'!I19</f>
        <v>0</v>
      </c>
      <c r="K24" s="235"/>
      <c r="L24" s="233">
        <f>'23'!K22</f>
        <v>11083.566000000001</v>
      </c>
      <c r="M24" s="234">
        <f>'23'!K19</f>
        <v>0</v>
      </c>
      <c r="N24" s="235"/>
      <c r="O24" s="233">
        <f>'23'!M22</f>
        <v>11637.748800000001</v>
      </c>
      <c r="P24" s="234">
        <f>'23'!M19</f>
        <v>0</v>
      </c>
      <c r="Q24" s="235"/>
      <c r="R24" s="233">
        <f>'23'!O22</f>
        <v>12219.637740000002</v>
      </c>
      <c r="S24" s="234">
        <f>'23'!O19</f>
        <v>0</v>
      </c>
      <c r="T24" s="235"/>
      <c r="U24" s="233">
        <f>'23'!Q22</f>
        <v>12830.614627000003</v>
      </c>
      <c r="V24" s="234">
        <f>'23'!Q19</f>
        <v>0</v>
      </c>
      <c r="W24" s="235"/>
      <c r="X24" s="233">
        <f>'23'!S22</f>
        <v>13472.147858350001</v>
      </c>
      <c r="Y24" s="234">
        <f>'23'!S19</f>
        <v>0</v>
      </c>
    </row>
    <row r="25" spans="1:25" ht="18" customHeight="1">
      <c r="A25" s="232" t="s">
        <v>241</v>
      </c>
      <c r="B25" s="237" t="s">
        <v>242</v>
      </c>
      <c r="C25" s="233">
        <f>'24'!G20</f>
        <v>19450</v>
      </c>
      <c r="D25" s="234">
        <f>'24'!G17</f>
        <v>0</v>
      </c>
      <c r="E25" s="235"/>
      <c r="F25" s="233">
        <f>'24'!K20</f>
        <v>20219.099999999999</v>
      </c>
      <c r="G25" s="234">
        <f>'24'!K17</f>
        <v>0</v>
      </c>
      <c r="H25" s="235"/>
      <c r="I25" s="233">
        <f>'24'!O20</f>
        <v>25025.055</v>
      </c>
      <c r="J25" s="234">
        <f>'24'!O17</f>
        <v>0</v>
      </c>
      <c r="K25" s="235"/>
      <c r="L25" s="233">
        <f>'24'!S20</f>
        <v>27076.556250000001</v>
      </c>
      <c r="M25" s="234">
        <f>'24'!S17</f>
        <v>0</v>
      </c>
      <c r="N25" s="235"/>
      <c r="O25" s="233">
        <f>'24'!W20</f>
        <v>30516.306562500002</v>
      </c>
      <c r="P25" s="234">
        <f>'24'!W17</f>
        <v>0</v>
      </c>
      <c r="Q25" s="235"/>
      <c r="R25" s="233">
        <f>'24'!AA20</f>
        <v>32042.116390625004</v>
      </c>
      <c r="S25" s="234">
        <f>'24'!AA17</f>
        <v>0</v>
      </c>
      <c r="T25" s="235"/>
      <c r="U25" s="233">
        <f>'24'!AE20</f>
        <v>33644.220210156258</v>
      </c>
      <c r="V25" s="234">
        <f>'24'!AE17</f>
        <v>0</v>
      </c>
      <c r="W25" s="235"/>
      <c r="X25" s="233">
        <f>'24'!AI20</f>
        <v>35326.423220664066</v>
      </c>
      <c r="Y25" s="234">
        <f>'24'!AI17</f>
        <v>0</v>
      </c>
    </row>
    <row r="26" spans="1:25" ht="18" customHeight="1">
      <c r="A26" s="232" t="s">
        <v>243</v>
      </c>
      <c r="B26" s="237" t="s">
        <v>244</v>
      </c>
      <c r="C26" s="233">
        <f>'25'!D26</f>
        <v>130489</v>
      </c>
      <c r="D26" s="234">
        <f>'25'!D23</f>
        <v>0</v>
      </c>
      <c r="E26" s="235"/>
      <c r="F26" s="233">
        <f>'25'!E26</f>
        <v>119502.59000000001</v>
      </c>
      <c r="G26" s="234">
        <f>'25'!E23</f>
        <v>0</v>
      </c>
      <c r="H26" s="235"/>
      <c r="I26" s="233">
        <f>'25'!F26</f>
        <v>134695.4725</v>
      </c>
      <c r="J26" s="234">
        <f>'25'!F23</f>
        <v>0</v>
      </c>
      <c r="K26" s="235"/>
      <c r="L26" s="233">
        <f>'25'!G26</f>
        <v>141543.74862500004</v>
      </c>
      <c r="M26" s="234">
        <f>'25'!G23</f>
        <v>0</v>
      </c>
      <c r="N26" s="235"/>
      <c r="O26" s="233">
        <f>'25'!H26</f>
        <v>148217.71505625005</v>
      </c>
      <c r="P26" s="234">
        <f>'25'!H23</f>
        <v>0</v>
      </c>
      <c r="Q26" s="235"/>
      <c r="R26" s="233">
        <f>'25'!I26</f>
        <v>155074.39480906259</v>
      </c>
      <c r="S26" s="234">
        <f>'25'!I23</f>
        <v>0</v>
      </c>
      <c r="T26" s="235"/>
      <c r="U26" s="233">
        <f>'25'!J26</f>
        <v>162687.41004951569</v>
      </c>
      <c r="V26" s="234">
        <f>'25'!J23</f>
        <v>0</v>
      </c>
      <c r="W26" s="235"/>
      <c r="X26" s="233">
        <f>'25'!K26</f>
        <v>170683.48705199143</v>
      </c>
      <c r="Y26" s="234">
        <f>'25'!K23</f>
        <v>0</v>
      </c>
    </row>
    <row r="27" spans="1:25" ht="18" customHeight="1">
      <c r="A27" s="232" t="s">
        <v>245</v>
      </c>
      <c r="B27" s="237" t="s">
        <v>246</v>
      </c>
      <c r="C27" s="233">
        <f>'30'!D8</f>
        <v>4950448.3600000003</v>
      </c>
      <c r="D27" s="234"/>
      <c r="E27" s="235"/>
      <c r="F27" s="233">
        <f>'30'!E8</f>
        <v>5382246.9100000011</v>
      </c>
      <c r="G27" s="234"/>
      <c r="H27" s="235"/>
      <c r="I27" s="233">
        <f>'30'!F8</f>
        <v>5863993.6799999997</v>
      </c>
      <c r="J27" s="234"/>
      <c r="K27" s="235"/>
      <c r="L27" s="233">
        <f>'30'!G8</f>
        <v>6154163.7800000003</v>
      </c>
      <c r="M27" s="234"/>
      <c r="N27" s="235"/>
      <c r="O27" s="233">
        <f>'30'!H8</f>
        <v>7930291.7599999998</v>
      </c>
      <c r="P27" s="234"/>
      <c r="Q27" s="235"/>
      <c r="R27" s="233">
        <f>'30'!I8</f>
        <v>7422638.0999999996</v>
      </c>
      <c r="S27" s="234"/>
      <c r="T27" s="235"/>
      <c r="U27" s="233">
        <f>'30'!J8</f>
        <v>7747864.0099999998</v>
      </c>
      <c r="V27" s="234"/>
      <c r="W27" s="235"/>
      <c r="X27" s="233">
        <f>'30'!K8</f>
        <v>8446911.6999999993</v>
      </c>
      <c r="Y27" s="234"/>
    </row>
    <row r="28" spans="1:25" ht="18" customHeight="1">
      <c r="A28" s="232" t="s">
        <v>247</v>
      </c>
      <c r="B28" s="237" t="s">
        <v>248</v>
      </c>
      <c r="C28" s="233">
        <f>'31'!D40</f>
        <v>117024.1997398774</v>
      </c>
      <c r="D28" s="234">
        <f>'31'!D37</f>
        <v>7160</v>
      </c>
      <c r="E28" s="235"/>
      <c r="F28" s="233">
        <f>'31'!E40</f>
        <v>120801.28693601287</v>
      </c>
      <c r="G28" s="234">
        <f>'31'!E37</f>
        <v>7160</v>
      </c>
      <c r="H28" s="235"/>
      <c r="I28" s="233">
        <f>'31'!F40</f>
        <v>124700.53998187603</v>
      </c>
      <c r="J28" s="234">
        <f>'31'!F37</f>
        <v>7160</v>
      </c>
      <c r="K28" s="235"/>
      <c r="L28" s="233">
        <f>'31'!G40</f>
        <v>129037.66735414439</v>
      </c>
      <c r="M28" s="234">
        <f>'31'!G37</f>
        <v>7160</v>
      </c>
      <c r="N28" s="235"/>
      <c r="O28" s="233">
        <f>'31'!H40</f>
        <v>133525.9093962647</v>
      </c>
      <c r="P28" s="234">
        <f>'31'!H37</f>
        <v>7160</v>
      </c>
      <c r="Q28" s="235"/>
      <c r="R28" s="233">
        <f>'31'!I40</f>
        <v>138838.16754895868</v>
      </c>
      <c r="S28" s="234">
        <f>'31'!I37</f>
        <v>7160</v>
      </c>
      <c r="T28" s="235"/>
      <c r="U28" s="233">
        <f>'31'!J40</f>
        <v>145056.24351881046</v>
      </c>
      <c r="V28" s="234">
        <f>'31'!J37</f>
        <v>7160</v>
      </c>
      <c r="W28" s="235"/>
      <c r="X28" s="233">
        <f>'31'!K40</f>
        <v>151553.09545236087</v>
      </c>
      <c r="Y28" s="234">
        <f>'31'!K37</f>
        <v>7160</v>
      </c>
    </row>
    <row r="29" spans="1:25" ht="18" customHeight="1">
      <c r="A29" s="232" t="s">
        <v>249</v>
      </c>
      <c r="B29" s="237" t="s">
        <v>250</v>
      </c>
      <c r="C29" s="233">
        <f>'32'!D28</f>
        <v>136166.16</v>
      </c>
      <c r="D29" s="234">
        <f>'32'!D41</f>
        <v>0</v>
      </c>
      <c r="E29" s="235"/>
      <c r="F29" s="233">
        <f>'32'!E28</f>
        <v>1705221.7600000002</v>
      </c>
      <c r="G29" s="234">
        <f>'32'!E41</f>
        <v>0</v>
      </c>
      <c r="H29" s="235"/>
      <c r="I29" s="233">
        <f>'32'!F45</f>
        <v>606623.91</v>
      </c>
      <c r="J29" s="234">
        <f>'32'!F41</f>
        <v>0</v>
      </c>
      <c r="K29" s="235"/>
      <c r="L29" s="233">
        <f>'32'!G28</f>
        <v>2291992.5700000003</v>
      </c>
      <c r="M29" s="234">
        <f>'32'!G41</f>
        <v>0</v>
      </c>
      <c r="N29" s="235"/>
      <c r="O29" s="233">
        <f>'32'!H28</f>
        <v>2374815.5400000005</v>
      </c>
      <c r="P29" s="234">
        <f>'32'!H41</f>
        <v>0</v>
      </c>
      <c r="Q29" s="235"/>
      <c r="R29" s="233">
        <f>'32'!I28</f>
        <v>2445448.6800000002</v>
      </c>
      <c r="S29" s="234">
        <f>'32'!I41</f>
        <v>0</v>
      </c>
      <c r="T29" s="235"/>
      <c r="U29" s="233">
        <f>'32'!J28</f>
        <v>2463343.4700000007</v>
      </c>
      <c r="V29" s="234">
        <f>'32'!J41</f>
        <v>0</v>
      </c>
      <c r="W29" s="235"/>
      <c r="X29" s="233">
        <f>'32'!K28</f>
        <v>2550340.1299999994</v>
      </c>
      <c r="Y29" s="234">
        <f>'32'!K41</f>
        <v>0</v>
      </c>
    </row>
    <row r="30" spans="1:25">
      <c r="C30" s="245">
        <f>SUM(C3:C29)</f>
        <v>11934084.624649342</v>
      </c>
      <c r="D30" s="246">
        <f>SUM(D3:D29)</f>
        <v>494571.69999999995</v>
      </c>
      <c r="E30" s="247"/>
      <c r="F30" s="245">
        <f>SUM(F3:F29)</f>
        <v>13399118.783497542</v>
      </c>
      <c r="G30" s="246">
        <f>SUM(G3:G29)</f>
        <v>494574.59000000008</v>
      </c>
      <c r="H30" s="247"/>
      <c r="I30" s="245">
        <f>SUM(I3:I29)</f>
        <v>13137099.11503356</v>
      </c>
      <c r="J30" s="246">
        <f>SUM(J3:J29)</f>
        <v>494577.48000000004</v>
      </c>
      <c r="K30" s="247"/>
      <c r="L30" s="245">
        <f>SUM(L3:L29)</f>
        <v>15259799.23821239</v>
      </c>
      <c r="M30" s="246">
        <f>SUM(M3:M29)</f>
        <v>494594.61</v>
      </c>
      <c r="N30" s="247"/>
      <c r="O30" s="245">
        <f>SUM(O3:O29)</f>
        <v>17345734.486209691</v>
      </c>
      <c r="P30" s="246">
        <f>SUM(P3:P29)</f>
        <v>494598.73000000004</v>
      </c>
      <c r="Q30" s="247"/>
      <c r="R30" s="245">
        <f>SUM(R3:R29)</f>
        <v>17078608.525832906</v>
      </c>
      <c r="S30" s="246">
        <f>SUM(S3:S29)</f>
        <v>494603.33</v>
      </c>
      <c r="T30" s="247"/>
      <c r="U30" s="245">
        <f>SUM(U3:U29)</f>
        <v>17723970.252803616</v>
      </c>
      <c r="V30" s="246">
        <f>SUM(V3:V29)</f>
        <v>494608.49</v>
      </c>
      <c r="W30" s="247"/>
      <c r="X30" s="245">
        <f>SUM(X3:X29)</f>
        <v>18825241.269697711</v>
      </c>
      <c r="Y30" s="246">
        <f>SUM(Y3:Y29)</f>
        <v>494613.92</v>
      </c>
    </row>
  </sheetData>
  <mergeCells count="8">
    <mergeCell ref="C1:D1"/>
    <mergeCell ref="X1:Y1"/>
    <mergeCell ref="U1:V1"/>
    <mergeCell ref="R1:S1"/>
    <mergeCell ref="F1:G1"/>
    <mergeCell ref="I1:J1"/>
    <mergeCell ref="L1:M1"/>
    <mergeCell ref="O1:P1"/>
  </mergeCells>
  <phoneticPr fontId="0" type="noConversion"/>
  <printOptions horizontalCentered="1"/>
  <pageMargins left="0.31496062992126" right="0.31496062992126" top="0.734251969" bottom="0.734251969" header="0.511811023622047" footer="0.511811023622047"/>
  <pageSetup paperSize="9" firstPageNumber="5" orientation="landscape" r:id="rId1"/>
  <headerFooter alignWithMargins="0">
    <oddHeader>&amp;L2nd Evaluation&amp;C&amp;"Calibri"&amp;10&amp;K737373Serco Business&amp;1#_x000D_&amp;"Calibri"&amp;11&amp;K000000&amp;"Calibri"&amp;11&amp;K000000&amp;"Arial,Bold"RESTRICTED - CONTRACTS</oddHeader>
    <oddFooter xml:space="preserve">&amp;L&amp;8PTC/CB/00642&amp;C&amp;10 1-&amp;P
&amp;"Arial,Bold"RESTRICTED - CONTRACTS&amp;R&amp;8Cranwell/Serco Pricing Summary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BI78"/>
  <sheetViews>
    <sheetView topLeftCell="A57" zoomScale="75" workbookViewId="0">
      <selection activeCell="J72" sqref="J72"/>
    </sheetView>
  </sheetViews>
  <sheetFormatPr defaultColWidth="14.7109375" defaultRowHeight="12"/>
  <cols>
    <col min="1" max="1" width="9.28515625" style="13" bestFit="1" customWidth="1"/>
    <col min="2" max="2" width="2.7109375" style="13" customWidth="1"/>
    <col min="3" max="3" width="21.140625" style="13" customWidth="1"/>
    <col min="4" max="4" width="2.7109375" style="13" customWidth="1"/>
    <col min="5" max="5" width="14.7109375" style="24" customWidth="1"/>
    <col min="6" max="12" width="14.7109375" style="17" customWidth="1"/>
    <col min="13" max="61" width="14.7109375" style="17" customWidth="1" collapsed="1"/>
    <col min="62" max="16384" width="14.7109375" style="17"/>
  </cols>
  <sheetData>
    <row r="1" spans="1:12" ht="24">
      <c r="E1" s="14" t="s">
        <v>189</v>
      </c>
      <c r="F1" s="15" t="s">
        <v>190</v>
      </c>
      <c r="G1" s="16" t="s">
        <v>191</v>
      </c>
      <c r="H1" s="15" t="s">
        <v>192</v>
      </c>
      <c r="I1" s="16" t="s">
        <v>193</v>
      </c>
      <c r="J1" s="15" t="s">
        <v>194</v>
      </c>
      <c r="K1" s="15" t="s">
        <v>251</v>
      </c>
      <c r="L1" s="15" t="s">
        <v>252</v>
      </c>
    </row>
    <row r="2" spans="1:12" ht="24">
      <c r="A2" s="18" t="s">
        <v>253</v>
      </c>
      <c r="B2" s="18"/>
      <c r="C2" s="18"/>
      <c r="D2" s="18"/>
      <c r="E2" s="19" t="s">
        <v>254</v>
      </c>
      <c r="F2" s="20" t="s">
        <v>254</v>
      </c>
      <c r="G2" s="20" t="s">
        <v>254</v>
      </c>
      <c r="H2" s="20" t="s">
        <v>254</v>
      </c>
      <c r="I2" s="20" t="s">
        <v>254</v>
      </c>
      <c r="J2" s="20" t="s">
        <v>254</v>
      </c>
      <c r="K2" s="20" t="s">
        <v>254</v>
      </c>
      <c r="L2" s="20" t="s">
        <v>254</v>
      </c>
    </row>
    <row r="3" spans="1:12">
      <c r="A3" s="13" t="s">
        <v>255</v>
      </c>
      <c r="C3" s="222" t="s">
        <v>256</v>
      </c>
      <c r="E3" s="21" t="s">
        <v>257</v>
      </c>
    </row>
    <row r="4" spans="1:12">
      <c r="A4" s="13" t="s">
        <v>258</v>
      </c>
      <c r="C4" s="222" t="s">
        <v>259</v>
      </c>
      <c r="E4" s="17"/>
    </row>
    <row r="5" spans="1:12" ht="36">
      <c r="A5" s="13" t="s">
        <v>260</v>
      </c>
      <c r="C5" t="s">
        <v>261</v>
      </c>
      <c r="E5" s="22">
        <v>1775</v>
      </c>
      <c r="F5" s="22">
        <v>1775</v>
      </c>
      <c r="G5" s="23">
        <v>1775</v>
      </c>
      <c r="H5" s="22">
        <v>1775</v>
      </c>
      <c r="I5" s="22">
        <v>1775</v>
      </c>
      <c r="J5" s="22">
        <v>1775</v>
      </c>
      <c r="K5" s="22">
        <v>1775</v>
      </c>
      <c r="L5" s="22">
        <v>1775</v>
      </c>
    </row>
    <row r="6" spans="1:12">
      <c r="A6" s="13" t="s">
        <v>262</v>
      </c>
      <c r="C6" s="222" t="s">
        <v>263</v>
      </c>
      <c r="E6" s="17"/>
    </row>
    <row r="7" spans="1:12" ht="48">
      <c r="A7" s="13" t="s">
        <v>264</v>
      </c>
      <c r="C7" t="s">
        <v>265</v>
      </c>
      <c r="E7" s="22">
        <v>265</v>
      </c>
      <c r="F7" s="22">
        <v>265</v>
      </c>
      <c r="G7" s="23">
        <v>265</v>
      </c>
      <c r="H7" s="22">
        <v>265</v>
      </c>
      <c r="I7" s="22">
        <v>265</v>
      </c>
      <c r="J7" s="22">
        <v>265</v>
      </c>
      <c r="K7" s="22">
        <v>265</v>
      </c>
      <c r="L7" s="22">
        <v>265</v>
      </c>
    </row>
    <row r="8" spans="1:12">
      <c r="A8" s="13" t="s">
        <v>266</v>
      </c>
      <c r="C8" s="222" t="s">
        <v>267</v>
      </c>
      <c r="E8" s="17"/>
    </row>
    <row r="9" spans="1:12" ht="36">
      <c r="A9" s="13" t="s">
        <v>268</v>
      </c>
      <c r="C9" t="s">
        <v>269</v>
      </c>
      <c r="E9" s="22">
        <v>415</v>
      </c>
      <c r="F9" s="22">
        <v>415</v>
      </c>
      <c r="G9" s="23">
        <v>415</v>
      </c>
      <c r="H9" s="22">
        <v>415</v>
      </c>
      <c r="I9" s="22">
        <v>415</v>
      </c>
      <c r="J9" s="22">
        <v>415</v>
      </c>
      <c r="K9" s="22">
        <v>415</v>
      </c>
      <c r="L9" s="22">
        <v>415</v>
      </c>
    </row>
    <row r="10" spans="1:12" ht="36">
      <c r="A10" s="13" t="s">
        <v>270</v>
      </c>
      <c r="C10" t="s">
        <v>271</v>
      </c>
      <c r="E10" s="22">
        <v>250</v>
      </c>
      <c r="F10" s="22">
        <v>250</v>
      </c>
      <c r="G10" s="23">
        <v>250</v>
      </c>
      <c r="H10" s="22">
        <v>250</v>
      </c>
      <c r="I10" s="22">
        <v>250</v>
      </c>
      <c r="J10" s="22">
        <v>250</v>
      </c>
      <c r="K10" s="22">
        <v>250</v>
      </c>
      <c r="L10" s="22">
        <v>250</v>
      </c>
    </row>
    <row r="11" spans="1:12">
      <c r="A11" s="13" t="s">
        <v>272</v>
      </c>
      <c r="C11" s="222" t="s">
        <v>273</v>
      </c>
      <c r="E11" s="17"/>
    </row>
    <row r="12" spans="1:12" ht="36">
      <c r="A12" s="13" t="s">
        <v>274</v>
      </c>
      <c r="C12" t="s">
        <v>275</v>
      </c>
      <c r="E12" s="22">
        <v>415</v>
      </c>
      <c r="F12" s="22">
        <v>415</v>
      </c>
      <c r="G12" s="23">
        <v>415</v>
      </c>
      <c r="H12" s="22">
        <v>415</v>
      </c>
      <c r="I12" s="22">
        <v>415</v>
      </c>
      <c r="J12" s="22">
        <v>415</v>
      </c>
      <c r="K12" s="22">
        <v>415</v>
      </c>
      <c r="L12" s="22">
        <v>415</v>
      </c>
    </row>
    <row r="13" spans="1:12" ht="24">
      <c r="A13" s="13" t="s">
        <v>276</v>
      </c>
      <c r="C13" t="s">
        <v>277</v>
      </c>
      <c r="E13" s="22">
        <v>150</v>
      </c>
      <c r="F13" s="22">
        <v>150</v>
      </c>
      <c r="G13" s="23">
        <v>150</v>
      </c>
      <c r="H13" s="22">
        <v>150</v>
      </c>
      <c r="I13" s="22">
        <v>150</v>
      </c>
      <c r="J13" s="22">
        <v>150</v>
      </c>
      <c r="K13" s="22">
        <v>150</v>
      </c>
      <c r="L13" s="22">
        <v>150</v>
      </c>
    </row>
    <row r="14" spans="1:12">
      <c r="A14" s="13" t="s">
        <v>278</v>
      </c>
      <c r="C14" s="8" t="s">
        <v>279</v>
      </c>
      <c r="F14" s="24"/>
      <c r="G14" s="24"/>
      <c r="H14" s="24"/>
      <c r="I14" s="24"/>
      <c r="J14" s="24"/>
      <c r="K14" s="24"/>
      <c r="L14" s="24"/>
    </row>
    <row r="15" spans="1:12" ht="72">
      <c r="A15" s="13" t="s">
        <v>280</v>
      </c>
      <c r="C15" t="s">
        <v>281</v>
      </c>
      <c r="E15" s="22">
        <v>600</v>
      </c>
      <c r="F15" s="22">
        <v>600</v>
      </c>
      <c r="G15" s="23">
        <v>600</v>
      </c>
      <c r="H15" s="22">
        <v>600</v>
      </c>
      <c r="I15" s="22">
        <v>600</v>
      </c>
      <c r="J15" s="22">
        <v>600</v>
      </c>
      <c r="K15" s="22">
        <v>600</v>
      </c>
      <c r="L15" s="22">
        <v>600</v>
      </c>
    </row>
    <row r="16" spans="1:12" ht="84">
      <c r="A16" s="13" t="s">
        <v>282</v>
      </c>
      <c r="C16" t="s">
        <v>283</v>
      </c>
      <c r="E16" s="22">
        <v>310</v>
      </c>
      <c r="F16" s="22">
        <v>310</v>
      </c>
      <c r="G16" s="23">
        <v>310</v>
      </c>
      <c r="H16" s="22">
        <v>310</v>
      </c>
      <c r="I16" s="22">
        <v>310</v>
      </c>
      <c r="J16" s="22">
        <v>310</v>
      </c>
      <c r="K16" s="22">
        <v>310</v>
      </c>
      <c r="L16" s="22">
        <v>310</v>
      </c>
    </row>
    <row r="17" spans="1:12">
      <c r="A17" s="17" t="s">
        <v>284</v>
      </c>
      <c r="B17" s="17"/>
      <c r="C17" s="222" t="s">
        <v>285</v>
      </c>
      <c r="D17" s="17"/>
      <c r="F17" s="24"/>
      <c r="G17" s="24"/>
      <c r="H17" s="24"/>
      <c r="I17" s="24"/>
      <c r="J17" s="24"/>
      <c r="K17" s="24"/>
      <c r="L17" s="24"/>
    </row>
    <row r="18" spans="1:12" ht="180">
      <c r="A18" s="17" t="s">
        <v>286</v>
      </c>
      <c r="B18" s="17"/>
      <c r="C18" t="s">
        <v>287</v>
      </c>
      <c r="D18" s="17"/>
      <c r="E18" s="22">
        <v>150</v>
      </c>
      <c r="F18" s="22">
        <v>150</v>
      </c>
      <c r="G18" s="23">
        <v>150</v>
      </c>
      <c r="H18" s="22">
        <v>150</v>
      </c>
      <c r="I18" s="22">
        <v>150</v>
      </c>
      <c r="J18" s="22">
        <v>150</v>
      </c>
      <c r="K18" s="22">
        <v>150</v>
      </c>
      <c r="L18" s="22">
        <v>150</v>
      </c>
    </row>
    <row r="19" spans="1:12">
      <c r="A19" s="13" t="s">
        <v>288</v>
      </c>
      <c r="C19" s="222" t="s">
        <v>289</v>
      </c>
      <c r="F19" s="24"/>
      <c r="G19" s="24"/>
      <c r="H19" s="24"/>
      <c r="I19" s="24"/>
      <c r="J19" s="24"/>
      <c r="K19" s="24"/>
      <c r="L19" s="24"/>
    </row>
    <row r="20" spans="1:12" ht="72">
      <c r="A20" s="17" t="s">
        <v>290</v>
      </c>
      <c r="B20" s="17"/>
      <c r="C20" t="s">
        <v>291</v>
      </c>
      <c r="D20" s="17"/>
      <c r="E20" s="22">
        <v>300</v>
      </c>
      <c r="F20" s="22">
        <v>300</v>
      </c>
      <c r="G20" s="23">
        <v>300</v>
      </c>
      <c r="H20" s="22">
        <v>300</v>
      </c>
      <c r="I20" s="22">
        <v>300</v>
      </c>
      <c r="J20" s="22">
        <v>300</v>
      </c>
      <c r="K20" s="22">
        <v>300</v>
      </c>
      <c r="L20" s="22">
        <v>300</v>
      </c>
    </row>
    <row r="21" spans="1:12" ht="24">
      <c r="A21" s="17" t="s">
        <v>292</v>
      </c>
      <c r="B21" s="17"/>
      <c r="C21" t="s">
        <v>293</v>
      </c>
      <c r="D21" s="17"/>
      <c r="E21" s="22">
        <v>130</v>
      </c>
      <c r="F21" s="22">
        <v>130</v>
      </c>
      <c r="G21" s="23">
        <v>130</v>
      </c>
      <c r="H21" s="22">
        <v>130</v>
      </c>
      <c r="I21" s="22">
        <v>130</v>
      </c>
      <c r="J21" s="22">
        <v>130</v>
      </c>
      <c r="K21" s="22">
        <v>130</v>
      </c>
      <c r="L21" s="22">
        <v>130</v>
      </c>
    </row>
    <row r="22" spans="1:12">
      <c r="A22" s="13" t="s">
        <v>294</v>
      </c>
      <c r="C22" s="222" t="s">
        <v>295</v>
      </c>
      <c r="E22" s="17"/>
    </row>
    <row r="23" spans="1:12" ht="84">
      <c r="A23" s="17" t="s">
        <v>296</v>
      </c>
      <c r="B23" s="17"/>
      <c r="C23" s="1" t="s">
        <v>297</v>
      </c>
      <c r="D23" s="17"/>
      <c r="E23" s="22">
        <v>350</v>
      </c>
      <c r="F23" s="22">
        <v>350</v>
      </c>
      <c r="G23" s="23">
        <v>350</v>
      </c>
      <c r="H23" s="22">
        <v>350</v>
      </c>
      <c r="I23" s="22">
        <v>350</v>
      </c>
      <c r="J23" s="22">
        <v>350</v>
      </c>
      <c r="K23" s="22">
        <v>350</v>
      </c>
      <c r="L23" s="22">
        <v>350</v>
      </c>
    </row>
    <row r="24" spans="1:12" ht="84">
      <c r="A24" s="17" t="s">
        <v>298</v>
      </c>
      <c r="B24" s="17"/>
      <c r="C24" t="s">
        <v>299</v>
      </c>
      <c r="D24" s="17"/>
      <c r="E24" s="22">
        <v>250</v>
      </c>
      <c r="F24" s="22">
        <v>250</v>
      </c>
      <c r="G24" s="23">
        <v>250</v>
      </c>
      <c r="H24" s="22">
        <v>250</v>
      </c>
      <c r="I24" s="22">
        <v>250</v>
      </c>
      <c r="J24" s="22">
        <v>250</v>
      </c>
      <c r="K24" s="22">
        <v>250</v>
      </c>
      <c r="L24" s="22">
        <v>250</v>
      </c>
    </row>
    <row r="25" spans="1:12" ht="96">
      <c r="A25" s="17" t="s">
        <v>300</v>
      </c>
      <c r="B25" s="17"/>
      <c r="C25" t="s">
        <v>301</v>
      </c>
      <c r="D25" s="17"/>
      <c r="E25" s="22">
        <v>250</v>
      </c>
      <c r="F25" s="22">
        <v>250</v>
      </c>
      <c r="G25" s="23">
        <v>250</v>
      </c>
      <c r="H25" s="22">
        <v>250</v>
      </c>
      <c r="I25" s="22">
        <v>250</v>
      </c>
      <c r="J25" s="22">
        <v>250</v>
      </c>
      <c r="K25" s="22">
        <v>250</v>
      </c>
      <c r="L25" s="22">
        <v>250</v>
      </c>
    </row>
    <row r="26" spans="1:12" ht="24">
      <c r="A26" s="17"/>
      <c r="B26" s="17"/>
      <c r="C26" t="s">
        <v>302</v>
      </c>
      <c r="D26" s="17"/>
      <c r="E26" s="22">
        <v>220</v>
      </c>
      <c r="F26" s="22">
        <v>220</v>
      </c>
      <c r="G26" s="23">
        <v>220</v>
      </c>
      <c r="H26" s="22">
        <v>220</v>
      </c>
      <c r="I26" s="22">
        <v>220</v>
      </c>
      <c r="J26" s="22">
        <v>220</v>
      </c>
      <c r="K26" s="22">
        <v>220</v>
      </c>
      <c r="L26" s="22">
        <v>220</v>
      </c>
    </row>
    <row r="27" spans="1:12">
      <c r="A27" s="13" t="s">
        <v>303</v>
      </c>
      <c r="C27" s="222" t="s">
        <v>304</v>
      </c>
      <c r="E27" s="17"/>
    </row>
    <row r="28" spans="1:12" ht="96">
      <c r="A28" s="17" t="s">
        <v>305</v>
      </c>
      <c r="B28" s="17"/>
      <c r="C28" t="s">
        <v>306</v>
      </c>
      <c r="D28" s="17"/>
      <c r="E28" s="22">
        <v>250</v>
      </c>
      <c r="F28" s="22">
        <v>250</v>
      </c>
      <c r="G28" s="23">
        <v>250</v>
      </c>
      <c r="H28" s="22">
        <v>250</v>
      </c>
      <c r="I28" s="22">
        <v>250</v>
      </c>
      <c r="J28" s="22">
        <v>250</v>
      </c>
      <c r="K28" s="22">
        <v>250</v>
      </c>
      <c r="L28" s="22">
        <v>250</v>
      </c>
    </row>
    <row r="29" spans="1:12">
      <c r="A29" s="13" t="s">
        <v>307</v>
      </c>
      <c r="C29" s="222" t="s">
        <v>308</v>
      </c>
      <c r="E29" s="17"/>
    </row>
    <row r="30" spans="1:12" ht="36">
      <c r="A30" s="17" t="s">
        <v>309</v>
      </c>
      <c r="B30" s="17"/>
      <c r="C30" t="s">
        <v>310</v>
      </c>
      <c r="D30" s="17"/>
      <c r="E30" s="22">
        <v>250</v>
      </c>
      <c r="F30" s="22">
        <v>250</v>
      </c>
      <c r="G30" s="23">
        <v>250</v>
      </c>
      <c r="H30" s="22">
        <v>250</v>
      </c>
      <c r="I30" s="22">
        <v>250</v>
      </c>
      <c r="J30" s="22">
        <v>250</v>
      </c>
      <c r="K30" s="22">
        <v>250</v>
      </c>
      <c r="L30" s="22">
        <v>250</v>
      </c>
    </row>
    <row r="31" spans="1:12">
      <c r="A31" s="17" t="s">
        <v>311</v>
      </c>
      <c r="B31" s="17"/>
      <c r="C31" s="222" t="s">
        <v>312</v>
      </c>
      <c r="D31" s="17"/>
      <c r="E31" s="17"/>
    </row>
    <row r="32" spans="1:12" ht="84">
      <c r="A32" s="17" t="s">
        <v>313</v>
      </c>
      <c r="B32" s="17"/>
      <c r="C32" t="s">
        <v>314</v>
      </c>
      <c r="D32" s="17"/>
      <c r="E32" s="22">
        <v>300</v>
      </c>
      <c r="F32" s="22">
        <v>300</v>
      </c>
      <c r="G32" s="23">
        <v>300</v>
      </c>
      <c r="H32" s="22">
        <v>300</v>
      </c>
      <c r="I32" s="22">
        <v>300</v>
      </c>
      <c r="J32" s="22">
        <v>300</v>
      </c>
      <c r="K32" s="22">
        <v>300</v>
      </c>
      <c r="L32" s="22">
        <v>300</v>
      </c>
    </row>
    <row r="33" spans="1:12">
      <c r="A33" s="13" t="s">
        <v>315</v>
      </c>
      <c r="C33" s="222" t="s">
        <v>316</v>
      </c>
      <c r="E33" s="17"/>
    </row>
    <row r="34" spans="1:12" ht="156">
      <c r="A34" s="17" t="s">
        <v>317</v>
      </c>
      <c r="B34" s="17"/>
      <c r="C34" t="s">
        <v>318</v>
      </c>
      <c r="D34" s="17"/>
      <c r="E34" s="22">
        <v>550</v>
      </c>
      <c r="F34" s="22">
        <v>550</v>
      </c>
      <c r="G34" s="23">
        <v>550</v>
      </c>
      <c r="H34" s="22">
        <v>550</v>
      </c>
      <c r="I34" s="22">
        <v>550</v>
      </c>
      <c r="J34" s="22">
        <v>550</v>
      </c>
      <c r="K34" s="22">
        <v>550</v>
      </c>
      <c r="L34" s="22">
        <v>550</v>
      </c>
    </row>
    <row r="35" spans="1:12">
      <c r="A35" s="13" t="s">
        <v>319</v>
      </c>
      <c r="C35" s="222" t="s">
        <v>320</v>
      </c>
      <c r="E35" s="17"/>
    </row>
    <row r="36" spans="1:12" ht="84">
      <c r="A36" s="17" t="s">
        <v>321</v>
      </c>
      <c r="B36" s="17"/>
      <c r="C36" t="s">
        <v>322</v>
      </c>
      <c r="D36" s="17"/>
      <c r="E36" s="22">
        <v>450</v>
      </c>
      <c r="F36" s="22">
        <v>450</v>
      </c>
      <c r="G36" s="23">
        <v>450</v>
      </c>
      <c r="H36" s="22">
        <v>450</v>
      </c>
      <c r="I36" s="22">
        <v>450</v>
      </c>
      <c r="J36" s="22">
        <v>450</v>
      </c>
      <c r="K36" s="22">
        <v>450</v>
      </c>
      <c r="L36" s="22">
        <v>450</v>
      </c>
    </row>
    <row r="37" spans="1:12">
      <c r="A37" s="13" t="s">
        <v>323</v>
      </c>
      <c r="C37" s="222" t="s">
        <v>324</v>
      </c>
      <c r="E37" s="17"/>
    </row>
    <row r="38" spans="1:12" ht="24">
      <c r="A38" s="17" t="s">
        <v>325</v>
      </c>
      <c r="B38" s="17"/>
      <c r="C38" t="s">
        <v>326</v>
      </c>
      <c r="D38" s="17"/>
      <c r="E38" s="22">
        <v>700</v>
      </c>
      <c r="F38" s="22">
        <v>700</v>
      </c>
      <c r="G38" s="23">
        <v>700</v>
      </c>
      <c r="H38" s="22">
        <v>700</v>
      </c>
      <c r="I38" s="22">
        <v>700</v>
      </c>
      <c r="J38" s="22">
        <v>700</v>
      </c>
      <c r="K38" s="22">
        <v>700</v>
      </c>
      <c r="L38" s="22">
        <v>700</v>
      </c>
    </row>
    <row r="39" spans="1:12" ht="48">
      <c r="A39" s="17" t="s">
        <v>327</v>
      </c>
      <c r="B39" s="17"/>
      <c r="C39" t="s">
        <v>328</v>
      </c>
      <c r="D39" s="17"/>
      <c r="E39" s="22">
        <v>200</v>
      </c>
      <c r="F39" s="22">
        <v>200</v>
      </c>
      <c r="G39" s="23">
        <v>200</v>
      </c>
      <c r="H39" s="22">
        <v>200</v>
      </c>
      <c r="I39" s="22">
        <v>200</v>
      </c>
      <c r="J39" s="22">
        <v>200</v>
      </c>
      <c r="K39" s="22">
        <v>200</v>
      </c>
      <c r="L39" s="22">
        <v>200</v>
      </c>
    </row>
    <row r="40" spans="1:12">
      <c r="A40" s="17" t="s">
        <v>329</v>
      </c>
      <c r="B40" s="17"/>
      <c r="C40" s="8" t="s">
        <v>330</v>
      </c>
      <c r="D40" s="17"/>
      <c r="E40" s="17"/>
    </row>
    <row r="41" spans="1:12" ht="60">
      <c r="A41" s="17" t="s">
        <v>331</v>
      </c>
      <c r="B41" s="17"/>
      <c r="C41" t="s">
        <v>332</v>
      </c>
      <c r="D41" s="17"/>
      <c r="E41" s="22">
        <v>200</v>
      </c>
      <c r="F41" s="22">
        <v>200</v>
      </c>
      <c r="G41" s="23">
        <v>200</v>
      </c>
      <c r="H41" s="22">
        <v>200</v>
      </c>
      <c r="I41" s="22">
        <v>200</v>
      </c>
      <c r="J41" s="22">
        <v>200</v>
      </c>
      <c r="K41" s="22">
        <v>200</v>
      </c>
      <c r="L41" s="22">
        <v>200</v>
      </c>
    </row>
    <row r="42" spans="1:12">
      <c r="A42" s="13" t="s">
        <v>333</v>
      </c>
      <c r="C42" s="222" t="s">
        <v>334</v>
      </c>
      <c r="E42" s="17"/>
    </row>
    <row r="43" spans="1:12" ht="60">
      <c r="A43" s="17" t="s">
        <v>335</v>
      </c>
      <c r="B43" s="17"/>
      <c r="C43" t="s">
        <v>336</v>
      </c>
      <c r="D43" s="17"/>
      <c r="E43" s="22">
        <v>150</v>
      </c>
      <c r="F43" s="22">
        <v>150</v>
      </c>
      <c r="G43" s="23">
        <v>150</v>
      </c>
      <c r="H43" s="22">
        <v>150</v>
      </c>
      <c r="I43" s="22">
        <v>150</v>
      </c>
      <c r="J43" s="22">
        <v>150</v>
      </c>
      <c r="K43" s="22">
        <v>150</v>
      </c>
      <c r="L43" s="22">
        <v>150</v>
      </c>
    </row>
    <row r="44" spans="1:12">
      <c r="A44" s="13" t="s">
        <v>337</v>
      </c>
      <c r="C44" s="222" t="s">
        <v>338</v>
      </c>
      <c r="E44" s="17"/>
    </row>
    <row r="45" spans="1:12" ht="72">
      <c r="A45" s="17" t="s">
        <v>339</v>
      </c>
      <c r="B45" s="17"/>
      <c r="C45" t="s">
        <v>340</v>
      </c>
      <c r="D45" s="17"/>
      <c r="E45" s="22">
        <v>300</v>
      </c>
      <c r="F45" s="22">
        <v>300</v>
      </c>
      <c r="G45" s="23">
        <v>300</v>
      </c>
      <c r="H45" s="22">
        <v>300</v>
      </c>
      <c r="I45" s="22">
        <v>300</v>
      </c>
      <c r="J45" s="22">
        <v>300</v>
      </c>
      <c r="K45" s="22">
        <v>300</v>
      </c>
      <c r="L45" s="22">
        <v>300</v>
      </c>
    </row>
    <row r="46" spans="1:12">
      <c r="A46" s="13" t="s">
        <v>341</v>
      </c>
      <c r="C46" s="222" t="s">
        <v>342</v>
      </c>
      <c r="E46" s="17"/>
    </row>
    <row r="47" spans="1:12" ht="84">
      <c r="A47" s="17" t="s">
        <v>343</v>
      </c>
      <c r="B47" s="17"/>
      <c r="C47" t="s">
        <v>344</v>
      </c>
      <c r="D47" s="17"/>
      <c r="E47" s="22">
        <v>100</v>
      </c>
      <c r="F47" s="22">
        <v>100</v>
      </c>
      <c r="G47" s="23">
        <v>100</v>
      </c>
      <c r="H47" s="22">
        <v>100</v>
      </c>
      <c r="I47" s="22">
        <v>100</v>
      </c>
      <c r="J47" s="22">
        <v>100</v>
      </c>
      <c r="K47" s="22">
        <v>100</v>
      </c>
      <c r="L47" s="22">
        <v>100</v>
      </c>
    </row>
    <row r="48" spans="1:12">
      <c r="A48" s="13" t="s">
        <v>345</v>
      </c>
      <c r="C48" s="222" t="s">
        <v>346</v>
      </c>
      <c r="E48" s="17"/>
    </row>
    <row r="49" spans="1:12" ht="24">
      <c r="A49" s="17" t="s">
        <v>347</v>
      </c>
      <c r="B49" s="17"/>
      <c r="C49" t="s">
        <v>348</v>
      </c>
      <c r="D49" s="17"/>
      <c r="E49" s="22">
        <v>60</v>
      </c>
      <c r="F49" s="22">
        <v>60</v>
      </c>
      <c r="G49" s="23">
        <v>60</v>
      </c>
      <c r="H49" s="22">
        <v>60</v>
      </c>
      <c r="I49" s="22">
        <v>60</v>
      </c>
      <c r="J49" s="22">
        <v>60</v>
      </c>
      <c r="K49" s="22">
        <v>60</v>
      </c>
      <c r="L49" s="22">
        <v>60</v>
      </c>
    </row>
    <row r="50" spans="1:12" ht="96">
      <c r="A50" s="17" t="s">
        <v>349</v>
      </c>
      <c r="B50" s="17"/>
      <c r="C50" t="s">
        <v>350</v>
      </c>
      <c r="D50" s="17"/>
      <c r="E50" s="22">
        <v>150</v>
      </c>
      <c r="F50" s="22">
        <v>150</v>
      </c>
      <c r="G50" s="23">
        <v>150</v>
      </c>
      <c r="H50" s="22">
        <v>150</v>
      </c>
      <c r="I50" s="22">
        <v>150</v>
      </c>
      <c r="J50" s="22">
        <v>150</v>
      </c>
      <c r="K50" s="22">
        <v>150</v>
      </c>
      <c r="L50" s="22">
        <v>150</v>
      </c>
    </row>
    <row r="51" spans="1:12">
      <c r="A51" s="13" t="s">
        <v>351</v>
      </c>
      <c r="C51" s="222" t="s">
        <v>352</v>
      </c>
      <c r="E51" s="17"/>
    </row>
    <row r="52" spans="1:12" ht="24">
      <c r="A52" s="17" t="s">
        <v>353</v>
      </c>
      <c r="B52" s="17"/>
      <c r="C52" t="s">
        <v>354</v>
      </c>
      <c r="D52" s="17"/>
      <c r="E52" s="22">
        <v>100</v>
      </c>
      <c r="F52" s="22">
        <v>100</v>
      </c>
      <c r="G52" s="23">
        <v>100</v>
      </c>
      <c r="H52" s="22">
        <v>100</v>
      </c>
      <c r="I52" s="22">
        <v>100</v>
      </c>
      <c r="J52" s="22">
        <v>100</v>
      </c>
      <c r="K52" s="22">
        <v>100</v>
      </c>
      <c r="L52" s="22">
        <v>100</v>
      </c>
    </row>
    <row r="53" spans="1:12">
      <c r="A53" s="13" t="s">
        <v>355</v>
      </c>
      <c r="C53" s="222" t="s">
        <v>304</v>
      </c>
      <c r="E53" s="17"/>
    </row>
    <row r="54" spans="1:12" ht="96">
      <c r="A54" s="17" t="s">
        <v>356</v>
      </c>
      <c r="B54" s="17"/>
      <c r="C54" t="s">
        <v>357</v>
      </c>
      <c r="D54" s="17"/>
      <c r="E54" s="22">
        <v>250</v>
      </c>
      <c r="F54" s="22">
        <v>250</v>
      </c>
      <c r="G54" s="23">
        <v>250</v>
      </c>
      <c r="H54" s="22">
        <v>250</v>
      </c>
      <c r="I54" s="22">
        <v>250</v>
      </c>
      <c r="J54" s="22">
        <v>250</v>
      </c>
      <c r="K54" s="22">
        <v>250</v>
      </c>
      <c r="L54" s="22">
        <v>250</v>
      </c>
    </row>
    <row r="55" spans="1:12">
      <c r="A55" s="13" t="s">
        <v>358</v>
      </c>
      <c r="C55" s="222" t="s">
        <v>359</v>
      </c>
      <c r="E55" s="17"/>
    </row>
    <row r="56" spans="1:12" ht="48">
      <c r="A56" s="17" t="s">
        <v>360</v>
      </c>
      <c r="B56" s="17"/>
      <c r="C56" t="s">
        <v>361</v>
      </c>
      <c r="D56" s="17"/>
      <c r="E56" s="22">
        <v>250</v>
      </c>
      <c r="F56" s="22">
        <v>250</v>
      </c>
      <c r="G56" s="23">
        <v>250</v>
      </c>
      <c r="H56" s="22">
        <v>250</v>
      </c>
      <c r="I56" s="22">
        <v>250</v>
      </c>
      <c r="J56" s="22">
        <v>250</v>
      </c>
      <c r="K56" s="22">
        <v>250</v>
      </c>
      <c r="L56" s="22">
        <v>250</v>
      </c>
    </row>
    <row r="57" spans="1:12">
      <c r="A57" s="13" t="s">
        <v>362</v>
      </c>
      <c r="C57" s="222" t="s">
        <v>363</v>
      </c>
      <c r="E57" s="17"/>
    </row>
    <row r="58" spans="1:12">
      <c r="A58" s="13" t="s">
        <v>364</v>
      </c>
      <c r="C58" s="222" t="s">
        <v>365</v>
      </c>
      <c r="E58" s="17"/>
    </row>
    <row r="59" spans="1:12" ht="24">
      <c r="A59" s="17" t="s">
        <v>366</v>
      </c>
      <c r="B59" s="17"/>
      <c r="C59" t="s">
        <v>367</v>
      </c>
      <c r="D59" s="17"/>
      <c r="E59" s="22">
        <v>150</v>
      </c>
      <c r="F59" s="22">
        <v>150</v>
      </c>
      <c r="G59" s="23">
        <v>150</v>
      </c>
      <c r="H59" s="22">
        <v>150</v>
      </c>
      <c r="I59" s="22">
        <v>150</v>
      </c>
      <c r="J59" s="22">
        <v>150</v>
      </c>
      <c r="K59" s="22">
        <v>150</v>
      </c>
      <c r="L59" s="22">
        <v>150</v>
      </c>
    </row>
    <row r="60" spans="1:12">
      <c r="A60" s="13" t="s">
        <v>368</v>
      </c>
      <c r="C60" s="222" t="s">
        <v>369</v>
      </c>
      <c r="E60" s="17"/>
      <c r="I60" s="25"/>
      <c r="J60" s="25"/>
      <c r="K60" s="25"/>
      <c r="L60" s="25"/>
    </row>
    <row r="61" spans="1:12" ht="24">
      <c r="A61" s="17" t="s">
        <v>370</v>
      </c>
      <c r="B61" s="17"/>
      <c r="C61" t="s">
        <v>371</v>
      </c>
      <c r="D61" s="17"/>
      <c r="E61" s="22">
        <v>150</v>
      </c>
      <c r="F61" s="22">
        <v>150</v>
      </c>
      <c r="G61" s="23">
        <v>150</v>
      </c>
      <c r="H61" s="22">
        <v>150</v>
      </c>
      <c r="I61" s="22">
        <v>150</v>
      </c>
      <c r="J61" s="22">
        <v>150</v>
      </c>
      <c r="K61" s="22">
        <v>150</v>
      </c>
      <c r="L61" s="22">
        <v>150</v>
      </c>
    </row>
    <row r="62" spans="1:12" ht="120">
      <c r="A62" s="17" t="s">
        <v>372</v>
      </c>
      <c r="B62" s="17"/>
      <c r="C62" t="s">
        <v>373</v>
      </c>
      <c r="D62" s="17"/>
      <c r="E62" s="22">
        <v>60</v>
      </c>
      <c r="F62" s="22">
        <v>60</v>
      </c>
      <c r="G62" s="23">
        <v>60</v>
      </c>
      <c r="H62" s="22">
        <v>60</v>
      </c>
      <c r="I62" s="22">
        <v>60</v>
      </c>
      <c r="J62" s="22">
        <v>60</v>
      </c>
      <c r="K62" s="22">
        <v>60</v>
      </c>
      <c r="L62" s="22">
        <v>60</v>
      </c>
    </row>
    <row r="63" spans="1:12" s="26" customFormat="1">
      <c r="A63" s="13" t="s">
        <v>374</v>
      </c>
      <c r="B63" s="13"/>
      <c r="C63" s="222" t="s">
        <v>375</v>
      </c>
      <c r="D63" s="13"/>
      <c r="E63" s="17"/>
      <c r="F63" s="17"/>
      <c r="G63" s="17"/>
      <c r="H63" s="17"/>
      <c r="I63" s="17"/>
      <c r="J63" s="17"/>
      <c r="K63" s="17"/>
      <c r="L63" s="17"/>
    </row>
    <row r="64" spans="1:12">
      <c r="A64" s="17" t="s">
        <v>376</v>
      </c>
      <c r="B64" s="17"/>
      <c r="C64" t="s">
        <v>377</v>
      </c>
      <c r="D64" s="17"/>
      <c r="E64" s="17"/>
    </row>
    <row r="65" spans="1:12">
      <c r="A65" s="13" t="s">
        <v>378</v>
      </c>
      <c r="C65" s="222" t="s">
        <v>379</v>
      </c>
      <c r="E65" s="17"/>
    </row>
    <row r="66" spans="1:12" ht="48">
      <c r="A66" s="17" t="s">
        <v>380</v>
      </c>
      <c r="B66" s="17"/>
      <c r="C66" t="s">
        <v>381</v>
      </c>
      <c r="D66" s="17"/>
      <c r="E66" s="22">
        <v>170</v>
      </c>
      <c r="F66" s="22">
        <v>170</v>
      </c>
      <c r="G66" s="23">
        <v>170</v>
      </c>
      <c r="H66" s="22">
        <v>170</v>
      </c>
      <c r="I66" s="22">
        <v>170</v>
      </c>
      <c r="J66" s="22">
        <v>170</v>
      </c>
      <c r="K66" s="22">
        <v>170</v>
      </c>
      <c r="L66" s="22">
        <v>170</v>
      </c>
    </row>
    <row r="67" spans="1:12">
      <c r="A67" s="13" t="s">
        <v>382</v>
      </c>
      <c r="C67" s="222" t="s">
        <v>383</v>
      </c>
      <c r="E67" s="17"/>
    </row>
    <row r="68" spans="1:12">
      <c r="A68" s="27" t="s">
        <v>384</v>
      </c>
      <c r="B68" s="27"/>
      <c r="C68" t="s">
        <v>377</v>
      </c>
      <c r="D68" s="27"/>
      <c r="E68" s="27"/>
      <c r="F68" s="27"/>
      <c r="G68" s="27"/>
      <c r="H68" s="27"/>
      <c r="I68" s="27"/>
      <c r="J68" s="27"/>
      <c r="K68" s="27"/>
      <c r="L68" s="27"/>
    </row>
    <row r="69" spans="1:12">
      <c r="A69" s="28"/>
      <c r="B69" s="28"/>
      <c r="C69" s="28"/>
      <c r="D69" s="28"/>
      <c r="E69" s="29">
        <f t="shared" ref="E69:L69" si="0">SUM(E3:E68)</f>
        <v>10620</v>
      </c>
      <c r="F69" s="29">
        <f t="shared" si="0"/>
        <v>10620</v>
      </c>
      <c r="G69" s="29">
        <f t="shared" si="0"/>
        <v>10620</v>
      </c>
      <c r="H69" s="29">
        <f t="shared" si="0"/>
        <v>10620</v>
      </c>
      <c r="I69" s="29">
        <f t="shared" si="0"/>
        <v>10620</v>
      </c>
      <c r="J69" s="29">
        <f t="shared" si="0"/>
        <v>10620</v>
      </c>
      <c r="K69" s="29">
        <f t="shared" si="0"/>
        <v>10620</v>
      </c>
      <c r="L69" s="29">
        <f t="shared" si="0"/>
        <v>10620</v>
      </c>
    </row>
    <row r="70" spans="1:12" s="21" customFormat="1">
      <c r="A70" s="13"/>
      <c r="B70" s="13"/>
      <c r="C70" s="13"/>
      <c r="D70" s="13"/>
      <c r="E70" s="537" t="s">
        <v>385</v>
      </c>
      <c r="F70" s="537"/>
      <c r="G70" s="537" t="s">
        <v>385</v>
      </c>
      <c r="H70" s="537"/>
      <c r="I70" s="537"/>
      <c r="J70" s="537"/>
      <c r="K70" s="537"/>
      <c r="L70" s="537"/>
    </row>
    <row r="71" spans="1:12" ht="24">
      <c r="E71" s="14" t="s">
        <v>189</v>
      </c>
      <c r="F71" s="15" t="s">
        <v>190</v>
      </c>
      <c r="G71" s="16" t="s">
        <v>191</v>
      </c>
      <c r="H71" s="15" t="s">
        <v>192</v>
      </c>
      <c r="I71" s="16" t="s">
        <v>193</v>
      </c>
      <c r="J71" s="15" t="s">
        <v>194</v>
      </c>
      <c r="K71" s="15" t="s">
        <v>251</v>
      </c>
      <c r="L71" s="15" t="s">
        <v>252</v>
      </c>
    </row>
    <row r="72" spans="1:12" ht="12.75">
      <c r="C72" s="184" t="s">
        <v>386</v>
      </c>
      <c r="E72" s="30">
        <f>SUM(E73:E78)</f>
        <v>405922.72810226283</v>
      </c>
      <c r="F72" s="30">
        <f t="shared" ref="F72:L72" si="1">SUM(F73:F78)</f>
        <v>400452.99736722483</v>
      </c>
      <c r="G72" s="30">
        <f t="shared" si="1"/>
        <v>409587.28013913584</v>
      </c>
      <c r="H72" s="30">
        <f t="shared" si="1"/>
        <v>419787.15242288954</v>
      </c>
      <c r="I72" s="30">
        <f t="shared" si="1"/>
        <v>430323.70516007143</v>
      </c>
      <c r="J72" s="30">
        <f t="shared" si="1"/>
        <v>347944.07591165963</v>
      </c>
      <c r="K72" s="30">
        <f t="shared" si="1"/>
        <v>362722.0448782437</v>
      </c>
      <c r="L72" s="30">
        <f t="shared" si="1"/>
        <v>378134.25484734366</v>
      </c>
    </row>
    <row r="73" spans="1:12" ht="12.75">
      <c r="C73" s="184" t="s">
        <v>387</v>
      </c>
      <c r="E73" s="30">
        <v>405922.72810226283</v>
      </c>
      <c r="F73" s="30">
        <v>415110.86736722483</v>
      </c>
      <c r="G73" s="31">
        <v>424579.49013913586</v>
      </c>
      <c r="H73" s="30">
        <v>435152.71242288954</v>
      </c>
      <c r="I73" s="31">
        <v>446074.93516007141</v>
      </c>
      <c r="J73" s="30">
        <v>360679.94591165963</v>
      </c>
      <c r="K73" s="30">
        <v>375998.84487824369</v>
      </c>
      <c r="L73" s="30">
        <v>391975.18484734365</v>
      </c>
    </row>
    <row r="74" spans="1:12">
      <c r="C74" s="13" t="s">
        <v>388</v>
      </c>
      <c r="E74" s="30"/>
      <c r="F74" s="30">
        <v>-14657.87</v>
      </c>
      <c r="G74" s="31">
        <v>-14992.21</v>
      </c>
      <c r="H74" s="30">
        <v>-15365.56</v>
      </c>
      <c r="I74" s="31">
        <v>-15751.23</v>
      </c>
      <c r="J74" s="30">
        <v>-12735.87</v>
      </c>
      <c r="K74" s="30">
        <v>-13276.8</v>
      </c>
      <c r="L74" s="30">
        <v>-13840.93</v>
      </c>
    </row>
    <row r="75" spans="1:12">
      <c r="E75" s="30"/>
      <c r="F75" s="30"/>
      <c r="G75" s="31"/>
      <c r="H75" s="30"/>
      <c r="I75" s="31"/>
      <c r="J75" s="30"/>
      <c r="K75" s="30"/>
      <c r="L75" s="30"/>
    </row>
    <row r="76" spans="1:12">
      <c r="E76" s="30"/>
      <c r="F76" s="30"/>
      <c r="G76" s="31"/>
      <c r="H76" s="30"/>
      <c r="I76" s="31"/>
      <c r="J76" s="30"/>
      <c r="K76" s="30"/>
      <c r="L76" s="30"/>
    </row>
    <row r="77" spans="1:12">
      <c r="E77" s="30"/>
      <c r="F77" s="30"/>
      <c r="G77" s="31"/>
      <c r="H77" s="30"/>
      <c r="I77" s="31"/>
      <c r="J77" s="30"/>
      <c r="K77" s="30"/>
      <c r="L77" s="30"/>
    </row>
    <row r="78" spans="1:12">
      <c r="E78" s="30"/>
      <c r="F78" s="30"/>
      <c r="G78" s="31"/>
      <c r="H78" s="30"/>
      <c r="I78" s="31"/>
      <c r="J78" s="30"/>
      <c r="K78" s="30"/>
      <c r="L78" s="30"/>
    </row>
  </sheetData>
  <mergeCells count="2">
    <mergeCell ref="E70:F70"/>
    <mergeCell ref="G70:L70"/>
  </mergeCells>
  <phoneticPr fontId="0" type="noConversion"/>
  <printOptions horizontalCentered="1"/>
  <pageMargins left="0.5" right="0.5" top="1" bottom="1" header="0.5" footer="0.5"/>
  <pageSetup paperSize="9" fitToHeight="3" orientation="landscape" r:id="rId1"/>
  <headerFooter alignWithMargins="0">
    <oddHeader>&amp;C&amp;"Calibri"&amp;10&amp;K737373Serco Business&amp;1#_x000D_&amp;"Calibri"&amp;11&amp;K000000&amp;"Calibri"&amp;11&amp;K000000&amp;"Arial,Bold"RESTRICTED - CONTRACTS</oddHeader>
    <oddFooter>&amp;L&amp;8PTC/CB/00642&amp;C&amp;10 1-(2)-&amp;P
&amp;"Arial,Bold"
RESTRICTED - CONTRACTS&amp;R&amp;8Pricing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BM36"/>
  <sheetViews>
    <sheetView topLeftCell="A25" zoomScale="75" workbookViewId="0">
      <selection activeCell="C47" sqref="C47"/>
    </sheetView>
  </sheetViews>
  <sheetFormatPr defaultColWidth="15.7109375" defaultRowHeight="12"/>
  <cols>
    <col min="1" max="1" width="9.28515625" style="13" bestFit="1" customWidth="1"/>
    <col min="2" max="2" width="1.7109375" style="13" customWidth="1"/>
    <col min="3" max="3" width="20.7109375" style="13" customWidth="1"/>
    <col min="4" max="4" width="2.28515625" style="13" customWidth="1"/>
    <col min="5" max="5" width="14.7109375" style="33" customWidth="1"/>
    <col min="6" max="12" width="14.7109375" style="34" customWidth="1" collapsed="1"/>
    <col min="13" max="65" width="15.7109375" style="32" customWidth="1" collapsed="1"/>
    <col min="66" max="16384" width="15.7109375" style="32"/>
  </cols>
  <sheetData>
    <row r="1" spans="1:12" ht="24">
      <c r="E1" s="14" t="s">
        <v>189</v>
      </c>
      <c r="F1" s="15" t="s">
        <v>190</v>
      </c>
      <c r="G1" s="15" t="s">
        <v>191</v>
      </c>
      <c r="H1" s="15" t="s">
        <v>192</v>
      </c>
      <c r="I1" s="15" t="s">
        <v>193</v>
      </c>
      <c r="J1" s="15" t="s">
        <v>194</v>
      </c>
      <c r="K1" s="15" t="s">
        <v>251</v>
      </c>
      <c r="L1" s="15" t="s">
        <v>252</v>
      </c>
    </row>
    <row r="2" spans="1:12" ht="24">
      <c r="A2" s="18" t="s">
        <v>253</v>
      </c>
      <c r="B2" s="18"/>
      <c r="C2" s="18"/>
      <c r="D2" s="18"/>
      <c r="E2" s="19" t="s">
        <v>254</v>
      </c>
      <c r="F2" s="19" t="s">
        <v>254</v>
      </c>
      <c r="G2" s="19" t="s">
        <v>254</v>
      </c>
      <c r="H2" s="19" t="s">
        <v>254</v>
      </c>
      <c r="I2" s="19" t="s">
        <v>254</v>
      </c>
      <c r="J2" s="19" t="s">
        <v>254</v>
      </c>
      <c r="K2" s="19" t="s">
        <v>254</v>
      </c>
      <c r="L2" s="19" t="s">
        <v>254</v>
      </c>
    </row>
    <row r="3" spans="1:12">
      <c r="A3" s="17"/>
      <c r="B3" s="17"/>
      <c r="D3" s="17"/>
    </row>
    <row r="4" spans="1:12">
      <c r="A4" s="17" t="s">
        <v>389</v>
      </c>
      <c r="B4" s="17"/>
      <c r="C4" s="8" t="s">
        <v>390</v>
      </c>
      <c r="D4" s="17"/>
    </row>
    <row r="5" spans="1:12" ht="24">
      <c r="A5" s="17" t="s">
        <v>391</v>
      </c>
      <c r="B5" s="17"/>
      <c r="C5" s="1" t="s">
        <v>392</v>
      </c>
      <c r="D5" s="17"/>
      <c r="E5" s="35">
        <v>0</v>
      </c>
      <c r="F5" s="35">
        <v>0</v>
      </c>
      <c r="G5" s="35">
        <v>0</v>
      </c>
      <c r="H5" s="35">
        <v>0</v>
      </c>
      <c r="I5" s="35">
        <v>0</v>
      </c>
      <c r="J5" s="35">
        <v>0</v>
      </c>
      <c r="K5" s="35">
        <v>0</v>
      </c>
      <c r="L5" s="35">
        <v>0</v>
      </c>
    </row>
    <row r="6" spans="1:12" ht="36">
      <c r="A6" s="17" t="s">
        <v>393</v>
      </c>
      <c r="B6" s="17"/>
      <c r="C6" s="1" t="s">
        <v>394</v>
      </c>
      <c r="D6" s="17"/>
      <c r="E6" s="35">
        <v>0</v>
      </c>
      <c r="F6" s="35">
        <v>0</v>
      </c>
      <c r="G6" s="35">
        <v>0</v>
      </c>
      <c r="H6" s="35">
        <v>0</v>
      </c>
      <c r="I6" s="35">
        <v>0</v>
      </c>
      <c r="J6" s="35">
        <v>0</v>
      </c>
      <c r="K6" s="35">
        <v>0</v>
      </c>
      <c r="L6" s="35">
        <v>0</v>
      </c>
    </row>
    <row r="7" spans="1:12" ht="24">
      <c r="A7" s="17" t="s">
        <v>395</v>
      </c>
      <c r="B7" s="17"/>
      <c r="C7" s="1" t="s">
        <v>396</v>
      </c>
      <c r="D7" s="17"/>
      <c r="E7" s="35">
        <v>0</v>
      </c>
      <c r="F7" s="35">
        <v>0</v>
      </c>
      <c r="G7" s="35">
        <v>0</v>
      </c>
      <c r="H7" s="35">
        <v>0</v>
      </c>
      <c r="I7" s="35">
        <v>0</v>
      </c>
      <c r="J7" s="35">
        <v>0</v>
      </c>
      <c r="K7" s="35">
        <v>0</v>
      </c>
      <c r="L7" s="35">
        <v>0</v>
      </c>
    </row>
    <row r="8" spans="1:12" ht="24">
      <c r="A8" s="17" t="s">
        <v>397</v>
      </c>
      <c r="B8" s="17"/>
      <c r="C8" s="1" t="s">
        <v>398</v>
      </c>
      <c r="D8" s="17"/>
      <c r="E8" s="35">
        <v>0</v>
      </c>
      <c r="F8" s="35">
        <v>0</v>
      </c>
      <c r="G8" s="35">
        <v>0</v>
      </c>
      <c r="H8" s="35">
        <v>0</v>
      </c>
      <c r="I8" s="35">
        <v>0</v>
      </c>
      <c r="J8" s="35">
        <v>0</v>
      </c>
      <c r="K8" s="35">
        <v>0</v>
      </c>
      <c r="L8" s="35">
        <v>0</v>
      </c>
    </row>
    <row r="9" spans="1:12" ht="36">
      <c r="A9" s="17" t="s">
        <v>399</v>
      </c>
      <c r="B9" s="17"/>
      <c r="C9" s="1" t="s">
        <v>400</v>
      </c>
      <c r="D9" s="17"/>
      <c r="E9" s="35">
        <v>0</v>
      </c>
      <c r="F9" s="35">
        <v>0</v>
      </c>
      <c r="G9" s="35">
        <v>0</v>
      </c>
      <c r="H9" s="35">
        <v>0</v>
      </c>
      <c r="I9" s="35">
        <v>0</v>
      </c>
      <c r="J9" s="35">
        <v>0</v>
      </c>
      <c r="K9" s="35">
        <v>0</v>
      </c>
      <c r="L9" s="35">
        <v>0</v>
      </c>
    </row>
    <row r="10" spans="1:12" ht="24">
      <c r="A10" s="17" t="s">
        <v>401</v>
      </c>
      <c r="B10" s="17"/>
      <c r="C10" s="1" t="s">
        <v>402</v>
      </c>
      <c r="D10" s="17"/>
      <c r="E10" s="35">
        <v>0</v>
      </c>
      <c r="F10" s="35">
        <v>0</v>
      </c>
      <c r="G10" s="35">
        <v>0</v>
      </c>
      <c r="H10" s="35">
        <v>0</v>
      </c>
      <c r="I10" s="35">
        <v>0</v>
      </c>
      <c r="J10" s="35">
        <v>0</v>
      </c>
      <c r="K10" s="35">
        <v>0</v>
      </c>
      <c r="L10" s="35">
        <v>0</v>
      </c>
    </row>
    <row r="11" spans="1:12" ht="24">
      <c r="A11" s="17" t="s">
        <v>403</v>
      </c>
      <c r="B11" s="17"/>
      <c r="C11" s="1" t="s">
        <v>404</v>
      </c>
      <c r="D11" s="17"/>
      <c r="E11" s="35">
        <v>0</v>
      </c>
      <c r="F11" s="35">
        <v>0</v>
      </c>
      <c r="G11" s="35">
        <v>0</v>
      </c>
      <c r="H11" s="35">
        <v>0</v>
      </c>
      <c r="I11" s="35">
        <v>0</v>
      </c>
      <c r="J11" s="35">
        <v>0</v>
      </c>
      <c r="K11" s="35">
        <v>0</v>
      </c>
      <c r="L11" s="35">
        <v>0</v>
      </c>
    </row>
    <row r="12" spans="1:12" ht="24">
      <c r="A12" s="17" t="s">
        <v>405</v>
      </c>
      <c r="B12" s="17"/>
      <c r="C12" s="1" t="s">
        <v>406</v>
      </c>
      <c r="D12" s="17"/>
      <c r="E12" s="35">
        <v>0</v>
      </c>
      <c r="F12" s="35">
        <v>0</v>
      </c>
      <c r="G12" s="35">
        <v>0</v>
      </c>
      <c r="H12" s="35">
        <v>0</v>
      </c>
      <c r="I12" s="35">
        <v>0</v>
      </c>
      <c r="J12" s="35">
        <v>0</v>
      </c>
      <c r="K12" s="35">
        <v>0</v>
      </c>
      <c r="L12" s="35">
        <v>0</v>
      </c>
    </row>
    <row r="13" spans="1:12">
      <c r="A13" s="17" t="s">
        <v>407</v>
      </c>
      <c r="B13" s="17"/>
      <c r="C13" s="8" t="s">
        <v>312</v>
      </c>
      <c r="D13" s="17"/>
      <c r="F13" s="33"/>
      <c r="G13" s="33"/>
      <c r="H13" s="33"/>
      <c r="I13" s="33"/>
      <c r="J13" s="33"/>
      <c r="K13" s="33"/>
      <c r="L13" s="33"/>
    </row>
    <row r="14" spans="1:12">
      <c r="A14" s="17" t="s">
        <v>408</v>
      </c>
      <c r="B14" s="17"/>
      <c r="C14" s="128" t="s">
        <v>377</v>
      </c>
      <c r="D14" s="17"/>
      <c r="F14" s="33"/>
      <c r="G14" s="33"/>
      <c r="H14" s="33"/>
      <c r="I14" s="33"/>
      <c r="J14" s="33"/>
      <c r="K14" s="33"/>
      <c r="L14" s="33"/>
    </row>
    <row r="15" spans="1:12">
      <c r="A15" s="17" t="s">
        <v>409</v>
      </c>
      <c r="B15" s="17"/>
      <c r="C15" s="8" t="s">
        <v>410</v>
      </c>
      <c r="D15" s="17"/>
      <c r="F15" s="33"/>
      <c r="G15" s="33"/>
      <c r="H15" s="33"/>
      <c r="I15" s="33"/>
      <c r="J15" s="33"/>
      <c r="K15" s="33"/>
      <c r="L15" s="33"/>
    </row>
    <row r="16" spans="1:12" ht="84">
      <c r="A16" s="17" t="s">
        <v>411</v>
      </c>
      <c r="B16" s="17"/>
      <c r="C16" s="128" t="s">
        <v>412</v>
      </c>
      <c r="D16" s="17"/>
      <c r="F16" s="33"/>
      <c r="G16" s="33"/>
      <c r="H16" s="33"/>
      <c r="I16" s="33"/>
      <c r="J16" s="33"/>
      <c r="K16" s="33"/>
      <c r="L16" s="33"/>
    </row>
    <row r="17" spans="1:12" ht="48">
      <c r="A17" s="13" t="s">
        <v>413</v>
      </c>
      <c r="C17" s="1" t="s">
        <v>414</v>
      </c>
      <c r="E17" s="35">
        <v>0</v>
      </c>
      <c r="F17" s="35">
        <v>0</v>
      </c>
      <c r="G17" s="35">
        <v>0</v>
      </c>
      <c r="H17" s="35">
        <v>0</v>
      </c>
      <c r="I17" s="35">
        <v>0</v>
      </c>
      <c r="J17" s="35">
        <v>0</v>
      </c>
      <c r="K17" s="35">
        <v>0</v>
      </c>
      <c r="L17" s="35">
        <v>0</v>
      </c>
    </row>
    <row r="18" spans="1:12">
      <c r="A18" s="17" t="s">
        <v>415</v>
      </c>
      <c r="B18" s="17"/>
      <c r="C18" s="8" t="s">
        <v>320</v>
      </c>
      <c r="D18" s="17"/>
      <c r="F18" s="33"/>
      <c r="G18" s="33"/>
      <c r="H18" s="33"/>
      <c r="I18" s="33"/>
      <c r="J18" s="33"/>
      <c r="K18" s="33"/>
      <c r="L18" s="33"/>
    </row>
    <row r="19" spans="1:12" ht="36">
      <c r="A19" s="17" t="s">
        <v>416</v>
      </c>
      <c r="B19" s="17"/>
      <c r="C19" s="1" t="s">
        <v>417</v>
      </c>
      <c r="D19" s="17"/>
      <c r="E19" s="35">
        <v>0</v>
      </c>
      <c r="F19" s="35">
        <v>0</v>
      </c>
      <c r="G19" s="35">
        <v>0</v>
      </c>
      <c r="H19" s="35">
        <v>0</v>
      </c>
      <c r="I19" s="35">
        <v>0</v>
      </c>
      <c r="J19" s="35">
        <v>0</v>
      </c>
      <c r="K19" s="35">
        <v>0</v>
      </c>
      <c r="L19" s="35">
        <v>0</v>
      </c>
    </row>
    <row r="20" spans="1:12" ht="48">
      <c r="A20" s="17" t="s">
        <v>418</v>
      </c>
      <c r="B20" s="17"/>
      <c r="C20" s="1" t="s">
        <v>419</v>
      </c>
      <c r="D20" s="17"/>
      <c r="E20" s="35">
        <v>0</v>
      </c>
      <c r="F20" s="35">
        <v>0</v>
      </c>
      <c r="G20" s="35">
        <v>0</v>
      </c>
      <c r="H20" s="35">
        <v>0</v>
      </c>
      <c r="I20" s="35">
        <v>0</v>
      </c>
      <c r="J20" s="35">
        <v>0</v>
      </c>
      <c r="K20" s="35">
        <v>0</v>
      </c>
      <c r="L20" s="35">
        <v>0</v>
      </c>
    </row>
    <row r="21" spans="1:12" ht="60">
      <c r="A21" s="17" t="s">
        <v>420</v>
      </c>
      <c r="B21" s="17"/>
      <c r="C21" s="1" t="s">
        <v>421</v>
      </c>
      <c r="D21" s="17"/>
      <c r="E21" s="35">
        <v>0</v>
      </c>
      <c r="F21" s="35">
        <v>0</v>
      </c>
      <c r="G21" s="35">
        <v>0</v>
      </c>
      <c r="H21" s="35">
        <v>0</v>
      </c>
      <c r="I21" s="35">
        <v>0</v>
      </c>
      <c r="J21" s="35">
        <v>0</v>
      </c>
      <c r="K21" s="35">
        <v>0</v>
      </c>
      <c r="L21" s="35">
        <v>0</v>
      </c>
    </row>
    <row r="22" spans="1:12" ht="36">
      <c r="A22" s="17" t="s">
        <v>422</v>
      </c>
      <c r="B22" s="17"/>
      <c r="C22" s="1" t="s">
        <v>423</v>
      </c>
      <c r="D22" s="17"/>
      <c r="E22" s="35">
        <v>0</v>
      </c>
      <c r="F22" s="35">
        <v>0</v>
      </c>
      <c r="G22" s="35">
        <v>0</v>
      </c>
      <c r="H22" s="35">
        <v>0</v>
      </c>
      <c r="I22" s="35">
        <v>0</v>
      </c>
      <c r="J22" s="35">
        <v>0</v>
      </c>
      <c r="K22" s="35">
        <v>0</v>
      </c>
      <c r="L22" s="35">
        <v>0</v>
      </c>
    </row>
    <row r="23" spans="1:12" ht="36">
      <c r="A23" s="17" t="s">
        <v>424</v>
      </c>
      <c r="B23" s="17"/>
      <c r="C23" s="1" t="s">
        <v>425</v>
      </c>
      <c r="D23" s="17"/>
      <c r="E23" s="35">
        <v>0</v>
      </c>
      <c r="F23" s="35">
        <v>0</v>
      </c>
      <c r="G23" s="35">
        <v>0</v>
      </c>
      <c r="H23" s="35">
        <v>0</v>
      </c>
      <c r="I23" s="35">
        <v>0</v>
      </c>
      <c r="J23" s="35">
        <v>0</v>
      </c>
      <c r="K23" s="35">
        <v>0</v>
      </c>
      <c r="L23" s="35">
        <v>0</v>
      </c>
    </row>
    <row r="24" spans="1:12" ht="36">
      <c r="A24" s="17" t="s">
        <v>426</v>
      </c>
      <c r="B24" s="17"/>
      <c r="C24" s="1" t="s">
        <v>427</v>
      </c>
      <c r="D24" s="17"/>
      <c r="E24" s="35">
        <v>0</v>
      </c>
      <c r="F24" s="35">
        <v>0</v>
      </c>
      <c r="G24" s="35">
        <v>0</v>
      </c>
      <c r="H24" s="35">
        <v>0</v>
      </c>
      <c r="I24" s="35">
        <v>0</v>
      </c>
      <c r="J24" s="35">
        <v>0</v>
      </c>
      <c r="K24" s="35">
        <v>0</v>
      </c>
      <c r="L24" s="35">
        <v>0</v>
      </c>
    </row>
    <row r="25" spans="1:12">
      <c r="A25" s="17" t="s">
        <v>428</v>
      </c>
      <c r="B25" s="17"/>
      <c r="C25" s="8" t="s">
        <v>429</v>
      </c>
      <c r="D25" s="17"/>
      <c r="F25" s="33"/>
      <c r="G25" s="33"/>
      <c r="H25" s="33"/>
      <c r="I25" s="33"/>
      <c r="J25" s="33"/>
      <c r="K25" s="33"/>
      <c r="L25" s="33"/>
    </row>
    <row r="26" spans="1:12" ht="72">
      <c r="A26" s="27" t="s">
        <v>430</v>
      </c>
      <c r="B26" s="27"/>
      <c r="C26" s="1" t="s">
        <v>431</v>
      </c>
      <c r="D26" s="27"/>
      <c r="E26" s="36"/>
      <c r="F26" s="36"/>
      <c r="G26" s="36"/>
      <c r="H26" s="36"/>
      <c r="I26" s="36"/>
      <c r="J26" s="36"/>
      <c r="K26" s="36"/>
      <c r="L26" s="36"/>
    </row>
    <row r="27" spans="1:12">
      <c r="A27" s="37"/>
      <c r="B27" s="37"/>
      <c r="C27" s="37"/>
      <c r="D27" s="37"/>
      <c r="E27" s="38">
        <f>SUM(E3:E26)</f>
        <v>0</v>
      </c>
      <c r="F27" s="38">
        <v>0</v>
      </c>
      <c r="G27" s="38">
        <v>0</v>
      </c>
      <c r="H27" s="38">
        <v>0</v>
      </c>
      <c r="I27" s="38">
        <v>0</v>
      </c>
      <c r="J27" s="38">
        <v>0</v>
      </c>
      <c r="K27" s="38">
        <v>0</v>
      </c>
      <c r="L27" s="38">
        <v>0</v>
      </c>
    </row>
    <row r="28" spans="1:12" s="41" customFormat="1" ht="24">
      <c r="A28" s="39"/>
      <c r="B28" s="39"/>
      <c r="C28"/>
      <c r="D28" s="39"/>
      <c r="E28" s="40" t="s">
        <v>385</v>
      </c>
      <c r="F28" s="40" t="s">
        <v>385</v>
      </c>
      <c r="G28" s="40" t="s">
        <v>385</v>
      </c>
      <c r="H28" s="40" t="s">
        <v>385</v>
      </c>
      <c r="I28" s="40" t="s">
        <v>385</v>
      </c>
      <c r="J28" s="40" t="s">
        <v>385</v>
      </c>
      <c r="K28" s="40" t="s">
        <v>385</v>
      </c>
      <c r="L28" s="40" t="s">
        <v>385</v>
      </c>
    </row>
    <row r="29" spans="1:12" ht="24">
      <c r="E29" s="14" t="s">
        <v>189</v>
      </c>
      <c r="F29" s="15" t="s">
        <v>190</v>
      </c>
      <c r="G29" s="15" t="s">
        <v>191</v>
      </c>
      <c r="H29" s="15" t="s">
        <v>192</v>
      </c>
      <c r="I29" s="15" t="s">
        <v>193</v>
      </c>
      <c r="J29" s="15" t="s">
        <v>194</v>
      </c>
      <c r="K29" s="15" t="s">
        <v>251</v>
      </c>
      <c r="L29" s="15" t="s">
        <v>252</v>
      </c>
    </row>
    <row r="30" spans="1:12" ht="12.75">
      <c r="C30" s="184" t="s">
        <v>386</v>
      </c>
      <c r="E30" s="42">
        <f>SUM(E31:E36)</f>
        <v>0</v>
      </c>
      <c r="F30" s="42">
        <f t="shared" ref="F30:L30" si="0">SUM(F31:F36)</f>
        <v>0</v>
      </c>
      <c r="G30" s="42">
        <f t="shared" si="0"/>
        <v>0</v>
      </c>
      <c r="H30" s="42">
        <f t="shared" si="0"/>
        <v>0</v>
      </c>
      <c r="I30" s="42">
        <f t="shared" si="0"/>
        <v>0</v>
      </c>
      <c r="J30" s="42">
        <f t="shared" si="0"/>
        <v>0</v>
      </c>
      <c r="K30" s="42">
        <f t="shared" si="0"/>
        <v>0</v>
      </c>
      <c r="L30" s="42">
        <f t="shared" si="0"/>
        <v>0</v>
      </c>
    </row>
    <row r="31" spans="1:12" ht="12.75">
      <c r="C31" s="184" t="s">
        <v>387</v>
      </c>
      <c r="E31" s="42"/>
      <c r="F31" s="42"/>
      <c r="G31" s="42"/>
      <c r="H31" s="42"/>
      <c r="I31" s="42"/>
      <c r="J31" s="42"/>
      <c r="K31" s="42"/>
      <c r="L31" s="42"/>
    </row>
    <row r="32" spans="1:12">
      <c r="E32" s="42"/>
      <c r="F32" s="42"/>
      <c r="G32" s="42"/>
      <c r="H32" s="42"/>
      <c r="I32" s="42"/>
      <c r="J32" s="42"/>
      <c r="K32" s="42"/>
      <c r="L32" s="42"/>
    </row>
    <row r="33" spans="5:12">
      <c r="E33" s="42"/>
      <c r="F33" s="42"/>
      <c r="G33" s="42"/>
      <c r="H33" s="42"/>
      <c r="I33" s="42"/>
      <c r="J33" s="42"/>
      <c r="K33" s="42"/>
      <c r="L33" s="42"/>
    </row>
    <row r="34" spans="5:12">
      <c r="E34" s="42"/>
      <c r="F34" s="42"/>
      <c r="G34" s="42"/>
      <c r="H34" s="42"/>
      <c r="I34" s="42"/>
      <c r="J34" s="42"/>
      <c r="K34" s="42"/>
      <c r="L34" s="42"/>
    </row>
    <row r="35" spans="5:12">
      <c r="E35" s="42"/>
      <c r="F35" s="42"/>
      <c r="G35" s="42"/>
      <c r="H35" s="42"/>
      <c r="I35" s="42"/>
      <c r="J35" s="42"/>
      <c r="K35" s="42"/>
      <c r="L35" s="42"/>
    </row>
    <row r="36" spans="5:12">
      <c r="E36" s="42"/>
      <c r="F36" s="42"/>
      <c r="G36" s="42"/>
      <c r="H36" s="42"/>
      <c r="I36" s="42"/>
      <c r="J36" s="42"/>
      <c r="K36" s="42"/>
      <c r="L36" s="42"/>
    </row>
  </sheetData>
  <phoneticPr fontId="0" type="noConversion"/>
  <printOptions horizontalCentered="1"/>
  <pageMargins left="0.5" right="0.5" top="1" bottom="1" header="0.5" footer="0.5"/>
  <pageSetup paperSize="9" orientation="landscape" r:id="rId1"/>
  <headerFooter alignWithMargins="0">
    <oddHeader>&amp;C&amp;"Calibri"&amp;10&amp;K737373Serco Business&amp;1#_x000D_&amp;"Calibri"&amp;11&amp;K000000&amp;"Calibri"&amp;11&amp;K000000&amp;"Arial,Bold"RESTRICTED - CONTRACTS</oddHeader>
    <oddFooter>&amp;L&amp;8PTC/CB/00642&amp;C&amp;10 1-(3)-&amp;P
&amp;"Arial,Bold"RESTRICTED - CONTRACTS&amp;R&amp;8Pricing</oddFooter>
  </headerFooter>
  <rowBreaks count="1" manualBreakCount="1">
    <brk id="1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BF38"/>
  <sheetViews>
    <sheetView zoomScale="75" workbookViewId="0">
      <pane ySplit="915" topLeftCell="A11" activePane="bottomLeft"/>
      <selection activeCell="C1" sqref="C1:G1"/>
      <selection pane="bottomLeft" activeCell="A35" sqref="A35"/>
    </sheetView>
  </sheetViews>
  <sheetFormatPr defaultColWidth="14.7109375" defaultRowHeight="12" outlineLevelCol="1"/>
  <cols>
    <col min="1" max="1" width="9.28515625" style="13" bestFit="1" customWidth="1"/>
    <col min="2" max="2" width="28" style="13" customWidth="1"/>
    <col min="3" max="3" width="12.7109375" style="24" hidden="1" customWidth="1" outlineLevel="1"/>
    <col min="4" max="4" width="10.7109375" style="51" hidden="1" customWidth="1" outlineLevel="1"/>
    <col min="5" max="5" width="12.7109375" style="51" hidden="1" customWidth="1" outlineLevel="1"/>
    <col min="6" max="6" width="13" style="51" hidden="1" customWidth="1" outlineLevel="1"/>
    <col min="7" max="7" width="12.7109375" style="24" customWidth="1" collapsed="1"/>
    <col min="8" max="8" width="12.7109375" style="76" hidden="1" customWidth="1" outlineLevel="1" collapsed="1"/>
    <col min="9" max="9" width="10.7109375" style="51" hidden="1" customWidth="1" outlineLevel="1"/>
    <col min="10" max="10" width="12.7109375" style="51" hidden="1" customWidth="1" outlineLevel="1"/>
    <col min="11" max="11" width="13" style="51" hidden="1" customWidth="1" outlineLevel="1"/>
    <col min="12" max="12" width="12.85546875" style="17" customWidth="1" collapsed="1"/>
    <col min="13" max="13" width="12.7109375" style="76" hidden="1" customWidth="1" outlineLevel="1" collapsed="1"/>
    <col min="14" max="14" width="10.7109375" style="51" hidden="1" customWidth="1" outlineLevel="1"/>
    <col min="15" max="15" width="12.7109375" style="51" hidden="1" customWidth="1" outlineLevel="1"/>
    <col min="16" max="16" width="13" style="51" hidden="1" customWidth="1" outlineLevel="1"/>
    <col min="17" max="17" width="13.28515625" style="17" customWidth="1" collapsed="1"/>
    <col min="18" max="18" width="12.7109375" style="17" hidden="1" customWidth="1" outlineLevel="1" collapsed="1"/>
    <col min="19" max="19" width="10.7109375" style="17" hidden="1" customWidth="1" outlineLevel="1"/>
    <col min="20" max="20" width="12.7109375" style="17" hidden="1" customWidth="1" outlineLevel="1"/>
    <col min="21" max="21" width="13" style="17" hidden="1" customWidth="1" outlineLevel="1"/>
    <col min="22" max="22" width="13.28515625" style="17" customWidth="1" collapsed="1"/>
    <col min="23" max="23" width="12.7109375" style="17" hidden="1" customWidth="1" outlineLevel="1" collapsed="1"/>
    <col min="24" max="24" width="10.7109375" style="17" hidden="1" customWidth="1" outlineLevel="1"/>
    <col min="25" max="25" width="12.42578125" style="17" hidden="1" customWidth="1" outlineLevel="1"/>
    <col min="26" max="26" width="13" style="17" hidden="1" customWidth="1" outlineLevel="1"/>
    <col min="27" max="27" width="13" style="17" customWidth="1" collapsed="1"/>
    <col min="28" max="28" width="12.7109375" style="17" hidden="1" customWidth="1" outlineLevel="1" collapsed="1"/>
    <col min="29" max="29" width="10.7109375" style="17" hidden="1" customWidth="1" outlineLevel="1"/>
    <col min="30" max="30" width="13.5703125" style="17" hidden="1" customWidth="1" outlineLevel="1"/>
    <col min="31" max="31" width="13" style="17" hidden="1" customWidth="1" outlineLevel="1"/>
    <col min="32" max="32" width="13.42578125" style="17" customWidth="1" collapsed="1"/>
    <col min="33" max="33" width="12.7109375" style="17" hidden="1" customWidth="1" outlineLevel="1" collapsed="1"/>
    <col min="34" max="34" width="10.7109375" style="17" hidden="1" customWidth="1" outlineLevel="1"/>
    <col min="35" max="35" width="13.5703125" style="17" hidden="1" customWidth="1" outlineLevel="1"/>
    <col min="36" max="36" width="13" style="17" hidden="1" customWidth="1" outlineLevel="1"/>
    <col min="37" max="37" width="13.7109375" style="17" customWidth="1" collapsed="1"/>
    <col min="38" max="38" width="12.7109375" style="17" hidden="1" customWidth="1" outlineLevel="1" collapsed="1"/>
    <col min="39" max="39" width="10.7109375" style="17" hidden="1" customWidth="1" outlineLevel="1"/>
    <col min="40" max="40" width="13.140625" style="17" hidden="1" customWidth="1" outlineLevel="1"/>
    <col min="41" max="41" width="13" style="17" hidden="1" customWidth="1" outlineLevel="1"/>
    <col min="42" max="42" width="12.7109375" style="17" customWidth="1" collapsed="1"/>
    <col min="43" max="43" width="14.7109375" style="17" customWidth="1" collapsed="1"/>
    <col min="44" max="46" width="14.7109375" style="17" customWidth="1"/>
    <col min="47" max="47" width="14.7109375" style="17" customWidth="1" collapsed="1"/>
    <col min="48" max="48" width="14.7109375" style="17" customWidth="1"/>
    <col min="49" max="58" width="14.7109375" style="17" customWidth="1" collapsed="1"/>
    <col min="59" max="16384" width="14.7109375" style="17"/>
  </cols>
  <sheetData>
    <row r="1" spans="1:42">
      <c r="C1" s="541" t="s">
        <v>189</v>
      </c>
      <c r="D1" s="542"/>
      <c r="E1" s="542"/>
      <c r="F1" s="542"/>
      <c r="G1" s="542"/>
      <c r="H1" s="538" t="s">
        <v>190</v>
      </c>
      <c r="I1" s="539"/>
      <c r="J1" s="539"/>
      <c r="K1" s="539"/>
      <c r="L1" s="539"/>
      <c r="M1" s="538" t="s">
        <v>191</v>
      </c>
      <c r="N1" s="539"/>
      <c r="O1" s="539"/>
      <c r="P1" s="539"/>
      <c r="Q1" s="539"/>
      <c r="R1" s="538" t="s">
        <v>432</v>
      </c>
      <c r="S1" s="539"/>
      <c r="T1" s="539"/>
      <c r="U1" s="539"/>
      <c r="V1" s="539"/>
      <c r="W1" s="538" t="s">
        <v>433</v>
      </c>
      <c r="X1" s="539"/>
      <c r="Y1" s="539"/>
      <c r="Z1" s="539"/>
      <c r="AA1" s="539"/>
      <c r="AB1" s="538" t="s">
        <v>194</v>
      </c>
      <c r="AC1" s="539"/>
      <c r="AD1" s="539"/>
      <c r="AE1" s="539"/>
      <c r="AF1" s="539"/>
      <c r="AG1" s="538" t="s">
        <v>251</v>
      </c>
      <c r="AH1" s="539"/>
      <c r="AI1" s="539"/>
      <c r="AJ1" s="539"/>
      <c r="AK1" s="539"/>
      <c r="AL1" s="538" t="s">
        <v>252</v>
      </c>
      <c r="AM1" s="539"/>
      <c r="AN1" s="539"/>
      <c r="AO1" s="539"/>
      <c r="AP1" s="539"/>
    </row>
    <row r="2" spans="1:42" ht="36">
      <c r="A2" s="18" t="s">
        <v>253</v>
      </c>
      <c r="B2" s="18"/>
      <c r="C2" s="19" t="s">
        <v>434</v>
      </c>
      <c r="D2" s="19" t="s">
        <v>435</v>
      </c>
      <c r="E2" s="19" t="s">
        <v>436</v>
      </c>
      <c r="F2" s="19" t="s">
        <v>437</v>
      </c>
      <c r="G2" s="19" t="s">
        <v>254</v>
      </c>
      <c r="H2" s="19" t="s">
        <v>434</v>
      </c>
      <c r="I2" s="19" t="s">
        <v>435</v>
      </c>
      <c r="J2" s="19" t="s">
        <v>436</v>
      </c>
      <c r="K2" s="19" t="s">
        <v>437</v>
      </c>
      <c r="L2" s="19" t="s">
        <v>254</v>
      </c>
      <c r="M2" s="19" t="s">
        <v>434</v>
      </c>
      <c r="N2" s="19" t="s">
        <v>435</v>
      </c>
      <c r="O2" s="19" t="s">
        <v>436</v>
      </c>
      <c r="P2" s="19" t="s">
        <v>437</v>
      </c>
      <c r="Q2" s="19" t="s">
        <v>254</v>
      </c>
      <c r="R2" s="19" t="s">
        <v>434</v>
      </c>
      <c r="S2" s="19" t="s">
        <v>435</v>
      </c>
      <c r="T2" s="19" t="s">
        <v>436</v>
      </c>
      <c r="U2" s="19" t="s">
        <v>437</v>
      </c>
      <c r="V2" s="19" t="s">
        <v>254</v>
      </c>
      <c r="W2" s="19" t="s">
        <v>434</v>
      </c>
      <c r="X2" s="19" t="s">
        <v>435</v>
      </c>
      <c r="Y2" s="19" t="s">
        <v>436</v>
      </c>
      <c r="Z2" s="19" t="s">
        <v>437</v>
      </c>
      <c r="AA2" s="19" t="s">
        <v>254</v>
      </c>
      <c r="AB2" s="19" t="s">
        <v>434</v>
      </c>
      <c r="AC2" s="19" t="s">
        <v>435</v>
      </c>
      <c r="AD2" s="19" t="s">
        <v>436</v>
      </c>
      <c r="AE2" s="19" t="s">
        <v>437</v>
      </c>
      <c r="AF2" s="19" t="s">
        <v>254</v>
      </c>
      <c r="AG2" s="19" t="s">
        <v>434</v>
      </c>
      <c r="AH2" s="19" t="s">
        <v>435</v>
      </c>
      <c r="AI2" s="19" t="s">
        <v>436</v>
      </c>
      <c r="AJ2" s="19" t="s">
        <v>437</v>
      </c>
      <c r="AK2" s="19" t="s">
        <v>254</v>
      </c>
      <c r="AL2" s="19" t="s">
        <v>434</v>
      </c>
      <c r="AM2" s="19" t="s">
        <v>435</v>
      </c>
      <c r="AN2" s="19" t="s">
        <v>436</v>
      </c>
      <c r="AO2" s="19" t="s">
        <v>437</v>
      </c>
      <c r="AP2" s="19" t="s">
        <v>254</v>
      </c>
    </row>
    <row r="3" spans="1:42">
      <c r="A3" s="13" t="s">
        <v>438</v>
      </c>
      <c r="B3" s="8" t="s">
        <v>439</v>
      </c>
      <c r="H3" s="17"/>
      <c r="I3" s="17"/>
      <c r="J3" s="17"/>
      <c r="K3" s="17"/>
      <c r="M3" s="17"/>
      <c r="N3" s="17"/>
      <c r="O3" s="17"/>
      <c r="P3" s="17"/>
    </row>
    <row r="4" spans="1:42">
      <c r="A4" s="13" t="s">
        <v>440</v>
      </c>
      <c r="B4" s="8" t="s">
        <v>441</v>
      </c>
      <c r="H4" s="17"/>
      <c r="I4" s="17"/>
      <c r="J4" s="17"/>
      <c r="K4" s="17"/>
      <c r="M4" s="17"/>
      <c r="N4" s="17"/>
      <c r="O4" s="17"/>
      <c r="P4" s="17"/>
    </row>
    <row r="5" spans="1:42" ht="72">
      <c r="A5" s="13" t="s">
        <v>442</v>
      </c>
      <c r="B5" s="1" t="s">
        <v>443</v>
      </c>
      <c r="C5" s="53">
        <v>5425</v>
      </c>
      <c r="D5" s="55">
        <v>70.517480653368409</v>
      </c>
      <c r="E5" s="55">
        <f>SUM(C5)*D5</f>
        <v>382557.33254452364</v>
      </c>
      <c r="G5" s="53">
        <v>30602</v>
      </c>
      <c r="H5" s="53">
        <v>5425</v>
      </c>
      <c r="I5" s="55">
        <v>72.773802738681894</v>
      </c>
      <c r="J5" s="55">
        <f>SUM(H5)*I5</f>
        <v>394797.87985734927</v>
      </c>
      <c r="L5" s="53">
        <v>30602</v>
      </c>
      <c r="M5" s="53">
        <v>5425</v>
      </c>
      <c r="N5" s="55">
        <v>75.102656630959842</v>
      </c>
      <c r="O5" s="55">
        <f>SUM(M5)*N5</f>
        <v>407431.91222295712</v>
      </c>
      <c r="Q5" s="53">
        <v>30602</v>
      </c>
      <c r="R5" s="53">
        <v>5425</v>
      </c>
      <c r="S5" s="55">
        <v>77.69413828563782</v>
      </c>
      <c r="T5" s="55">
        <f>SUM(R5)*S5</f>
        <v>421490.70019958518</v>
      </c>
      <c r="U5" s="51"/>
      <c r="V5" s="53">
        <v>30602</v>
      </c>
      <c r="W5" s="53">
        <v>5425</v>
      </c>
      <c r="X5" s="55">
        <v>80.375394015044364</v>
      </c>
      <c r="Y5" s="55">
        <f>SUM(W5)*X5</f>
        <v>436036.51253161568</v>
      </c>
      <c r="Z5" s="51"/>
      <c r="AA5" s="53">
        <v>30602</v>
      </c>
      <c r="AB5" s="53">
        <v>5425</v>
      </c>
      <c r="AC5" s="55">
        <v>83.551419687290618</v>
      </c>
      <c r="AD5" s="55">
        <f>SUM(AB5)*AC5</f>
        <v>453266.45180355158</v>
      </c>
      <c r="AE5" s="51"/>
      <c r="AF5" s="53">
        <v>30602</v>
      </c>
      <c r="AG5" s="53">
        <v>5425</v>
      </c>
      <c r="AH5" s="55">
        <v>87.271073782212511</v>
      </c>
      <c r="AI5" s="55">
        <f>SUM(AG5)*AH5</f>
        <v>473445.57526850287</v>
      </c>
      <c r="AJ5" s="51"/>
      <c r="AK5" s="53">
        <v>30602</v>
      </c>
      <c r="AL5" s="53">
        <v>5425</v>
      </c>
      <c r="AM5" s="55">
        <v>91.156706718720656</v>
      </c>
      <c r="AN5" s="55">
        <f>SUM(AL5)*AM5</f>
        <v>494525.13394905959</v>
      </c>
      <c r="AO5" s="51"/>
      <c r="AP5" s="53">
        <v>30602</v>
      </c>
    </row>
    <row r="6" spans="1:42" ht="96">
      <c r="A6" s="13" t="s">
        <v>444</v>
      </c>
      <c r="B6" s="1" t="s">
        <v>445</v>
      </c>
      <c r="C6" s="53">
        <v>5425</v>
      </c>
      <c r="D6" s="55">
        <v>51.407570612900976</v>
      </c>
      <c r="E6" s="55">
        <f>SUM(C6)*D6</f>
        <v>278886.0705749878</v>
      </c>
      <c r="G6" s="53">
        <v>22309</v>
      </c>
      <c r="H6" s="53">
        <v>5425</v>
      </c>
      <c r="I6" s="55">
        <v>53.05243988292446</v>
      </c>
      <c r="J6" s="55">
        <f>SUM(H6)*I6</f>
        <v>287809.48636486521</v>
      </c>
      <c r="L6" s="53">
        <v>22309</v>
      </c>
      <c r="M6" s="53">
        <v>5425</v>
      </c>
      <c r="N6" s="55">
        <v>54.750185176788548</v>
      </c>
      <c r="O6" s="55">
        <f>SUM(M6)*N6</f>
        <v>297019.75458407786</v>
      </c>
      <c r="Q6" s="53">
        <v>22309</v>
      </c>
      <c r="R6" s="53">
        <v>5425</v>
      </c>
      <c r="S6" s="55">
        <v>56.639387328092745</v>
      </c>
      <c r="T6" s="55">
        <f>SUM(R6)*S6</f>
        <v>307268.67625490314</v>
      </c>
      <c r="U6" s="51"/>
      <c r="V6" s="53">
        <v>22309</v>
      </c>
      <c r="W6" s="53">
        <v>5425</v>
      </c>
      <c r="X6" s="55">
        <v>58.594035196445489</v>
      </c>
      <c r="Y6" s="55">
        <f>SUM(W6)*X6</f>
        <v>317872.64094071678</v>
      </c>
      <c r="Z6" s="51"/>
      <c r="AA6" s="53">
        <v>22309</v>
      </c>
      <c r="AB6" s="53">
        <v>5425</v>
      </c>
      <c r="AC6" s="55">
        <v>60.909372648969558</v>
      </c>
      <c r="AD6" s="55">
        <f>SUM(AB6)*AC6</f>
        <v>330433.34662065987</v>
      </c>
      <c r="AE6" s="51"/>
      <c r="AF6" s="53">
        <v>22309</v>
      </c>
      <c r="AG6" s="53">
        <v>5425</v>
      </c>
      <c r="AH6" s="55">
        <v>63.621017744179433</v>
      </c>
      <c r="AI6" s="55">
        <f>SUM(AG6)*AH6</f>
        <v>345144.02126217342</v>
      </c>
      <c r="AJ6" s="51"/>
      <c r="AK6" s="53">
        <v>22309</v>
      </c>
      <c r="AL6" s="53">
        <v>5425</v>
      </c>
      <c r="AM6" s="55">
        <v>66.453662185083957</v>
      </c>
      <c r="AN6" s="55">
        <f>SUM(AL6)*AM6</f>
        <v>360511.11735408049</v>
      </c>
      <c r="AO6" s="51"/>
      <c r="AP6" s="53">
        <v>22309</v>
      </c>
    </row>
    <row r="7" spans="1:42">
      <c r="A7" s="13" t="s">
        <v>446</v>
      </c>
      <c r="B7" s="250" t="s">
        <v>447</v>
      </c>
      <c r="H7" s="24"/>
      <c r="L7" s="24"/>
      <c r="M7" s="24"/>
      <c r="Q7" s="24"/>
      <c r="R7" s="24"/>
      <c r="S7" s="51"/>
      <c r="T7" s="51"/>
      <c r="U7" s="51"/>
      <c r="V7" s="24"/>
      <c r="W7" s="24"/>
      <c r="X7" s="51"/>
      <c r="Y7" s="51"/>
      <c r="Z7" s="51"/>
      <c r="AA7" s="24"/>
      <c r="AB7" s="24"/>
      <c r="AC7" s="51"/>
      <c r="AD7" s="51"/>
      <c r="AE7" s="51"/>
      <c r="AF7" s="24"/>
      <c r="AG7" s="24"/>
      <c r="AH7" s="51"/>
      <c r="AI7" s="51"/>
      <c r="AJ7" s="51"/>
      <c r="AK7" s="24"/>
      <c r="AL7" s="24"/>
      <c r="AM7" s="51"/>
      <c r="AN7" s="51"/>
      <c r="AO7" s="51"/>
      <c r="AP7" s="24"/>
    </row>
    <row r="8" spans="1:42" ht="48">
      <c r="A8" s="13" t="s">
        <v>448</v>
      </c>
      <c r="B8" s="1" t="s">
        <v>449</v>
      </c>
      <c r="G8" s="53">
        <v>650</v>
      </c>
      <c r="H8" s="24"/>
      <c r="L8" s="53">
        <v>650</v>
      </c>
      <c r="M8" s="24"/>
      <c r="Q8" s="53">
        <v>650</v>
      </c>
      <c r="R8" s="24"/>
      <c r="S8" s="51"/>
      <c r="T8" s="51"/>
      <c r="U8" s="51"/>
      <c r="V8" s="53">
        <v>650</v>
      </c>
      <c r="W8" s="24"/>
      <c r="X8" s="51"/>
      <c r="Y8" s="51"/>
      <c r="Z8" s="51"/>
      <c r="AA8" s="53">
        <v>650</v>
      </c>
      <c r="AB8" s="24"/>
      <c r="AC8" s="51"/>
      <c r="AD8" s="51"/>
      <c r="AE8" s="51"/>
      <c r="AF8" s="53">
        <v>650</v>
      </c>
      <c r="AG8" s="24"/>
      <c r="AH8" s="51"/>
      <c r="AI8" s="51"/>
      <c r="AJ8" s="51"/>
      <c r="AK8" s="53">
        <v>650</v>
      </c>
      <c r="AL8" s="24"/>
      <c r="AM8" s="51"/>
      <c r="AN8" s="51"/>
      <c r="AO8" s="51"/>
      <c r="AP8" s="53">
        <v>650</v>
      </c>
    </row>
    <row r="9" spans="1:42" ht="48">
      <c r="A9" s="13" t="s">
        <v>450</v>
      </c>
      <c r="B9" s="1" t="s">
        <v>451</v>
      </c>
      <c r="G9" s="53">
        <v>30</v>
      </c>
      <c r="H9" s="24"/>
      <c r="L9" s="53">
        <v>30</v>
      </c>
      <c r="M9" s="24"/>
      <c r="Q9" s="53">
        <v>30</v>
      </c>
      <c r="R9" s="24"/>
      <c r="S9" s="51"/>
      <c r="T9" s="51"/>
      <c r="U9" s="51"/>
      <c r="V9" s="53">
        <v>30</v>
      </c>
      <c r="W9" s="24"/>
      <c r="X9" s="51"/>
      <c r="Y9" s="51"/>
      <c r="Z9" s="51"/>
      <c r="AA9" s="53">
        <v>30</v>
      </c>
      <c r="AB9" s="24"/>
      <c r="AC9" s="51"/>
      <c r="AD9" s="51"/>
      <c r="AE9" s="51"/>
      <c r="AF9" s="53">
        <v>30</v>
      </c>
      <c r="AG9" s="24"/>
      <c r="AH9" s="51"/>
      <c r="AI9" s="51"/>
      <c r="AJ9" s="51"/>
      <c r="AK9" s="53">
        <v>30</v>
      </c>
      <c r="AL9" s="24"/>
      <c r="AM9" s="51"/>
      <c r="AN9" s="51"/>
      <c r="AO9" s="51"/>
      <c r="AP9" s="53">
        <v>30</v>
      </c>
    </row>
    <row r="10" spans="1:42" ht="36">
      <c r="A10" s="13" t="s">
        <v>452</v>
      </c>
      <c r="B10" s="1" t="s">
        <v>453</v>
      </c>
      <c r="G10" s="53">
        <v>12</v>
      </c>
      <c r="H10" s="24"/>
      <c r="L10" s="53">
        <v>12</v>
      </c>
      <c r="M10" s="24"/>
      <c r="Q10" s="53">
        <v>12</v>
      </c>
      <c r="R10" s="24"/>
      <c r="S10" s="51"/>
      <c r="T10" s="51"/>
      <c r="U10" s="51"/>
      <c r="V10" s="53">
        <v>12</v>
      </c>
      <c r="W10" s="24"/>
      <c r="X10" s="51"/>
      <c r="Y10" s="51"/>
      <c r="Z10" s="51"/>
      <c r="AA10" s="53">
        <v>12</v>
      </c>
      <c r="AB10" s="24"/>
      <c r="AC10" s="51"/>
      <c r="AD10" s="51"/>
      <c r="AE10" s="51"/>
      <c r="AF10" s="53">
        <v>12</v>
      </c>
      <c r="AG10" s="24"/>
      <c r="AH10" s="51"/>
      <c r="AI10" s="51"/>
      <c r="AJ10" s="51"/>
      <c r="AK10" s="53">
        <v>12</v>
      </c>
      <c r="AL10" s="24"/>
      <c r="AM10" s="51"/>
      <c r="AN10" s="51"/>
      <c r="AO10" s="51"/>
      <c r="AP10" s="53">
        <v>12</v>
      </c>
    </row>
    <row r="11" spans="1:42" ht="24">
      <c r="A11" s="13" t="s">
        <v>454</v>
      </c>
      <c r="B11" s="1" t="s">
        <v>455</v>
      </c>
      <c r="G11" s="53">
        <v>16</v>
      </c>
      <c r="H11" s="24"/>
      <c r="L11" s="53">
        <v>16</v>
      </c>
      <c r="M11" s="24"/>
      <c r="Q11" s="53">
        <v>16</v>
      </c>
      <c r="R11" s="24"/>
      <c r="S11" s="51"/>
      <c r="T11" s="51"/>
      <c r="U11" s="51"/>
      <c r="V11" s="53">
        <v>16</v>
      </c>
      <c r="W11" s="24"/>
      <c r="X11" s="51"/>
      <c r="Y11" s="51"/>
      <c r="Z11" s="51"/>
      <c r="AA11" s="53">
        <v>16</v>
      </c>
      <c r="AB11" s="24"/>
      <c r="AC11" s="51"/>
      <c r="AD11" s="51"/>
      <c r="AE11" s="51"/>
      <c r="AF11" s="53">
        <v>16</v>
      </c>
      <c r="AG11" s="24"/>
      <c r="AH11" s="51"/>
      <c r="AI11" s="51"/>
      <c r="AJ11" s="51"/>
      <c r="AK11" s="53">
        <v>16</v>
      </c>
      <c r="AL11" s="24"/>
      <c r="AM11" s="51"/>
      <c r="AN11" s="51"/>
      <c r="AO11" s="51"/>
      <c r="AP11" s="53">
        <v>16</v>
      </c>
    </row>
    <row r="12" spans="1:42" ht="24">
      <c r="A12" s="13" t="s">
        <v>456</v>
      </c>
      <c r="B12" s="1" t="s">
        <v>457</v>
      </c>
      <c r="G12" s="53">
        <v>25</v>
      </c>
      <c r="H12" s="24"/>
      <c r="L12" s="53">
        <v>25</v>
      </c>
      <c r="M12" s="24"/>
      <c r="Q12" s="53">
        <v>25</v>
      </c>
      <c r="R12" s="24"/>
      <c r="S12" s="51"/>
      <c r="T12" s="51"/>
      <c r="U12" s="51"/>
      <c r="V12" s="53">
        <v>25</v>
      </c>
      <c r="W12" s="24"/>
      <c r="X12" s="51"/>
      <c r="Y12" s="51"/>
      <c r="Z12" s="51"/>
      <c r="AA12" s="53">
        <v>25</v>
      </c>
      <c r="AB12" s="24"/>
      <c r="AC12" s="51"/>
      <c r="AD12" s="51"/>
      <c r="AE12" s="51"/>
      <c r="AF12" s="53">
        <v>25</v>
      </c>
      <c r="AG12" s="24"/>
      <c r="AH12" s="51"/>
      <c r="AI12" s="51"/>
      <c r="AJ12" s="51"/>
      <c r="AK12" s="53">
        <v>25</v>
      </c>
      <c r="AL12" s="24"/>
      <c r="AM12" s="51"/>
      <c r="AN12" s="51"/>
      <c r="AO12" s="51"/>
      <c r="AP12" s="53">
        <v>25</v>
      </c>
    </row>
    <row r="13" spans="1:42">
      <c r="A13" s="13" t="s">
        <v>458</v>
      </c>
      <c r="B13" s="8" t="s">
        <v>312</v>
      </c>
      <c r="H13" s="24"/>
      <c r="L13" s="24"/>
      <c r="M13" s="24"/>
      <c r="Q13" s="24"/>
      <c r="R13" s="24"/>
      <c r="S13" s="51"/>
      <c r="T13" s="51"/>
      <c r="U13" s="51"/>
      <c r="V13" s="24"/>
      <c r="W13" s="24"/>
      <c r="X13" s="51"/>
      <c r="Y13" s="51"/>
      <c r="Z13" s="51"/>
      <c r="AA13" s="24"/>
      <c r="AB13" s="24"/>
      <c r="AC13" s="51"/>
      <c r="AD13" s="51"/>
      <c r="AE13" s="51"/>
      <c r="AF13" s="24"/>
      <c r="AG13" s="24"/>
      <c r="AH13" s="51"/>
      <c r="AI13" s="51"/>
      <c r="AJ13" s="51"/>
      <c r="AK13" s="24"/>
      <c r="AL13" s="24"/>
      <c r="AM13" s="51"/>
      <c r="AN13" s="51"/>
      <c r="AO13" s="51"/>
      <c r="AP13" s="24"/>
    </row>
    <row r="14" spans="1:42">
      <c r="A14" s="13" t="s">
        <v>459</v>
      </c>
      <c r="B14" s="1" t="s">
        <v>460</v>
      </c>
      <c r="H14" s="24"/>
      <c r="L14" s="24"/>
      <c r="M14" s="24"/>
      <c r="Q14" s="24"/>
      <c r="R14" s="24"/>
      <c r="S14" s="51"/>
      <c r="T14" s="51"/>
      <c r="U14" s="51"/>
      <c r="V14" s="24"/>
      <c r="W14" s="24"/>
      <c r="X14" s="51"/>
      <c r="Y14" s="51"/>
      <c r="Z14" s="51"/>
      <c r="AA14" s="24"/>
      <c r="AB14" s="24"/>
      <c r="AC14" s="51"/>
      <c r="AD14" s="51"/>
      <c r="AE14" s="51"/>
      <c r="AF14" s="24"/>
      <c r="AG14" s="24"/>
      <c r="AH14" s="51"/>
      <c r="AI14" s="51"/>
      <c r="AJ14" s="51"/>
      <c r="AK14" s="24"/>
      <c r="AL14" s="24"/>
      <c r="AM14" s="51"/>
      <c r="AN14" s="51"/>
      <c r="AO14" s="51"/>
      <c r="AP14" s="24"/>
    </row>
    <row r="15" spans="1:42">
      <c r="A15" s="13" t="s">
        <v>461</v>
      </c>
      <c r="B15" s="8" t="s">
        <v>410</v>
      </c>
      <c r="H15" s="24"/>
      <c r="L15" s="24"/>
      <c r="M15" s="24"/>
      <c r="Q15" s="24"/>
      <c r="R15" s="24"/>
      <c r="S15" s="51"/>
      <c r="T15" s="51"/>
      <c r="U15" s="51"/>
      <c r="V15" s="24"/>
      <c r="W15" s="24"/>
      <c r="X15" s="51"/>
      <c r="Y15" s="51"/>
      <c r="Z15" s="51"/>
      <c r="AA15" s="24"/>
      <c r="AB15" s="24"/>
      <c r="AC15" s="51"/>
      <c r="AD15" s="51"/>
      <c r="AE15" s="51"/>
      <c r="AF15" s="24"/>
      <c r="AG15" s="24"/>
      <c r="AH15" s="51"/>
      <c r="AI15" s="51"/>
      <c r="AJ15" s="51"/>
      <c r="AK15" s="24"/>
      <c r="AL15" s="24"/>
      <c r="AM15" s="51"/>
      <c r="AN15" s="51"/>
      <c r="AO15" s="51"/>
      <c r="AP15" s="24"/>
    </row>
    <row r="16" spans="1:42" ht="60">
      <c r="A16" s="13" t="s">
        <v>462</v>
      </c>
      <c r="B16" s="1" t="s">
        <v>412</v>
      </c>
      <c r="H16" s="24"/>
      <c r="L16" s="24"/>
      <c r="M16" s="24"/>
      <c r="Q16" s="24"/>
      <c r="R16" s="24"/>
      <c r="S16" s="51"/>
      <c r="T16" s="51"/>
      <c r="U16" s="51"/>
      <c r="V16" s="24"/>
      <c r="W16" s="24"/>
      <c r="X16" s="51"/>
      <c r="Y16" s="51"/>
      <c r="Z16" s="51"/>
      <c r="AA16" s="24"/>
      <c r="AB16" s="24"/>
      <c r="AC16" s="51"/>
      <c r="AD16" s="51"/>
      <c r="AE16" s="51"/>
      <c r="AF16" s="24"/>
      <c r="AG16" s="24"/>
      <c r="AH16" s="51"/>
      <c r="AI16" s="51"/>
      <c r="AJ16" s="51"/>
      <c r="AK16" s="24"/>
      <c r="AL16" s="24"/>
      <c r="AM16" s="51"/>
      <c r="AN16" s="51"/>
      <c r="AO16" s="51"/>
      <c r="AP16" s="24"/>
    </row>
    <row r="17" spans="1:42" ht="60">
      <c r="A17" s="13" t="s">
        <v>463</v>
      </c>
      <c r="B17" s="1" t="s">
        <v>464</v>
      </c>
      <c r="F17" s="129">
        <v>12.501056550046519</v>
      </c>
      <c r="G17" s="53">
        <v>0</v>
      </c>
      <c r="H17" s="24"/>
      <c r="K17" s="129">
        <v>12.901048292835412</v>
      </c>
      <c r="L17" s="53">
        <v>0</v>
      </c>
      <c r="M17" s="24"/>
      <c r="P17" s="129">
        <v>13.31389818387547</v>
      </c>
      <c r="Q17" s="53">
        <v>0</v>
      </c>
      <c r="R17" s="24"/>
      <c r="S17" s="51"/>
      <c r="T17" s="51"/>
      <c r="U17" s="129">
        <v>13.773305672818285</v>
      </c>
      <c r="V17" s="53">
        <v>0</v>
      </c>
      <c r="W17" s="24"/>
      <c r="X17" s="51"/>
      <c r="Y17" s="51"/>
      <c r="Z17" s="129">
        <v>14.248627950186775</v>
      </c>
      <c r="AA17" s="53">
        <v>0</v>
      </c>
      <c r="AB17" s="24"/>
      <c r="AC17" s="51"/>
      <c r="AD17" s="51"/>
      <c r="AE17" s="129">
        <v>14.811661061484596</v>
      </c>
      <c r="AF17" s="53">
        <v>0</v>
      </c>
      <c r="AG17" s="24"/>
      <c r="AH17" s="51"/>
      <c r="AI17" s="51"/>
      <c r="AJ17" s="129">
        <v>15.471066442340463</v>
      </c>
      <c r="AK17" s="53">
        <v>0</v>
      </c>
      <c r="AL17" s="24"/>
      <c r="AM17" s="51"/>
      <c r="AN17" s="51"/>
      <c r="AO17" s="129">
        <v>16.159895887492958</v>
      </c>
      <c r="AP17" s="53">
        <v>0</v>
      </c>
    </row>
    <row r="18" spans="1:42" ht="60">
      <c r="A18" s="13" t="s">
        <v>465</v>
      </c>
      <c r="B18" s="1" t="s">
        <v>466</v>
      </c>
      <c r="F18" s="129">
        <v>12.501056550046519</v>
      </c>
      <c r="G18" s="53">
        <v>50</v>
      </c>
      <c r="H18" s="24"/>
      <c r="K18" s="129">
        <v>12.901048292835412</v>
      </c>
      <c r="L18" s="53">
        <v>50</v>
      </c>
      <c r="M18" s="24"/>
      <c r="P18" s="129">
        <v>13.31389818387547</v>
      </c>
      <c r="Q18" s="53">
        <v>50</v>
      </c>
      <c r="R18" s="24"/>
      <c r="S18" s="51"/>
      <c r="T18" s="51"/>
      <c r="U18" s="129">
        <v>13.773305672818285</v>
      </c>
      <c r="V18" s="53">
        <v>50</v>
      </c>
      <c r="W18" s="24"/>
      <c r="X18" s="51"/>
      <c r="Y18" s="51"/>
      <c r="Z18" s="129">
        <v>14.248627950186775</v>
      </c>
      <c r="AA18" s="53">
        <v>50</v>
      </c>
      <c r="AB18" s="24"/>
      <c r="AC18" s="51"/>
      <c r="AD18" s="51"/>
      <c r="AE18" s="129">
        <v>14.811661061484596</v>
      </c>
      <c r="AF18" s="53">
        <v>50</v>
      </c>
      <c r="AG18" s="24"/>
      <c r="AH18" s="51"/>
      <c r="AI18" s="51"/>
      <c r="AJ18" s="129">
        <v>15.471066442340463</v>
      </c>
      <c r="AK18" s="53">
        <v>50</v>
      </c>
      <c r="AL18" s="24"/>
      <c r="AM18" s="51"/>
      <c r="AN18" s="51"/>
      <c r="AO18" s="129">
        <v>16.159895887492958</v>
      </c>
      <c r="AP18" s="53">
        <v>50</v>
      </c>
    </row>
    <row r="19" spans="1:42">
      <c r="A19" s="13" t="s">
        <v>467</v>
      </c>
      <c r="B19" s="8" t="s">
        <v>320</v>
      </c>
      <c r="H19" s="24"/>
      <c r="L19" s="24"/>
      <c r="M19" s="24"/>
      <c r="Q19" s="24"/>
      <c r="R19" s="24"/>
      <c r="S19" s="51"/>
      <c r="T19" s="51"/>
      <c r="U19" s="51"/>
      <c r="V19" s="24"/>
      <c r="W19" s="24"/>
      <c r="X19" s="51"/>
      <c r="Y19" s="51"/>
      <c r="Z19" s="51"/>
      <c r="AA19" s="24"/>
      <c r="AB19" s="24"/>
      <c r="AC19" s="51"/>
      <c r="AD19" s="51"/>
      <c r="AE19" s="51"/>
      <c r="AF19" s="24"/>
      <c r="AG19" s="24"/>
      <c r="AH19" s="51"/>
      <c r="AI19" s="51"/>
      <c r="AJ19" s="51"/>
      <c r="AK19" s="24"/>
      <c r="AL19" s="24"/>
      <c r="AM19" s="51"/>
      <c r="AN19" s="51"/>
      <c r="AO19" s="51"/>
      <c r="AP19" s="24"/>
    </row>
    <row r="20" spans="1:42" ht="60">
      <c r="A20" s="13" t="s">
        <v>468</v>
      </c>
      <c r="B20" s="1" t="s">
        <v>469</v>
      </c>
      <c r="G20" s="53">
        <v>2392</v>
      </c>
      <c r="H20" s="24"/>
      <c r="L20" s="53">
        <v>2392</v>
      </c>
      <c r="M20" s="24"/>
      <c r="Q20" s="53">
        <v>2392</v>
      </c>
      <c r="R20" s="24"/>
      <c r="S20" s="51"/>
      <c r="T20" s="51"/>
      <c r="U20" s="51"/>
      <c r="V20" s="53">
        <v>2392</v>
      </c>
      <c r="W20" s="24"/>
      <c r="X20" s="51"/>
      <c r="Y20" s="51"/>
      <c r="Z20" s="51"/>
      <c r="AA20" s="53">
        <v>2392</v>
      </c>
      <c r="AB20" s="24"/>
      <c r="AC20" s="51"/>
      <c r="AD20" s="51"/>
      <c r="AE20" s="51"/>
      <c r="AF20" s="53">
        <v>2392</v>
      </c>
      <c r="AG20" s="24"/>
      <c r="AH20" s="51"/>
      <c r="AI20" s="51"/>
      <c r="AJ20" s="51"/>
      <c r="AK20" s="53">
        <v>2392</v>
      </c>
      <c r="AL20" s="24"/>
      <c r="AM20" s="51"/>
      <c r="AN20" s="51"/>
      <c r="AO20" s="51"/>
      <c r="AP20" s="53">
        <v>2392</v>
      </c>
    </row>
    <row r="21" spans="1:42" ht="36">
      <c r="A21" s="13" t="s">
        <v>470</v>
      </c>
      <c r="B21" s="1" t="s">
        <v>471</v>
      </c>
      <c r="G21" s="53">
        <v>40</v>
      </c>
      <c r="H21" s="24"/>
      <c r="L21" s="53">
        <v>40</v>
      </c>
      <c r="M21" s="24"/>
      <c r="Q21" s="53">
        <v>40</v>
      </c>
      <c r="R21" s="24"/>
      <c r="S21" s="51"/>
      <c r="T21" s="51"/>
      <c r="U21" s="51"/>
      <c r="V21" s="53">
        <v>40</v>
      </c>
      <c r="W21" s="24"/>
      <c r="X21" s="51"/>
      <c r="Y21" s="51"/>
      <c r="Z21" s="51"/>
      <c r="AA21" s="53">
        <v>40</v>
      </c>
      <c r="AB21" s="24"/>
      <c r="AC21" s="51"/>
      <c r="AD21" s="51"/>
      <c r="AE21" s="51"/>
      <c r="AF21" s="53">
        <v>40</v>
      </c>
      <c r="AG21" s="24"/>
      <c r="AH21" s="51"/>
      <c r="AI21" s="51"/>
      <c r="AJ21" s="51"/>
      <c r="AK21" s="53">
        <v>40</v>
      </c>
      <c r="AL21" s="24"/>
      <c r="AM21" s="51"/>
      <c r="AN21" s="51"/>
      <c r="AO21" s="51"/>
      <c r="AP21" s="53">
        <v>40</v>
      </c>
    </row>
    <row r="22" spans="1:42" ht="36">
      <c r="A22" s="13" t="s">
        <v>472</v>
      </c>
      <c r="B22" s="1" t="s">
        <v>473</v>
      </c>
      <c r="G22" s="53">
        <v>50</v>
      </c>
      <c r="H22" s="24"/>
      <c r="L22" s="53">
        <v>50</v>
      </c>
      <c r="M22" s="24"/>
      <c r="Q22" s="53">
        <v>50</v>
      </c>
      <c r="R22" s="24"/>
      <c r="S22" s="51"/>
      <c r="T22" s="51"/>
      <c r="U22" s="51"/>
      <c r="V22" s="53">
        <v>50</v>
      </c>
      <c r="W22" s="24"/>
      <c r="X22" s="51"/>
      <c r="Y22" s="51"/>
      <c r="Z22" s="51"/>
      <c r="AA22" s="53">
        <v>50</v>
      </c>
      <c r="AB22" s="24"/>
      <c r="AC22" s="51"/>
      <c r="AD22" s="51"/>
      <c r="AE22" s="51"/>
      <c r="AF22" s="53">
        <v>50</v>
      </c>
      <c r="AG22" s="24"/>
      <c r="AH22" s="51"/>
      <c r="AI22" s="51"/>
      <c r="AJ22" s="51"/>
      <c r="AK22" s="53">
        <v>50</v>
      </c>
      <c r="AL22" s="24"/>
      <c r="AM22" s="51"/>
      <c r="AN22" s="51"/>
      <c r="AO22" s="51"/>
      <c r="AP22" s="53">
        <v>50</v>
      </c>
    </row>
    <row r="23" spans="1:42" ht="36">
      <c r="A23" s="13" t="s">
        <v>474</v>
      </c>
      <c r="B23" s="1" t="s">
        <v>475</v>
      </c>
      <c r="G23" s="53">
        <v>20</v>
      </c>
      <c r="H23" s="24"/>
      <c r="L23" s="53">
        <v>20</v>
      </c>
      <c r="M23" s="24"/>
      <c r="Q23" s="53">
        <v>20</v>
      </c>
      <c r="R23" s="24"/>
      <c r="S23" s="51"/>
      <c r="T23" s="51"/>
      <c r="U23" s="51"/>
      <c r="V23" s="53">
        <v>20</v>
      </c>
      <c r="W23" s="24"/>
      <c r="X23" s="51"/>
      <c r="Y23" s="51"/>
      <c r="Z23" s="51"/>
      <c r="AA23" s="53">
        <v>20</v>
      </c>
      <c r="AB23" s="24"/>
      <c r="AC23" s="51"/>
      <c r="AD23" s="51"/>
      <c r="AE23" s="51"/>
      <c r="AF23" s="53">
        <v>20</v>
      </c>
      <c r="AG23" s="24"/>
      <c r="AH23" s="51"/>
      <c r="AI23" s="51"/>
      <c r="AJ23" s="51"/>
      <c r="AK23" s="53">
        <v>20</v>
      </c>
      <c r="AL23" s="24"/>
      <c r="AM23" s="51"/>
      <c r="AN23" s="51"/>
      <c r="AO23" s="51"/>
      <c r="AP23" s="53">
        <v>20</v>
      </c>
    </row>
    <row r="24" spans="1:42">
      <c r="A24" s="13" t="s">
        <v>476</v>
      </c>
      <c r="B24" s="8" t="s">
        <v>477</v>
      </c>
      <c r="H24" s="24"/>
      <c r="L24" s="24"/>
      <c r="M24" s="24"/>
      <c r="Q24" s="24"/>
      <c r="R24" s="24"/>
      <c r="S24" s="51"/>
      <c r="T24" s="51"/>
      <c r="U24" s="51"/>
      <c r="V24" s="24"/>
      <c r="W24" s="24"/>
      <c r="X24" s="51"/>
      <c r="Y24" s="51"/>
      <c r="Z24" s="51"/>
      <c r="AA24" s="24"/>
      <c r="AB24" s="24"/>
      <c r="AC24" s="51"/>
      <c r="AD24" s="51"/>
      <c r="AE24" s="51"/>
      <c r="AF24" s="24"/>
      <c r="AG24" s="24"/>
      <c r="AH24" s="51"/>
      <c r="AI24" s="51"/>
      <c r="AJ24" s="51"/>
      <c r="AK24" s="24"/>
      <c r="AL24" s="24"/>
      <c r="AM24" s="51"/>
      <c r="AN24" s="51"/>
      <c r="AO24" s="51"/>
      <c r="AP24" s="24"/>
    </row>
    <row r="25" spans="1:42">
      <c r="A25" s="17" t="s">
        <v>478</v>
      </c>
      <c r="B25" s="8" t="s">
        <v>479</v>
      </c>
      <c r="H25" s="24"/>
      <c r="L25" s="24"/>
      <c r="M25" s="24"/>
      <c r="Q25" s="24"/>
      <c r="R25" s="24"/>
      <c r="S25" s="51"/>
      <c r="T25" s="51"/>
      <c r="U25" s="51"/>
      <c r="V25" s="24"/>
      <c r="W25" s="24"/>
      <c r="X25" s="51"/>
      <c r="Y25" s="51"/>
      <c r="Z25" s="51"/>
      <c r="AA25" s="24"/>
      <c r="AB25" s="24"/>
      <c r="AC25" s="51"/>
      <c r="AD25" s="51"/>
      <c r="AE25" s="51"/>
      <c r="AF25" s="24"/>
      <c r="AG25" s="24"/>
      <c r="AH25" s="51"/>
      <c r="AI25" s="51"/>
      <c r="AJ25" s="51"/>
      <c r="AK25" s="24"/>
      <c r="AL25" s="24"/>
      <c r="AM25" s="51"/>
      <c r="AN25" s="51"/>
      <c r="AO25" s="51"/>
      <c r="AP25" s="24"/>
    </row>
    <row r="26" spans="1:42" ht="24">
      <c r="A26" s="13" t="s">
        <v>480</v>
      </c>
      <c r="B26" s="1" t="s">
        <v>481</v>
      </c>
      <c r="G26" s="53">
        <v>250</v>
      </c>
      <c r="H26" s="24"/>
      <c r="L26" s="53">
        <v>250</v>
      </c>
      <c r="M26" s="24"/>
      <c r="Q26" s="53">
        <v>250</v>
      </c>
      <c r="R26" s="24"/>
      <c r="S26" s="51"/>
      <c r="T26" s="51"/>
      <c r="U26" s="51"/>
      <c r="V26" s="53">
        <v>250</v>
      </c>
      <c r="W26" s="24"/>
      <c r="X26" s="51"/>
      <c r="Y26" s="51"/>
      <c r="Z26" s="51"/>
      <c r="AA26" s="53">
        <v>250</v>
      </c>
      <c r="AB26" s="24"/>
      <c r="AC26" s="51"/>
      <c r="AD26" s="51"/>
      <c r="AE26" s="51"/>
      <c r="AF26" s="53">
        <v>250</v>
      </c>
      <c r="AG26" s="24"/>
      <c r="AH26" s="51"/>
      <c r="AI26" s="51"/>
      <c r="AJ26" s="51"/>
      <c r="AK26" s="53">
        <v>250</v>
      </c>
      <c r="AL26" s="24"/>
      <c r="AM26" s="51"/>
      <c r="AN26" s="51"/>
      <c r="AO26" s="51"/>
      <c r="AP26" s="53">
        <v>250</v>
      </c>
    </row>
    <row r="27" spans="1:42" ht="24">
      <c r="A27" s="13" t="s">
        <v>482</v>
      </c>
      <c r="B27" s="1" t="s">
        <v>483</v>
      </c>
      <c r="G27" s="53">
        <v>100</v>
      </c>
      <c r="H27" s="24"/>
      <c r="L27" s="53">
        <v>100</v>
      </c>
      <c r="M27" s="24"/>
      <c r="Q27" s="53">
        <v>100</v>
      </c>
      <c r="R27" s="24"/>
      <c r="S27" s="51"/>
      <c r="T27" s="51"/>
      <c r="U27" s="51"/>
      <c r="V27" s="53">
        <v>100</v>
      </c>
      <c r="W27" s="24"/>
      <c r="X27" s="51"/>
      <c r="Y27" s="51"/>
      <c r="Z27" s="51"/>
      <c r="AA27" s="53">
        <v>100</v>
      </c>
      <c r="AB27" s="24"/>
      <c r="AC27" s="51"/>
      <c r="AD27" s="51"/>
      <c r="AE27" s="51"/>
      <c r="AF27" s="53">
        <v>100</v>
      </c>
      <c r="AG27" s="24"/>
      <c r="AH27" s="51"/>
      <c r="AI27" s="51"/>
      <c r="AJ27" s="51"/>
      <c r="AK27" s="53">
        <v>100</v>
      </c>
      <c r="AL27" s="24"/>
      <c r="AM27" s="51"/>
      <c r="AN27" s="51"/>
      <c r="AO27" s="51"/>
      <c r="AP27" s="53">
        <v>100</v>
      </c>
    </row>
    <row r="28" spans="1:42">
      <c r="A28" s="13" t="s">
        <v>484</v>
      </c>
      <c r="B28" s="8" t="s">
        <v>485</v>
      </c>
      <c r="H28" s="24"/>
      <c r="L28" s="24"/>
      <c r="M28" s="24"/>
      <c r="Q28" s="24"/>
      <c r="R28" s="24"/>
      <c r="S28" s="51"/>
      <c r="T28" s="51"/>
      <c r="U28" s="51"/>
      <c r="V28" s="24"/>
      <c r="W28" s="24"/>
      <c r="X28" s="51"/>
      <c r="Y28" s="51"/>
      <c r="Z28" s="51"/>
      <c r="AA28" s="24"/>
      <c r="AB28" s="24"/>
      <c r="AC28" s="51"/>
      <c r="AD28" s="51"/>
      <c r="AE28" s="51"/>
      <c r="AF28" s="24"/>
      <c r="AG28" s="24"/>
      <c r="AH28" s="51"/>
      <c r="AI28" s="51"/>
      <c r="AJ28" s="51"/>
      <c r="AK28" s="24"/>
      <c r="AL28" s="24"/>
      <c r="AM28" s="51"/>
      <c r="AN28" s="51"/>
      <c r="AO28" s="51"/>
      <c r="AP28" s="24"/>
    </row>
    <row r="29" spans="1:42" ht="36">
      <c r="A29" s="13" t="s">
        <v>486</v>
      </c>
      <c r="B29" s="1" t="s">
        <v>487</v>
      </c>
      <c r="G29" s="130">
        <v>50</v>
      </c>
      <c r="H29" s="24"/>
      <c r="L29" s="130">
        <v>50</v>
      </c>
      <c r="M29" s="24"/>
      <c r="Q29" s="130">
        <v>50</v>
      </c>
      <c r="R29" s="24"/>
      <c r="S29" s="51"/>
      <c r="T29" s="51"/>
      <c r="U29" s="51"/>
      <c r="V29" s="130">
        <v>50</v>
      </c>
      <c r="W29" s="24"/>
      <c r="X29" s="51"/>
      <c r="Y29" s="51"/>
      <c r="Z29" s="51"/>
      <c r="AA29" s="130">
        <v>50</v>
      </c>
      <c r="AB29" s="24"/>
      <c r="AC29" s="51"/>
      <c r="AD29" s="51"/>
      <c r="AE29" s="51"/>
      <c r="AF29" s="130">
        <v>50</v>
      </c>
      <c r="AG29" s="24"/>
      <c r="AH29" s="51"/>
      <c r="AI29" s="51"/>
      <c r="AJ29" s="51"/>
      <c r="AK29" s="130">
        <v>50</v>
      </c>
      <c r="AL29" s="24"/>
      <c r="AM29" s="51"/>
      <c r="AN29" s="51"/>
      <c r="AO29" s="51"/>
      <c r="AP29" s="130">
        <v>50</v>
      </c>
    </row>
    <row r="30" spans="1:42">
      <c r="B30" s="17"/>
      <c r="C30" s="131"/>
      <c r="D30" s="44"/>
      <c r="E30" s="44"/>
      <c r="F30" s="44"/>
      <c r="G30" s="62">
        <f>SUM(G3:G29)</f>
        <v>56596</v>
      </c>
      <c r="H30" s="131"/>
      <c r="I30" s="44"/>
      <c r="J30" s="44"/>
      <c r="K30" s="44"/>
      <c r="L30" s="62">
        <f>SUM(L3:L29)</f>
        <v>56596</v>
      </c>
      <c r="M30" s="131"/>
      <c r="N30" s="44"/>
      <c r="O30" s="44"/>
      <c r="P30" s="44"/>
      <c r="Q30" s="62">
        <f>SUM(Q3:Q29)</f>
        <v>56596</v>
      </c>
      <c r="R30" s="131"/>
      <c r="S30" s="44"/>
      <c r="T30" s="44"/>
      <c r="U30" s="44"/>
      <c r="V30" s="62">
        <f>SUM(V3:V29)</f>
        <v>56596</v>
      </c>
      <c r="W30" s="131"/>
      <c r="X30" s="44"/>
      <c r="Y30" s="44"/>
      <c r="Z30" s="44"/>
      <c r="AA30" s="62">
        <f>SUM(AA3:AA29)</f>
        <v>56596</v>
      </c>
      <c r="AB30" s="131"/>
      <c r="AC30" s="44"/>
      <c r="AD30" s="44"/>
      <c r="AE30" s="44"/>
      <c r="AF30" s="62">
        <f>SUM(AF3:AF29)</f>
        <v>56596</v>
      </c>
      <c r="AG30" s="131"/>
      <c r="AH30" s="44"/>
      <c r="AI30" s="44"/>
      <c r="AJ30" s="44"/>
      <c r="AK30" s="29">
        <f>SUM(AK3:AK29)</f>
        <v>56596</v>
      </c>
      <c r="AL30" s="131"/>
      <c r="AM30" s="44"/>
      <c r="AN30" s="44"/>
      <c r="AO30" s="44"/>
      <c r="AP30" s="29">
        <f>SUM(AP3:AP29)</f>
        <v>56596</v>
      </c>
    </row>
    <row r="31" spans="1:42" s="41" customFormat="1">
      <c r="A31" s="39"/>
      <c r="C31" s="339"/>
      <c r="D31" s="339"/>
      <c r="E31" s="540" t="s">
        <v>385</v>
      </c>
      <c r="F31" s="540"/>
      <c r="G31" s="540"/>
      <c r="H31" s="339"/>
      <c r="I31" s="339"/>
      <c r="J31" s="540" t="s">
        <v>385</v>
      </c>
      <c r="K31" s="540"/>
      <c r="L31" s="540"/>
      <c r="M31" s="43"/>
      <c r="N31" s="44"/>
      <c r="O31" s="540" t="s">
        <v>385</v>
      </c>
      <c r="P31" s="540"/>
      <c r="Q31" s="540"/>
      <c r="R31" s="339"/>
      <c r="S31" s="339"/>
      <c r="T31" s="540" t="s">
        <v>385</v>
      </c>
      <c r="U31" s="540"/>
      <c r="V31" s="540"/>
      <c r="W31" s="339"/>
      <c r="X31" s="339"/>
      <c r="Y31" s="540" t="s">
        <v>385</v>
      </c>
      <c r="Z31" s="540"/>
      <c r="AA31" s="540"/>
      <c r="AB31" s="339"/>
      <c r="AC31" s="339"/>
      <c r="AD31" s="540" t="s">
        <v>385</v>
      </c>
      <c r="AE31" s="540"/>
      <c r="AF31" s="540"/>
      <c r="AG31" s="339"/>
      <c r="AH31" s="339"/>
      <c r="AI31" s="540" t="s">
        <v>385</v>
      </c>
      <c r="AJ31" s="540"/>
      <c r="AK31" s="540"/>
      <c r="AL31" s="339"/>
      <c r="AM31" s="339"/>
      <c r="AN31" s="540" t="s">
        <v>385</v>
      </c>
      <c r="AO31" s="540"/>
      <c r="AP31" s="540"/>
    </row>
    <row r="32" spans="1:42" ht="24">
      <c r="B32" s="17"/>
      <c r="C32" s="45"/>
      <c r="D32" s="46"/>
      <c r="E32" s="46"/>
      <c r="F32" s="46"/>
      <c r="G32" s="14" t="s">
        <v>189</v>
      </c>
      <c r="H32" s="47"/>
      <c r="I32" s="48"/>
      <c r="J32" s="48"/>
      <c r="K32" s="48"/>
      <c r="L32" s="15" t="s">
        <v>190</v>
      </c>
      <c r="M32" s="47"/>
      <c r="N32" s="48"/>
      <c r="O32" s="48"/>
      <c r="P32" s="48"/>
      <c r="Q32" s="15" t="s">
        <v>191</v>
      </c>
      <c r="R32" s="343"/>
      <c r="S32" s="343"/>
      <c r="T32" s="343"/>
      <c r="U32" s="343"/>
      <c r="V32" s="15" t="s">
        <v>432</v>
      </c>
      <c r="W32" s="343"/>
      <c r="X32" s="343"/>
      <c r="Y32" s="343"/>
      <c r="Z32" s="343"/>
      <c r="AA32" s="15" t="s">
        <v>433</v>
      </c>
      <c r="AB32" s="343"/>
      <c r="AC32" s="343"/>
      <c r="AD32" s="343"/>
      <c r="AE32" s="343"/>
      <c r="AF32" s="15" t="s">
        <v>194</v>
      </c>
      <c r="AG32" s="343"/>
      <c r="AH32" s="343"/>
      <c r="AI32" s="343"/>
      <c r="AJ32" s="343"/>
      <c r="AK32" s="15" t="s">
        <v>251</v>
      </c>
      <c r="AL32" s="343"/>
      <c r="AM32" s="343"/>
      <c r="AN32" s="343"/>
      <c r="AO32" s="343"/>
      <c r="AP32" s="15" t="s">
        <v>252</v>
      </c>
    </row>
    <row r="33" spans="2:42" ht="12.75">
      <c r="B33" s="184" t="s">
        <v>386</v>
      </c>
      <c r="C33" s="45"/>
      <c r="D33" s="46"/>
      <c r="E33" s="46"/>
      <c r="F33" s="46"/>
      <c r="G33" s="55">
        <f>SUM(G34:G38)</f>
        <v>707509.79650643282</v>
      </c>
      <c r="H33" s="55">
        <f t="shared" ref="H33:AP33" si="0">SUM(H34:H38)</f>
        <v>0</v>
      </c>
      <c r="I33" s="55">
        <f t="shared" si="0"/>
        <v>0</v>
      </c>
      <c r="J33" s="55">
        <f t="shared" si="0"/>
        <v>0</v>
      </c>
      <c r="K33" s="55">
        <f t="shared" si="0"/>
        <v>0</v>
      </c>
      <c r="L33" s="55">
        <f t="shared" si="0"/>
        <v>731569.72918131296</v>
      </c>
      <c r="M33" s="55">
        <f t="shared" si="0"/>
        <v>0</v>
      </c>
      <c r="N33" s="55">
        <f t="shared" si="0"/>
        <v>0</v>
      </c>
      <c r="O33" s="55">
        <f t="shared" si="0"/>
        <v>0</v>
      </c>
      <c r="P33" s="55">
        <f t="shared" si="0"/>
        <v>0</v>
      </c>
      <c r="Q33" s="55">
        <f t="shared" si="0"/>
        <v>757335.351614616</v>
      </c>
      <c r="R33" s="55">
        <f t="shared" si="0"/>
        <v>0</v>
      </c>
      <c r="S33" s="55">
        <f t="shared" si="0"/>
        <v>0</v>
      </c>
      <c r="T33" s="55">
        <f t="shared" si="0"/>
        <v>0</v>
      </c>
      <c r="U33" s="55">
        <f t="shared" si="0"/>
        <v>0</v>
      </c>
      <c r="V33" s="55">
        <f t="shared" si="0"/>
        <v>783452.54785882367</v>
      </c>
      <c r="W33" s="55">
        <f t="shared" si="0"/>
        <v>0</v>
      </c>
      <c r="X33" s="55">
        <f t="shared" si="0"/>
        <v>0</v>
      </c>
      <c r="Y33" s="55">
        <f t="shared" si="0"/>
        <v>0</v>
      </c>
      <c r="Z33" s="55">
        <f t="shared" si="0"/>
        <v>0</v>
      </c>
      <c r="AA33" s="55">
        <f t="shared" si="0"/>
        <v>810480.41746877064</v>
      </c>
      <c r="AB33" s="55">
        <f t="shared" si="0"/>
        <v>0</v>
      </c>
      <c r="AC33" s="55">
        <f t="shared" si="0"/>
        <v>0</v>
      </c>
      <c r="AD33" s="55">
        <f t="shared" si="0"/>
        <v>0</v>
      </c>
      <c r="AE33" s="55">
        <f t="shared" si="0"/>
        <v>0</v>
      </c>
      <c r="AF33" s="55">
        <f t="shared" si="0"/>
        <v>842476.40943578223</v>
      </c>
      <c r="AG33" s="55">
        <f t="shared" si="0"/>
        <v>0</v>
      </c>
      <c r="AH33" s="55">
        <f t="shared" si="0"/>
        <v>0</v>
      </c>
      <c r="AI33" s="55">
        <f t="shared" si="0"/>
        <v>0</v>
      </c>
      <c r="AJ33" s="55">
        <f t="shared" si="0"/>
        <v>0</v>
      </c>
      <c r="AK33" s="55">
        <f t="shared" si="0"/>
        <v>879930.89637070091</v>
      </c>
      <c r="AL33" s="55">
        <f t="shared" si="0"/>
        <v>0</v>
      </c>
      <c r="AM33" s="55">
        <f t="shared" si="0"/>
        <v>0</v>
      </c>
      <c r="AN33" s="55">
        <f t="shared" si="0"/>
        <v>0</v>
      </c>
      <c r="AO33" s="55">
        <f t="shared" si="0"/>
        <v>0</v>
      </c>
      <c r="AP33" s="55">
        <f t="shared" si="0"/>
        <v>919054.99764855148</v>
      </c>
    </row>
    <row r="34" spans="2:42" ht="12.75">
      <c r="B34" s="184" t="s">
        <v>387</v>
      </c>
      <c r="G34" s="55">
        <v>707509.79650643282</v>
      </c>
      <c r="H34" s="47"/>
      <c r="I34" s="48"/>
      <c r="J34" s="48"/>
      <c r="K34" s="48"/>
      <c r="L34" s="55">
        <v>730147.72918131296</v>
      </c>
      <c r="M34" s="47"/>
      <c r="N34" s="48"/>
      <c r="O34" s="48"/>
      <c r="P34" s="48"/>
      <c r="Q34" s="55">
        <v>753513.38161461602</v>
      </c>
      <c r="R34" s="343"/>
      <c r="S34" s="343"/>
      <c r="T34" s="343"/>
      <c r="U34" s="343"/>
      <c r="V34" s="55">
        <v>779514.00785882364</v>
      </c>
      <c r="W34" s="343"/>
      <c r="X34" s="343"/>
      <c r="Y34" s="343"/>
      <c r="Z34" s="343"/>
      <c r="AA34" s="55">
        <v>806415.34746877069</v>
      </c>
      <c r="AB34" s="343"/>
      <c r="AC34" s="343"/>
      <c r="AD34" s="343"/>
      <c r="AE34" s="343"/>
      <c r="AF34" s="55">
        <v>838280.76943578222</v>
      </c>
      <c r="AG34" s="343"/>
      <c r="AH34" s="343"/>
      <c r="AI34" s="343"/>
      <c r="AJ34" s="343"/>
      <c r="AK34" s="55">
        <v>875600.47637070087</v>
      </c>
      <c r="AL34" s="343"/>
      <c r="AM34" s="343"/>
      <c r="AN34" s="343"/>
      <c r="AO34" s="343"/>
      <c r="AP34" s="55">
        <v>914585.46764855145</v>
      </c>
    </row>
    <row r="35" spans="2:42">
      <c r="B35" s="17" t="s">
        <v>488</v>
      </c>
      <c r="G35" s="55">
        <v>0</v>
      </c>
      <c r="H35" s="47"/>
      <c r="I35" s="48"/>
      <c r="J35" s="48"/>
      <c r="K35" s="48"/>
      <c r="L35" s="55">
        <v>1422</v>
      </c>
      <c r="M35" s="47"/>
      <c r="N35" s="48"/>
      <c r="O35" s="48"/>
      <c r="P35" s="48"/>
      <c r="Q35" s="55">
        <v>3821.97</v>
      </c>
      <c r="R35" s="343"/>
      <c r="S35" s="343"/>
      <c r="T35" s="343"/>
      <c r="U35" s="343"/>
      <c r="V35" s="55">
        <v>3938.54</v>
      </c>
      <c r="W35" s="343"/>
      <c r="X35" s="343"/>
      <c r="Y35" s="343"/>
      <c r="Z35" s="343"/>
      <c r="AA35" s="55">
        <v>4065.07</v>
      </c>
      <c r="AB35" s="343"/>
      <c r="AC35" s="343"/>
      <c r="AD35" s="343"/>
      <c r="AE35" s="343"/>
      <c r="AF35" s="55">
        <v>4195.6400000000003</v>
      </c>
      <c r="AG35" s="343"/>
      <c r="AH35" s="343"/>
      <c r="AI35" s="343"/>
      <c r="AJ35" s="343"/>
      <c r="AK35" s="55">
        <v>4330.42</v>
      </c>
      <c r="AL35" s="343"/>
      <c r="AM35" s="343"/>
      <c r="AN35" s="343"/>
      <c r="AO35" s="343"/>
      <c r="AP35" s="55">
        <v>4469.53</v>
      </c>
    </row>
    <row r="36" spans="2:42">
      <c r="B36" s="17"/>
      <c r="G36" s="55"/>
      <c r="H36" s="47"/>
      <c r="I36" s="48"/>
      <c r="J36" s="48"/>
      <c r="K36" s="48"/>
      <c r="L36" s="55"/>
      <c r="M36" s="47"/>
      <c r="N36" s="48"/>
      <c r="O36" s="48"/>
      <c r="P36" s="48"/>
      <c r="Q36" s="55"/>
      <c r="R36" s="343"/>
      <c r="S36" s="343"/>
      <c r="T36" s="343"/>
      <c r="U36" s="343"/>
      <c r="V36" s="55"/>
      <c r="W36" s="343"/>
      <c r="X36" s="343"/>
      <c r="Y36" s="343"/>
      <c r="Z36" s="343"/>
      <c r="AA36" s="55"/>
      <c r="AB36" s="343"/>
      <c r="AC36" s="343"/>
      <c r="AD36" s="343"/>
      <c r="AE36" s="343"/>
      <c r="AF36" s="55"/>
      <c r="AG36" s="343"/>
      <c r="AH36" s="343"/>
      <c r="AI36" s="343"/>
      <c r="AJ36" s="343"/>
      <c r="AK36" s="55"/>
      <c r="AL36" s="343"/>
      <c r="AM36" s="343"/>
      <c r="AN36" s="343"/>
      <c r="AO36" s="343"/>
      <c r="AP36" s="55"/>
    </row>
    <row r="37" spans="2:42">
      <c r="G37" s="55"/>
      <c r="H37" s="47"/>
      <c r="I37" s="48"/>
      <c r="J37" s="48"/>
      <c r="K37" s="48"/>
      <c r="L37" s="55"/>
      <c r="M37" s="47"/>
      <c r="N37" s="48"/>
      <c r="O37" s="48"/>
      <c r="P37" s="48"/>
      <c r="Q37" s="55"/>
      <c r="R37" s="343"/>
      <c r="S37" s="343"/>
      <c r="T37" s="343"/>
      <c r="U37" s="343"/>
      <c r="V37" s="55"/>
      <c r="W37" s="343"/>
      <c r="X37" s="343"/>
      <c r="Y37" s="343"/>
      <c r="Z37" s="343"/>
      <c r="AA37" s="55"/>
      <c r="AB37" s="343"/>
      <c r="AC37" s="343"/>
      <c r="AD37" s="343"/>
      <c r="AE37" s="343"/>
      <c r="AF37" s="55"/>
      <c r="AG37" s="343"/>
      <c r="AH37" s="343"/>
      <c r="AI37" s="343"/>
      <c r="AJ37" s="343"/>
      <c r="AK37" s="55"/>
      <c r="AL37" s="343"/>
      <c r="AM37" s="343"/>
      <c r="AN37" s="343"/>
      <c r="AO37" s="343"/>
      <c r="AP37" s="55"/>
    </row>
    <row r="38" spans="2:42">
      <c r="G38" s="55"/>
      <c r="H38" s="47"/>
      <c r="I38" s="48"/>
      <c r="J38" s="48"/>
      <c r="K38" s="48"/>
      <c r="L38" s="55"/>
      <c r="M38" s="47"/>
      <c r="N38" s="48"/>
      <c r="O38" s="48"/>
      <c r="P38" s="48"/>
      <c r="Q38" s="55"/>
      <c r="R38" s="343"/>
      <c r="S38" s="343"/>
      <c r="T38" s="343"/>
      <c r="U38" s="343"/>
      <c r="V38" s="55"/>
      <c r="W38" s="343"/>
      <c r="X38" s="343"/>
      <c r="Y38" s="343"/>
      <c r="Z38" s="343"/>
      <c r="AA38" s="55"/>
      <c r="AB38" s="343"/>
      <c r="AC38" s="343"/>
      <c r="AD38" s="343"/>
      <c r="AE38" s="343"/>
      <c r="AF38" s="55"/>
      <c r="AG38" s="343"/>
      <c r="AH38" s="343"/>
      <c r="AI38" s="343"/>
      <c r="AJ38" s="343"/>
      <c r="AK38" s="55"/>
      <c r="AL38" s="343"/>
      <c r="AM38" s="343"/>
      <c r="AN38" s="343"/>
      <c r="AO38" s="343"/>
      <c r="AP38" s="55"/>
    </row>
  </sheetData>
  <mergeCells count="16">
    <mergeCell ref="J31:L31"/>
    <mergeCell ref="E31:G31"/>
    <mergeCell ref="AD31:AF31"/>
    <mergeCell ref="Y31:AA31"/>
    <mergeCell ref="C1:G1"/>
    <mergeCell ref="H1:L1"/>
    <mergeCell ref="T31:V31"/>
    <mergeCell ref="O31:Q31"/>
    <mergeCell ref="AG1:AK1"/>
    <mergeCell ref="AL1:AP1"/>
    <mergeCell ref="AN31:AP31"/>
    <mergeCell ref="AI31:AK31"/>
    <mergeCell ref="M1:Q1"/>
    <mergeCell ref="R1:V1"/>
    <mergeCell ref="W1:AA1"/>
    <mergeCell ref="AB1:AF1"/>
  </mergeCells>
  <phoneticPr fontId="0" type="noConversion"/>
  <printOptions horizontalCentered="1"/>
  <pageMargins left="0.5" right="0.5" top="1" bottom="1" header="0.5" footer="0.5"/>
  <pageSetup paperSize="9" pageOrder="overThenDown" orientation="landscape" r:id="rId1"/>
  <headerFooter alignWithMargins="0">
    <oddHeader>&amp;C&amp;"Calibri"&amp;10&amp;K737373Serco Business&amp;1#_x000D_&amp;"Calibri"&amp;11&amp;K000000&amp;"Calibri"&amp;11&amp;K000000&amp;"Arial,Bold"RESTRICTED - CONTRACTS</oddHeader>
    <oddFooter>&amp;L&amp;8PTC/CB/00642&amp;C&amp;10 1-(4)-&amp;P
&amp;"Arial,Bold"RESTRICTED - CONTRACTS&amp;R&amp;8Pricing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AL39"/>
  <sheetViews>
    <sheetView zoomScale="75" workbookViewId="0">
      <pane ySplit="735" topLeftCell="A22" activePane="bottomLeft"/>
      <selection activeCell="I4" sqref="I4"/>
      <selection pane="bottomLeft" activeCell="C36" sqref="C36"/>
    </sheetView>
  </sheetViews>
  <sheetFormatPr defaultColWidth="9.140625" defaultRowHeight="12" outlineLevelCol="1"/>
  <cols>
    <col min="1" max="1" width="8.7109375" style="13" customWidth="1"/>
    <col min="2" max="2" width="2.7109375" style="17" customWidth="1"/>
    <col min="3" max="3" width="25.7109375" style="17" customWidth="1"/>
    <col min="4" max="4" width="14.7109375" style="24" hidden="1" customWidth="1" outlineLevel="1"/>
    <col min="5" max="6" width="13.7109375" style="51" hidden="1" customWidth="1" outlineLevel="1"/>
    <col min="7" max="7" width="14.7109375" style="24" customWidth="1" collapsed="1"/>
    <col min="8" max="8" width="14.7109375" style="76" hidden="1" customWidth="1" outlineLevel="1"/>
    <col min="9" max="10" width="14.7109375" style="51" hidden="1" customWidth="1" outlineLevel="1"/>
    <col min="11" max="11" width="14.85546875" style="17" customWidth="1" collapsed="1"/>
    <col min="12" max="12" width="14.7109375" style="76" hidden="1" customWidth="1" outlineLevel="1"/>
    <col min="13" max="14" width="14.7109375" style="51" hidden="1" customWidth="1" outlineLevel="1"/>
    <col min="15" max="15" width="15.28515625" style="17" customWidth="1" collapsed="1"/>
    <col min="16" max="18" width="14.7109375" style="17" hidden="1" customWidth="1" outlineLevel="1"/>
    <col min="19" max="19" width="15" style="17" customWidth="1" collapsed="1"/>
    <col min="20" max="22" width="14.7109375" style="17" hidden="1" customWidth="1" outlineLevel="1"/>
    <col min="23" max="23" width="15.42578125" style="17" customWidth="1" collapsed="1"/>
    <col min="24" max="26" width="14.7109375" style="17" hidden="1" customWidth="1" outlineLevel="1"/>
    <col min="27" max="27" width="15.140625" style="17" customWidth="1" collapsed="1"/>
    <col min="28" max="30" width="14.7109375" style="17" hidden="1" customWidth="1" outlineLevel="1"/>
    <col min="31" max="31" width="15.140625" style="17" customWidth="1" collapsed="1"/>
    <col min="32" max="34" width="14.7109375" style="17" hidden="1" customWidth="1" outlineLevel="1"/>
    <col min="35" max="35" width="14.42578125" style="17" customWidth="1" collapsed="1"/>
    <col min="36" max="36" width="9.140625" style="17"/>
    <col min="37" max="37" width="11.42578125" style="17" bestFit="1" customWidth="1"/>
    <col min="38" max="16384" width="9.140625" style="17"/>
  </cols>
  <sheetData>
    <row r="1" spans="1:35">
      <c r="C1" s="21" t="s">
        <v>489</v>
      </c>
      <c r="D1" s="543" t="s">
        <v>189</v>
      </c>
      <c r="E1" s="543"/>
      <c r="F1" s="543"/>
      <c r="G1" s="543"/>
      <c r="H1" s="543" t="s">
        <v>190</v>
      </c>
      <c r="I1" s="543"/>
      <c r="J1" s="543"/>
      <c r="K1" s="543"/>
      <c r="L1" s="543" t="s">
        <v>191</v>
      </c>
      <c r="M1" s="543"/>
      <c r="N1" s="543"/>
      <c r="O1" s="543"/>
      <c r="P1" s="543" t="s">
        <v>432</v>
      </c>
      <c r="Q1" s="543"/>
      <c r="R1" s="543"/>
      <c r="S1" s="543"/>
      <c r="T1" s="543" t="s">
        <v>433</v>
      </c>
      <c r="U1" s="543"/>
      <c r="V1" s="543"/>
      <c r="W1" s="543"/>
      <c r="X1" s="543" t="s">
        <v>194</v>
      </c>
      <c r="Y1" s="543"/>
      <c r="Z1" s="543"/>
      <c r="AA1" s="543"/>
      <c r="AB1" s="543" t="s">
        <v>251</v>
      </c>
      <c r="AC1" s="543"/>
      <c r="AD1" s="543"/>
      <c r="AE1" s="543"/>
      <c r="AF1" s="543" t="s">
        <v>252</v>
      </c>
      <c r="AG1" s="543"/>
      <c r="AH1" s="543"/>
      <c r="AI1" s="543"/>
    </row>
    <row r="2" spans="1:35" ht="24">
      <c r="A2" s="18" t="s">
        <v>253</v>
      </c>
      <c r="B2" s="49"/>
      <c r="C2" s="49" t="s">
        <v>490</v>
      </c>
      <c r="D2" s="19" t="s">
        <v>434</v>
      </c>
      <c r="E2" s="19" t="s">
        <v>435</v>
      </c>
      <c r="F2" s="19" t="s">
        <v>436</v>
      </c>
      <c r="G2" s="19" t="s">
        <v>254</v>
      </c>
      <c r="H2" s="19" t="s">
        <v>434</v>
      </c>
      <c r="I2" s="19" t="s">
        <v>435</v>
      </c>
      <c r="J2" s="19" t="s">
        <v>436</v>
      </c>
      <c r="K2" s="19" t="s">
        <v>254</v>
      </c>
      <c r="L2" s="19" t="s">
        <v>434</v>
      </c>
      <c r="M2" s="19" t="s">
        <v>435</v>
      </c>
      <c r="N2" s="19" t="s">
        <v>436</v>
      </c>
      <c r="O2" s="19" t="s">
        <v>254</v>
      </c>
      <c r="P2" s="19" t="s">
        <v>434</v>
      </c>
      <c r="Q2" s="19" t="s">
        <v>435</v>
      </c>
      <c r="R2" s="19" t="s">
        <v>436</v>
      </c>
      <c r="S2" s="19" t="s">
        <v>254</v>
      </c>
      <c r="T2" s="19" t="s">
        <v>434</v>
      </c>
      <c r="U2" s="19" t="s">
        <v>435</v>
      </c>
      <c r="V2" s="19" t="s">
        <v>436</v>
      </c>
      <c r="W2" s="19" t="s">
        <v>254</v>
      </c>
      <c r="X2" s="19" t="s">
        <v>434</v>
      </c>
      <c r="Y2" s="19" t="s">
        <v>435</v>
      </c>
      <c r="Z2" s="19" t="s">
        <v>436</v>
      </c>
      <c r="AA2" s="19" t="s">
        <v>254</v>
      </c>
      <c r="AB2" s="19" t="s">
        <v>434</v>
      </c>
      <c r="AC2" s="19" t="s">
        <v>435</v>
      </c>
      <c r="AD2" s="19" t="s">
        <v>436</v>
      </c>
      <c r="AE2" s="19" t="s">
        <v>254</v>
      </c>
      <c r="AF2" s="19" t="s">
        <v>434</v>
      </c>
      <c r="AG2" s="19" t="s">
        <v>435</v>
      </c>
      <c r="AH2" s="19" t="s">
        <v>436</v>
      </c>
      <c r="AI2" s="19" t="s">
        <v>254</v>
      </c>
    </row>
    <row r="3" spans="1:35">
      <c r="B3" s="13"/>
      <c r="C3" s="21"/>
      <c r="H3" s="17"/>
      <c r="I3" s="26"/>
      <c r="J3" s="26"/>
      <c r="L3" s="17"/>
      <c r="M3" s="26"/>
      <c r="N3" s="26"/>
      <c r="Q3" s="26"/>
      <c r="R3" s="26"/>
      <c r="U3" s="26"/>
      <c r="V3" s="26"/>
      <c r="Y3" s="26"/>
      <c r="Z3" s="26"/>
      <c r="AC3" s="26"/>
      <c r="AD3" s="26"/>
      <c r="AG3" s="26"/>
      <c r="AH3" s="26"/>
    </row>
    <row r="4" spans="1:35">
      <c r="A4" s="13" t="s">
        <v>491</v>
      </c>
      <c r="B4" s="13"/>
      <c r="C4" s="52" t="s">
        <v>439</v>
      </c>
      <c r="H4" s="17"/>
      <c r="I4" s="17"/>
      <c r="J4" s="17"/>
      <c r="L4" s="17"/>
      <c r="M4" s="17"/>
      <c r="N4" s="17"/>
    </row>
    <row r="5" spans="1:35">
      <c r="A5" s="13" t="s">
        <v>492</v>
      </c>
      <c r="B5" s="13"/>
      <c r="C5" s="21" t="s">
        <v>493</v>
      </c>
      <c r="H5" s="17"/>
      <c r="I5" s="17"/>
      <c r="J5" s="17"/>
      <c r="L5" s="17"/>
      <c r="M5" s="17"/>
      <c r="N5" s="17"/>
    </row>
    <row r="6" spans="1:35" ht="24">
      <c r="A6" s="13" t="s">
        <v>494</v>
      </c>
      <c r="B6" s="13"/>
      <c r="C6" s="17" t="s">
        <v>495</v>
      </c>
      <c r="G6" s="53">
        <v>1200</v>
      </c>
      <c r="H6" s="24"/>
      <c r="K6" s="53">
        <v>1200</v>
      </c>
      <c r="L6" s="24"/>
      <c r="O6" s="53">
        <v>1200</v>
      </c>
      <c r="P6" s="24"/>
      <c r="Q6" s="51"/>
      <c r="R6" s="51"/>
      <c r="S6" s="53">
        <v>1200</v>
      </c>
      <c r="T6" s="24"/>
      <c r="U6" s="51"/>
      <c r="V6" s="51"/>
      <c r="W6" s="53">
        <v>1200</v>
      </c>
      <c r="X6" s="24"/>
      <c r="Y6" s="51"/>
      <c r="Z6" s="51"/>
      <c r="AA6" s="53">
        <v>1200</v>
      </c>
      <c r="AB6" s="24"/>
      <c r="AC6" s="51"/>
      <c r="AD6" s="51"/>
      <c r="AE6" s="53">
        <v>1200</v>
      </c>
      <c r="AF6" s="24"/>
      <c r="AG6" s="51"/>
      <c r="AH6" s="51"/>
      <c r="AI6" s="53">
        <v>1200</v>
      </c>
    </row>
    <row r="7" spans="1:35" ht="36">
      <c r="A7" s="13" t="s">
        <v>496</v>
      </c>
      <c r="B7" s="54"/>
      <c r="C7" s="17" t="s">
        <v>497</v>
      </c>
      <c r="G7" s="130">
        <v>0</v>
      </c>
      <c r="H7" s="24"/>
      <c r="K7" s="130">
        <v>0</v>
      </c>
      <c r="L7" s="24"/>
      <c r="O7" s="130">
        <v>0</v>
      </c>
      <c r="P7" s="24"/>
      <c r="Q7" s="51"/>
      <c r="R7" s="51"/>
      <c r="S7" s="130">
        <v>0</v>
      </c>
      <c r="T7" s="24"/>
      <c r="U7" s="51"/>
      <c r="V7" s="51"/>
      <c r="W7" s="130">
        <v>0</v>
      </c>
      <c r="X7" s="24"/>
      <c r="Y7" s="51"/>
      <c r="Z7" s="51"/>
      <c r="AA7" s="130">
        <v>0</v>
      </c>
      <c r="AB7" s="24"/>
      <c r="AC7" s="51"/>
      <c r="AD7" s="51"/>
      <c r="AE7" s="130">
        <v>0</v>
      </c>
      <c r="AF7" s="24"/>
      <c r="AG7" s="51"/>
      <c r="AH7" s="51"/>
      <c r="AI7" s="53">
        <v>0</v>
      </c>
    </row>
    <row r="8" spans="1:35" ht="48">
      <c r="A8" s="17" t="s">
        <v>498</v>
      </c>
      <c r="B8" s="13"/>
      <c r="C8" s="17" t="s">
        <v>499</v>
      </c>
      <c r="D8" s="53">
        <v>326</v>
      </c>
      <c r="E8" s="55">
        <v>72.854281335523325</v>
      </c>
      <c r="F8" s="55">
        <v>40579.83</v>
      </c>
      <c r="G8" s="53">
        <v>3800</v>
      </c>
      <c r="H8" s="53">
        <v>557</v>
      </c>
      <c r="I8" s="55">
        <v>75.205321983786291</v>
      </c>
      <c r="J8" s="55">
        <f>H8*I8</f>
        <v>41889.364344968963</v>
      </c>
      <c r="K8" s="53">
        <v>3800</v>
      </c>
      <c r="L8" s="53">
        <v>557</v>
      </c>
      <c r="M8" s="55">
        <v>77.632395174477111</v>
      </c>
      <c r="N8" s="55">
        <f>L8*M8</f>
        <v>43241.244112183747</v>
      </c>
      <c r="O8" s="53">
        <v>3800</v>
      </c>
      <c r="P8" s="53">
        <v>557</v>
      </c>
      <c r="Q8" s="55">
        <v>80.332044486891476</v>
      </c>
      <c r="R8" s="55">
        <f>P8*Q8</f>
        <v>44744.948779198552</v>
      </c>
      <c r="S8" s="53">
        <v>3800</v>
      </c>
      <c r="T8" s="53">
        <v>557</v>
      </c>
      <c r="U8" s="55">
        <v>83.125744412273036</v>
      </c>
      <c r="V8" s="55">
        <f>T8*U8</f>
        <v>46301.03963763608</v>
      </c>
      <c r="W8" s="53">
        <v>3800</v>
      </c>
      <c r="X8" s="53">
        <v>557</v>
      </c>
      <c r="Y8" s="55">
        <v>86.432404516312843</v>
      </c>
      <c r="Z8" s="55">
        <f>X8*Y8</f>
        <v>48142.849315586252</v>
      </c>
      <c r="AA8" s="53">
        <v>3800</v>
      </c>
      <c r="AB8" s="53">
        <v>557</v>
      </c>
      <c r="AC8" s="55">
        <v>90.302941956922254</v>
      </c>
      <c r="AD8" s="55">
        <f>AB8*AC8</f>
        <v>50298.738670005696</v>
      </c>
      <c r="AE8" s="53">
        <v>3800</v>
      </c>
      <c r="AF8" s="53">
        <v>557</v>
      </c>
      <c r="AG8" s="55">
        <v>94.346991355667242</v>
      </c>
      <c r="AH8" s="55">
        <f>AF8*AG8</f>
        <v>52551.274185106653</v>
      </c>
      <c r="AI8" s="53">
        <v>3800</v>
      </c>
    </row>
    <row r="9" spans="1:35" ht="48">
      <c r="A9" s="54" t="s">
        <v>500</v>
      </c>
      <c r="B9" s="13"/>
      <c r="C9" s="17" t="s">
        <v>501</v>
      </c>
      <c r="G9" s="53">
        <v>900</v>
      </c>
      <c r="H9" s="24"/>
      <c r="K9" s="53">
        <v>900</v>
      </c>
      <c r="L9" s="24"/>
      <c r="O9" s="53">
        <v>900</v>
      </c>
      <c r="P9" s="24"/>
      <c r="Q9" s="51"/>
      <c r="R9" s="51"/>
      <c r="S9" s="53">
        <v>900</v>
      </c>
      <c r="T9" s="24"/>
      <c r="U9" s="51"/>
      <c r="V9" s="51"/>
      <c r="W9" s="53">
        <v>900</v>
      </c>
      <c r="X9" s="24"/>
      <c r="Y9" s="51"/>
      <c r="Z9" s="51"/>
      <c r="AA9" s="53">
        <v>900</v>
      </c>
      <c r="AB9" s="24"/>
      <c r="AC9" s="51"/>
      <c r="AD9" s="51"/>
      <c r="AE9" s="53">
        <v>900</v>
      </c>
      <c r="AF9" s="24"/>
      <c r="AG9" s="51"/>
      <c r="AH9" s="51"/>
      <c r="AI9" s="53">
        <v>900</v>
      </c>
    </row>
    <row r="10" spans="1:35" ht="48">
      <c r="A10" s="13" t="s">
        <v>502</v>
      </c>
      <c r="B10" s="13"/>
      <c r="C10" s="17" t="s">
        <v>503</v>
      </c>
      <c r="D10" s="53">
        <v>300</v>
      </c>
      <c r="E10" s="55">
        <v>31.809500887704978</v>
      </c>
      <c r="F10" s="55">
        <v>14950.47</v>
      </c>
      <c r="G10" s="53">
        <v>1400</v>
      </c>
      <c r="H10" s="53">
        <v>470</v>
      </c>
      <c r="I10" s="55">
        <v>32.836007885194036</v>
      </c>
      <c r="J10" s="55">
        <f>H10*I10</f>
        <v>15432.923706041196</v>
      </c>
      <c r="K10" s="53">
        <v>1400</v>
      </c>
      <c r="L10" s="53">
        <v>470</v>
      </c>
      <c r="M10" s="55">
        <v>33.895712070020863</v>
      </c>
      <c r="N10" s="55">
        <f>L10*M10</f>
        <v>15930.984672909806</v>
      </c>
      <c r="O10" s="53">
        <v>1400</v>
      </c>
      <c r="P10" s="53">
        <v>470</v>
      </c>
      <c r="Q10" s="55">
        <v>35.074427934422154</v>
      </c>
      <c r="R10" s="55">
        <f>P10*Q10</f>
        <v>16484.981129178414</v>
      </c>
      <c r="S10" s="53">
        <v>1400</v>
      </c>
      <c r="T10" s="53">
        <v>470</v>
      </c>
      <c r="U10" s="55">
        <v>36.294208002626263</v>
      </c>
      <c r="V10" s="55">
        <f>T10*U10</f>
        <v>17058.277761234345</v>
      </c>
      <c r="W10" s="53">
        <v>1400</v>
      </c>
      <c r="X10" s="53">
        <v>470</v>
      </c>
      <c r="Y10" s="55">
        <v>37.737955790493146</v>
      </c>
      <c r="Z10" s="55">
        <f>X10*Y10</f>
        <v>17736.83922153178</v>
      </c>
      <c r="AA10" s="53">
        <v>1400</v>
      </c>
      <c r="AB10" s="53">
        <v>470</v>
      </c>
      <c r="AC10" s="55">
        <v>39.427902652860013</v>
      </c>
      <c r="AD10" s="55">
        <f>AB10*AC10</f>
        <v>18531.114246844205</v>
      </c>
      <c r="AE10" s="53">
        <v>1400</v>
      </c>
      <c r="AF10" s="53">
        <v>470</v>
      </c>
      <c r="AG10" s="55">
        <v>41.193607983846206</v>
      </c>
      <c r="AH10" s="55">
        <f>AF10*AG10</f>
        <v>19360.995752407718</v>
      </c>
      <c r="AI10" s="53">
        <v>1400</v>
      </c>
    </row>
    <row r="11" spans="1:35" ht="60">
      <c r="A11" s="13" t="s">
        <v>504</v>
      </c>
      <c r="B11" s="13"/>
      <c r="C11" s="17" t="s">
        <v>505</v>
      </c>
      <c r="G11" s="53">
        <v>1500</v>
      </c>
      <c r="H11" s="24"/>
      <c r="K11" s="53">
        <v>1500</v>
      </c>
      <c r="L11" s="24"/>
      <c r="O11" s="53">
        <v>1500</v>
      </c>
      <c r="P11" s="24"/>
      <c r="Q11" s="51"/>
      <c r="R11" s="51"/>
      <c r="S11" s="53">
        <v>1500</v>
      </c>
      <c r="T11" s="24"/>
      <c r="U11" s="51"/>
      <c r="V11" s="51"/>
      <c r="W11" s="53">
        <v>1500</v>
      </c>
      <c r="X11" s="24"/>
      <c r="Y11" s="51"/>
      <c r="Z11" s="51"/>
      <c r="AA11" s="53">
        <v>1500</v>
      </c>
      <c r="AB11" s="24"/>
      <c r="AC11" s="51"/>
      <c r="AD11" s="51"/>
      <c r="AE11" s="53">
        <v>1500</v>
      </c>
      <c r="AF11" s="24"/>
      <c r="AG11" s="51"/>
      <c r="AH11" s="51"/>
      <c r="AI11" s="53">
        <v>1500</v>
      </c>
    </row>
    <row r="12" spans="1:35" ht="36">
      <c r="A12" s="13" t="s">
        <v>506</v>
      </c>
      <c r="B12" s="13"/>
      <c r="C12" s="17" t="s">
        <v>507</v>
      </c>
      <c r="D12" s="53">
        <v>310</v>
      </c>
      <c r="E12" s="55">
        <v>46.720204428816686</v>
      </c>
      <c r="F12" s="55">
        <v>7475.23</v>
      </c>
      <c r="G12" s="53">
        <v>700</v>
      </c>
      <c r="H12" s="53">
        <v>160</v>
      </c>
      <c r="I12" s="55">
        <v>48.227886581378741</v>
      </c>
      <c r="J12" s="55">
        <f>H12*I12</f>
        <v>7716.4618530205989</v>
      </c>
      <c r="K12" s="53">
        <v>700</v>
      </c>
      <c r="L12" s="53">
        <v>160</v>
      </c>
      <c r="M12" s="55">
        <v>49.784327102843143</v>
      </c>
      <c r="N12" s="55">
        <f>L12*M12</f>
        <v>7965.4923364549031</v>
      </c>
      <c r="O12" s="53">
        <v>700</v>
      </c>
      <c r="P12" s="53">
        <v>160</v>
      </c>
      <c r="Q12" s="55">
        <v>51.515566028682542</v>
      </c>
      <c r="R12" s="55">
        <f>P12*Q12</f>
        <v>8242.4905645892068</v>
      </c>
      <c r="S12" s="53">
        <v>700</v>
      </c>
      <c r="T12" s="53">
        <v>160</v>
      </c>
      <c r="U12" s="55">
        <v>53.307118003857326</v>
      </c>
      <c r="V12" s="55">
        <f>T12*U12</f>
        <v>8529.1388806171726</v>
      </c>
      <c r="W12" s="53">
        <v>700</v>
      </c>
      <c r="X12" s="53">
        <v>160</v>
      </c>
      <c r="Y12" s="55">
        <v>55.427622567286811</v>
      </c>
      <c r="Z12" s="55">
        <f>X12*Y12</f>
        <v>8868.41961076589</v>
      </c>
      <c r="AA12" s="53">
        <v>700</v>
      </c>
      <c r="AB12" s="53">
        <v>160</v>
      </c>
      <c r="AC12" s="55">
        <v>57.909732021388137</v>
      </c>
      <c r="AD12" s="55">
        <f>AB12*AC12</f>
        <v>9265.5571234221024</v>
      </c>
      <c r="AE12" s="53">
        <v>700</v>
      </c>
      <c r="AF12" s="53">
        <v>160</v>
      </c>
      <c r="AG12" s="55">
        <v>60.50311172627412</v>
      </c>
      <c r="AH12" s="55">
        <f>AF12*AG12</f>
        <v>9680.4978762038591</v>
      </c>
      <c r="AI12" s="53">
        <v>700</v>
      </c>
    </row>
    <row r="13" spans="1:35" ht="36">
      <c r="A13" s="13" t="s">
        <v>508</v>
      </c>
      <c r="B13" s="13"/>
      <c r="C13" s="17" t="s">
        <v>509</v>
      </c>
      <c r="G13" s="53">
        <v>150</v>
      </c>
      <c r="H13" s="24"/>
      <c r="K13" s="53">
        <v>150</v>
      </c>
      <c r="L13" s="24"/>
      <c r="O13" s="53">
        <v>150</v>
      </c>
      <c r="P13" s="24"/>
      <c r="Q13" s="51"/>
      <c r="R13" s="51"/>
      <c r="S13" s="53">
        <v>150</v>
      </c>
      <c r="T13" s="24"/>
      <c r="U13" s="51"/>
      <c r="V13" s="51"/>
      <c r="W13" s="53">
        <v>150</v>
      </c>
      <c r="X13" s="24"/>
      <c r="Y13" s="51"/>
      <c r="Z13" s="51"/>
      <c r="AA13" s="53">
        <v>150</v>
      </c>
      <c r="AB13" s="24"/>
      <c r="AC13" s="51"/>
      <c r="AD13" s="51"/>
      <c r="AE13" s="53">
        <v>150</v>
      </c>
      <c r="AF13" s="24"/>
      <c r="AG13" s="51"/>
      <c r="AH13" s="51"/>
      <c r="AI13" s="53">
        <v>150</v>
      </c>
    </row>
    <row r="14" spans="1:35" ht="24">
      <c r="A14" s="13" t="s">
        <v>510</v>
      </c>
      <c r="B14" s="13"/>
      <c r="C14" s="17" t="s">
        <v>511</v>
      </c>
      <c r="G14" s="53">
        <v>100</v>
      </c>
      <c r="H14" s="24"/>
      <c r="K14" s="53">
        <v>100</v>
      </c>
      <c r="L14" s="24"/>
      <c r="O14" s="53">
        <v>100</v>
      </c>
      <c r="P14" s="24"/>
      <c r="Q14" s="51"/>
      <c r="R14" s="51"/>
      <c r="S14" s="53">
        <v>100</v>
      </c>
      <c r="T14" s="24"/>
      <c r="U14" s="51"/>
      <c r="V14" s="51"/>
      <c r="W14" s="53">
        <v>100</v>
      </c>
      <c r="X14" s="24"/>
      <c r="Y14" s="51"/>
      <c r="Z14" s="51"/>
      <c r="AA14" s="53">
        <v>100</v>
      </c>
      <c r="AB14" s="24"/>
      <c r="AC14" s="51"/>
      <c r="AD14" s="51"/>
      <c r="AE14" s="53">
        <v>100</v>
      </c>
      <c r="AF14" s="24"/>
      <c r="AG14" s="51"/>
      <c r="AH14" s="51"/>
      <c r="AI14" s="53">
        <v>100</v>
      </c>
    </row>
    <row r="15" spans="1:35">
      <c r="A15" s="13" t="s">
        <v>512</v>
      </c>
      <c r="B15" s="13"/>
      <c r="C15" s="21" t="s">
        <v>312</v>
      </c>
      <c r="H15" s="24"/>
      <c r="K15" s="24"/>
      <c r="L15" s="24"/>
      <c r="O15" s="24"/>
      <c r="P15" s="24"/>
      <c r="Q15" s="51"/>
      <c r="R15" s="51"/>
      <c r="S15" s="24"/>
      <c r="T15" s="24"/>
      <c r="U15" s="51"/>
      <c r="V15" s="51"/>
      <c r="W15" s="24"/>
      <c r="X15" s="24"/>
      <c r="Y15" s="51"/>
      <c r="Z15" s="51"/>
      <c r="AA15" s="24"/>
      <c r="AB15" s="24"/>
      <c r="AC15" s="51"/>
      <c r="AD15" s="51"/>
      <c r="AE15" s="24"/>
      <c r="AF15" s="24"/>
      <c r="AG15" s="51"/>
      <c r="AH15" s="51"/>
      <c r="AI15" s="24"/>
    </row>
    <row r="16" spans="1:35">
      <c r="A16" s="13" t="s">
        <v>513</v>
      </c>
      <c r="B16" s="13"/>
      <c r="C16" s="13" t="s">
        <v>460</v>
      </c>
      <c r="H16" s="24"/>
      <c r="K16" s="24"/>
      <c r="L16" s="24"/>
      <c r="O16" s="24"/>
      <c r="P16" s="24"/>
      <c r="Q16" s="51"/>
      <c r="R16" s="51"/>
      <c r="S16" s="24"/>
      <c r="T16" s="24"/>
      <c r="U16" s="51"/>
      <c r="V16" s="51"/>
      <c r="W16" s="24"/>
      <c r="X16" s="24"/>
      <c r="Y16" s="51"/>
      <c r="Z16" s="51"/>
      <c r="AA16" s="24"/>
      <c r="AB16" s="24"/>
      <c r="AC16" s="51"/>
      <c r="AD16" s="51"/>
      <c r="AE16" s="24"/>
      <c r="AF16" s="24"/>
      <c r="AG16" s="51"/>
      <c r="AH16" s="51"/>
      <c r="AI16" s="24"/>
    </row>
    <row r="17" spans="1:35">
      <c r="A17" s="13" t="s">
        <v>514</v>
      </c>
      <c r="B17" s="13"/>
      <c r="C17" s="21" t="s">
        <v>410</v>
      </c>
      <c r="H17" s="24"/>
      <c r="K17" s="24"/>
      <c r="L17" s="24"/>
      <c r="O17" s="24"/>
      <c r="P17" s="24"/>
      <c r="Q17" s="51"/>
      <c r="R17" s="51"/>
      <c r="S17" s="24"/>
      <c r="T17" s="24"/>
      <c r="U17" s="51"/>
      <c r="V17" s="51"/>
      <c r="W17" s="24"/>
      <c r="X17" s="24"/>
      <c r="Y17" s="51"/>
      <c r="Z17" s="51"/>
      <c r="AA17" s="24"/>
      <c r="AB17" s="24"/>
      <c r="AC17" s="51"/>
      <c r="AD17" s="51"/>
      <c r="AE17" s="24"/>
      <c r="AF17" s="24"/>
      <c r="AG17" s="51"/>
      <c r="AH17" s="51"/>
      <c r="AI17" s="24"/>
    </row>
    <row r="18" spans="1:35" ht="60">
      <c r="A18" s="13" t="s">
        <v>515</v>
      </c>
      <c r="B18" s="13"/>
      <c r="C18" s="13" t="s">
        <v>516</v>
      </c>
      <c r="H18" s="24"/>
      <c r="K18" s="24"/>
      <c r="L18" s="24"/>
      <c r="O18" s="24"/>
      <c r="P18" s="24"/>
      <c r="Q18" s="51"/>
      <c r="R18" s="51"/>
      <c r="S18" s="24"/>
      <c r="T18" s="24"/>
      <c r="U18" s="51"/>
      <c r="V18" s="51"/>
      <c r="W18" s="24"/>
      <c r="X18" s="24"/>
      <c r="Y18" s="51"/>
      <c r="Z18" s="51"/>
      <c r="AA18" s="24"/>
      <c r="AB18" s="24"/>
      <c r="AC18" s="51"/>
      <c r="AD18" s="51"/>
      <c r="AE18" s="24"/>
      <c r="AF18" s="24"/>
      <c r="AG18" s="51"/>
      <c r="AH18" s="51"/>
      <c r="AI18" s="24"/>
    </row>
    <row r="19" spans="1:35">
      <c r="A19" s="13" t="s">
        <v>517</v>
      </c>
      <c r="B19" s="13"/>
      <c r="C19" s="21" t="s">
        <v>320</v>
      </c>
      <c r="H19" s="24"/>
      <c r="K19" s="24"/>
      <c r="L19" s="24"/>
      <c r="O19" s="24"/>
      <c r="P19" s="24"/>
      <c r="Q19" s="51"/>
      <c r="R19" s="51"/>
      <c r="S19" s="24"/>
      <c r="T19" s="24"/>
      <c r="U19" s="51"/>
      <c r="V19" s="51"/>
      <c r="W19" s="24"/>
      <c r="X19" s="24"/>
      <c r="Y19" s="51"/>
      <c r="Z19" s="51"/>
      <c r="AA19" s="24"/>
      <c r="AB19" s="24"/>
      <c r="AC19" s="51"/>
      <c r="AD19" s="51"/>
      <c r="AE19" s="24"/>
      <c r="AF19" s="24"/>
      <c r="AG19" s="51"/>
      <c r="AH19" s="51"/>
      <c r="AI19" s="24"/>
    </row>
    <row r="20" spans="1:35" ht="36">
      <c r="A20" s="13" t="s">
        <v>518</v>
      </c>
      <c r="B20" s="13"/>
      <c r="C20" s="13" t="s">
        <v>519</v>
      </c>
      <c r="G20" s="53">
        <v>165</v>
      </c>
      <c r="H20" s="24"/>
      <c r="K20" s="53">
        <v>165</v>
      </c>
      <c r="L20" s="24"/>
      <c r="O20" s="53">
        <v>165</v>
      </c>
      <c r="P20" s="24"/>
      <c r="Q20" s="51"/>
      <c r="R20" s="51"/>
      <c r="S20" s="53">
        <v>165</v>
      </c>
      <c r="T20" s="24"/>
      <c r="U20" s="51"/>
      <c r="V20" s="51"/>
      <c r="W20" s="53">
        <v>165</v>
      </c>
      <c r="X20" s="24"/>
      <c r="Y20" s="51"/>
      <c r="Z20" s="51"/>
      <c r="AA20" s="53">
        <v>165</v>
      </c>
      <c r="AB20" s="24"/>
      <c r="AC20" s="51"/>
      <c r="AD20" s="51"/>
      <c r="AE20" s="53">
        <v>165</v>
      </c>
      <c r="AF20" s="24"/>
      <c r="AG20" s="51"/>
      <c r="AH20" s="51"/>
      <c r="AI20" s="53">
        <v>165</v>
      </c>
    </row>
    <row r="21" spans="1:35" ht="24">
      <c r="A21" s="13" t="s">
        <v>520</v>
      </c>
      <c r="B21" s="13"/>
      <c r="C21" s="13" t="s">
        <v>521</v>
      </c>
      <c r="G21" s="53">
        <v>6</v>
      </c>
      <c r="H21" s="24"/>
      <c r="K21" s="53">
        <v>6</v>
      </c>
      <c r="L21" s="24"/>
      <c r="O21" s="53">
        <v>6</v>
      </c>
      <c r="P21" s="24"/>
      <c r="Q21" s="51"/>
      <c r="R21" s="51"/>
      <c r="S21" s="53">
        <v>6</v>
      </c>
      <c r="T21" s="24"/>
      <c r="U21" s="51"/>
      <c r="V21" s="51"/>
      <c r="W21" s="53">
        <v>6</v>
      </c>
      <c r="X21" s="24"/>
      <c r="Y21" s="51"/>
      <c r="Z21" s="51"/>
      <c r="AA21" s="53">
        <v>6</v>
      </c>
      <c r="AB21" s="24"/>
      <c r="AC21" s="51"/>
      <c r="AD21" s="51"/>
      <c r="AE21" s="53">
        <v>6</v>
      </c>
      <c r="AF21" s="24"/>
      <c r="AG21" s="51"/>
      <c r="AH21" s="51"/>
      <c r="AI21" s="53">
        <v>6</v>
      </c>
    </row>
    <row r="22" spans="1:35">
      <c r="A22" s="13" t="s">
        <v>522</v>
      </c>
      <c r="B22" s="13"/>
      <c r="C22" s="21" t="s">
        <v>523</v>
      </c>
      <c r="H22" s="24"/>
      <c r="K22" s="24"/>
      <c r="L22" s="24"/>
      <c r="O22" s="24"/>
      <c r="P22" s="24"/>
      <c r="Q22" s="51"/>
      <c r="R22" s="51"/>
      <c r="S22" s="24"/>
      <c r="T22" s="24"/>
      <c r="U22" s="51"/>
      <c r="V22" s="51"/>
      <c r="W22" s="24"/>
      <c r="X22" s="24"/>
      <c r="Y22" s="51"/>
      <c r="Z22" s="51"/>
      <c r="AA22" s="24"/>
      <c r="AB22" s="24"/>
      <c r="AC22" s="51"/>
      <c r="AD22" s="51"/>
      <c r="AE22" s="24"/>
      <c r="AF22" s="24"/>
      <c r="AG22" s="51"/>
      <c r="AH22" s="51"/>
      <c r="AI22" s="24"/>
    </row>
    <row r="23" spans="1:35">
      <c r="A23" s="17" t="s">
        <v>524</v>
      </c>
      <c r="C23" s="52" t="s">
        <v>479</v>
      </c>
      <c r="H23" s="24"/>
      <c r="K23" s="24"/>
      <c r="L23" s="24"/>
      <c r="O23" s="24"/>
      <c r="P23" s="24"/>
      <c r="Q23" s="51"/>
      <c r="R23" s="51"/>
      <c r="S23" s="24"/>
      <c r="T23" s="24"/>
      <c r="U23" s="51"/>
      <c r="V23" s="51"/>
      <c r="W23" s="24"/>
      <c r="X23" s="24"/>
      <c r="Y23" s="51"/>
      <c r="Z23" s="51"/>
      <c r="AA23" s="24"/>
      <c r="AB23" s="24"/>
      <c r="AC23" s="51"/>
      <c r="AD23" s="51"/>
      <c r="AE23" s="24"/>
      <c r="AF23" s="24"/>
      <c r="AG23" s="51"/>
      <c r="AH23" s="51"/>
      <c r="AI23" s="24"/>
    </row>
    <row r="24" spans="1:35" ht="36">
      <c r="A24" s="13" t="s">
        <v>525</v>
      </c>
      <c r="B24" s="13"/>
      <c r="C24" s="13" t="s">
        <v>526</v>
      </c>
      <c r="G24" s="53">
        <v>175</v>
      </c>
      <c r="H24" s="24"/>
      <c r="K24" s="53">
        <v>175</v>
      </c>
      <c r="L24" s="24"/>
      <c r="O24" s="53">
        <v>175</v>
      </c>
      <c r="P24" s="24"/>
      <c r="Q24" s="51"/>
      <c r="R24" s="51"/>
      <c r="S24" s="53">
        <v>175</v>
      </c>
      <c r="T24" s="24"/>
      <c r="U24" s="51"/>
      <c r="V24" s="51"/>
      <c r="W24" s="53">
        <v>175</v>
      </c>
      <c r="X24" s="24"/>
      <c r="Y24" s="51"/>
      <c r="Z24" s="51"/>
      <c r="AA24" s="53">
        <v>175</v>
      </c>
      <c r="AB24" s="24"/>
      <c r="AC24" s="51"/>
      <c r="AD24" s="51"/>
      <c r="AE24" s="53">
        <v>175</v>
      </c>
      <c r="AF24" s="24"/>
      <c r="AG24" s="51"/>
      <c r="AH24" s="51"/>
      <c r="AI24" s="53">
        <v>175</v>
      </c>
    </row>
    <row r="25" spans="1:35" ht="24">
      <c r="A25" s="13" t="s">
        <v>527</v>
      </c>
      <c r="B25" s="13"/>
      <c r="C25" s="13" t="s">
        <v>528</v>
      </c>
      <c r="G25" s="53">
        <v>50</v>
      </c>
      <c r="H25" s="24"/>
      <c r="K25" s="53">
        <v>50</v>
      </c>
      <c r="L25" s="24"/>
      <c r="O25" s="53">
        <v>50</v>
      </c>
      <c r="P25" s="24"/>
      <c r="Q25" s="51"/>
      <c r="R25" s="51"/>
      <c r="S25" s="53">
        <v>50</v>
      </c>
      <c r="T25" s="24"/>
      <c r="U25" s="51"/>
      <c r="V25" s="51"/>
      <c r="W25" s="53">
        <v>50</v>
      </c>
      <c r="X25" s="24"/>
      <c r="Y25" s="51"/>
      <c r="Z25" s="51"/>
      <c r="AA25" s="53">
        <v>50</v>
      </c>
      <c r="AB25" s="24"/>
      <c r="AC25" s="51"/>
      <c r="AD25" s="51"/>
      <c r="AE25" s="53">
        <v>50</v>
      </c>
      <c r="AF25" s="24"/>
      <c r="AG25" s="51"/>
      <c r="AH25" s="51"/>
      <c r="AI25" s="53">
        <v>50</v>
      </c>
    </row>
    <row r="26" spans="1:35">
      <c r="A26" s="13" t="s">
        <v>529</v>
      </c>
      <c r="B26" s="13"/>
      <c r="C26" s="21" t="s">
        <v>530</v>
      </c>
      <c r="H26" s="24"/>
      <c r="K26" s="24"/>
      <c r="L26" s="24"/>
      <c r="O26" s="24"/>
      <c r="P26" s="24"/>
      <c r="Q26" s="51"/>
      <c r="R26" s="51"/>
      <c r="S26" s="24"/>
      <c r="T26" s="24"/>
      <c r="U26" s="51"/>
      <c r="V26" s="51"/>
      <c r="W26" s="24"/>
      <c r="X26" s="24"/>
      <c r="Y26" s="51"/>
      <c r="Z26" s="51"/>
      <c r="AA26" s="24"/>
      <c r="AB26" s="24"/>
      <c r="AC26" s="51"/>
      <c r="AD26" s="51"/>
      <c r="AE26" s="24"/>
      <c r="AF26" s="24"/>
      <c r="AG26" s="51"/>
      <c r="AH26" s="51"/>
      <c r="AI26" s="24"/>
    </row>
    <row r="27" spans="1:35" ht="60">
      <c r="A27" s="56" t="s">
        <v>531</v>
      </c>
      <c r="B27" s="56"/>
      <c r="C27" s="56" t="s">
        <v>532</v>
      </c>
      <c r="D27" s="58"/>
      <c r="E27" s="59"/>
      <c r="F27" s="59"/>
      <c r="G27" s="53">
        <v>8</v>
      </c>
      <c r="H27" s="58"/>
      <c r="I27" s="59"/>
      <c r="J27" s="59"/>
      <c r="K27" s="53">
        <v>8</v>
      </c>
      <c r="L27" s="58"/>
      <c r="M27" s="59"/>
      <c r="N27" s="59"/>
      <c r="O27" s="53">
        <v>8</v>
      </c>
      <c r="P27" s="58"/>
      <c r="Q27" s="59"/>
      <c r="R27" s="59"/>
      <c r="S27" s="53">
        <v>8</v>
      </c>
      <c r="T27" s="58"/>
      <c r="U27" s="59"/>
      <c r="V27" s="59"/>
      <c r="W27" s="53">
        <v>8</v>
      </c>
      <c r="X27" s="58"/>
      <c r="Y27" s="59"/>
      <c r="Z27" s="59"/>
      <c r="AA27" s="53">
        <v>8</v>
      </c>
      <c r="AB27" s="58"/>
      <c r="AC27" s="59"/>
      <c r="AD27" s="59"/>
      <c r="AE27" s="53">
        <v>8</v>
      </c>
      <c r="AF27" s="58"/>
      <c r="AG27" s="59"/>
      <c r="AH27" s="59"/>
      <c r="AI27" s="53">
        <v>8</v>
      </c>
    </row>
    <row r="28" spans="1:35">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row>
    <row r="29" spans="1:35">
      <c r="A29" s="37"/>
      <c r="B29" s="61"/>
      <c r="C29" s="61"/>
      <c r="D29" s="62"/>
      <c r="E29" s="63"/>
      <c r="F29" s="63"/>
      <c r="G29" s="62">
        <f>SUM(G3:G28)</f>
        <v>10154</v>
      </c>
      <c r="H29" s="62">
        <f t="shared" ref="H29:AI29" si="0">SUM(H3:H28)</f>
        <v>1187</v>
      </c>
      <c r="I29" s="62">
        <f t="shared" si="0"/>
        <v>156.26921645035907</v>
      </c>
      <c r="J29" s="62">
        <f t="shared" si="0"/>
        <v>65038.749904030759</v>
      </c>
      <c r="K29" s="62">
        <f t="shared" si="0"/>
        <v>10154</v>
      </c>
      <c r="L29" s="62">
        <f t="shared" si="0"/>
        <v>1187</v>
      </c>
      <c r="M29" s="62">
        <f t="shared" si="0"/>
        <v>161.31243434734111</v>
      </c>
      <c r="N29" s="62">
        <f t="shared" si="0"/>
        <v>67137.721121548457</v>
      </c>
      <c r="O29" s="62">
        <f t="shared" si="0"/>
        <v>10154</v>
      </c>
      <c r="P29" s="62">
        <f t="shared" si="0"/>
        <v>1187</v>
      </c>
      <c r="Q29" s="62">
        <f t="shared" si="0"/>
        <v>166.92203844999617</v>
      </c>
      <c r="R29" s="62">
        <f t="shared" si="0"/>
        <v>69472.420472966172</v>
      </c>
      <c r="S29" s="62">
        <f t="shared" si="0"/>
        <v>10154</v>
      </c>
      <c r="T29" s="62">
        <f t="shared" si="0"/>
        <v>1187</v>
      </c>
      <c r="U29" s="62">
        <f t="shared" si="0"/>
        <v>172.72707041875663</v>
      </c>
      <c r="V29" s="62">
        <f t="shared" si="0"/>
        <v>71888.456279487596</v>
      </c>
      <c r="W29" s="62">
        <f t="shared" si="0"/>
        <v>10154</v>
      </c>
      <c r="X29" s="62">
        <f t="shared" si="0"/>
        <v>1187</v>
      </c>
      <c r="Y29" s="62">
        <f t="shared" si="0"/>
        <v>179.59798287409279</v>
      </c>
      <c r="Z29" s="62">
        <f t="shared" si="0"/>
        <v>74748.108147883919</v>
      </c>
      <c r="AA29" s="62">
        <f t="shared" si="0"/>
        <v>10154</v>
      </c>
      <c r="AB29" s="62">
        <f t="shared" si="0"/>
        <v>1187</v>
      </c>
      <c r="AC29" s="62">
        <f t="shared" si="0"/>
        <v>187.6405766311704</v>
      </c>
      <c r="AD29" s="62">
        <f t="shared" si="0"/>
        <v>78095.410040271992</v>
      </c>
      <c r="AE29" s="62">
        <f t="shared" si="0"/>
        <v>10154</v>
      </c>
      <c r="AF29" s="62">
        <f t="shared" si="0"/>
        <v>1187</v>
      </c>
      <c r="AG29" s="62">
        <f t="shared" si="0"/>
        <v>196.04371106578756</v>
      </c>
      <c r="AH29" s="62">
        <f t="shared" si="0"/>
        <v>81592.767813718237</v>
      </c>
      <c r="AI29" s="62">
        <f t="shared" si="0"/>
        <v>10154</v>
      </c>
    </row>
    <row r="30" spans="1:35" s="65" customFormat="1" ht="16.5">
      <c r="A30" s="64"/>
      <c r="D30" s="66"/>
      <c r="E30" s="66"/>
      <c r="F30" s="66"/>
      <c r="G30" s="67" t="s">
        <v>385</v>
      </c>
      <c r="H30" s="66"/>
      <c r="I30" s="66"/>
      <c r="J30" s="66"/>
      <c r="K30" s="67" t="s">
        <v>385</v>
      </c>
      <c r="L30" s="68"/>
      <c r="M30" s="66"/>
      <c r="N30" s="66"/>
      <c r="O30" s="67" t="s">
        <v>385</v>
      </c>
      <c r="P30" s="341"/>
      <c r="Q30" s="66"/>
      <c r="R30" s="66"/>
      <c r="S30" s="67" t="s">
        <v>385</v>
      </c>
      <c r="T30" s="341"/>
      <c r="U30" s="66"/>
      <c r="V30" s="66"/>
      <c r="W30" s="67" t="s">
        <v>385</v>
      </c>
      <c r="X30" s="341"/>
      <c r="Y30" s="66"/>
      <c r="Z30" s="66"/>
      <c r="AA30" s="67" t="s">
        <v>385</v>
      </c>
      <c r="AB30" s="341"/>
      <c r="AC30" s="66"/>
      <c r="AD30" s="66"/>
      <c r="AE30" s="67" t="s">
        <v>385</v>
      </c>
      <c r="AF30" s="341"/>
      <c r="AG30" s="66"/>
      <c r="AH30" s="66"/>
      <c r="AI30" s="67" t="s">
        <v>385</v>
      </c>
    </row>
    <row r="31" spans="1:35" s="147" customFormat="1" ht="47.25">
      <c r="A31" s="138"/>
      <c r="D31" s="140"/>
      <c r="E31" s="141"/>
      <c r="F31" s="141"/>
      <c r="G31" s="145" t="s">
        <v>189</v>
      </c>
      <c r="H31" s="143"/>
      <c r="I31" s="141"/>
      <c r="J31" s="141"/>
      <c r="K31" s="145" t="s">
        <v>190</v>
      </c>
      <c r="L31" s="143"/>
      <c r="M31" s="141"/>
      <c r="N31" s="141"/>
      <c r="O31" s="145" t="s">
        <v>191</v>
      </c>
      <c r="P31" s="144"/>
      <c r="Q31" s="141"/>
      <c r="R31" s="141"/>
      <c r="S31" s="145" t="s">
        <v>432</v>
      </c>
      <c r="T31" s="144"/>
      <c r="U31" s="141"/>
      <c r="V31" s="141"/>
      <c r="W31" s="145" t="s">
        <v>433</v>
      </c>
      <c r="X31" s="144"/>
      <c r="Y31" s="141"/>
      <c r="Z31" s="141"/>
      <c r="AA31" s="145" t="s">
        <v>194</v>
      </c>
      <c r="AB31" s="144"/>
      <c r="AC31" s="141"/>
      <c r="AD31" s="141"/>
      <c r="AE31" s="145" t="s">
        <v>251</v>
      </c>
      <c r="AF31" s="144"/>
      <c r="AG31" s="141"/>
      <c r="AH31" s="141"/>
      <c r="AI31" s="145" t="s">
        <v>252</v>
      </c>
    </row>
    <row r="32" spans="1:35" s="147" customFormat="1" ht="15.75">
      <c r="A32" s="138"/>
      <c r="C32" s="184" t="s">
        <v>386</v>
      </c>
      <c r="D32" s="140"/>
      <c r="E32" s="141"/>
      <c r="F32" s="141"/>
      <c r="G32" s="148">
        <f>SUM(G33:G39)</f>
        <v>116442.76779241534</v>
      </c>
      <c r="H32" s="148">
        <f t="shared" ref="H32:AI32" si="1">SUM(H33:H39)</f>
        <v>0</v>
      </c>
      <c r="I32" s="148">
        <f t="shared" si="1"/>
        <v>0</v>
      </c>
      <c r="J32" s="148">
        <f t="shared" si="1"/>
        <v>0</v>
      </c>
      <c r="K32" s="148">
        <f t="shared" si="1"/>
        <v>120200.42863619515</v>
      </c>
      <c r="L32" s="148">
        <f t="shared" si="1"/>
        <v>0</v>
      </c>
      <c r="M32" s="148">
        <f t="shared" si="1"/>
        <v>0</v>
      </c>
      <c r="N32" s="148">
        <f t="shared" si="1"/>
        <v>0</v>
      </c>
      <c r="O32" s="148">
        <f t="shared" si="1"/>
        <v>124079.61205243466</v>
      </c>
      <c r="P32" s="148">
        <f t="shared" si="1"/>
        <v>0</v>
      </c>
      <c r="Q32" s="148">
        <f t="shared" si="1"/>
        <v>0</v>
      </c>
      <c r="R32" s="148">
        <f t="shared" si="1"/>
        <v>0</v>
      </c>
      <c r="S32" s="148">
        <f t="shared" si="1"/>
        <v>75942.853023258154</v>
      </c>
      <c r="T32" s="148">
        <f t="shared" si="1"/>
        <v>0</v>
      </c>
      <c r="U32" s="148">
        <f t="shared" si="1"/>
        <v>0</v>
      </c>
      <c r="V32" s="148">
        <f t="shared" si="1"/>
        <v>0</v>
      </c>
      <c r="W32" s="148">
        <f t="shared" si="1"/>
        <v>79115.334791785222</v>
      </c>
      <c r="X32" s="148">
        <f t="shared" si="1"/>
        <v>0</v>
      </c>
      <c r="Y32" s="148">
        <f t="shared" si="1"/>
        <v>0</v>
      </c>
      <c r="Z32" s="148">
        <f t="shared" si="1"/>
        <v>0</v>
      </c>
      <c r="AA32" s="148">
        <f t="shared" si="1"/>
        <v>82676.649193987498</v>
      </c>
      <c r="AB32" s="148">
        <f t="shared" si="1"/>
        <v>0</v>
      </c>
      <c r="AC32" s="148">
        <f t="shared" si="1"/>
        <v>0</v>
      </c>
      <c r="AD32" s="148">
        <f t="shared" si="1"/>
        <v>0</v>
      </c>
      <c r="AE32" s="148">
        <f t="shared" si="1"/>
        <v>87083.926962563724</v>
      </c>
      <c r="AF32" s="148">
        <f t="shared" si="1"/>
        <v>0</v>
      </c>
      <c r="AG32" s="148">
        <f t="shared" si="1"/>
        <v>0</v>
      </c>
      <c r="AH32" s="148">
        <f t="shared" si="1"/>
        <v>0</v>
      </c>
      <c r="AI32" s="148">
        <f t="shared" si="1"/>
        <v>91716.49834589551</v>
      </c>
    </row>
    <row r="33" spans="3:38" ht="15.75">
      <c r="C33" s="184" t="s">
        <v>387</v>
      </c>
      <c r="G33" s="148">
        <v>116442.76779241534</v>
      </c>
      <c r="H33" s="143"/>
      <c r="I33" s="141"/>
      <c r="J33" s="141"/>
      <c r="K33" s="148">
        <v>120200.42863619515</v>
      </c>
      <c r="L33" s="143"/>
      <c r="M33" s="141"/>
      <c r="N33" s="141"/>
      <c r="O33" s="148">
        <v>124079.61205243466</v>
      </c>
      <c r="P33" s="144"/>
      <c r="Q33" s="141"/>
      <c r="R33" s="141"/>
      <c r="S33" s="148">
        <v>128394.45302325816</v>
      </c>
      <c r="T33" s="144"/>
      <c r="U33" s="141"/>
      <c r="V33" s="141"/>
      <c r="W33" s="148">
        <v>132859.61479178522</v>
      </c>
      <c r="X33" s="144"/>
      <c r="Y33" s="141"/>
      <c r="Z33" s="141"/>
      <c r="AA33" s="148">
        <v>138144.6391939875</v>
      </c>
      <c r="AB33" s="144"/>
      <c r="AC33" s="141"/>
      <c r="AD33" s="141"/>
      <c r="AE33" s="148">
        <v>144330.90696256372</v>
      </c>
      <c r="AF33" s="144"/>
      <c r="AG33" s="141"/>
      <c r="AH33" s="141"/>
      <c r="AI33" s="148">
        <v>150794.49834589552</v>
      </c>
    </row>
    <row r="34" spans="3:38" ht="15.75">
      <c r="C34" s="17" t="s">
        <v>533</v>
      </c>
      <c r="G34" s="148">
        <v>0</v>
      </c>
      <c r="H34" s="143"/>
      <c r="I34" s="141"/>
      <c r="J34" s="141"/>
      <c r="K34" s="148">
        <v>0</v>
      </c>
      <c r="L34" s="143"/>
      <c r="M34" s="141"/>
      <c r="N34" s="141"/>
      <c r="O34" s="148">
        <v>0</v>
      </c>
      <c r="P34" s="144"/>
      <c r="Q34" s="141"/>
      <c r="R34" s="141"/>
      <c r="S34" s="148">
        <v>-52829.07</v>
      </c>
      <c r="T34" s="144"/>
      <c r="U34" s="141"/>
      <c r="V34" s="141"/>
      <c r="W34" s="148">
        <v>-54524.88</v>
      </c>
      <c r="X34" s="144"/>
      <c r="Y34" s="141"/>
      <c r="Z34" s="141"/>
      <c r="AA34" s="148">
        <v>-56275.13</v>
      </c>
      <c r="AB34" s="144"/>
      <c r="AC34" s="141"/>
      <c r="AD34" s="141"/>
      <c r="AE34" s="148">
        <v>-58081.56</v>
      </c>
      <c r="AF34" s="144"/>
      <c r="AG34" s="141"/>
      <c r="AH34" s="141"/>
      <c r="AI34" s="148">
        <v>-59945.98</v>
      </c>
      <c r="AK34" s="51">
        <f t="shared" ref="AK34:AK39" si="2">SUM(G34:AI34)</f>
        <v>-281656.62</v>
      </c>
      <c r="AL34" s="17" t="s">
        <v>534</v>
      </c>
    </row>
    <row r="35" spans="3:38" ht="15.75">
      <c r="C35" s="17" t="s">
        <v>535</v>
      </c>
      <c r="G35" s="148">
        <v>0</v>
      </c>
      <c r="H35" s="143"/>
      <c r="I35" s="141"/>
      <c r="J35" s="141"/>
      <c r="K35" s="148">
        <v>0</v>
      </c>
      <c r="L35" s="143"/>
      <c r="M35" s="141"/>
      <c r="N35" s="141"/>
      <c r="O35" s="148">
        <v>0</v>
      </c>
      <c r="P35" s="144"/>
      <c r="Q35" s="141"/>
      <c r="R35" s="141"/>
      <c r="S35" s="148">
        <v>377.47</v>
      </c>
      <c r="T35" s="144"/>
      <c r="U35" s="141"/>
      <c r="V35" s="141"/>
      <c r="W35" s="148">
        <v>780.6</v>
      </c>
      <c r="X35" s="144"/>
      <c r="Y35" s="141"/>
      <c r="Z35" s="141"/>
      <c r="AA35" s="148">
        <v>807.14</v>
      </c>
      <c r="AB35" s="144"/>
      <c r="AC35" s="141"/>
      <c r="AD35" s="141"/>
      <c r="AE35" s="148">
        <v>834.58</v>
      </c>
      <c r="AF35" s="144"/>
      <c r="AG35" s="141"/>
      <c r="AH35" s="141"/>
      <c r="AI35" s="148">
        <v>867.98</v>
      </c>
      <c r="AK35" s="51">
        <f t="shared" si="2"/>
        <v>3667.77</v>
      </c>
      <c r="AL35" s="17" t="s">
        <v>536</v>
      </c>
    </row>
    <row r="36" spans="3:38" ht="15.75">
      <c r="G36" s="148"/>
      <c r="H36" s="143"/>
      <c r="I36" s="141"/>
      <c r="J36" s="141"/>
      <c r="K36" s="148"/>
      <c r="L36" s="143"/>
      <c r="M36" s="141"/>
      <c r="N36" s="141"/>
      <c r="O36" s="148"/>
      <c r="P36" s="144"/>
      <c r="Q36" s="141"/>
      <c r="R36" s="141"/>
      <c r="S36" s="148"/>
      <c r="T36" s="144"/>
      <c r="U36" s="141"/>
      <c r="V36" s="141"/>
      <c r="W36" s="148"/>
      <c r="X36" s="144"/>
      <c r="Y36" s="141"/>
      <c r="Z36" s="141"/>
      <c r="AA36" s="148"/>
      <c r="AB36" s="144"/>
      <c r="AC36" s="141"/>
      <c r="AD36" s="141"/>
      <c r="AE36" s="148"/>
      <c r="AF36" s="144"/>
      <c r="AG36" s="141"/>
      <c r="AH36" s="141"/>
      <c r="AI36" s="148"/>
      <c r="AK36" s="51">
        <f t="shared" si="2"/>
        <v>0</v>
      </c>
    </row>
    <row r="37" spans="3:38" ht="15.75">
      <c r="G37" s="148"/>
      <c r="H37" s="143"/>
      <c r="I37" s="141"/>
      <c r="J37" s="141"/>
      <c r="K37" s="148"/>
      <c r="L37" s="143"/>
      <c r="M37" s="141"/>
      <c r="N37" s="141"/>
      <c r="O37" s="148"/>
      <c r="P37" s="144"/>
      <c r="Q37" s="141"/>
      <c r="R37" s="141"/>
      <c r="S37" s="148"/>
      <c r="T37" s="144"/>
      <c r="U37" s="141"/>
      <c r="V37" s="141"/>
      <c r="W37" s="148"/>
      <c r="X37" s="144"/>
      <c r="Y37" s="141"/>
      <c r="Z37" s="141"/>
      <c r="AA37" s="148"/>
      <c r="AB37" s="144"/>
      <c r="AC37" s="141"/>
      <c r="AD37" s="141"/>
      <c r="AE37" s="148"/>
      <c r="AF37" s="144"/>
      <c r="AG37" s="141"/>
      <c r="AH37" s="141"/>
      <c r="AI37" s="148"/>
      <c r="AK37" s="51">
        <f t="shared" si="2"/>
        <v>0</v>
      </c>
    </row>
    <row r="38" spans="3:38" ht="15.75">
      <c r="G38" s="148"/>
      <c r="H38" s="143"/>
      <c r="I38" s="141"/>
      <c r="J38" s="141"/>
      <c r="K38" s="148"/>
      <c r="L38" s="143"/>
      <c r="M38" s="141"/>
      <c r="N38" s="141"/>
      <c r="O38" s="148"/>
      <c r="P38" s="144"/>
      <c r="Q38" s="141"/>
      <c r="R38" s="141"/>
      <c r="S38" s="148"/>
      <c r="T38" s="144"/>
      <c r="U38" s="141"/>
      <c r="V38" s="141"/>
      <c r="W38" s="148"/>
      <c r="X38" s="144"/>
      <c r="Y38" s="141"/>
      <c r="Z38" s="141"/>
      <c r="AA38" s="148"/>
      <c r="AB38" s="144"/>
      <c r="AC38" s="141"/>
      <c r="AD38" s="141"/>
      <c r="AE38" s="148"/>
      <c r="AF38" s="144"/>
      <c r="AG38" s="141"/>
      <c r="AH38" s="141"/>
      <c r="AI38" s="148"/>
      <c r="AK38" s="51">
        <f t="shared" si="2"/>
        <v>0</v>
      </c>
    </row>
    <row r="39" spans="3:38" ht="15.75">
      <c r="G39" s="148"/>
      <c r="H39" s="143"/>
      <c r="I39" s="141"/>
      <c r="J39" s="141"/>
      <c r="K39" s="148"/>
      <c r="L39" s="143"/>
      <c r="M39" s="141"/>
      <c r="N39" s="141"/>
      <c r="O39" s="148"/>
      <c r="P39" s="144"/>
      <c r="Q39" s="141"/>
      <c r="R39" s="141"/>
      <c r="S39" s="148"/>
      <c r="T39" s="144"/>
      <c r="U39" s="141"/>
      <c r="V39" s="141"/>
      <c r="W39" s="148"/>
      <c r="X39" s="144"/>
      <c r="Y39" s="141"/>
      <c r="Z39" s="141"/>
      <c r="AA39" s="148"/>
      <c r="AB39" s="144"/>
      <c r="AC39" s="141"/>
      <c r="AD39" s="141"/>
      <c r="AE39" s="148"/>
      <c r="AF39" s="144"/>
      <c r="AG39" s="141"/>
      <c r="AH39" s="141"/>
      <c r="AI39" s="148"/>
      <c r="AK39" s="51">
        <f t="shared" si="2"/>
        <v>0</v>
      </c>
    </row>
  </sheetData>
  <mergeCells count="8">
    <mergeCell ref="AB1:AE1"/>
    <mergeCell ref="AF1:AI1"/>
    <mergeCell ref="D1:G1"/>
    <mergeCell ref="H1:K1"/>
    <mergeCell ref="L1:O1"/>
    <mergeCell ref="P1:S1"/>
    <mergeCell ref="T1:W1"/>
    <mergeCell ref="X1:AA1"/>
  </mergeCells>
  <phoneticPr fontId="0" type="noConversion"/>
  <printOptions horizontalCentered="1"/>
  <pageMargins left="0.5" right="0.5" top="1" bottom="1" header="0.5" footer="0.5"/>
  <pageSetup paperSize="9" fitToWidth="2" fitToHeight="2" orientation="landscape" r:id="rId1"/>
  <headerFooter alignWithMargins="0">
    <oddHeader>&amp;C&amp;"Calibri"&amp;10&amp;K737373Serco Business&amp;1#_x000D_&amp;"Calibri"&amp;11&amp;K000000&amp;"Calibri"&amp;11&amp;K000000&amp;"Arial,Bold"RESTRICTED - CONTRACTS</oddHeader>
    <oddFooter>&amp;L&amp;8PTC/CB/00642&amp;C&amp;8 2-(5)-&amp;P&amp;10
&amp;"Arial,Bold"RESTRICTED - CONTRACTS&amp;R&amp;8Pricing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BE50"/>
  <sheetViews>
    <sheetView topLeftCell="A24" zoomScale="75" workbookViewId="0">
      <selection activeCell="H26" sqref="H26"/>
    </sheetView>
  </sheetViews>
  <sheetFormatPr defaultColWidth="9.140625" defaultRowHeight="12" outlineLevelCol="1"/>
  <cols>
    <col min="1" max="1" width="8.7109375" style="13" customWidth="1"/>
    <col min="2" max="2" width="1.7109375" style="17" customWidth="1"/>
    <col min="3" max="3" width="25.7109375" style="17" customWidth="1"/>
    <col min="4" max="4" width="14.7109375" style="24" hidden="1" customWidth="1" outlineLevel="1"/>
    <col min="5" max="6" width="12.7109375" style="51" hidden="1" customWidth="1" outlineLevel="1"/>
    <col min="7" max="7" width="14.7109375" style="51" hidden="1" customWidth="1" outlineLevel="1"/>
    <col min="8" max="8" width="14" style="24" customWidth="1" collapsed="1"/>
    <col min="9" max="9" width="14.7109375" style="76" hidden="1" customWidth="1" outlineLevel="1"/>
    <col min="10" max="11" width="12.7109375" style="51" hidden="1" customWidth="1" outlineLevel="1"/>
    <col min="12" max="12" width="14.7109375" style="51" hidden="1" customWidth="1" outlineLevel="1"/>
    <col min="13" max="13" width="14.5703125" style="17" customWidth="1" collapsed="1"/>
    <col min="14" max="14" width="14.7109375" style="76" hidden="1" customWidth="1" outlineLevel="1"/>
    <col min="15" max="16" width="12.7109375" style="51" hidden="1" customWidth="1" outlineLevel="1"/>
    <col min="17" max="17" width="14.7109375" style="51" hidden="1" customWidth="1" outlineLevel="1"/>
    <col min="18" max="18" width="14.140625" style="17" customWidth="1" collapsed="1"/>
    <col min="19" max="19" width="14" style="17" hidden="1" customWidth="1" outlineLevel="1"/>
    <col min="20" max="21" width="12.7109375" style="17" hidden="1" customWidth="1" outlineLevel="1"/>
    <col min="22" max="22" width="14.7109375" style="17" hidden="1" customWidth="1" outlineLevel="1"/>
    <col min="23" max="23" width="15.42578125" style="17" customWidth="1" collapsed="1"/>
    <col min="24" max="24" width="14.28515625" style="17" hidden="1" customWidth="1" outlineLevel="1"/>
    <col min="25" max="26" width="12.7109375" style="17" hidden="1" customWidth="1" outlineLevel="1"/>
    <col min="27" max="27" width="14.7109375" style="17" hidden="1" customWidth="1" outlineLevel="1"/>
    <col min="28" max="28" width="15.5703125" style="17" customWidth="1" collapsed="1"/>
    <col min="29" max="29" width="13.85546875" style="17" hidden="1" customWidth="1" outlineLevel="1"/>
    <col min="30" max="30" width="12.42578125" style="17" hidden="1" customWidth="1" outlineLevel="1"/>
    <col min="31" max="31" width="12.7109375" style="17" hidden="1" customWidth="1" outlineLevel="1"/>
    <col min="32" max="32" width="14" style="17" hidden="1" customWidth="1" outlineLevel="1"/>
    <col min="33" max="33" width="15.42578125" style="17" customWidth="1" collapsed="1"/>
    <col min="34" max="34" width="14" style="17" hidden="1" customWidth="1" outlineLevel="1"/>
    <col min="35" max="35" width="12.42578125" style="17" hidden="1" customWidth="1" outlineLevel="1"/>
    <col min="36" max="36" width="12.7109375" style="17" hidden="1" customWidth="1" outlineLevel="1"/>
    <col min="37" max="37" width="14" style="17" hidden="1" customWidth="1" outlineLevel="1"/>
    <col min="38" max="38" width="15.140625" style="17" customWidth="1" collapsed="1"/>
    <col min="39" max="39" width="14.7109375" style="17" hidden="1" customWidth="1" outlineLevel="1"/>
    <col min="40" max="41" width="12.7109375" style="17" hidden="1" customWidth="1" outlineLevel="1"/>
    <col min="42" max="42" width="13.85546875" style="17" hidden="1" customWidth="1" outlineLevel="1"/>
    <col min="43" max="43" width="14.85546875" style="17" customWidth="1" collapsed="1"/>
    <col min="44" max="44" width="9.140625" style="17"/>
    <col min="45" max="45" width="10.42578125" style="17" bestFit="1" customWidth="1" collapsed="1"/>
    <col min="46" max="57" width="9.140625" style="17" collapsed="1"/>
    <col min="58" max="16384" width="9.140625" style="17"/>
  </cols>
  <sheetData>
    <row r="1" spans="1:43" ht="12.75">
      <c r="C1" s="77" t="s">
        <v>537</v>
      </c>
      <c r="D1" s="543" t="s">
        <v>189</v>
      </c>
      <c r="E1" s="543"/>
      <c r="F1" s="543"/>
      <c r="G1" s="543"/>
      <c r="H1" s="543"/>
      <c r="I1" s="543" t="s">
        <v>190</v>
      </c>
      <c r="J1" s="543"/>
      <c r="K1" s="543"/>
      <c r="L1" s="543"/>
      <c r="M1" s="543"/>
      <c r="N1" s="543" t="s">
        <v>191</v>
      </c>
      <c r="O1" s="543"/>
      <c r="P1" s="543"/>
      <c r="Q1" s="543"/>
      <c r="R1" s="543"/>
      <c r="S1" s="543" t="s">
        <v>432</v>
      </c>
      <c r="T1" s="543"/>
      <c r="U1" s="543"/>
      <c r="V1" s="543"/>
      <c r="W1" s="543"/>
      <c r="X1" s="543" t="s">
        <v>433</v>
      </c>
      <c r="Y1" s="543"/>
      <c r="Z1" s="543"/>
      <c r="AA1" s="543"/>
      <c r="AB1" s="543"/>
      <c r="AC1" s="543" t="s">
        <v>194</v>
      </c>
      <c r="AD1" s="543"/>
      <c r="AE1" s="543"/>
      <c r="AF1" s="543"/>
      <c r="AG1" s="543"/>
      <c r="AH1" s="543" t="s">
        <v>251</v>
      </c>
      <c r="AI1" s="543"/>
      <c r="AJ1" s="543"/>
      <c r="AK1" s="543"/>
      <c r="AL1" s="543"/>
      <c r="AM1" s="543" t="s">
        <v>252</v>
      </c>
      <c r="AN1" s="543"/>
      <c r="AO1" s="543"/>
      <c r="AP1" s="543"/>
      <c r="AQ1" s="543"/>
    </row>
    <row r="2" spans="1:43" ht="24">
      <c r="A2" s="18" t="s">
        <v>253</v>
      </c>
      <c r="B2" s="49"/>
      <c r="C2" s="49" t="s">
        <v>490</v>
      </c>
      <c r="D2" s="19" t="s">
        <v>434</v>
      </c>
      <c r="E2" s="19" t="s">
        <v>435</v>
      </c>
      <c r="F2" s="19" t="s">
        <v>436</v>
      </c>
      <c r="G2" s="19" t="s">
        <v>437</v>
      </c>
      <c r="H2" s="19" t="s">
        <v>254</v>
      </c>
      <c r="I2" s="19" t="s">
        <v>434</v>
      </c>
      <c r="J2" s="19" t="s">
        <v>435</v>
      </c>
      <c r="K2" s="19" t="s">
        <v>436</v>
      </c>
      <c r="L2" s="19" t="s">
        <v>437</v>
      </c>
      <c r="M2" s="19" t="s">
        <v>254</v>
      </c>
      <c r="N2" s="19" t="s">
        <v>434</v>
      </c>
      <c r="O2" s="19" t="s">
        <v>435</v>
      </c>
      <c r="P2" s="19" t="s">
        <v>436</v>
      </c>
      <c r="Q2" s="19" t="s">
        <v>437</v>
      </c>
      <c r="R2" s="19" t="s">
        <v>254</v>
      </c>
      <c r="S2" s="19" t="s">
        <v>434</v>
      </c>
      <c r="T2" s="19" t="s">
        <v>435</v>
      </c>
      <c r="U2" s="19" t="s">
        <v>436</v>
      </c>
      <c r="V2" s="19" t="s">
        <v>437</v>
      </c>
      <c r="W2" s="19" t="s">
        <v>254</v>
      </c>
      <c r="X2" s="19" t="s">
        <v>434</v>
      </c>
      <c r="Y2" s="19" t="s">
        <v>435</v>
      </c>
      <c r="Z2" s="19" t="s">
        <v>436</v>
      </c>
      <c r="AA2" s="19" t="s">
        <v>437</v>
      </c>
      <c r="AB2" s="19" t="s">
        <v>254</v>
      </c>
      <c r="AC2" s="19" t="s">
        <v>434</v>
      </c>
      <c r="AD2" s="19" t="s">
        <v>435</v>
      </c>
      <c r="AE2" s="19" t="s">
        <v>436</v>
      </c>
      <c r="AF2" s="19" t="s">
        <v>437</v>
      </c>
      <c r="AG2" s="19" t="s">
        <v>254</v>
      </c>
      <c r="AH2" s="19" t="s">
        <v>434</v>
      </c>
      <c r="AI2" s="19" t="s">
        <v>435</v>
      </c>
      <c r="AJ2" s="19" t="s">
        <v>436</v>
      </c>
      <c r="AK2" s="19" t="s">
        <v>437</v>
      </c>
      <c r="AL2" s="19" t="s">
        <v>254</v>
      </c>
      <c r="AM2" s="19" t="s">
        <v>434</v>
      </c>
      <c r="AN2" s="19" t="s">
        <v>435</v>
      </c>
      <c r="AO2" s="19" t="s">
        <v>436</v>
      </c>
      <c r="AP2" s="19" t="s">
        <v>437</v>
      </c>
      <c r="AQ2" s="19" t="s">
        <v>254</v>
      </c>
    </row>
    <row r="3" spans="1:43">
      <c r="B3" s="13"/>
      <c r="C3" s="21"/>
      <c r="I3" s="17"/>
      <c r="J3" s="26"/>
      <c r="K3" s="26"/>
      <c r="L3" s="26"/>
      <c r="N3" s="17"/>
      <c r="O3" s="26"/>
      <c r="P3" s="26"/>
      <c r="Q3" s="26"/>
      <c r="T3" s="26"/>
      <c r="U3" s="26"/>
      <c r="V3" s="26"/>
      <c r="Y3" s="26"/>
      <c r="Z3" s="26"/>
      <c r="AA3" s="26"/>
      <c r="AD3" s="26"/>
      <c r="AE3" s="26"/>
      <c r="AF3" s="26"/>
      <c r="AI3" s="26"/>
      <c r="AJ3" s="26"/>
      <c r="AK3" s="26"/>
      <c r="AN3" s="26"/>
      <c r="AO3" s="26"/>
      <c r="AP3" s="26"/>
    </row>
    <row r="4" spans="1:43">
      <c r="A4" s="17" t="s">
        <v>538</v>
      </c>
      <c r="C4" s="21" t="s">
        <v>256</v>
      </c>
      <c r="I4" s="17"/>
      <c r="J4" s="17"/>
      <c r="K4" s="17"/>
      <c r="L4" s="17"/>
      <c r="N4" s="17"/>
      <c r="O4" s="17"/>
      <c r="P4" s="17"/>
      <c r="Q4" s="17"/>
    </row>
    <row r="5" spans="1:43">
      <c r="A5" s="17" t="s">
        <v>539</v>
      </c>
      <c r="C5" s="222" t="s">
        <v>540</v>
      </c>
      <c r="I5" s="17"/>
      <c r="J5" s="17"/>
      <c r="K5" s="17"/>
      <c r="L5" s="17"/>
      <c r="N5" s="17"/>
      <c r="O5" s="17"/>
      <c r="P5" s="17"/>
      <c r="Q5" s="17"/>
    </row>
    <row r="6" spans="1:43" ht="48">
      <c r="A6" s="13" t="s">
        <v>541</v>
      </c>
      <c r="B6" s="13"/>
      <c r="C6" s="13" t="s">
        <v>542</v>
      </c>
      <c r="D6" s="53">
        <v>1630</v>
      </c>
      <c r="E6" s="55">
        <v>58.583817525590568</v>
      </c>
      <c r="F6" s="55">
        <v>91078.31</v>
      </c>
      <c r="H6" s="53">
        <v>4500</v>
      </c>
      <c r="I6" s="53">
        <v>848</v>
      </c>
      <c r="J6" s="55">
        <v>60.474470141445842</v>
      </c>
      <c r="K6" s="55">
        <v>94017.64</v>
      </c>
      <c r="M6" s="53">
        <v>4500</v>
      </c>
      <c r="N6" s="53">
        <v>848</v>
      </c>
      <c r="O6" s="55">
        <v>62.426269234607545</v>
      </c>
      <c r="P6" s="55">
        <v>97052.04</v>
      </c>
      <c r="R6" s="53">
        <v>4500</v>
      </c>
      <c r="S6" s="53">
        <v>848</v>
      </c>
      <c r="T6" s="55">
        <v>64.597260994688725</v>
      </c>
      <c r="U6" s="55">
        <v>100427.21</v>
      </c>
      <c r="V6" s="51"/>
      <c r="W6" s="53">
        <v>4500</v>
      </c>
      <c r="X6" s="53">
        <v>848</v>
      </c>
      <c r="Y6" s="55">
        <v>66.843889274794506</v>
      </c>
      <c r="Z6" s="55">
        <v>103919.97</v>
      </c>
      <c r="AA6" s="51"/>
      <c r="AB6" s="53">
        <v>4500</v>
      </c>
      <c r="AC6" s="53">
        <v>848</v>
      </c>
      <c r="AD6" s="55">
        <v>69.503012094710243</v>
      </c>
      <c r="AE6" s="55">
        <v>108054.01</v>
      </c>
      <c r="AF6" s="51"/>
      <c r="AG6" s="53">
        <v>4500</v>
      </c>
      <c r="AH6" s="53">
        <v>848</v>
      </c>
      <c r="AI6" s="55">
        <v>72.615575905363883</v>
      </c>
      <c r="AJ6" s="55">
        <v>112893.02</v>
      </c>
      <c r="AK6" s="51"/>
      <c r="AL6" s="53">
        <v>4500</v>
      </c>
      <c r="AM6" s="53">
        <v>848</v>
      </c>
      <c r="AN6" s="55">
        <v>75.86767757682064</v>
      </c>
      <c r="AO6" s="55">
        <v>117948.95</v>
      </c>
      <c r="AP6" s="51"/>
      <c r="AQ6" s="53">
        <v>4500</v>
      </c>
    </row>
    <row r="7" spans="1:43" ht="48">
      <c r="A7" s="13" t="s">
        <v>543</v>
      </c>
      <c r="B7" s="13"/>
      <c r="C7" s="13" t="s">
        <v>544</v>
      </c>
      <c r="D7" s="53">
        <v>220</v>
      </c>
      <c r="E7" s="55">
        <v>34.936059959001973</v>
      </c>
      <c r="F7" s="55">
        <f>SUM(D7)*E7</f>
        <v>7685.9331909804341</v>
      </c>
      <c r="H7" s="53">
        <v>500</v>
      </c>
      <c r="I7" s="53">
        <v>158</v>
      </c>
      <c r="J7" s="55">
        <v>36.063537749610461</v>
      </c>
      <c r="K7" s="55">
        <f>SUM(I7)*J7</f>
        <v>5698.0389644384531</v>
      </c>
      <c r="M7" s="53">
        <v>500</v>
      </c>
      <c r="N7" s="53">
        <v>158</v>
      </c>
      <c r="O7" s="55">
        <v>37.227479824857383</v>
      </c>
      <c r="P7" s="55">
        <f>SUM(N7)*O7</f>
        <v>5881.9418123274663</v>
      </c>
      <c r="R7" s="53">
        <v>500</v>
      </c>
      <c r="S7" s="53">
        <v>158</v>
      </c>
      <c r="T7" s="55">
        <v>38.522135951825625</v>
      </c>
      <c r="U7" s="55">
        <f>SUM(S7)*T7</f>
        <v>6086.4974803884488</v>
      </c>
      <c r="V7" s="51"/>
      <c r="W7" s="53">
        <v>500</v>
      </c>
      <c r="X7" s="53">
        <v>158</v>
      </c>
      <c r="Y7" s="55">
        <v>39.861897401565216</v>
      </c>
      <c r="Z7" s="55">
        <f>SUM(X7)*Y7</f>
        <v>6298.1797894473038</v>
      </c>
      <c r="AA7" s="51"/>
      <c r="AB7" s="53">
        <v>500</v>
      </c>
      <c r="AC7" s="53">
        <v>158</v>
      </c>
      <c r="AD7" s="55">
        <v>41.447647156339158</v>
      </c>
      <c r="AE7" s="55">
        <f>SUM(AC7)*AD7</f>
        <v>6548.7282507015871</v>
      </c>
      <c r="AF7" s="51"/>
      <c r="AG7" s="53">
        <v>500</v>
      </c>
      <c r="AH7" s="53">
        <v>158</v>
      </c>
      <c r="AI7" s="55">
        <v>43.303803352847098</v>
      </c>
      <c r="AJ7" s="55">
        <f>SUM(AH7)*AI7</f>
        <v>6842.0009297498418</v>
      </c>
      <c r="AK7" s="51"/>
      <c r="AL7" s="53">
        <v>500</v>
      </c>
      <c r="AM7" s="53">
        <v>158</v>
      </c>
      <c r="AN7" s="55">
        <v>45.243172000804435</v>
      </c>
      <c r="AO7" s="55">
        <f>SUM(AM7)*AN7</f>
        <v>7148.4211761271008</v>
      </c>
      <c r="AP7" s="51"/>
      <c r="AQ7" s="53">
        <v>500</v>
      </c>
    </row>
    <row r="8" spans="1:43" ht="48">
      <c r="A8" s="13" t="s">
        <v>545</v>
      </c>
      <c r="B8" s="13"/>
      <c r="C8" s="13" t="s">
        <v>546</v>
      </c>
      <c r="D8" s="53">
        <v>50</v>
      </c>
      <c r="E8" s="55">
        <v>48.704977707549816</v>
      </c>
      <c r="F8" s="55">
        <f>SUM(D8)*E8</f>
        <v>2435.2488853774908</v>
      </c>
      <c r="H8" s="53">
        <v>150</v>
      </c>
      <c r="I8" s="53">
        <v>34</v>
      </c>
      <c r="J8" s="55">
        <v>50.276814392103994</v>
      </c>
      <c r="K8" s="55">
        <f>SUM(I8)*J8</f>
        <v>1709.4116893315359</v>
      </c>
      <c r="M8" s="53">
        <v>150</v>
      </c>
      <c r="N8" s="53">
        <v>34</v>
      </c>
      <c r="O8" s="55">
        <v>51.899486579360001</v>
      </c>
      <c r="P8" s="55">
        <f>SUM(N8)*O8</f>
        <v>1764.58254369824</v>
      </c>
      <c r="R8" s="53">
        <v>150</v>
      </c>
      <c r="S8" s="53">
        <v>34</v>
      </c>
      <c r="T8" s="55">
        <v>53.704389532839251</v>
      </c>
      <c r="U8" s="55">
        <f>SUM(S8)*T8</f>
        <v>1825.9492441165346</v>
      </c>
      <c r="V8" s="51"/>
      <c r="W8" s="53">
        <v>150</v>
      </c>
      <c r="X8" s="53">
        <v>34</v>
      </c>
      <c r="Y8" s="55">
        <v>55.572174612770326</v>
      </c>
      <c r="Z8" s="55">
        <f>SUM(X8)*Y8</f>
        <v>1889.4539368341912</v>
      </c>
      <c r="AA8" s="51"/>
      <c r="AB8" s="53">
        <v>150</v>
      </c>
      <c r="AC8" s="53">
        <v>34</v>
      </c>
      <c r="AD8" s="55">
        <v>57.78289632971989</v>
      </c>
      <c r="AE8" s="55">
        <f>SUM(AC8)*AD8</f>
        <v>1964.6184752104762</v>
      </c>
      <c r="AF8" s="51"/>
      <c r="AG8" s="53">
        <v>150</v>
      </c>
      <c r="AH8" s="53">
        <v>34</v>
      </c>
      <c r="AI8" s="55">
        <v>60.370596438969187</v>
      </c>
      <c r="AJ8" s="55">
        <f>SUM(AH8)*AI8</f>
        <v>2052.6002789249524</v>
      </c>
      <c r="AK8" s="51"/>
      <c r="AL8" s="53">
        <v>150</v>
      </c>
      <c r="AM8" s="53">
        <v>34</v>
      </c>
      <c r="AN8" s="55">
        <v>63.074304495239119</v>
      </c>
      <c r="AO8" s="55">
        <f>SUM(AM8)*AN8</f>
        <v>2144.5263528381302</v>
      </c>
      <c r="AP8" s="51"/>
      <c r="AQ8" s="53">
        <v>150</v>
      </c>
    </row>
    <row r="9" spans="1:43" ht="36">
      <c r="A9" s="13" t="s">
        <v>547</v>
      </c>
      <c r="B9" s="13"/>
      <c r="C9" s="13" t="s">
        <v>548</v>
      </c>
      <c r="H9" s="53">
        <v>100</v>
      </c>
      <c r="I9" s="24"/>
      <c r="M9" s="53">
        <v>100</v>
      </c>
      <c r="N9" s="24"/>
      <c r="R9" s="53">
        <v>100</v>
      </c>
      <c r="S9" s="24"/>
      <c r="T9" s="51"/>
      <c r="U9" s="51"/>
      <c r="V9" s="51"/>
      <c r="W9" s="53">
        <v>100</v>
      </c>
      <c r="X9" s="24"/>
      <c r="Y9" s="51"/>
      <c r="Z9" s="51"/>
      <c r="AA9" s="51"/>
      <c r="AB9" s="53">
        <v>100</v>
      </c>
      <c r="AC9" s="24"/>
      <c r="AD9" s="51"/>
      <c r="AE9" s="51"/>
      <c r="AF9" s="51"/>
      <c r="AG9" s="53">
        <v>100</v>
      </c>
      <c r="AH9" s="24"/>
      <c r="AI9" s="51"/>
      <c r="AJ9" s="51"/>
      <c r="AK9" s="51"/>
      <c r="AL9" s="53">
        <v>100</v>
      </c>
      <c r="AM9" s="24"/>
      <c r="AN9" s="51"/>
      <c r="AO9" s="51"/>
      <c r="AP9" s="51"/>
      <c r="AQ9" s="53">
        <v>100</v>
      </c>
    </row>
    <row r="10" spans="1:43">
      <c r="A10" s="13" t="s">
        <v>549</v>
      </c>
      <c r="B10" s="13"/>
      <c r="C10" s="13" t="s">
        <v>550</v>
      </c>
      <c r="D10" s="53">
        <v>280</v>
      </c>
      <c r="E10" s="55">
        <v>38.068258438084911</v>
      </c>
      <c r="F10" s="55">
        <f>SUM(D10)*E10</f>
        <v>10659.112362663775</v>
      </c>
      <c r="H10" s="53">
        <v>400</v>
      </c>
      <c r="I10" s="53">
        <v>116</v>
      </c>
      <c r="J10" s="55">
        <v>39.296820444403117</v>
      </c>
      <c r="K10" s="55">
        <f>SUM(I10)*J10</f>
        <v>4558.431171550762</v>
      </c>
      <c r="M10" s="53">
        <v>400</v>
      </c>
      <c r="N10" s="53">
        <v>116</v>
      </c>
      <c r="O10" s="55">
        <v>40.565115947085971</v>
      </c>
      <c r="P10" s="55">
        <f>SUM(N10)*O10</f>
        <v>4705.5534498619727</v>
      </c>
      <c r="R10" s="53">
        <v>400</v>
      </c>
      <c r="S10" s="53">
        <v>116</v>
      </c>
      <c r="T10" s="55">
        <v>41.975844692334121</v>
      </c>
      <c r="U10" s="55">
        <f>SUM(S10)*T10</f>
        <v>4869.1979843107583</v>
      </c>
      <c r="V10" s="51"/>
      <c r="W10" s="53">
        <v>400</v>
      </c>
      <c r="X10" s="53">
        <v>116</v>
      </c>
      <c r="Y10" s="55">
        <v>43.435722685843473</v>
      </c>
      <c r="Z10" s="55">
        <f>SUM(X10)*Y10</f>
        <v>5038.5438315578431</v>
      </c>
      <c r="AA10" s="51"/>
      <c r="AB10" s="53">
        <v>400</v>
      </c>
      <c r="AC10" s="53">
        <v>116</v>
      </c>
      <c r="AD10" s="55">
        <v>45.163643108286806</v>
      </c>
      <c r="AE10" s="55">
        <f>SUM(AC10)*AD10</f>
        <v>5238.9826005612695</v>
      </c>
      <c r="AF10" s="51"/>
      <c r="AG10" s="53">
        <v>400</v>
      </c>
      <c r="AH10" s="53">
        <v>116</v>
      </c>
      <c r="AI10" s="55">
        <v>47.186213308619593</v>
      </c>
      <c r="AJ10" s="55">
        <f>SUM(AH10)*AI10</f>
        <v>5473.6007437998724</v>
      </c>
      <c r="AK10" s="51"/>
      <c r="AL10" s="53">
        <v>400</v>
      </c>
      <c r="AM10" s="53">
        <v>116</v>
      </c>
      <c r="AN10" s="55">
        <v>49.299456387083453</v>
      </c>
      <c r="AO10" s="55">
        <f>SUM(AM10)*AN10</f>
        <v>5718.7369409016801</v>
      </c>
      <c r="AP10" s="51"/>
      <c r="AQ10" s="53">
        <v>400</v>
      </c>
    </row>
    <row r="11" spans="1:43" ht="48">
      <c r="A11" s="13" t="s">
        <v>551</v>
      </c>
      <c r="B11" s="13"/>
      <c r="C11" s="13" t="s">
        <v>552</v>
      </c>
      <c r="H11" s="53">
        <v>200</v>
      </c>
      <c r="I11" s="24"/>
      <c r="M11" s="53">
        <v>200</v>
      </c>
      <c r="N11" s="24"/>
      <c r="R11" s="53">
        <v>200</v>
      </c>
      <c r="S11" s="24"/>
      <c r="T11" s="51"/>
      <c r="U11" s="51"/>
      <c r="V11" s="51"/>
      <c r="W11" s="53">
        <v>200</v>
      </c>
      <c r="X11" s="24"/>
      <c r="Y11" s="51"/>
      <c r="Z11" s="51"/>
      <c r="AA11" s="51"/>
      <c r="AB11" s="53">
        <v>200</v>
      </c>
      <c r="AC11" s="24"/>
      <c r="AD11" s="51"/>
      <c r="AE11" s="51"/>
      <c r="AF11" s="51"/>
      <c r="AG11" s="53">
        <v>200</v>
      </c>
      <c r="AH11" s="24"/>
      <c r="AI11" s="51"/>
      <c r="AJ11" s="51"/>
      <c r="AK11" s="51"/>
      <c r="AL11" s="53">
        <v>200</v>
      </c>
      <c r="AM11" s="24"/>
      <c r="AN11" s="51"/>
      <c r="AO11" s="51"/>
      <c r="AP11" s="51"/>
      <c r="AQ11" s="53">
        <v>200</v>
      </c>
    </row>
    <row r="12" spans="1:43">
      <c r="A12" s="128" t="s">
        <v>553</v>
      </c>
      <c r="B12" s="128"/>
      <c r="C12" s="266" t="s">
        <v>554</v>
      </c>
      <c r="I12" s="24"/>
      <c r="M12" s="24"/>
      <c r="N12" s="24"/>
      <c r="R12" s="24"/>
      <c r="S12" s="24"/>
      <c r="T12" s="51"/>
      <c r="U12" s="51"/>
      <c r="V12" s="51"/>
      <c r="W12" s="24"/>
      <c r="X12" s="24"/>
      <c r="Y12" s="51"/>
      <c r="Z12" s="51"/>
      <c r="AA12" s="51"/>
      <c r="AB12" s="24"/>
      <c r="AC12" s="24"/>
      <c r="AD12" s="51"/>
      <c r="AE12" s="51"/>
      <c r="AF12" s="51"/>
      <c r="AG12" s="24"/>
      <c r="AH12" s="24"/>
      <c r="AI12" s="51"/>
      <c r="AJ12" s="51"/>
      <c r="AK12" s="51"/>
      <c r="AL12" s="24"/>
      <c r="AM12" s="24"/>
      <c r="AN12" s="51"/>
      <c r="AO12" s="51"/>
      <c r="AP12" s="51"/>
      <c r="AQ12" s="24"/>
    </row>
    <row r="13" spans="1:43">
      <c r="A13" s="128" t="s">
        <v>555</v>
      </c>
      <c r="B13" s="128"/>
      <c r="C13" s="128" t="s">
        <v>554</v>
      </c>
      <c r="D13" s="53"/>
      <c r="E13" s="55"/>
      <c r="F13" s="55"/>
      <c r="H13" s="53"/>
      <c r="I13" s="53"/>
      <c r="J13" s="55"/>
      <c r="K13" s="55"/>
      <c r="M13" s="53"/>
      <c r="N13" s="53"/>
      <c r="O13" s="55"/>
      <c r="P13" s="55"/>
      <c r="R13" s="53"/>
      <c r="S13" s="53"/>
      <c r="T13" s="55"/>
      <c r="U13" s="55"/>
      <c r="V13" s="51"/>
      <c r="W13" s="53"/>
      <c r="X13" s="53"/>
      <c r="Y13" s="55"/>
      <c r="Z13" s="55"/>
      <c r="AA13" s="51"/>
      <c r="AB13" s="53"/>
      <c r="AC13" s="53"/>
      <c r="AD13" s="55"/>
      <c r="AE13" s="55"/>
      <c r="AF13" s="51"/>
      <c r="AG13" s="53"/>
      <c r="AH13" s="53"/>
      <c r="AI13" s="55"/>
      <c r="AJ13" s="55"/>
      <c r="AK13" s="51"/>
      <c r="AL13" s="53"/>
      <c r="AM13" s="53"/>
      <c r="AN13" s="55"/>
      <c r="AO13" s="55"/>
      <c r="AP13" s="51"/>
      <c r="AQ13" s="53"/>
    </row>
    <row r="14" spans="1:43">
      <c r="A14" s="13" t="s">
        <v>556</v>
      </c>
      <c r="B14" s="13"/>
      <c r="C14" s="21" t="s">
        <v>557</v>
      </c>
      <c r="I14" s="24"/>
      <c r="M14" s="24"/>
      <c r="N14" s="24"/>
      <c r="R14" s="24"/>
      <c r="S14" s="24"/>
      <c r="T14" s="51"/>
      <c r="U14" s="51"/>
      <c r="V14" s="51"/>
      <c r="W14" s="24"/>
      <c r="X14" s="24"/>
      <c r="Y14" s="51"/>
      <c r="Z14" s="51"/>
      <c r="AA14" s="51"/>
      <c r="AB14" s="24"/>
      <c r="AC14" s="24"/>
      <c r="AD14" s="51"/>
      <c r="AE14" s="51"/>
      <c r="AF14" s="51"/>
      <c r="AG14" s="24"/>
      <c r="AH14" s="24"/>
      <c r="AI14" s="51"/>
      <c r="AJ14" s="51"/>
      <c r="AK14" s="51"/>
      <c r="AL14" s="24"/>
      <c r="AM14" s="24"/>
      <c r="AN14" s="51"/>
      <c r="AO14" s="51"/>
      <c r="AP14" s="51"/>
      <c r="AQ14" s="24"/>
    </row>
    <row r="15" spans="1:43" ht="72">
      <c r="A15" s="13" t="s">
        <v>558</v>
      </c>
      <c r="B15" s="13"/>
      <c r="C15" s="13" t="s">
        <v>559</v>
      </c>
      <c r="H15" s="53">
        <v>1400</v>
      </c>
      <c r="I15" s="24"/>
      <c r="M15" s="53">
        <v>1400</v>
      </c>
      <c r="N15" s="24"/>
      <c r="R15" s="53">
        <v>1400</v>
      </c>
      <c r="S15" s="24"/>
      <c r="T15" s="51"/>
      <c r="U15" s="51"/>
      <c r="V15" s="51"/>
      <c r="W15" s="53">
        <v>1400</v>
      </c>
      <c r="X15" s="24"/>
      <c r="Y15" s="51"/>
      <c r="Z15" s="51"/>
      <c r="AA15" s="51"/>
      <c r="AB15" s="53">
        <v>1400</v>
      </c>
      <c r="AC15" s="24"/>
      <c r="AD15" s="51"/>
      <c r="AE15" s="51"/>
      <c r="AF15" s="51"/>
      <c r="AG15" s="53">
        <v>1400</v>
      </c>
      <c r="AH15" s="24"/>
      <c r="AI15" s="51"/>
      <c r="AJ15" s="51"/>
      <c r="AK15" s="51"/>
      <c r="AL15" s="53">
        <v>1400</v>
      </c>
      <c r="AM15" s="24"/>
      <c r="AN15" s="51"/>
      <c r="AO15" s="51"/>
      <c r="AP15" s="51"/>
      <c r="AQ15" s="53">
        <v>1400</v>
      </c>
    </row>
    <row r="16" spans="1:43" ht="84">
      <c r="A16" s="13" t="s">
        <v>560</v>
      </c>
      <c r="B16" s="13"/>
      <c r="C16" s="13" t="s">
        <v>561</v>
      </c>
      <c r="H16" s="53">
        <v>650</v>
      </c>
      <c r="I16" s="24"/>
      <c r="M16" s="53">
        <v>650</v>
      </c>
      <c r="N16" s="24"/>
      <c r="R16" s="53">
        <v>650</v>
      </c>
      <c r="S16" s="24"/>
      <c r="T16" s="51"/>
      <c r="U16" s="51"/>
      <c r="V16" s="51"/>
      <c r="W16" s="53">
        <v>650</v>
      </c>
      <c r="X16" s="24"/>
      <c r="Y16" s="51"/>
      <c r="Z16" s="51"/>
      <c r="AA16" s="51"/>
      <c r="AB16" s="53">
        <v>650</v>
      </c>
      <c r="AC16" s="24"/>
      <c r="AD16" s="51"/>
      <c r="AE16" s="51"/>
      <c r="AF16" s="51"/>
      <c r="AG16" s="53">
        <v>650</v>
      </c>
      <c r="AH16" s="24"/>
      <c r="AI16" s="51"/>
      <c r="AJ16" s="51"/>
      <c r="AK16" s="51"/>
      <c r="AL16" s="53">
        <v>650</v>
      </c>
      <c r="AM16" s="24"/>
      <c r="AN16" s="51"/>
      <c r="AO16" s="51"/>
      <c r="AP16" s="51"/>
      <c r="AQ16" s="53">
        <v>650</v>
      </c>
    </row>
    <row r="17" spans="1:43" ht="48">
      <c r="A17" s="13" t="s">
        <v>562</v>
      </c>
      <c r="B17" s="13"/>
      <c r="C17" s="13" t="s">
        <v>563</v>
      </c>
      <c r="H17" s="53">
        <v>50</v>
      </c>
      <c r="I17" s="24"/>
      <c r="M17" s="53">
        <v>50</v>
      </c>
      <c r="N17" s="24"/>
      <c r="R17" s="53">
        <v>50</v>
      </c>
      <c r="S17" s="24"/>
      <c r="T17" s="51"/>
      <c r="U17" s="51"/>
      <c r="V17" s="51"/>
      <c r="W17" s="53">
        <v>50</v>
      </c>
      <c r="X17" s="24"/>
      <c r="Y17" s="51"/>
      <c r="Z17" s="51"/>
      <c r="AA17" s="51"/>
      <c r="AB17" s="53">
        <v>50</v>
      </c>
      <c r="AC17" s="24"/>
      <c r="AD17" s="51"/>
      <c r="AE17" s="51"/>
      <c r="AF17" s="51"/>
      <c r="AG17" s="53">
        <v>50</v>
      </c>
      <c r="AH17" s="24"/>
      <c r="AI17" s="51"/>
      <c r="AJ17" s="51"/>
      <c r="AK17" s="51"/>
      <c r="AL17" s="53">
        <v>50</v>
      </c>
      <c r="AM17" s="24"/>
      <c r="AN17" s="51"/>
      <c r="AO17" s="51"/>
      <c r="AP17" s="51"/>
      <c r="AQ17" s="53">
        <v>50</v>
      </c>
    </row>
    <row r="18" spans="1:43" ht="36">
      <c r="A18" s="54" t="s">
        <v>564</v>
      </c>
      <c r="B18" s="13"/>
      <c r="C18" s="13" t="s">
        <v>565</v>
      </c>
      <c r="H18" s="53">
        <v>48</v>
      </c>
      <c r="I18" s="24"/>
      <c r="M18" s="53">
        <v>48</v>
      </c>
      <c r="N18" s="24"/>
      <c r="R18" s="53">
        <v>48</v>
      </c>
      <c r="S18" s="24"/>
      <c r="T18" s="51"/>
      <c r="U18" s="51"/>
      <c r="V18" s="51"/>
      <c r="W18" s="53">
        <v>48</v>
      </c>
      <c r="X18" s="24"/>
      <c r="Y18" s="51"/>
      <c r="Z18" s="51"/>
      <c r="AA18" s="51"/>
      <c r="AB18" s="53">
        <v>48</v>
      </c>
      <c r="AC18" s="24"/>
      <c r="AD18" s="51"/>
      <c r="AE18" s="51"/>
      <c r="AF18" s="51"/>
      <c r="AG18" s="53">
        <v>48</v>
      </c>
      <c r="AH18" s="24"/>
      <c r="AI18" s="51"/>
      <c r="AJ18" s="51"/>
      <c r="AK18" s="51"/>
      <c r="AL18" s="53">
        <v>48</v>
      </c>
      <c r="AM18" s="24"/>
      <c r="AN18" s="51"/>
      <c r="AO18" s="51"/>
      <c r="AP18" s="51"/>
      <c r="AQ18" s="53">
        <v>48</v>
      </c>
    </row>
    <row r="19" spans="1:43">
      <c r="A19" s="54" t="s">
        <v>566</v>
      </c>
      <c r="B19" s="13"/>
      <c r="C19" s="21" t="s">
        <v>567</v>
      </c>
      <c r="I19" s="24"/>
      <c r="M19" s="24"/>
      <c r="N19" s="24"/>
      <c r="R19" s="24"/>
      <c r="S19" s="24"/>
      <c r="T19" s="51"/>
      <c r="U19" s="51"/>
      <c r="V19" s="51"/>
      <c r="W19" s="24"/>
      <c r="X19" s="24"/>
      <c r="Y19" s="51"/>
      <c r="Z19" s="51"/>
      <c r="AA19" s="51"/>
      <c r="AB19" s="24"/>
      <c r="AC19" s="24"/>
      <c r="AD19" s="51"/>
      <c r="AE19" s="51"/>
      <c r="AF19" s="51"/>
      <c r="AG19" s="24"/>
      <c r="AH19" s="24"/>
      <c r="AI19" s="51"/>
      <c r="AJ19" s="51"/>
      <c r="AK19" s="51"/>
      <c r="AL19" s="24"/>
      <c r="AM19" s="24"/>
      <c r="AN19" s="51"/>
      <c r="AO19" s="51"/>
      <c r="AP19" s="51"/>
      <c r="AQ19" s="24"/>
    </row>
    <row r="20" spans="1:43" ht="36">
      <c r="A20" s="13" t="s">
        <v>568</v>
      </c>
      <c r="B20" s="13"/>
      <c r="C20" s="13" t="s">
        <v>569</v>
      </c>
      <c r="H20" s="53">
        <v>125</v>
      </c>
      <c r="I20" s="24"/>
      <c r="M20" s="53">
        <v>125</v>
      </c>
      <c r="N20" s="24"/>
      <c r="R20" s="53">
        <v>125</v>
      </c>
      <c r="S20" s="24"/>
      <c r="T20" s="51"/>
      <c r="U20" s="51"/>
      <c r="V20" s="51"/>
      <c r="W20" s="53">
        <v>125</v>
      </c>
      <c r="X20" s="24"/>
      <c r="Y20" s="51"/>
      <c r="Z20" s="51"/>
      <c r="AA20" s="51"/>
      <c r="AB20" s="53">
        <v>125</v>
      </c>
      <c r="AC20" s="24"/>
      <c r="AD20" s="51"/>
      <c r="AE20" s="51"/>
      <c r="AF20" s="51"/>
      <c r="AG20" s="53">
        <v>125</v>
      </c>
      <c r="AH20" s="24"/>
      <c r="AI20" s="51"/>
      <c r="AJ20" s="51"/>
      <c r="AK20" s="51"/>
      <c r="AL20" s="53">
        <v>125</v>
      </c>
      <c r="AM20" s="24"/>
      <c r="AN20" s="51"/>
      <c r="AO20" s="51"/>
      <c r="AP20" s="51"/>
      <c r="AQ20" s="53">
        <v>125</v>
      </c>
    </row>
    <row r="21" spans="1:43">
      <c r="A21" s="13" t="s">
        <v>570</v>
      </c>
      <c r="B21" s="13"/>
      <c r="C21" s="21" t="s">
        <v>571</v>
      </c>
      <c r="I21" s="24"/>
      <c r="M21" s="24"/>
      <c r="N21" s="24"/>
      <c r="R21" s="24"/>
      <c r="S21" s="24"/>
      <c r="T21" s="51"/>
      <c r="U21" s="51"/>
      <c r="V21" s="51"/>
      <c r="W21" s="24"/>
      <c r="X21" s="24"/>
      <c r="Y21" s="51"/>
      <c r="Z21" s="51"/>
      <c r="AA21" s="51"/>
      <c r="AB21" s="24"/>
      <c r="AC21" s="24"/>
      <c r="AD21" s="51"/>
      <c r="AE21" s="51"/>
      <c r="AF21" s="51"/>
      <c r="AG21" s="24"/>
      <c r="AH21" s="24"/>
      <c r="AI21" s="51"/>
      <c r="AJ21" s="51"/>
      <c r="AK21" s="51"/>
      <c r="AL21" s="24"/>
      <c r="AM21" s="24"/>
      <c r="AN21" s="51"/>
      <c r="AO21" s="51"/>
      <c r="AP21" s="51"/>
      <c r="AQ21" s="24"/>
    </row>
    <row r="22" spans="1:43">
      <c r="A22" s="13" t="s">
        <v>572</v>
      </c>
      <c r="B22" s="13"/>
      <c r="C22" s="13" t="s">
        <v>377</v>
      </c>
      <c r="I22" s="24"/>
      <c r="M22" s="24"/>
      <c r="N22" s="24"/>
      <c r="R22" s="24"/>
      <c r="S22" s="24"/>
      <c r="T22" s="51"/>
      <c r="U22" s="51"/>
      <c r="V22" s="51"/>
      <c r="W22" s="24"/>
      <c r="X22" s="24"/>
      <c r="Y22" s="51"/>
      <c r="Z22" s="51"/>
      <c r="AA22" s="51"/>
      <c r="AB22" s="24"/>
      <c r="AC22" s="24"/>
      <c r="AD22" s="51"/>
      <c r="AE22" s="51"/>
      <c r="AF22" s="51"/>
      <c r="AG22" s="24"/>
      <c r="AH22" s="24"/>
      <c r="AI22" s="51"/>
      <c r="AJ22" s="51"/>
      <c r="AK22" s="51"/>
      <c r="AL22" s="24"/>
      <c r="AM22" s="24"/>
      <c r="AN22" s="51"/>
      <c r="AO22" s="51"/>
      <c r="AP22" s="51"/>
      <c r="AQ22" s="24"/>
    </row>
    <row r="23" spans="1:43">
      <c r="A23" s="13" t="s">
        <v>573</v>
      </c>
      <c r="B23" s="13"/>
      <c r="C23" s="21" t="s">
        <v>574</v>
      </c>
      <c r="I23" s="24"/>
      <c r="M23" s="24"/>
      <c r="N23" s="24"/>
      <c r="R23" s="24"/>
      <c r="S23" s="24"/>
      <c r="T23" s="51"/>
      <c r="U23" s="51"/>
      <c r="V23" s="51"/>
      <c r="W23" s="24"/>
      <c r="X23" s="24"/>
      <c r="Y23" s="51"/>
      <c r="Z23" s="51"/>
      <c r="AA23" s="51"/>
      <c r="AB23" s="24"/>
      <c r="AC23" s="24"/>
      <c r="AD23" s="51"/>
      <c r="AE23" s="51"/>
      <c r="AF23" s="51"/>
      <c r="AG23" s="24"/>
      <c r="AH23" s="24"/>
      <c r="AI23" s="51"/>
      <c r="AJ23" s="51"/>
      <c r="AK23" s="51"/>
      <c r="AL23" s="24"/>
      <c r="AM23" s="24"/>
      <c r="AN23" s="51"/>
      <c r="AO23" s="51"/>
      <c r="AP23" s="51"/>
      <c r="AQ23" s="24"/>
    </row>
    <row r="24" spans="1:43" ht="60">
      <c r="A24" s="13" t="s">
        <v>575</v>
      </c>
      <c r="B24" s="13"/>
      <c r="C24" s="13" t="s">
        <v>412</v>
      </c>
      <c r="I24" s="24"/>
      <c r="M24" s="24"/>
      <c r="N24" s="24"/>
      <c r="R24" s="24"/>
      <c r="S24" s="24"/>
      <c r="T24" s="51"/>
      <c r="U24" s="51"/>
      <c r="V24" s="51"/>
      <c r="W24" s="24"/>
      <c r="X24" s="24"/>
      <c r="Y24" s="51"/>
      <c r="Z24" s="51"/>
      <c r="AA24" s="51"/>
      <c r="AB24" s="24"/>
      <c r="AC24" s="24"/>
      <c r="AD24" s="51"/>
      <c r="AE24" s="51"/>
      <c r="AF24" s="51"/>
      <c r="AG24" s="24"/>
      <c r="AH24" s="24"/>
      <c r="AI24" s="51"/>
      <c r="AJ24" s="51"/>
      <c r="AK24" s="51"/>
      <c r="AL24" s="24"/>
      <c r="AM24" s="24"/>
      <c r="AN24" s="51"/>
      <c r="AO24" s="51"/>
      <c r="AP24" s="51"/>
      <c r="AQ24" s="24"/>
    </row>
    <row r="25" spans="1:43" ht="36">
      <c r="A25" s="13" t="s">
        <v>576</v>
      </c>
      <c r="B25" s="13"/>
      <c r="C25" s="13" t="s">
        <v>577</v>
      </c>
      <c r="G25" s="78">
        <v>11.039794947044625</v>
      </c>
      <c r="H25" s="53">
        <v>0</v>
      </c>
      <c r="I25" s="24"/>
      <c r="L25" s="78">
        <v>11.396077928876906</v>
      </c>
      <c r="M25" s="53">
        <v>0</v>
      </c>
      <c r="N25" s="24"/>
      <c r="Q25" s="78">
        <v>11.763883624654934</v>
      </c>
      <c r="R25" s="53">
        <v>0</v>
      </c>
      <c r="S25" s="24"/>
      <c r="T25" s="51"/>
      <c r="U25" s="51"/>
      <c r="V25" s="78">
        <v>12.172994960776897</v>
      </c>
      <c r="W25" s="53">
        <v>0</v>
      </c>
      <c r="X25" s="24"/>
      <c r="Y25" s="51"/>
      <c r="Z25" s="51"/>
      <c r="AA25" s="78">
        <v>12.596359578894608</v>
      </c>
      <c r="AB25" s="53">
        <v>0</v>
      </c>
      <c r="AC25" s="24"/>
      <c r="AD25" s="51"/>
      <c r="AE25" s="51"/>
      <c r="AF25" s="78">
        <v>13.097456501403174</v>
      </c>
      <c r="AG25" s="53">
        <v>0</v>
      </c>
      <c r="AH25" s="24"/>
      <c r="AI25" s="51"/>
      <c r="AJ25" s="51"/>
      <c r="AK25" s="78">
        <v>13.684001859499682</v>
      </c>
      <c r="AL25" s="53">
        <v>0</v>
      </c>
      <c r="AM25" s="24"/>
      <c r="AN25" s="51"/>
      <c r="AO25" s="51"/>
      <c r="AP25" s="78">
        <v>14.296842352254201</v>
      </c>
      <c r="AQ25" s="53">
        <v>0</v>
      </c>
    </row>
    <row r="26" spans="1:43" ht="60">
      <c r="A26" s="128" t="s">
        <v>578</v>
      </c>
      <c r="B26" s="128"/>
      <c r="C26" s="128" t="s">
        <v>579</v>
      </c>
      <c r="G26" s="267"/>
      <c r="H26" s="318" t="s">
        <v>580</v>
      </c>
      <c r="I26" s="318" t="s">
        <v>580</v>
      </c>
      <c r="J26" s="318" t="s">
        <v>580</v>
      </c>
      <c r="K26" s="318" t="s">
        <v>580</v>
      </c>
      <c r="L26" s="318" t="s">
        <v>580</v>
      </c>
      <c r="M26" s="318" t="s">
        <v>581</v>
      </c>
      <c r="N26" s="318" t="s">
        <v>580</v>
      </c>
      <c r="O26" s="318" t="s">
        <v>580</v>
      </c>
      <c r="P26" s="318" t="s">
        <v>580</v>
      </c>
      <c r="Q26" s="318" t="s">
        <v>580</v>
      </c>
      <c r="R26" s="318" t="s">
        <v>582</v>
      </c>
      <c r="S26" s="318" t="s">
        <v>580</v>
      </c>
      <c r="T26" s="318" t="s">
        <v>580</v>
      </c>
      <c r="U26" s="318" t="s">
        <v>580</v>
      </c>
      <c r="V26" s="318" t="s">
        <v>580</v>
      </c>
      <c r="W26" s="318" t="s">
        <v>583</v>
      </c>
      <c r="X26" s="318" t="s">
        <v>580</v>
      </c>
      <c r="Y26" s="318" t="s">
        <v>580</v>
      </c>
      <c r="Z26" s="318" t="s">
        <v>580</v>
      </c>
      <c r="AA26" s="318" t="s">
        <v>580</v>
      </c>
      <c r="AB26" s="318" t="s">
        <v>584</v>
      </c>
      <c r="AC26" s="318" t="s">
        <v>580</v>
      </c>
      <c r="AD26" s="318" t="s">
        <v>580</v>
      </c>
      <c r="AE26" s="318" t="s">
        <v>580</v>
      </c>
      <c r="AF26" s="318" t="s">
        <v>580</v>
      </c>
      <c r="AG26" s="318" t="s">
        <v>585</v>
      </c>
      <c r="AH26" s="318" t="s">
        <v>580</v>
      </c>
      <c r="AI26" s="318" t="s">
        <v>580</v>
      </c>
      <c r="AJ26" s="318" t="s">
        <v>580</v>
      </c>
      <c r="AK26" s="318" t="s">
        <v>580</v>
      </c>
      <c r="AL26" s="318" t="s">
        <v>586</v>
      </c>
      <c r="AM26" s="318" t="s">
        <v>580</v>
      </c>
      <c r="AN26" s="318" t="s">
        <v>580</v>
      </c>
      <c r="AO26" s="318" t="s">
        <v>580</v>
      </c>
      <c r="AP26" s="318" t="s">
        <v>580</v>
      </c>
      <c r="AQ26" s="318" t="s">
        <v>587</v>
      </c>
    </row>
    <row r="27" spans="1:43">
      <c r="A27" s="13" t="s">
        <v>588</v>
      </c>
      <c r="B27" s="13"/>
      <c r="C27" s="21" t="s">
        <v>320</v>
      </c>
      <c r="I27" s="24"/>
      <c r="M27" s="24"/>
      <c r="N27" s="24"/>
      <c r="R27" s="24"/>
      <c r="S27" s="24"/>
      <c r="T27" s="51"/>
      <c r="U27" s="51"/>
      <c r="V27" s="51"/>
      <c r="W27" s="24"/>
      <c r="X27" s="24"/>
      <c r="Y27" s="51"/>
      <c r="Z27" s="51"/>
      <c r="AA27" s="51"/>
      <c r="AB27" s="24"/>
      <c r="AC27" s="24"/>
      <c r="AD27" s="51"/>
      <c r="AE27" s="51"/>
      <c r="AF27" s="51"/>
      <c r="AG27" s="24"/>
      <c r="AH27" s="24"/>
      <c r="AI27" s="51"/>
      <c r="AJ27" s="51"/>
      <c r="AK27" s="51"/>
      <c r="AL27" s="24"/>
      <c r="AM27" s="24"/>
      <c r="AN27" s="51"/>
      <c r="AO27" s="51"/>
      <c r="AP27" s="51"/>
      <c r="AQ27" s="24"/>
    </row>
    <row r="28" spans="1:43" ht="24">
      <c r="A28" s="54" t="s">
        <v>589</v>
      </c>
      <c r="B28" s="13"/>
      <c r="C28" s="13" t="s">
        <v>590</v>
      </c>
      <c r="H28" s="53">
        <v>500</v>
      </c>
      <c r="I28" s="24"/>
      <c r="M28" s="53">
        <v>500</v>
      </c>
      <c r="N28" s="24"/>
      <c r="R28" s="53">
        <v>500</v>
      </c>
      <c r="S28" s="24"/>
      <c r="T28" s="51"/>
      <c r="U28" s="51"/>
      <c r="V28" s="51"/>
      <c r="W28" s="53">
        <v>500</v>
      </c>
      <c r="X28" s="24"/>
      <c r="Y28" s="51"/>
      <c r="Z28" s="51"/>
      <c r="AA28" s="51"/>
      <c r="AB28" s="53">
        <v>500</v>
      </c>
      <c r="AC28" s="24"/>
      <c r="AD28" s="51"/>
      <c r="AE28" s="51"/>
      <c r="AF28" s="51"/>
      <c r="AG28" s="53">
        <v>500</v>
      </c>
      <c r="AH28" s="24"/>
      <c r="AI28" s="51"/>
      <c r="AJ28" s="51"/>
      <c r="AK28" s="51"/>
      <c r="AL28" s="53">
        <v>500</v>
      </c>
      <c r="AM28" s="24"/>
      <c r="AN28" s="51"/>
      <c r="AO28" s="51"/>
      <c r="AP28" s="51"/>
      <c r="AQ28" s="53">
        <v>500</v>
      </c>
    </row>
    <row r="29" spans="1:43" ht="60">
      <c r="A29" s="54" t="s">
        <v>591</v>
      </c>
      <c r="B29" s="13"/>
      <c r="C29" s="13" t="s">
        <v>592</v>
      </c>
      <c r="H29" s="53">
        <v>100</v>
      </c>
      <c r="I29" s="24"/>
      <c r="M29" s="53">
        <v>100</v>
      </c>
      <c r="N29" s="24"/>
      <c r="R29" s="53">
        <v>100</v>
      </c>
      <c r="S29" s="24"/>
      <c r="T29" s="51"/>
      <c r="U29" s="51"/>
      <c r="V29" s="51"/>
      <c r="W29" s="53">
        <v>100</v>
      </c>
      <c r="X29" s="24"/>
      <c r="Y29" s="51"/>
      <c r="Z29" s="51"/>
      <c r="AA29" s="51"/>
      <c r="AB29" s="53">
        <v>100</v>
      </c>
      <c r="AC29" s="24"/>
      <c r="AD29" s="51"/>
      <c r="AE29" s="51"/>
      <c r="AF29" s="51"/>
      <c r="AG29" s="53">
        <v>100</v>
      </c>
      <c r="AH29" s="24"/>
      <c r="AI29" s="51"/>
      <c r="AJ29" s="51"/>
      <c r="AK29" s="51"/>
      <c r="AL29" s="53">
        <v>100</v>
      </c>
      <c r="AM29" s="24"/>
      <c r="AN29" s="51"/>
      <c r="AO29" s="51"/>
      <c r="AP29" s="51"/>
      <c r="AQ29" s="53">
        <v>100</v>
      </c>
    </row>
    <row r="30" spans="1:43" ht="48">
      <c r="A30" s="54" t="s">
        <v>593</v>
      </c>
      <c r="B30" s="13"/>
      <c r="C30" s="13" t="s">
        <v>594</v>
      </c>
      <c r="H30" s="53">
        <v>250</v>
      </c>
      <c r="I30" s="24"/>
      <c r="M30" s="53">
        <v>250</v>
      </c>
      <c r="N30" s="24"/>
      <c r="R30" s="53">
        <v>250</v>
      </c>
      <c r="S30" s="24"/>
      <c r="T30" s="51"/>
      <c r="U30" s="51"/>
      <c r="V30" s="51"/>
      <c r="W30" s="53">
        <v>250</v>
      </c>
      <c r="X30" s="24"/>
      <c r="Y30" s="51"/>
      <c r="Z30" s="51"/>
      <c r="AA30" s="51"/>
      <c r="AB30" s="53">
        <v>250</v>
      </c>
      <c r="AC30" s="24"/>
      <c r="AD30" s="51"/>
      <c r="AE30" s="51"/>
      <c r="AF30" s="51"/>
      <c r="AG30" s="53">
        <v>250</v>
      </c>
      <c r="AH30" s="24"/>
      <c r="AI30" s="51"/>
      <c r="AJ30" s="51"/>
      <c r="AK30" s="51"/>
      <c r="AL30" s="53">
        <v>250</v>
      </c>
      <c r="AM30" s="24"/>
      <c r="AN30" s="51"/>
      <c r="AO30" s="51"/>
      <c r="AP30" s="51"/>
      <c r="AQ30" s="53">
        <v>250</v>
      </c>
    </row>
    <row r="31" spans="1:43" ht="60">
      <c r="A31" s="54" t="s">
        <v>595</v>
      </c>
      <c r="B31" s="13"/>
      <c r="C31" s="13" t="s">
        <v>596</v>
      </c>
      <c r="H31" s="53">
        <v>200</v>
      </c>
      <c r="I31" s="24"/>
      <c r="M31" s="53">
        <v>200</v>
      </c>
      <c r="N31" s="24"/>
      <c r="R31" s="53">
        <v>200</v>
      </c>
      <c r="S31" s="24"/>
      <c r="T31" s="51"/>
      <c r="U31" s="51"/>
      <c r="V31" s="51"/>
      <c r="W31" s="53">
        <v>200</v>
      </c>
      <c r="X31" s="24"/>
      <c r="Y31" s="51"/>
      <c r="Z31" s="51"/>
      <c r="AA31" s="51"/>
      <c r="AB31" s="53">
        <v>200</v>
      </c>
      <c r="AC31" s="24"/>
      <c r="AD31" s="51"/>
      <c r="AE31" s="51"/>
      <c r="AF31" s="51"/>
      <c r="AG31" s="53">
        <v>200</v>
      </c>
      <c r="AH31" s="24"/>
      <c r="AI31" s="51"/>
      <c r="AJ31" s="51"/>
      <c r="AK31" s="51"/>
      <c r="AL31" s="53">
        <v>200</v>
      </c>
      <c r="AM31" s="24"/>
      <c r="AN31" s="51"/>
      <c r="AO31" s="51"/>
      <c r="AP31" s="51"/>
      <c r="AQ31" s="53">
        <v>200</v>
      </c>
    </row>
    <row r="32" spans="1:43" ht="60">
      <c r="A32" s="54" t="s">
        <v>597</v>
      </c>
      <c r="B32" s="13"/>
      <c r="C32" s="50" t="s">
        <v>598</v>
      </c>
      <c r="H32" s="53">
        <v>10</v>
      </c>
      <c r="I32" s="24"/>
      <c r="M32" s="53">
        <v>10</v>
      </c>
      <c r="N32" s="24"/>
      <c r="R32" s="53">
        <v>10</v>
      </c>
      <c r="S32" s="24"/>
      <c r="T32" s="51"/>
      <c r="U32" s="51"/>
      <c r="V32" s="51"/>
      <c r="W32" s="53">
        <v>10</v>
      </c>
      <c r="X32" s="24"/>
      <c r="Y32" s="51"/>
      <c r="Z32" s="51"/>
      <c r="AA32" s="51"/>
      <c r="AB32" s="53">
        <v>10</v>
      </c>
      <c r="AC32" s="24"/>
      <c r="AD32" s="51"/>
      <c r="AE32" s="51"/>
      <c r="AF32" s="51"/>
      <c r="AG32" s="53">
        <v>10</v>
      </c>
      <c r="AH32" s="24"/>
      <c r="AI32" s="51"/>
      <c r="AJ32" s="51"/>
      <c r="AK32" s="51"/>
      <c r="AL32" s="53">
        <v>10</v>
      </c>
      <c r="AM32" s="24"/>
      <c r="AN32" s="51"/>
      <c r="AO32" s="51"/>
      <c r="AP32" s="51"/>
      <c r="AQ32" s="53">
        <v>10</v>
      </c>
    </row>
    <row r="33" spans="1:46" ht="48">
      <c r="A33" s="13" t="s">
        <v>599</v>
      </c>
      <c r="B33" s="13"/>
      <c r="C33" s="13" t="s">
        <v>600</v>
      </c>
      <c r="H33" s="53">
        <v>10</v>
      </c>
      <c r="I33" s="24"/>
      <c r="M33" s="53">
        <v>10</v>
      </c>
      <c r="N33" s="24"/>
      <c r="R33" s="53">
        <v>10</v>
      </c>
      <c r="S33" s="24"/>
      <c r="T33" s="51"/>
      <c r="U33" s="51"/>
      <c r="V33" s="51"/>
      <c r="W33" s="53">
        <v>10</v>
      </c>
      <c r="X33" s="24"/>
      <c r="Y33" s="51"/>
      <c r="Z33" s="51"/>
      <c r="AA33" s="51"/>
      <c r="AB33" s="53">
        <v>10</v>
      </c>
      <c r="AC33" s="24"/>
      <c r="AD33" s="51"/>
      <c r="AE33" s="51"/>
      <c r="AF33" s="51"/>
      <c r="AG33" s="53">
        <v>10</v>
      </c>
      <c r="AH33" s="24"/>
      <c r="AI33" s="51"/>
      <c r="AJ33" s="51"/>
      <c r="AK33" s="51"/>
      <c r="AL33" s="53">
        <v>10</v>
      </c>
      <c r="AM33" s="24"/>
      <c r="AN33" s="51"/>
      <c r="AO33" s="51"/>
      <c r="AP33" s="51"/>
      <c r="AQ33" s="53">
        <v>10</v>
      </c>
    </row>
    <row r="34" spans="1:46">
      <c r="A34" s="13" t="s">
        <v>601</v>
      </c>
      <c r="B34" s="13"/>
      <c r="C34" s="21" t="s">
        <v>429</v>
      </c>
      <c r="I34" s="24"/>
      <c r="M34" s="24"/>
      <c r="N34" s="24"/>
      <c r="R34" s="24"/>
      <c r="S34" s="24"/>
      <c r="T34" s="51"/>
      <c r="U34" s="51"/>
      <c r="V34" s="51"/>
      <c r="W34" s="24"/>
      <c r="X34" s="24"/>
      <c r="Y34" s="51"/>
      <c r="Z34" s="51"/>
      <c r="AA34" s="51"/>
      <c r="AB34" s="24"/>
      <c r="AC34" s="24"/>
      <c r="AD34" s="51"/>
      <c r="AE34" s="51"/>
      <c r="AF34" s="51"/>
      <c r="AG34" s="24"/>
      <c r="AH34" s="24"/>
      <c r="AI34" s="51"/>
      <c r="AJ34" s="51"/>
      <c r="AK34" s="51"/>
      <c r="AL34" s="24"/>
      <c r="AM34" s="24"/>
      <c r="AN34" s="51"/>
      <c r="AO34" s="51"/>
      <c r="AP34" s="51"/>
      <c r="AQ34" s="24"/>
    </row>
    <row r="35" spans="1:46">
      <c r="A35" s="17" t="s">
        <v>602</v>
      </c>
      <c r="B35" s="13"/>
      <c r="C35" s="21" t="s">
        <v>479</v>
      </c>
      <c r="I35" s="24"/>
      <c r="M35" s="24"/>
      <c r="N35" s="24"/>
      <c r="R35" s="24"/>
      <c r="S35" s="24"/>
      <c r="T35" s="51"/>
      <c r="U35" s="51"/>
      <c r="V35" s="51"/>
      <c r="W35" s="24"/>
      <c r="X35" s="24"/>
      <c r="Y35" s="51"/>
      <c r="Z35" s="51"/>
      <c r="AA35" s="51"/>
      <c r="AB35" s="24"/>
      <c r="AC35" s="24"/>
      <c r="AD35" s="51"/>
      <c r="AE35" s="51"/>
      <c r="AF35" s="51"/>
      <c r="AG35" s="24"/>
      <c r="AH35" s="24"/>
      <c r="AI35" s="51"/>
      <c r="AJ35" s="51"/>
      <c r="AK35" s="51"/>
      <c r="AL35" s="24"/>
      <c r="AM35" s="24"/>
      <c r="AN35" s="51"/>
      <c r="AO35" s="51"/>
      <c r="AP35" s="51"/>
      <c r="AQ35" s="24"/>
    </row>
    <row r="36" spans="1:46" ht="24">
      <c r="A36" s="13" t="s">
        <v>603</v>
      </c>
      <c r="B36" s="13"/>
      <c r="C36" s="13" t="s">
        <v>604</v>
      </c>
      <c r="H36" s="53">
        <v>150</v>
      </c>
      <c r="I36" s="24"/>
      <c r="M36" s="53">
        <v>150</v>
      </c>
      <c r="N36" s="24"/>
      <c r="R36" s="53">
        <v>150</v>
      </c>
      <c r="S36" s="24"/>
      <c r="T36" s="51"/>
      <c r="U36" s="51"/>
      <c r="V36" s="51"/>
      <c r="W36" s="53">
        <v>150</v>
      </c>
      <c r="X36" s="24"/>
      <c r="Y36" s="51"/>
      <c r="Z36" s="51"/>
      <c r="AA36" s="51"/>
      <c r="AB36" s="53">
        <v>150</v>
      </c>
      <c r="AC36" s="24"/>
      <c r="AD36" s="51"/>
      <c r="AE36" s="51"/>
      <c r="AF36" s="51"/>
      <c r="AG36" s="53">
        <v>150</v>
      </c>
      <c r="AH36" s="24"/>
      <c r="AI36" s="51"/>
      <c r="AJ36" s="51"/>
      <c r="AK36" s="51"/>
      <c r="AL36" s="53">
        <v>150</v>
      </c>
      <c r="AM36" s="24"/>
      <c r="AN36" s="51"/>
      <c r="AO36" s="51"/>
      <c r="AP36" s="51"/>
      <c r="AQ36" s="53">
        <v>150</v>
      </c>
    </row>
    <row r="37" spans="1:46" ht="24">
      <c r="A37" s="13" t="s">
        <v>605</v>
      </c>
      <c r="B37" s="13"/>
      <c r="C37" s="13" t="s">
        <v>606</v>
      </c>
      <c r="H37" s="53">
        <v>50</v>
      </c>
      <c r="I37" s="24"/>
      <c r="M37" s="53">
        <v>50</v>
      </c>
      <c r="N37" s="24"/>
      <c r="R37" s="53">
        <v>50</v>
      </c>
      <c r="S37" s="24"/>
      <c r="T37" s="51"/>
      <c r="U37" s="51"/>
      <c r="V37" s="51"/>
      <c r="W37" s="53">
        <v>50</v>
      </c>
      <c r="X37" s="24"/>
      <c r="Y37" s="51"/>
      <c r="Z37" s="51"/>
      <c r="AA37" s="51"/>
      <c r="AB37" s="53">
        <v>50</v>
      </c>
      <c r="AC37" s="24"/>
      <c r="AD37" s="51"/>
      <c r="AE37" s="51"/>
      <c r="AF37" s="51"/>
      <c r="AG37" s="53">
        <v>50</v>
      </c>
      <c r="AH37" s="24"/>
      <c r="AI37" s="51"/>
      <c r="AJ37" s="51"/>
      <c r="AK37" s="51"/>
      <c r="AL37" s="53">
        <v>50</v>
      </c>
      <c r="AM37" s="24"/>
      <c r="AN37" s="51"/>
      <c r="AO37" s="51"/>
      <c r="AP37" s="51"/>
      <c r="AQ37" s="53">
        <v>50</v>
      </c>
    </row>
    <row r="38" spans="1:46" ht="36">
      <c r="A38" s="13" t="s">
        <v>607</v>
      </c>
      <c r="B38" s="13"/>
      <c r="C38" s="13" t="s">
        <v>608</v>
      </c>
      <c r="H38" s="53">
        <v>50</v>
      </c>
      <c r="I38" s="24"/>
      <c r="M38" s="53">
        <v>50</v>
      </c>
      <c r="N38" s="24"/>
      <c r="R38" s="53">
        <v>50</v>
      </c>
      <c r="S38" s="24"/>
      <c r="T38" s="51"/>
      <c r="U38" s="51"/>
      <c r="V38" s="51"/>
      <c r="W38" s="53">
        <v>50</v>
      </c>
      <c r="X38" s="24"/>
      <c r="Y38" s="51"/>
      <c r="Z38" s="51"/>
      <c r="AA38" s="51"/>
      <c r="AB38" s="53">
        <v>50</v>
      </c>
      <c r="AC38" s="24"/>
      <c r="AD38" s="51"/>
      <c r="AE38" s="51"/>
      <c r="AF38" s="51"/>
      <c r="AG38" s="53">
        <v>50</v>
      </c>
      <c r="AH38" s="24"/>
      <c r="AI38" s="51"/>
      <c r="AJ38" s="51"/>
      <c r="AK38" s="51"/>
      <c r="AL38" s="53">
        <v>50</v>
      </c>
      <c r="AM38" s="24"/>
      <c r="AN38" s="51"/>
      <c r="AO38" s="51"/>
      <c r="AP38" s="51"/>
      <c r="AQ38" s="53">
        <v>50</v>
      </c>
    </row>
    <row r="39" spans="1:46">
      <c r="A39" s="17" t="s">
        <v>609</v>
      </c>
      <c r="B39" s="13"/>
      <c r="C39" s="21" t="s">
        <v>530</v>
      </c>
      <c r="I39" s="24"/>
      <c r="M39" s="24"/>
      <c r="N39" s="24"/>
      <c r="R39" s="24"/>
      <c r="S39" s="24"/>
      <c r="T39" s="51"/>
      <c r="U39" s="51"/>
      <c r="V39" s="51"/>
      <c r="W39" s="24"/>
      <c r="X39" s="24"/>
      <c r="Y39" s="51"/>
      <c r="Z39" s="51"/>
      <c r="AA39" s="51"/>
      <c r="AB39" s="24"/>
      <c r="AC39" s="24"/>
      <c r="AD39" s="51"/>
      <c r="AE39" s="51"/>
      <c r="AF39" s="51"/>
      <c r="AG39" s="24"/>
      <c r="AH39" s="24"/>
      <c r="AI39" s="51"/>
      <c r="AJ39" s="51"/>
      <c r="AK39" s="51"/>
      <c r="AL39" s="24"/>
      <c r="AM39" s="24"/>
      <c r="AN39" s="51"/>
      <c r="AO39" s="51"/>
      <c r="AP39" s="51"/>
      <c r="AQ39" s="24"/>
    </row>
    <row r="40" spans="1:46" ht="48">
      <c r="A40" s="27" t="s">
        <v>610</v>
      </c>
      <c r="B40" s="27"/>
      <c r="C40" s="13" t="s">
        <v>611</v>
      </c>
      <c r="D40" s="58"/>
      <c r="E40" s="59"/>
      <c r="F40" s="59"/>
      <c r="G40" s="59"/>
      <c r="H40" s="53">
        <v>10</v>
      </c>
      <c r="I40" s="58"/>
      <c r="J40" s="59"/>
      <c r="K40" s="59"/>
      <c r="L40" s="59"/>
      <c r="M40" s="53">
        <v>10</v>
      </c>
      <c r="N40" s="58"/>
      <c r="O40" s="59"/>
      <c r="P40" s="59"/>
      <c r="Q40" s="59"/>
      <c r="R40" s="53">
        <v>10</v>
      </c>
      <c r="S40" s="58"/>
      <c r="T40" s="59"/>
      <c r="U40" s="59"/>
      <c r="V40" s="59"/>
      <c r="W40" s="53">
        <v>10</v>
      </c>
      <c r="X40" s="58"/>
      <c r="Y40" s="59"/>
      <c r="Z40" s="59"/>
      <c r="AA40" s="59"/>
      <c r="AB40" s="53">
        <v>10</v>
      </c>
      <c r="AC40" s="58"/>
      <c r="AD40" s="59"/>
      <c r="AE40" s="59"/>
      <c r="AF40" s="59"/>
      <c r="AG40" s="53">
        <v>10</v>
      </c>
      <c r="AH40" s="58"/>
      <c r="AI40" s="59"/>
      <c r="AJ40" s="59"/>
      <c r="AK40" s="59"/>
      <c r="AL40" s="53">
        <v>10</v>
      </c>
      <c r="AM40" s="58"/>
      <c r="AN40" s="59"/>
      <c r="AO40" s="59"/>
      <c r="AP40" s="59"/>
      <c r="AQ40" s="53">
        <v>10</v>
      </c>
    </row>
    <row r="41" spans="1:46">
      <c r="A41" s="37"/>
      <c r="B41" s="61"/>
      <c r="C41" s="61"/>
      <c r="D41" s="79"/>
      <c r="E41" s="80"/>
      <c r="F41" s="80"/>
      <c r="G41" s="80"/>
      <c r="H41" s="79">
        <f t="shared" ref="H41:AQ41" si="0">SUM(H3:H40)</f>
        <v>9453</v>
      </c>
      <c r="I41" s="79">
        <f t="shared" si="0"/>
        <v>1156</v>
      </c>
      <c r="J41" s="79">
        <f t="shared" si="0"/>
        <v>186.11164272756344</v>
      </c>
      <c r="K41" s="79">
        <f t="shared" si="0"/>
        <v>105983.52182532076</v>
      </c>
      <c r="L41" s="79">
        <f t="shared" si="0"/>
        <v>11.396077928876906</v>
      </c>
      <c r="M41" s="79">
        <f t="shared" si="0"/>
        <v>9453</v>
      </c>
      <c r="N41" s="79">
        <f t="shared" si="0"/>
        <v>1156</v>
      </c>
      <c r="O41" s="79">
        <f t="shared" si="0"/>
        <v>192.11835158591089</v>
      </c>
      <c r="P41" s="79">
        <f t="shared" si="0"/>
        <v>109404.11780588767</v>
      </c>
      <c r="Q41" s="79">
        <f t="shared" si="0"/>
        <v>11.763883624654934</v>
      </c>
      <c r="R41" s="79">
        <f t="shared" si="0"/>
        <v>9453</v>
      </c>
      <c r="S41" s="79">
        <f t="shared" si="0"/>
        <v>1156</v>
      </c>
      <c r="T41" s="79">
        <f t="shared" si="0"/>
        <v>198.79963117168774</v>
      </c>
      <c r="U41" s="79">
        <f t="shared" si="0"/>
        <v>113208.85470881575</v>
      </c>
      <c r="V41" s="79">
        <f t="shared" si="0"/>
        <v>12.172994960776897</v>
      </c>
      <c r="W41" s="79">
        <f t="shared" si="0"/>
        <v>9453</v>
      </c>
      <c r="X41" s="79">
        <f t="shared" si="0"/>
        <v>1156</v>
      </c>
      <c r="Y41" s="79">
        <f t="shared" si="0"/>
        <v>205.71368397497352</v>
      </c>
      <c r="Z41" s="79">
        <f t="shared" si="0"/>
        <v>117146.14755783934</v>
      </c>
      <c r="AA41" s="79">
        <f t="shared" si="0"/>
        <v>12.596359578894608</v>
      </c>
      <c r="AB41" s="79">
        <f t="shared" si="0"/>
        <v>9453</v>
      </c>
      <c r="AC41" s="79">
        <f t="shared" si="0"/>
        <v>1156</v>
      </c>
      <c r="AD41" s="79">
        <f t="shared" si="0"/>
        <v>213.8971986890561</v>
      </c>
      <c r="AE41" s="79">
        <f t="shared" si="0"/>
        <v>121806.33932647333</v>
      </c>
      <c r="AF41" s="79">
        <f t="shared" si="0"/>
        <v>13.097456501403174</v>
      </c>
      <c r="AG41" s="79">
        <f t="shared" si="0"/>
        <v>9453</v>
      </c>
      <c r="AH41" s="79">
        <f t="shared" si="0"/>
        <v>1156</v>
      </c>
      <c r="AI41" s="79">
        <f t="shared" si="0"/>
        <v>223.47618900579977</v>
      </c>
      <c r="AJ41" s="79">
        <f t="shared" si="0"/>
        <v>127261.22195247468</v>
      </c>
      <c r="AK41" s="79">
        <f t="shared" si="0"/>
        <v>13.684001859499682</v>
      </c>
      <c r="AL41" s="79">
        <f t="shared" si="0"/>
        <v>9453</v>
      </c>
      <c r="AM41" s="79">
        <f t="shared" si="0"/>
        <v>1156</v>
      </c>
      <c r="AN41" s="79">
        <f t="shared" si="0"/>
        <v>233.48461045994765</v>
      </c>
      <c r="AO41" s="79">
        <f t="shared" si="0"/>
        <v>132960.6344698669</v>
      </c>
      <c r="AP41" s="79">
        <f t="shared" si="0"/>
        <v>14.296842352254201</v>
      </c>
      <c r="AQ41" s="79">
        <f t="shared" si="0"/>
        <v>9453</v>
      </c>
    </row>
    <row r="42" spans="1:46" s="65" customFormat="1" ht="16.5">
      <c r="A42" s="64"/>
      <c r="D42" s="341"/>
      <c r="E42" s="341"/>
      <c r="F42" s="341"/>
      <c r="G42" s="341"/>
      <c r="H42" s="81" t="s">
        <v>385</v>
      </c>
      <c r="I42" s="341"/>
      <c r="J42" s="341"/>
      <c r="K42" s="341"/>
      <c r="L42" s="341"/>
      <c r="M42" s="81" t="s">
        <v>385</v>
      </c>
      <c r="N42" s="68"/>
      <c r="O42" s="341"/>
      <c r="P42" s="341"/>
      <c r="Q42" s="341"/>
      <c r="R42" s="81" t="s">
        <v>385</v>
      </c>
      <c r="S42" s="341"/>
      <c r="T42" s="341"/>
      <c r="U42" s="341"/>
      <c r="V42" s="341"/>
      <c r="W42" s="81" t="s">
        <v>385</v>
      </c>
      <c r="X42" s="341"/>
      <c r="Y42" s="341"/>
      <c r="Z42" s="341"/>
      <c r="AA42" s="341"/>
      <c r="AB42" s="81" t="s">
        <v>385</v>
      </c>
      <c r="AC42" s="341"/>
      <c r="AD42" s="341"/>
      <c r="AE42" s="341"/>
      <c r="AF42" s="341"/>
      <c r="AG42" s="81" t="s">
        <v>385</v>
      </c>
      <c r="AH42" s="341"/>
      <c r="AI42" s="341"/>
      <c r="AJ42" s="341"/>
      <c r="AK42" s="341"/>
      <c r="AL42" s="81" t="s">
        <v>385</v>
      </c>
      <c r="AM42" s="341"/>
      <c r="AN42" s="341"/>
      <c r="AO42" s="341"/>
      <c r="AP42" s="341"/>
      <c r="AQ42" s="81" t="s">
        <v>385</v>
      </c>
    </row>
    <row r="43" spans="1:46" s="70" customFormat="1" ht="49.5">
      <c r="A43" s="69"/>
      <c r="D43" s="71"/>
      <c r="E43" s="72"/>
      <c r="F43" s="72"/>
      <c r="G43" s="72"/>
      <c r="H43" s="73" t="s">
        <v>189</v>
      </c>
      <c r="I43" s="74"/>
      <c r="J43" s="72"/>
      <c r="K43" s="72"/>
      <c r="L43" s="72"/>
      <c r="M43" s="73" t="s">
        <v>190</v>
      </c>
      <c r="N43" s="74"/>
      <c r="O43" s="72"/>
      <c r="P43" s="72"/>
      <c r="Q43" s="72"/>
      <c r="R43" s="73" t="s">
        <v>191</v>
      </c>
      <c r="S43" s="75"/>
      <c r="T43" s="72"/>
      <c r="U43" s="72"/>
      <c r="V43" s="72"/>
      <c r="W43" s="73" t="s">
        <v>432</v>
      </c>
      <c r="X43" s="75"/>
      <c r="Y43" s="72"/>
      <c r="Z43" s="72"/>
      <c r="AA43" s="72"/>
      <c r="AB43" s="73" t="s">
        <v>433</v>
      </c>
      <c r="AC43" s="75"/>
      <c r="AD43" s="72"/>
      <c r="AE43" s="72"/>
      <c r="AF43" s="72"/>
      <c r="AG43" s="73" t="s">
        <v>194</v>
      </c>
      <c r="AH43" s="75"/>
      <c r="AI43" s="72"/>
      <c r="AJ43" s="72"/>
      <c r="AK43" s="72"/>
      <c r="AL43" s="73" t="s">
        <v>251</v>
      </c>
      <c r="AM43" s="75"/>
      <c r="AN43" s="72"/>
      <c r="AO43" s="72"/>
      <c r="AP43" s="72"/>
      <c r="AQ43" s="73" t="s">
        <v>252</v>
      </c>
    </row>
    <row r="44" spans="1:46" s="70" customFormat="1" ht="16.5">
      <c r="A44" s="69"/>
      <c r="C44" s="184" t="s">
        <v>386</v>
      </c>
      <c r="D44" s="71"/>
      <c r="E44" s="72"/>
      <c r="F44" s="72"/>
      <c r="G44" s="72"/>
      <c r="H44" s="55">
        <f>SUM(H45:H50)</f>
        <v>145758.41268583018</v>
      </c>
      <c r="I44" s="55">
        <f t="shared" ref="I44:AQ44" si="1">SUM(I45:I50)</f>
        <v>0</v>
      </c>
      <c r="J44" s="55">
        <f t="shared" si="1"/>
        <v>0</v>
      </c>
      <c r="K44" s="55">
        <f t="shared" si="1"/>
        <v>0</v>
      </c>
      <c r="L44" s="55">
        <f t="shared" si="1"/>
        <v>0</v>
      </c>
      <c r="M44" s="55">
        <f t="shared" si="1"/>
        <v>148650.43689496178</v>
      </c>
      <c r="N44" s="55">
        <f t="shared" si="1"/>
        <v>0</v>
      </c>
      <c r="O44" s="55">
        <f t="shared" si="1"/>
        <v>0</v>
      </c>
      <c r="P44" s="55">
        <f t="shared" si="1"/>
        <v>0</v>
      </c>
      <c r="Q44" s="55">
        <f t="shared" si="1"/>
        <v>0</v>
      </c>
      <c r="R44" s="55">
        <f t="shared" si="1"/>
        <v>153448.09549631909</v>
      </c>
      <c r="S44" s="55">
        <f t="shared" si="1"/>
        <v>0</v>
      </c>
      <c r="T44" s="55">
        <f t="shared" si="1"/>
        <v>0</v>
      </c>
      <c r="U44" s="55">
        <f t="shared" si="1"/>
        <v>0</v>
      </c>
      <c r="V44" s="55">
        <f t="shared" si="1"/>
        <v>0</v>
      </c>
      <c r="W44" s="55">
        <f t="shared" si="1"/>
        <v>134905.87246713735</v>
      </c>
      <c r="X44" s="55">
        <f t="shared" si="1"/>
        <v>0</v>
      </c>
      <c r="Y44" s="55">
        <f t="shared" si="1"/>
        <v>0</v>
      </c>
      <c r="Z44" s="55">
        <f t="shared" si="1"/>
        <v>0</v>
      </c>
      <c r="AA44" s="55">
        <f t="shared" si="1"/>
        <v>0</v>
      </c>
      <c r="AB44" s="55">
        <f t="shared" si="1"/>
        <v>139661.74552014552</v>
      </c>
      <c r="AC44" s="55">
        <f t="shared" si="1"/>
        <v>0</v>
      </c>
      <c r="AD44" s="55">
        <f t="shared" si="1"/>
        <v>0</v>
      </c>
      <c r="AE44" s="55">
        <f t="shared" si="1"/>
        <v>0</v>
      </c>
      <c r="AF44" s="55">
        <f t="shared" si="1"/>
        <v>0</v>
      </c>
      <c r="AG44" s="55">
        <f t="shared" si="1"/>
        <v>145406.93818802611</v>
      </c>
      <c r="AH44" s="55">
        <f t="shared" si="1"/>
        <v>0</v>
      </c>
      <c r="AI44" s="55">
        <f t="shared" si="1"/>
        <v>0</v>
      </c>
      <c r="AJ44" s="55">
        <f t="shared" si="1"/>
        <v>0</v>
      </c>
      <c r="AK44" s="55">
        <f t="shared" si="1"/>
        <v>0</v>
      </c>
      <c r="AL44" s="55">
        <f t="shared" si="1"/>
        <v>152241.32655097428</v>
      </c>
      <c r="AM44" s="55">
        <f t="shared" si="1"/>
        <v>0</v>
      </c>
      <c r="AN44" s="55">
        <f t="shared" si="1"/>
        <v>0</v>
      </c>
      <c r="AO44" s="55">
        <f t="shared" si="1"/>
        <v>0</v>
      </c>
      <c r="AP44" s="55">
        <f t="shared" si="1"/>
        <v>0</v>
      </c>
      <c r="AQ44" s="55">
        <f t="shared" si="1"/>
        <v>159392.50957681221</v>
      </c>
    </row>
    <row r="45" spans="1:46" ht="16.5">
      <c r="C45" s="184" t="s">
        <v>387</v>
      </c>
      <c r="H45" s="55">
        <v>145758.41268583018</v>
      </c>
      <c r="I45" s="74"/>
      <c r="J45" s="72"/>
      <c r="K45" s="72"/>
      <c r="L45" s="72"/>
      <c r="M45" s="55">
        <v>150462.41689496179</v>
      </c>
      <c r="N45" s="74"/>
      <c r="O45" s="72"/>
      <c r="P45" s="72"/>
      <c r="Q45" s="72"/>
      <c r="R45" s="55">
        <v>155318.55549631908</v>
      </c>
      <c r="S45" s="75"/>
      <c r="T45" s="72"/>
      <c r="U45" s="72"/>
      <c r="V45" s="72"/>
      <c r="W45" s="55">
        <v>160720.05246713737</v>
      </c>
      <c r="X45" s="75"/>
      <c r="Y45" s="72"/>
      <c r="Z45" s="72"/>
      <c r="AA45" s="72"/>
      <c r="AB45" s="55">
        <v>166309.73552014551</v>
      </c>
      <c r="AC45" s="75"/>
      <c r="AD45" s="72"/>
      <c r="AE45" s="72"/>
      <c r="AF45" s="72"/>
      <c r="AG45" s="55">
        <v>172925.71818802611</v>
      </c>
      <c r="AH45" s="75"/>
      <c r="AI45" s="72"/>
      <c r="AJ45" s="72"/>
      <c r="AK45" s="72"/>
      <c r="AL45" s="55">
        <v>180669.8765509743</v>
      </c>
      <c r="AM45" s="75"/>
      <c r="AN45" s="72"/>
      <c r="AO45" s="72"/>
      <c r="AP45" s="72"/>
      <c r="AQ45" s="55">
        <v>188761.20957681222</v>
      </c>
    </row>
    <row r="46" spans="1:46" ht="16.5">
      <c r="C46" s="17" t="s">
        <v>388</v>
      </c>
      <c r="H46" s="55">
        <v>0</v>
      </c>
      <c r="M46" s="55">
        <v>-1811.98</v>
      </c>
      <c r="N46" s="74"/>
      <c r="O46" s="72"/>
      <c r="P46" s="72"/>
      <c r="Q46" s="72"/>
      <c r="R46" s="55">
        <v>-1870.46</v>
      </c>
      <c r="S46" s="74"/>
      <c r="T46" s="72"/>
      <c r="U46" s="72"/>
      <c r="V46" s="72"/>
      <c r="W46" s="55">
        <v>-1935.51</v>
      </c>
      <c r="X46" s="75"/>
      <c r="Y46" s="72"/>
      <c r="Z46" s="72"/>
      <c r="AA46" s="72"/>
      <c r="AB46" s="55">
        <v>-2002.82</v>
      </c>
      <c r="AC46" s="75"/>
      <c r="AD46" s="72"/>
      <c r="AE46" s="72"/>
      <c r="AF46" s="72"/>
      <c r="AG46" s="55">
        <v>-2082.5</v>
      </c>
      <c r="AH46" s="75"/>
      <c r="AI46" s="72"/>
      <c r="AJ46" s="72"/>
      <c r="AK46" s="72"/>
      <c r="AL46" s="55">
        <v>-2175.7600000000002</v>
      </c>
      <c r="AM46" s="75"/>
      <c r="AN46" s="72"/>
      <c r="AO46" s="72"/>
      <c r="AP46" s="72"/>
      <c r="AQ46" s="55">
        <v>-2273.1999999999998</v>
      </c>
    </row>
    <row r="47" spans="1:46" ht="16.5">
      <c r="C47" s="17" t="s">
        <v>533</v>
      </c>
      <c r="H47" s="55"/>
      <c r="I47" s="74"/>
      <c r="J47" s="72"/>
      <c r="K47" s="72"/>
      <c r="L47" s="72"/>
      <c r="M47" s="55"/>
      <c r="N47" s="74"/>
      <c r="O47" s="72"/>
      <c r="P47" s="72"/>
      <c r="Q47" s="72"/>
      <c r="R47" s="55"/>
      <c r="S47" s="75"/>
      <c r="T47" s="72"/>
      <c r="U47" s="72"/>
      <c r="V47" s="72"/>
      <c r="W47" s="55">
        <v>-23878.67</v>
      </c>
      <c r="X47" s="75"/>
      <c r="Y47" s="72"/>
      <c r="Z47" s="72"/>
      <c r="AA47" s="72"/>
      <c r="AB47" s="55">
        <v>-24645.17</v>
      </c>
      <c r="AC47" s="75"/>
      <c r="AD47" s="72"/>
      <c r="AE47" s="72"/>
      <c r="AF47" s="72"/>
      <c r="AG47" s="55">
        <v>-25436.28</v>
      </c>
      <c r="AH47" s="75"/>
      <c r="AI47" s="72"/>
      <c r="AJ47" s="72"/>
      <c r="AK47" s="72"/>
      <c r="AL47" s="55">
        <v>-26252.79</v>
      </c>
      <c r="AM47" s="75"/>
      <c r="AN47" s="72"/>
      <c r="AO47" s="72"/>
      <c r="AP47" s="72"/>
      <c r="AQ47" s="55">
        <v>-27095.5</v>
      </c>
      <c r="AS47" s="51">
        <f>SUM(H47:AQ47)</f>
        <v>-127308.41</v>
      </c>
      <c r="AT47" s="17" t="s">
        <v>534</v>
      </c>
    </row>
    <row r="48" spans="1:46" ht="16.5">
      <c r="H48" s="55"/>
      <c r="I48" s="74"/>
      <c r="J48" s="72"/>
      <c r="K48" s="72"/>
      <c r="L48" s="72"/>
      <c r="M48" s="55"/>
      <c r="N48" s="74"/>
      <c r="O48" s="72"/>
      <c r="P48" s="72"/>
      <c r="Q48" s="72"/>
      <c r="R48" s="55"/>
      <c r="S48" s="75"/>
      <c r="T48" s="72"/>
      <c r="U48" s="72"/>
      <c r="V48" s="72"/>
      <c r="W48" s="55"/>
      <c r="X48" s="75"/>
      <c r="Y48" s="72"/>
      <c r="Z48" s="72"/>
      <c r="AA48" s="72"/>
      <c r="AB48" s="55"/>
      <c r="AC48" s="75"/>
      <c r="AD48" s="72"/>
      <c r="AE48" s="72"/>
      <c r="AF48" s="72"/>
      <c r="AG48" s="55"/>
      <c r="AH48" s="75"/>
      <c r="AI48" s="72"/>
      <c r="AJ48" s="72"/>
      <c r="AK48" s="72"/>
      <c r="AL48" s="55"/>
      <c r="AM48" s="75"/>
      <c r="AN48" s="72"/>
      <c r="AO48" s="72"/>
      <c r="AP48" s="72"/>
      <c r="AQ48" s="55"/>
    </row>
    <row r="49" spans="8:43" ht="16.5">
      <c r="H49" s="55"/>
      <c r="I49" s="74"/>
      <c r="J49" s="72"/>
      <c r="K49" s="72"/>
      <c r="L49" s="72"/>
      <c r="M49" s="55"/>
      <c r="N49" s="74"/>
      <c r="O49" s="72"/>
      <c r="P49" s="72"/>
      <c r="Q49" s="72"/>
      <c r="R49" s="55"/>
      <c r="S49" s="75"/>
      <c r="T49" s="72"/>
      <c r="U49" s="72"/>
      <c r="V49" s="72"/>
      <c r="W49" s="55"/>
      <c r="X49" s="75"/>
      <c r="Y49" s="72"/>
      <c r="Z49" s="72"/>
      <c r="AA49" s="72"/>
      <c r="AB49" s="55"/>
      <c r="AC49" s="75"/>
      <c r="AD49" s="72"/>
      <c r="AE49" s="72"/>
      <c r="AF49" s="72"/>
      <c r="AG49" s="55"/>
      <c r="AH49" s="75"/>
      <c r="AI49" s="72"/>
      <c r="AJ49" s="72"/>
      <c r="AK49" s="72"/>
      <c r="AL49" s="55"/>
      <c r="AM49" s="75"/>
      <c r="AN49" s="72"/>
      <c r="AO49" s="72"/>
      <c r="AP49" s="72"/>
      <c r="AQ49" s="55"/>
    </row>
    <row r="50" spans="8:43" ht="16.5">
      <c r="H50" s="55"/>
      <c r="I50" s="74"/>
      <c r="J50" s="72"/>
      <c r="K50" s="72"/>
      <c r="L50" s="72"/>
      <c r="M50" s="55"/>
      <c r="N50" s="74"/>
      <c r="O50" s="72"/>
      <c r="P50" s="72"/>
      <c r="Q50" s="72"/>
      <c r="R50" s="55"/>
      <c r="S50" s="75"/>
      <c r="T50" s="72"/>
      <c r="U50" s="72"/>
      <c r="V50" s="72"/>
      <c r="W50" s="55"/>
      <c r="X50" s="75"/>
      <c r="Y50" s="72"/>
      <c r="Z50" s="72"/>
      <c r="AA50" s="72"/>
      <c r="AB50" s="55"/>
      <c r="AC50" s="75"/>
      <c r="AD50" s="72"/>
      <c r="AE50" s="72"/>
      <c r="AF50" s="72"/>
      <c r="AG50" s="55"/>
      <c r="AH50" s="75"/>
      <c r="AI50" s="72"/>
      <c r="AJ50" s="72"/>
      <c r="AK50" s="72"/>
      <c r="AL50" s="55"/>
      <c r="AM50" s="75"/>
      <c r="AN50" s="72"/>
      <c r="AO50" s="72"/>
      <c r="AP50" s="72"/>
      <c r="AQ50" s="55"/>
    </row>
  </sheetData>
  <mergeCells count="8">
    <mergeCell ref="AH1:AL1"/>
    <mergeCell ref="AM1:AQ1"/>
    <mergeCell ref="D1:H1"/>
    <mergeCell ref="I1:M1"/>
    <mergeCell ref="N1:R1"/>
    <mergeCell ref="S1:W1"/>
    <mergeCell ref="X1:AB1"/>
    <mergeCell ref="AC1:AG1"/>
  </mergeCells>
  <phoneticPr fontId="0" type="noConversion"/>
  <printOptions horizontalCentered="1"/>
  <pageMargins left="0.5" right="0.5" top="1" bottom="1" header="0.5" footer="0.5"/>
  <pageSetup paperSize="9" fitToWidth="3" fitToHeight="2" orientation="landscape" r:id="rId1"/>
  <headerFooter alignWithMargins="0">
    <oddHeader>&amp;C&amp;"Calibri"&amp;10&amp;K737373Serco Business&amp;1#_x000D_&amp;"Calibri"&amp;11&amp;K000000&amp;"Calibri"&amp;11&amp;K000000&amp;"Arial,Bold"RESTRICTED - CONTRACTS</oddHeader>
    <oddFooter>&amp;L&amp;8PTC/CB/00642&amp;C&amp;8 2-(6)-&amp;P&amp;"Arial,Bold"&amp;10
RESTRICTED - CONTRACTS&amp;R&amp;8Pricing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BE48"/>
  <sheetViews>
    <sheetView topLeftCell="A34" zoomScale="75" workbookViewId="0">
      <selection activeCell="AS46" sqref="AS46"/>
    </sheetView>
  </sheetViews>
  <sheetFormatPr defaultColWidth="9.140625" defaultRowHeight="12" outlineLevelCol="1"/>
  <cols>
    <col min="1" max="1" width="8.7109375" style="13" customWidth="1"/>
    <col min="2" max="2" width="2.7109375" style="54" customWidth="1"/>
    <col min="3" max="3" width="25.7109375" style="54" customWidth="1"/>
    <col min="4" max="4" width="14.7109375" style="85" hidden="1" customWidth="1" outlineLevel="1"/>
    <col min="5" max="6" width="12.7109375" style="86" hidden="1" customWidth="1" outlineLevel="1"/>
    <col min="7" max="7" width="14.7109375" style="86" hidden="1" customWidth="1" outlineLevel="1"/>
    <col min="8" max="8" width="14.28515625" style="85" customWidth="1" collapsed="1"/>
    <col min="9" max="9" width="14.7109375" style="101" hidden="1" customWidth="1" outlineLevel="1"/>
    <col min="10" max="11" width="12.7109375" style="86" hidden="1" customWidth="1" outlineLevel="1"/>
    <col min="12" max="12" width="14.7109375" style="86" hidden="1" customWidth="1" outlineLevel="1"/>
    <col min="13" max="13" width="14.7109375" style="54" customWidth="1" collapsed="1"/>
    <col min="14" max="14" width="14.7109375" style="101" hidden="1" customWidth="1" outlineLevel="1"/>
    <col min="15" max="16" width="12.7109375" style="86" hidden="1" customWidth="1" outlineLevel="1"/>
    <col min="17" max="17" width="14.7109375" style="86" hidden="1" customWidth="1" outlineLevel="1"/>
    <col min="18" max="18" width="14.7109375" style="54" customWidth="1" collapsed="1"/>
    <col min="19" max="19" width="14.140625" style="54" hidden="1" customWidth="1" outlineLevel="1"/>
    <col min="20" max="21" width="12.7109375" style="54" hidden="1" customWidth="1" outlineLevel="1"/>
    <col min="22" max="22" width="14.7109375" style="54" hidden="1" customWidth="1" outlineLevel="1"/>
    <col min="23" max="23" width="14.5703125" style="54" customWidth="1" collapsed="1"/>
    <col min="24" max="24" width="14.28515625" style="54" hidden="1" customWidth="1" outlineLevel="1"/>
    <col min="25" max="26" width="12.7109375" style="54" hidden="1" customWidth="1" outlineLevel="1"/>
    <col min="27" max="27" width="14.7109375" style="54" hidden="1" customWidth="1" outlineLevel="1"/>
    <col min="28" max="28" width="14.42578125" style="54" customWidth="1" collapsed="1"/>
    <col min="29" max="29" width="13.85546875" style="54" hidden="1" customWidth="1" outlineLevel="1"/>
    <col min="30" max="30" width="12.140625" style="54" hidden="1" customWidth="1" outlineLevel="1"/>
    <col min="31" max="31" width="12.7109375" style="54" hidden="1" customWidth="1" outlineLevel="1"/>
    <col min="32" max="32" width="14.28515625" style="54" hidden="1" customWidth="1" outlineLevel="1"/>
    <col min="33" max="33" width="14.140625" style="54" customWidth="1" collapsed="1"/>
    <col min="34" max="34" width="14" style="54" hidden="1" customWidth="1" outlineLevel="1"/>
    <col min="35" max="35" width="12.42578125" style="54" hidden="1" customWidth="1" outlineLevel="1"/>
    <col min="36" max="36" width="12.7109375" style="54" hidden="1" customWidth="1" outlineLevel="1"/>
    <col min="37" max="37" width="14.28515625" style="54" hidden="1" customWidth="1" outlineLevel="1"/>
    <col min="38" max="38" width="15" style="54" customWidth="1" collapsed="1"/>
    <col min="39" max="39" width="14.7109375" style="54" hidden="1" customWidth="1" outlineLevel="1"/>
    <col min="40" max="41" width="12.7109375" style="54" hidden="1" customWidth="1" outlineLevel="1"/>
    <col min="42" max="42" width="14.7109375" style="54" hidden="1" customWidth="1" outlineLevel="1"/>
    <col min="43" max="43" width="14.7109375" style="54" customWidth="1" collapsed="1"/>
    <col min="44" max="44" width="9.140625" style="54"/>
    <col min="45" max="45" width="10.42578125" style="54" bestFit="1" customWidth="1" collapsed="1"/>
    <col min="46" max="57" width="9.140625" style="54" collapsed="1"/>
    <col min="58" max="16384" width="9.140625" style="54"/>
  </cols>
  <sheetData>
    <row r="1" spans="1:43" ht="24">
      <c r="C1" s="21" t="s">
        <v>612</v>
      </c>
      <c r="D1" s="340" t="s">
        <v>189</v>
      </c>
      <c r="E1" s="340"/>
      <c r="F1" s="340"/>
      <c r="G1" s="340"/>
      <c r="H1" s="340"/>
      <c r="I1" s="340" t="s">
        <v>190</v>
      </c>
      <c r="J1" s="340"/>
      <c r="K1" s="340"/>
      <c r="L1" s="340"/>
      <c r="M1" s="340"/>
      <c r="N1" s="340" t="s">
        <v>191</v>
      </c>
      <c r="O1" s="340"/>
      <c r="P1" s="340"/>
      <c r="Q1" s="340"/>
      <c r="R1" s="340"/>
      <c r="S1" s="340" t="s">
        <v>432</v>
      </c>
      <c r="T1" s="340"/>
      <c r="U1" s="340"/>
      <c r="V1" s="340"/>
      <c r="W1" s="340"/>
      <c r="X1" s="340" t="s">
        <v>433</v>
      </c>
      <c r="Y1" s="340"/>
      <c r="Z1" s="340"/>
      <c r="AA1" s="340"/>
      <c r="AB1" s="340"/>
      <c r="AC1" s="340" t="s">
        <v>194</v>
      </c>
      <c r="AD1" s="340"/>
      <c r="AE1" s="340"/>
      <c r="AF1" s="340"/>
      <c r="AG1" s="340"/>
      <c r="AH1" s="340" t="s">
        <v>251</v>
      </c>
      <c r="AI1" s="340"/>
      <c r="AJ1" s="340"/>
      <c r="AK1" s="340"/>
      <c r="AL1" s="340"/>
      <c r="AM1" s="340" t="s">
        <v>252</v>
      </c>
      <c r="AN1" s="340"/>
      <c r="AO1" s="340"/>
      <c r="AP1" s="340"/>
      <c r="AQ1" s="340"/>
    </row>
    <row r="2" spans="1:43" ht="24">
      <c r="A2" s="18" t="s">
        <v>253</v>
      </c>
      <c r="B2" s="49"/>
      <c r="C2" s="49" t="s">
        <v>490</v>
      </c>
      <c r="D2" s="19" t="s">
        <v>434</v>
      </c>
      <c r="E2" s="19" t="s">
        <v>435</v>
      </c>
      <c r="F2" s="19" t="s">
        <v>436</v>
      </c>
      <c r="G2" s="19" t="s">
        <v>437</v>
      </c>
      <c r="H2" s="19" t="s">
        <v>254</v>
      </c>
      <c r="I2" s="19" t="s">
        <v>434</v>
      </c>
      <c r="J2" s="19" t="s">
        <v>435</v>
      </c>
      <c r="K2" s="19" t="s">
        <v>436</v>
      </c>
      <c r="L2" s="19" t="s">
        <v>437</v>
      </c>
      <c r="M2" s="19" t="s">
        <v>254</v>
      </c>
      <c r="N2" s="19" t="s">
        <v>434</v>
      </c>
      <c r="O2" s="19" t="s">
        <v>435</v>
      </c>
      <c r="P2" s="19" t="s">
        <v>436</v>
      </c>
      <c r="Q2" s="19" t="s">
        <v>437</v>
      </c>
      <c r="R2" s="19" t="s">
        <v>254</v>
      </c>
      <c r="S2" s="19" t="s">
        <v>434</v>
      </c>
      <c r="T2" s="19" t="s">
        <v>435</v>
      </c>
      <c r="U2" s="19" t="s">
        <v>436</v>
      </c>
      <c r="V2" s="19" t="s">
        <v>437</v>
      </c>
      <c r="W2" s="19" t="s">
        <v>254</v>
      </c>
      <c r="X2" s="19" t="s">
        <v>434</v>
      </c>
      <c r="Y2" s="19" t="s">
        <v>435</v>
      </c>
      <c r="Z2" s="19" t="s">
        <v>436</v>
      </c>
      <c r="AA2" s="19" t="s">
        <v>437</v>
      </c>
      <c r="AB2" s="19" t="s">
        <v>254</v>
      </c>
      <c r="AC2" s="19" t="s">
        <v>434</v>
      </c>
      <c r="AD2" s="19" t="s">
        <v>435</v>
      </c>
      <c r="AE2" s="19" t="s">
        <v>436</v>
      </c>
      <c r="AF2" s="19" t="s">
        <v>437</v>
      </c>
      <c r="AG2" s="19" t="s">
        <v>254</v>
      </c>
      <c r="AH2" s="19" t="s">
        <v>434</v>
      </c>
      <c r="AI2" s="19" t="s">
        <v>435</v>
      </c>
      <c r="AJ2" s="19" t="s">
        <v>436</v>
      </c>
      <c r="AK2" s="19" t="s">
        <v>437</v>
      </c>
      <c r="AL2" s="19" t="s">
        <v>254</v>
      </c>
      <c r="AM2" s="19" t="s">
        <v>434</v>
      </c>
      <c r="AN2" s="19" t="s">
        <v>435</v>
      </c>
      <c r="AO2" s="19" t="s">
        <v>436</v>
      </c>
      <c r="AP2" s="19" t="s">
        <v>437</v>
      </c>
      <c r="AQ2" s="19" t="s">
        <v>254</v>
      </c>
    </row>
    <row r="3" spans="1:43">
      <c r="B3" s="13"/>
      <c r="C3" s="21"/>
      <c r="I3" s="54"/>
      <c r="J3" s="87"/>
      <c r="K3" s="87"/>
      <c r="L3" s="87"/>
      <c r="N3" s="54"/>
      <c r="O3" s="87"/>
      <c r="P3" s="87"/>
      <c r="Q3" s="87"/>
      <c r="T3" s="87"/>
      <c r="U3" s="87"/>
      <c r="V3" s="87"/>
      <c r="Y3" s="87"/>
      <c r="Z3" s="87"/>
      <c r="AA3" s="87"/>
      <c r="AD3" s="87"/>
      <c r="AE3" s="87"/>
      <c r="AF3" s="87"/>
      <c r="AI3" s="87"/>
      <c r="AJ3" s="87"/>
      <c r="AK3" s="87"/>
      <c r="AN3" s="87"/>
      <c r="AO3" s="87"/>
      <c r="AP3" s="87"/>
    </row>
    <row r="4" spans="1:43">
      <c r="A4" s="54" t="s">
        <v>613</v>
      </c>
      <c r="C4" s="21" t="s">
        <v>256</v>
      </c>
      <c r="I4" s="54"/>
      <c r="J4" s="54"/>
      <c r="K4" s="54"/>
      <c r="L4" s="54"/>
      <c r="N4" s="54"/>
      <c r="O4" s="54"/>
      <c r="P4" s="54"/>
      <c r="Q4" s="54"/>
    </row>
    <row r="5" spans="1:43">
      <c r="A5" s="54" t="s">
        <v>614</v>
      </c>
      <c r="B5" s="39"/>
      <c r="C5" s="52" t="s">
        <v>615</v>
      </c>
      <c r="I5" s="54"/>
      <c r="J5" s="54"/>
      <c r="K5" s="54"/>
      <c r="L5" s="54"/>
      <c r="N5" s="54"/>
      <c r="O5" s="54"/>
      <c r="P5" s="54"/>
      <c r="Q5" s="54"/>
    </row>
    <row r="6" spans="1:43" ht="60">
      <c r="A6" s="13" t="s">
        <v>616</v>
      </c>
      <c r="C6" s="17" t="s">
        <v>617</v>
      </c>
      <c r="H6" s="90">
        <v>1500</v>
      </c>
      <c r="I6" s="85"/>
      <c r="M6" s="90">
        <v>1500</v>
      </c>
      <c r="N6" s="85"/>
      <c r="R6" s="90">
        <v>1500</v>
      </c>
      <c r="S6" s="85"/>
      <c r="T6" s="86"/>
      <c r="U6" s="86"/>
      <c r="V6" s="86"/>
      <c r="W6" s="90">
        <v>1500</v>
      </c>
      <c r="X6" s="85"/>
      <c r="Y6" s="86"/>
      <c r="Z6" s="86"/>
      <c r="AA6" s="86"/>
      <c r="AB6" s="90">
        <v>1500</v>
      </c>
      <c r="AC6" s="85"/>
      <c r="AD6" s="86"/>
      <c r="AE6" s="86"/>
      <c r="AF6" s="86"/>
      <c r="AG6" s="90">
        <v>1500</v>
      </c>
      <c r="AH6" s="85"/>
      <c r="AI6" s="86"/>
      <c r="AJ6" s="86"/>
      <c r="AK6" s="86"/>
      <c r="AL6" s="90">
        <v>1500</v>
      </c>
      <c r="AM6" s="85"/>
      <c r="AN6" s="86"/>
      <c r="AO6" s="86"/>
      <c r="AP6" s="86"/>
      <c r="AQ6" s="90">
        <v>1500</v>
      </c>
    </row>
    <row r="7" spans="1:43" ht="60">
      <c r="A7" s="13" t="s">
        <v>618</v>
      </c>
      <c r="B7" s="13"/>
      <c r="C7" s="17" t="s">
        <v>619</v>
      </c>
      <c r="D7" s="90">
        <v>3050</v>
      </c>
      <c r="E7" s="91">
        <v>25.52156437554456</v>
      </c>
      <c r="F7" s="91">
        <f>SUM(D7)*E7</f>
        <v>77840.771345410903</v>
      </c>
      <c r="H7" s="90">
        <v>3000</v>
      </c>
      <c r="I7" s="90">
        <v>1400</v>
      </c>
      <c r="J7" s="91">
        <v>26.346072863358437</v>
      </c>
      <c r="K7" s="91">
        <f>SUM(I7)*J7</f>
        <v>36884.502008701813</v>
      </c>
      <c r="M7" s="90">
        <v>3000</v>
      </c>
      <c r="N7" s="90">
        <v>1400</v>
      </c>
      <c r="O7" s="91">
        <v>27.197266674052464</v>
      </c>
      <c r="P7" s="91">
        <f>SUM(N7)*O7</f>
        <v>38076.17334367345</v>
      </c>
      <c r="R7" s="90">
        <v>3000</v>
      </c>
      <c r="S7" s="90">
        <v>1400</v>
      </c>
      <c r="T7" s="91">
        <v>28.144003745238464</v>
      </c>
      <c r="U7" s="91">
        <f>SUM(S7)*T7</f>
        <v>39401.605243333848</v>
      </c>
      <c r="V7" s="86"/>
      <c r="W7" s="90">
        <v>3000</v>
      </c>
      <c r="X7" s="90">
        <v>1400</v>
      </c>
      <c r="Y7" s="91">
        <v>29.123747432355813</v>
      </c>
      <c r="Z7" s="91">
        <f>SUM(X7)*Y7</f>
        <v>40773.246405298138</v>
      </c>
      <c r="AA7" s="86"/>
      <c r="AB7" s="90">
        <v>3000</v>
      </c>
      <c r="AC7" s="90">
        <v>1400</v>
      </c>
      <c r="AD7" s="91">
        <v>30.283268474584922</v>
      </c>
      <c r="AE7" s="91">
        <f>SUM(AC7)*AD7</f>
        <v>42396.57586441889</v>
      </c>
      <c r="AF7" s="86"/>
      <c r="AG7" s="90">
        <v>3000</v>
      </c>
      <c r="AH7" s="90">
        <v>1400</v>
      </c>
      <c r="AI7" s="91">
        <v>31.640423835224158</v>
      </c>
      <c r="AJ7" s="91">
        <f>SUM(AH7)*AI7</f>
        <v>44296.593369313821</v>
      </c>
      <c r="AK7" s="86"/>
      <c r="AL7" s="90">
        <v>3000</v>
      </c>
      <c r="AM7" s="90">
        <v>1400</v>
      </c>
      <c r="AN7" s="91">
        <v>33.058455476867053</v>
      </c>
      <c r="AO7" s="91">
        <f>SUM(AM7)*AN7</f>
        <v>46281.837667613872</v>
      </c>
      <c r="AP7" s="86"/>
      <c r="AQ7" s="90">
        <v>3000</v>
      </c>
    </row>
    <row r="8" spans="1:43" ht="24">
      <c r="A8" s="13" t="s">
        <v>620</v>
      </c>
      <c r="B8" s="13"/>
      <c r="C8" s="17" t="s">
        <v>621</v>
      </c>
      <c r="H8" s="90">
        <v>325</v>
      </c>
      <c r="I8" s="85"/>
      <c r="M8" s="90">
        <v>325</v>
      </c>
      <c r="N8" s="85"/>
      <c r="R8" s="90">
        <v>325</v>
      </c>
      <c r="S8" s="85"/>
      <c r="T8" s="86"/>
      <c r="U8" s="86"/>
      <c r="V8" s="86"/>
      <c r="W8" s="90">
        <v>325</v>
      </c>
      <c r="X8" s="85"/>
      <c r="Y8" s="86"/>
      <c r="Z8" s="86"/>
      <c r="AA8" s="86"/>
      <c r="AB8" s="90">
        <v>325</v>
      </c>
      <c r="AC8" s="85"/>
      <c r="AD8" s="86"/>
      <c r="AE8" s="86"/>
      <c r="AF8" s="86"/>
      <c r="AG8" s="90">
        <v>325</v>
      </c>
      <c r="AH8" s="85"/>
      <c r="AI8" s="86"/>
      <c r="AJ8" s="86"/>
      <c r="AK8" s="86"/>
      <c r="AL8" s="90">
        <v>325</v>
      </c>
      <c r="AM8" s="85"/>
      <c r="AN8" s="86"/>
      <c r="AO8" s="86"/>
      <c r="AP8" s="86"/>
      <c r="AQ8" s="90">
        <v>325</v>
      </c>
    </row>
    <row r="9" spans="1:43" ht="24">
      <c r="A9" s="13" t="s">
        <v>622</v>
      </c>
      <c r="B9" s="13"/>
      <c r="C9" s="17" t="s">
        <v>623</v>
      </c>
      <c r="H9" s="90">
        <v>200</v>
      </c>
      <c r="I9" s="85"/>
      <c r="M9" s="90">
        <v>200</v>
      </c>
      <c r="N9" s="85"/>
      <c r="R9" s="90">
        <v>200</v>
      </c>
      <c r="S9" s="85"/>
      <c r="T9" s="86"/>
      <c r="U9" s="86"/>
      <c r="V9" s="86"/>
      <c r="W9" s="90">
        <v>200</v>
      </c>
      <c r="X9" s="85"/>
      <c r="Y9" s="86"/>
      <c r="Z9" s="86"/>
      <c r="AA9" s="86"/>
      <c r="AB9" s="90">
        <v>200</v>
      </c>
      <c r="AC9" s="85"/>
      <c r="AD9" s="86"/>
      <c r="AE9" s="86"/>
      <c r="AF9" s="86"/>
      <c r="AG9" s="90">
        <v>200</v>
      </c>
      <c r="AH9" s="85"/>
      <c r="AI9" s="86"/>
      <c r="AJ9" s="86"/>
      <c r="AK9" s="86"/>
      <c r="AL9" s="90">
        <v>200</v>
      </c>
      <c r="AM9" s="85"/>
      <c r="AN9" s="86"/>
      <c r="AO9" s="86"/>
      <c r="AP9" s="86"/>
      <c r="AQ9" s="90">
        <v>200</v>
      </c>
    </row>
    <row r="10" spans="1:43">
      <c r="A10" s="13" t="s">
        <v>624</v>
      </c>
      <c r="B10" s="13"/>
      <c r="C10" s="17" t="s">
        <v>625</v>
      </c>
      <c r="D10" s="90">
        <v>680</v>
      </c>
      <c r="E10" s="91">
        <v>11.910063375254127</v>
      </c>
      <c r="F10" s="91">
        <f>SUM(D10)*E10</f>
        <v>8098.8430951728069</v>
      </c>
      <c r="H10" s="90">
        <v>680</v>
      </c>
      <c r="I10" s="90">
        <v>680</v>
      </c>
      <c r="J10" s="91">
        <v>12.294834002900606</v>
      </c>
      <c r="K10" s="91">
        <f>SUM(I10)*J10</f>
        <v>8360.4871219724118</v>
      </c>
      <c r="M10" s="90">
        <v>680</v>
      </c>
      <c r="N10" s="90">
        <v>680</v>
      </c>
      <c r="O10" s="91">
        <v>12.692057781224484</v>
      </c>
      <c r="P10" s="91">
        <f>SUM(N10)*O10</f>
        <v>8630.5992912326492</v>
      </c>
      <c r="R10" s="90">
        <v>680</v>
      </c>
      <c r="S10" s="90">
        <v>680</v>
      </c>
      <c r="T10" s="91">
        <v>13.133868414444619</v>
      </c>
      <c r="U10" s="91">
        <f>SUM(S10)*T10</f>
        <v>8931.0305218223402</v>
      </c>
      <c r="V10" s="86"/>
      <c r="W10" s="90">
        <v>680</v>
      </c>
      <c r="X10" s="90">
        <v>680</v>
      </c>
      <c r="Y10" s="91">
        <v>13.591082135099379</v>
      </c>
      <c r="Z10" s="91">
        <f>SUM(X10)*Y10</f>
        <v>9241.9358518675781</v>
      </c>
      <c r="AA10" s="86"/>
      <c r="AB10" s="90">
        <v>680</v>
      </c>
      <c r="AC10" s="90">
        <v>680</v>
      </c>
      <c r="AD10" s="91">
        <v>14.132191954806299</v>
      </c>
      <c r="AE10" s="91">
        <f>SUM(AC10)*AD10</f>
        <v>9609.890529268283</v>
      </c>
      <c r="AF10" s="86"/>
      <c r="AG10" s="90">
        <v>680</v>
      </c>
      <c r="AH10" s="90">
        <v>680</v>
      </c>
      <c r="AI10" s="91">
        <v>14.765531123104607</v>
      </c>
      <c r="AJ10" s="91">
        <f>SUM(AH10)*AI10</f>
        <v>10040.561163711132</v>
      </c>
      <c r="AK10" s="86"/>
      <c r="AL10" s="90">
        <v>680</v>
      </c>
      <c r="AM10" s="90">
        <v>680</v>
      </c>
      <c r="AN10" s="91">
        <v>15.427279222537958</v>
      </c>
      <c r="AO10" s="91">
        <f>SUM(AM10)*AN10</f>
        <v>10490.549871325811</v>
      </c>
      <c r="AP10" s="86"/>
      <c r="AQ10" s="90">
        <v>680</v>
      </c>
    </row>
    <row r="11" spans="1:43" ht="60">
      <c r="A11" s="54" t="s">
        <v>626</v>
      </c>
      <c r="B11" s="13"/>
      <c r="C11" s="17" t="s">
        <v>627</v>
      </c>
      <c r="H11" s="90">
        <v>500</v>
      </c>
      <c r="I11" s="85"/>
      <c r="M11" s="90">
        <v>500</v>
      </c>
      <c r="N11" s="85"/>
      <c r="R11" s="90">
        <v>500</v>
      </c>
      <c r="S11" s="85"/>
      <c r="T11" s="86"/>
      <c r="U11" s="86"/>
      <c r="V11" s="86"/>
      <c r="W11" s="90">
        <v>500</v>
      </c>
      <c r="X11" s="85"/>
      <c r="Y11" s="86"/>
      <c r="Z11" s="86"/>
      <c r="AA11" s="86"/>
      <c r="AB11" s="90">
        <v>500</v>
      </c>
      <c r="AC11" s="85"/>
      <c r="AD11" s="86"/>
      <c r="AE11" s="86"/>
      <c r="AF11" s="86"/>
      <c r="AG11" s="90">
        <v>500</v>
      </c>
      <c r="AH11" s="85"/>
      <c r="AI11" s="86"/>
      <c r="AJ11" s="86"/>
      <c r="AK11" s="86"/>
      <c r="AL11" s="90">
        <v>500</v>
      </c>
      <c r="AM11" s="85"/>
      <c r="AN11" s="86"/>
      <c r="AO11" s="86"/>
      <c r="AP11" s="86"/>
      <c r="AQ11" s="90">
        <v>500</v>
      </c>
    </row>
    <row r="12" spans="1:43">
      <c r="A12" s="54" t="s">
        <v>628</v>
      </c>
      <c r="B12" s="13"/>
      <c r="C12" s="52" t="s">
        <v>629</v>
      </c>
      <c r="I12" s="85"/>
      <c r="M12" s="85"/>
      <c r="N12" s="85"/>
      <c r="R12" s="85"/>
      <c r="S12" s="85"/>
      <c r="T12" s="86"/>
      <c r="U12" s="86"/>
      <c r="V12" s="86"/>
      <c r="W12" s="85"/>
      <c r="X12" s="85"/>
      <c r="Y12" s="86"/>
      <c r="Z12" s="86"/>
      <c r="AA12" s="86"/>
      <c r="AB12" s="85"/>
      <c r="AC12" s="85"/>
      <c r="AD12" s="86"/>
      <c r="AE12" s="86"/>
      <c r="AF12" s="86"/>
      <c r="AG12" s="85"/>
      <c r="AH12" s="85"/>
      <c r="AI12" s="86"/>
      <c r="AJ12" s="86"/>
      <c r="AK12" s="86"/>
      <c r="AL12" s="85"/>
      <c r="AM12" s="85"/>
      <c r="AN12" s="86"/>
      <c r="AO12" s="86"/>
      <c r="AP12" s="86"/>
      <c r="AQ12" s="85"/>
    </row>
    <row r="13" spans="1:43" ht="48">
      <c r="A13" s="13" t="s">
        <v>630</v>
      </c>
      <c r="B13" s="13"/>
      <c r="C13" s="17" t="s">
        <v>631</v>
      </c>
      <c r="H13" s="90">
        <v>1750</v>
      </c>
      <c r="I13" s="85"/>
      <c r="M13" s="90">
        <v>1750</v>
      </c>
      <c r="N13" s="85"/>
      <c r="R13" s="90">
        <v>1750</v>
      </c>
      <c r="S13" s="85"/>
      <c r="T13" s="86"/>
      <c r="U13" s="86"/>
      <c r="V13" s="86"/>
      <c r="W13" s="90">
        <v>1750</v>
      </c>
      <c r="X13" s="85"/>
      <c r="Y13" s="86"/>
      <c r="Z13" s="86"/>
      <c r="AA13" s="86"/>
      <c r="AB13" s="90">
        <v>1750</v>
      </c>
      <c r="AC13" s="85"/>
      <c r="AD13" s="86"/>
      <c r="AE13" s="86"/>
      <c r="AF13" s="86"/>
      <c r="AG13" s="90">
        <v>1750</v>
      </c>
      <c r="AH13" s="85"/>
      <c r="AI13" s="86"/>
      <c r="AJ13" s="86"/>
      <c r="AK13" s="86"/>
      <c r="AL13" s="90">
        <v>1750</v>
      </c>
      <c r="AM13" s="85"/>
      <c r="AN13" s="86"/>
      <c r="AO13" s="86"/>
      <c r="AP13" s="86"/>
      <c r="AQ13" s="90">
        <v>1750</v>
      </c>
    </row>
    <row r="14" spans="1:43" ht="36">
      <c r="A14" s="13" t="s">
        <v>632</v>
      </c>
      <c r="B14" s="13"/>
      <c r="C14" s="17" t="s">
        <v>633</v>
      </c>
      <c r="H14" s="90">
        <v>672</v>
      </c>
      <c r="I14" s="85"/>
      <c r="M14" s="90">
        <v>672</v>
      </c>
      <c r="N14" s="85"/>
      <c r="R14" s="90">
        <v>672</v>
      </c>
      <c r="S14" s="85"/>
      <c r="T14" s="86"/>
      <c r="U14" s="86"/>
      <c r="V14" s="86"/>
      <c r="W14" s="90">
        <v>672</v>
      </c>
      <c r="X14" s="85"/>
      <c r="Y14" s="86"/>
      <c r="Z14" s="86"/>
      <c r="AA14" s="86"/>
      <c r="AB14" s="90">
        <v>672</v>
      </c>
      <c r="AC14" s="85"/>
      <c r="AD14" s="86"/>
      <c r="AE14" s="86"/>
      <c r="AF14" s="86"/>
      <c r="AG14" s="90">
        <v>672</v>
      </c>
      <c r="AH14" s="85"/>
      <c r="AI14" s="86"/>
      <c r="AJ14" s="86"/>
      <c r="AK14" s="86"/>
      <c r="AL14" s="90">
        <v>672</v>
      </c>
      <c r="AM14" s="85"/>
      <c r="AN14" s="86"/>
      <c r="AO14" s="86"/>
      <c r="AP14" s="86"/>
      <c r="AQ14" s="90">
        <v>672</v>
      </c>
    </row>
    <row r="15" spans="1:43" ht="36">
      <c r="A15" s="13" t="s">
        <v>634</v>
      </c>
      <c r="B15" s="13"/>
      <c r="C15" s="17" t="s">
        <v>635</v>
      </c>
      <c r="H15" s="90">
        <v>722</v>
      </c>
      <c r="I15" s="85"/>
      <c r="M15" s="90">
        <v>722</v>
      </c>
      <c r="N15" s="85"/>
      <c r="R15" s="90">
        <v>722</v>
      </c>
      <c r="S15" s="85"/>
      <c r="T15" s="86"/>
      <c r="U15" s="86"/>
      <c r="V15" s="86"/>
      <c r="W15" s="90">
        <v>722</v>
      </c>
      <c r="X15" s="85"/>
      <c r="Y15" s="86"/>
      <c r="Z15" s="86"/>
      <c r="AA15" s="86"/>
      <c r="AB15" s="90">
        <v>722</v>
      </c>
      <c r="AC15" s="85"/>
      <c r="AD15" s="86"/>
      <c r="AE15" s="86"/>
      <c r="AF15" s="86"/>
      <c r="AG15" s="90">
        <v>722</v>
      </c>
      <c r="AH15" s="85"/>
      <c r="AI15" s="86"/>
      <c r="AJ15" s="86"/>
      <c r="AK15" s="86"/>
      <c r="AL15" s="90">
        <v>722</v>
      </c>
      <c r="AM15" s="85"/>
      <c r="AN15" s="86"/>
      <c r="AO15" s="86"/>
      <c r="AP15" s="86"/>
      <c r="AQ15" s="90">
        <v>722</v>
      </c>
    </row>
    <row r="16" spans="1:43" ht="60">
      <c r="A16" s="13" t="s">
        <v>636</v>
      </c>
      <c r="B16" s="13"/>
      <c r="C16" s="17" t="s">
        <v>637</v>
      </c>
      <c r="H16" s="90">
        <v>800</v>
      </c>
      <c r="I16" s="85"/>
      <c r="M16" s="90">
        <v>800</v>
      </c>
      <c r="N16" s="85"/>
      <c r="R16" s="90">
        <v>800</v>
      </c>
      <c r="S16" s="85"/>
      <c r="T16" s="86"/>
      <c r="U16" s="86"/>
      <c r="V16" s="86"/>
      <c r="W16" s="90">
        <v>800</v>
      </c>
      <c r="X16" s="85"/>
      <c r="Y16" s="86"/>
      <c r="Z16" s="86"/>
      <c r="AA16" s="86"/>
      <c r="AB16" s="90">
        <v>800</v>
      </c>
      <c r="AC16" s="85"/>
      <c r="AD16" s="86"/>
      <c r="AE16" s="86"/>
      <c r="AF16" s="86"/>
      <c r="AG16" s="90">
        <v>800</v>
      </c>
      <c r="AH16" s="85"/>
      <c r="AI16" s="86"/>
      <c r="AJ16" s="86"/>
      <c r="AK16" s="86"/>
      <c r="AL16" s="90">
        <v>800</v>
      </c>
      <c r="AM16" s="85"/>
      <c r="AN16" s="86"/>
      <c r="AO16" s="86"/>
      <c r="AP16" s="86"/>
      <c r="AQ16" s="90">
        <v>800</v>
      </c>
    </row>
    <row r="17" spans="1:43">
      <c r="A17" s="13" t="s">
        <v>638</v>
      </c>
      <c r="B17" s="13"/>
      <c r="C17" s="52" t="s">
        <v>639</v>
      </c>
      <c r="I17" s="85"/>
      <c r="M17" s="85"/>
      <c r="N17" s="85"/>
      <c r="R17" s="85"/>
      <c r="S17" s="85"/>
      <c r="T17" s="86"/>
      <c r="U17" s="86"/>
      <c r="V17" s="86"/>
      <c r="W17" s="85"/>
      <c r="X17" s="85"/>
      <c r="Y17" s="86"/>
      <c r="Z17" s="86"/>
      <c r="AA17" s="86"/>
      <c r="AB17" s="85"/>
      <c r="AC17" s="85"/>
      <c r="AD17" s="86"/>
      <c r="AE17" s="86"/>
      <c r="AF17" s="86"/>
      <c r="AG17" s="85"/>
      <c r="AH17" s="85"/>
      <c r="AI17" s="86"/>
      <c r="AJ17" s="86"/>
      <c r="AK17" s="86"/>
      <c r="AL17" s="85"/>
      <c r="AM17" s="85"/>
      <c r="AN17" s="86"/>
      <c r="AO17" s="86"/>
      <c r="AP17" s="86"/>
      <c r="AQ17" s="85"/>
    </row>
    <row r="18" spans="1:43" ht="108">
      <c r="A18" s="13" t="s">
        <v>640</v>
      </c>
      <c r="B18" s="13"/>
      <c r="C18" s="17" t="s">
        <v>641</v>
      </c>
      <c r="H18" s="90">
        <v>1920</v>
      </c>
      <c r="I18" s="85"/>
      <c r="M18" s="90">
        <v>1920</v>
      </c>
      <c r="N18" s="85"/>
      <c r="R18" s="90">
        <v>1920</v>
      </c>
      <c r="S18" s="85"/>
      <c r="T18" s="86"/>
      <c r="U18" s="86"/>
      <c r="V18" s="86"/>
      <c r="W18" s="90">
        <v>1920</v>
      </c>
      <c r="X18" s="85"/>
      <c r="Y18" s="86"/>
      <c r="Z18" s="86"/>
      <c r="AA18" s="86"/>
      <c r="AB18" s="90">
        <v>1920</v>
      </c>
      <c r="AC18" s="85"/>
      <c r="AD18" s="86"/>
      <c r="AE18" s="86"/>
      <c r="AF18" s="86"/>
      <c r="AG18" s="90">
        <v>1920</v>
      </c>
      <c r="AH18" s="85"/>
      <c r="AI18" s="86"/>
      <c r="AJ18" s="86"/>
      <c r="AK18" s="86"/>
      <c r="AL18" s="90">
        <v>1920</v>
      </c>
      <c r="AM18" s="85"/>
      <c r="AN18" s="86"/>
      <c r="AO18" s="86"/>
      <c r="AP18" s="86"/>
      <c r="AQ18" s="90">
        <v>1920</v>
      </c>
    </row>
    <row r="19" spans="1:43">
      <c r="A19" s="13" t="s">
        <v>642</v>
      </c>
      <c r="B19" s="13"/>
      <c r="C19" s="52" t="s">
        <v>567</v>
      </c>
      <c r="I19" s="85"/>
      <c r="M19" s="85"/>
      <c r="N19" s="85"/>
      <c r="R19" s="85"/>
      <c r="S19" s="85"/>
      <c r="T19" s="86"/>
      <c r="U19" s="86"/>
      <c r="V19" s="86"/>
      <c r="W19" s="85"/>
      <c r="X19" s="85"/>
      <c r="Y19" s="86"/>
      <c r="Z19" s="86"/>
      <c r="AA19" s="86"/>
      <c r="AB19" s="85"/>
      <c r="AC19" s="85"/>
      <c r="AD19" s="86"/>
      <c r="AE19" s="86"/>
      <c r="AF19" s="86"/>
      <c r="AG19" s="85"/>
      <c r="AH19" s="85"/>
      <c r="AI19" s="86"/>
      <c r="AJ19" s="86"/>
      <c r="AK19" s="86"/>
      <c r="AL19" s="85"/>
      <c r="AM19" s="85"/>
      <c r="AN19" s="86"/>
      <c r="AO19" s="86"/>
      <c r="AP19" s="86"/>
      <c r="AQ19" s="85"/>
    </row>
    <row r="20" spans="1:43" ht="60">
      <c r="A20" s="13" t="s">
        <v>643</v>
      </c>
      <c r="B20" s="13"/>
      <c r="C20" s="17" t="s">
        <v>644</v>
      </c>
      <c r="H20" s="90">
        <v>800</v>
      </c>
      <c r="I20" s="85"/>
      <c r="M20" s="90">
        <v>800</v>
      </c>
      <c r="N20" s="85"/>
      <c r="R20" s="90">
        <v>800</v>
      </c>
      <c r="S20" s="85"/>
      <c r="T20" s="86"/>
      <c r="U20" s="86"/>
      <c r="V20" s="86"/>
      <c r="W20" s="90">
        <v>800</v>
      </c>
      <c r="X20" s="85"/>
      <c r="Y20" s="86"/>
      <c r="Z20" s="86"/>
      <c r="AA20" s="86"/>
      <c r="AB20" s="90">
        <v>800</v>
      </c>
      <c r="AC20" s="85"/>
      <c r="AD20" s="86"/>
      <c r="AE20" s="86"/>
      <c r="AF20" s="86"/>
      <c r="AG20" s="90">
        <v>800</v>
      </c>
      <c r="AH20" s="85"/>
      <c r="AI20" s="86"/>
      <c r="AJ20" s="86"/>
      <c r="AK20" s="86"/>
      <c r="AL20" s="90">
        <v>800</v>
      </c>
      <c r="AM20" s="85"/>
      <c r="AN20" s="86"/>
      <c r="AO20" s="86"/>
      <c r="AP20" s="86"/>
      <c r="AQ20" s="90">
        <v>800</v>
      </c>
    </row>
    <row r="21" spans="1:43" ht="36">
      <c r="A21" s="13" t="s">
        <v>645</v>
      </c>
      <c r="B21" s="13"/>
      <c r="C21" s="17" t="s">
        <v>646</v>
      </c>
      <c r="H21" s="90">
        <v>150</v>
      </c>
      <c r="I21" s="85"/>
      <c r="M21" s="90">
        <v>150</v>
      </c>
      <c r="N21" s="85"/>
      <c r="R21" s="90">
        <v>150</v>
      </c>
      <c r="S21" s="85"/>
      <c r="T21" s="86"/>
      <c r="U21" s="86"/>
      <c r="V21" s="86"/>
      <c r="W21" s="90">
        <v>150</v>
      </c>
      <c r="X21" s="85"/>
      <c r="Y21" s="86"/>
      <c r="Z21" s="86"/>
      <c r="AA21" s="86"/>
      <c r="AB21" s="90">
        <v>150</v>
      </c>
      <c r="AC21" s="85"/>
      <c r="AD21" s="86"/>
      <c r="AE21" s="86"/>
      <c r="AF21" s="86"/>
      <c r="AG21" s="90">
        <v>150</v>
      </c>
      <c r="AH21" s="85"/>
      <c r="AI21" s="86"/>
      <c r="AJ21" s="86"/>
      <c r="AK21" s="86"/>
      <c r="AL21" s="90">
        <v>150</v>
      </c>
      <c r="AM21" s="85"/>
      <c r="AN21" s="86"/>
      <c r="AO21" s="86"/>
      <c r="AP21" s="86"/>
      <c r="AQ21" s="90">
        <v>150</v>
      </c>
    </row>
    <row r="22" spans="1:43" ht="24">
      <c r="A22" s="54" t="s">
        <v>647</v>
      </c>
      <c r="B22" s="13"/>
      <c r="C22" s="17" t="s">
        <v>648</v>
      </c>
      <c r="H22" s="90">
        <v>160</v>
      </c>
      <c r="I22" s="85"/>
      <c r="M22" s="90">
        <v>160</v>
      </c>
      <c r="N22" s="85"/>
      <c r="R22" s="90">
        <v>160</v>
      </c>
      <c r="S22" s="85"/>
      <c r="T22" s="86"/>
      <c r="U22" s="86"/>
      <c r="V22" s="86"/>
      <c r="W22" s="90">
        <v>160</v>
      </c>
      <c r="X22" s="85"/>
      <c r="Y22" s="86"/>
      <c r="Z22" s="86"/>
      <c r="AA22" s="86"/>
      <c r="AB22" s="90">
        <v>160</v>
      </c>
      <c r="AC22" s="85"/>
      <c r="AD22" s="86"/>
      <c r="AE22" s="86"/>
      <c r="AF22" s="86"/>
      <c r="AG22" s="90">
        <v>160</v>
      </c>
      <c r="AH22" s="85"/>
      <c r="AI22" s="86"/>
      <c r="AJ22" s="86"/>
      <c r="AK22" s="86"/>
      <c r="AL22" s="90">
        <v>160</v>
      </c>
      <c r="AM22" s="85"/>
      <c r="AN22" s="86"/>
      <c r="AO22" s="86"/>
      <c r="AP22" s="86"/>
      <c r="AQ22" s="90">
        <v>160</v>
      </c>
    </row>
    <row r="23" spans="1:43" ht="36">
      <c r="A23" s="54" t="s">
        <v>649</v>
      </c>
      <c r="B23" s="13"/>
      <c r="C23" s="17" t="s">
        <v>650</v>
      </c>
      <c r="H23" s="90">
        <v>140</v>
      </c>
      <c r="I23" s="85"/>
      <c r="M23" s="90">
        <v>140</v>
      </c>
      <c r="N23" s="85"/>
      <c r="R23" s="90">
        <v>140</v>
      </c>
      <c r="S23" s="85"/>
      <c r="T23" s="86"/>
      <c r="U23" s="86"/>
      <c r="V23" s="86"/>
      <c r="W23" s="90">
        <v>140</v>
      </c>
      <c r="X23" s="85"/>
      <c r="Y23" s="86"/>
      <c r="Z23" s="86"/>
      <c r="AA23" s="86"/>
      <c r="AB23" s="90">
        <v>140</v>
      </c>
      <c r="AC23" s="85"/>
      <c r="AD23" s="86"/>
      <c r="AE23" s="86"/>
      <c r="AF23" s="86"/>
      <c r="AG23" s="90">
        <v>140</v>
      </c>
      <c r="AH23" s="85"/>
      <c r="AI23" s="86"/>
      <c r="AJ23" s="86"/>
      <c r="AK23" s="86"/>
      <c r="AL23" s="90">
        <v>140</v>
      </c>
      <c r="AM23" s="85"/>
      <c r="AN23" s="86"/>
      <c r="AO23" s="86"/>
      <c r="AP23" s="86"/>
      <c r="AQ23" s="90">
        <v>140</v>
      </c>
    </row>
    <row r="24" spans="1:43" ht="37.5">
      <c r="A24" s="265" t="s">
        <v>651</v>
      </c>
      <c r="B24" s="128"/>
      <c r="C24" s="128" t="s">
        <v>652</v>
      </c>
      <c r="H24" s="257"/>
      <c r="I24" s="85"/>
      <c r="M24" s="257"/>
      <c r="N24" s="85"/>
      <c r="R24" s="257"/>
      <c r="S24" s="85"/>
      <c r="T24" s="86"/>
      <c r="U24" s="86"/>
      <c r="V24" s="86"/>
      <c r="W24" s="257"/>
      <c r="X24" s="85"/>
      <c r="Y24" s="86"/>
      <c r="Z24" s="86"/>
      <c r="AA24" s="86"/>
      <c r="AB24" s="257"/>
      <c r="AC24" s="85"/>
      <c r="AD24" s="86"/>
      <c r="AE24" s="86"/>
      <c r="AF24" s="86"/>
      <c r="AG24" s="257"/>
      <c r="AH24" s="85"/>
      <c r="AI24" s="86"/>
      <c r="AJ24" s="86"/>
      <c r="AK24" s="86"/>
      <c r="AL24" s="257"/>
      <c r="AM24" s="85"/>
      <c r="AN24" s="86"/>
      <c r="AO24" s="86"/>
      <c r="AP24" s="86"/>
      <c r="AQ24" s="257"/>
    </row>
    <row r="25" spans="1:43">
      <c r="A25" s="13" t="s">
        <v>653</v>
      </c>
      <c r="C25" s="52" t="s">
        <v>312</v>
      </c>
      <c r="I25" s="85"/>
      <c r="M25" s="85"/>
      <c r="N25" s="85"/>
      <c r="R25" s="85"/>
      <c r="S25" s="85"/>
      <c r="T25" s="86"/>
      <c r="U25" s="86"/>
      <c r="V25" s="86"/>
      <c r="W25" s="85"/>
      <c r="X25" s="85"/>
      <c r="Y25" s="86"/>
      <c r="Z25" s="86"/>
      <c r="AA25" s="86"/>
      <c r="AB25" s="85"/>
      <c r="AC25" s="85"/>
      <c r="AD25" s="86"/>
      <c r="AE25" s="86"/>
      <c r="AF25" s="86"/>
      <c r="AG25" s="85"/>
      <c r="AH25" s="85"/>
      <c r="AI25" s="86"/>
      <c r="AJ25" s="86"/>
      <c r="AK25" s="86"/>
      <c r="AL25" s="85"/>
      <c r="AM25" s="85"/>
      <c r="AN25" s="86"/>
      <c r="AO25" s="86"/>
      <c r="AP25" s="86"/>
      <c r="AQ25" s="85"/>
    </row>
    <row r="26" spans="1:43">
      <c r="A26" s="13" t="s">
        <v>654</v>
      </c>
      <c r="C26" s="54" t="s">
        <v>655</v>
      </c>
      <c r="I26" s="85"/>
      <c r="M26" s="85"/>
      <c r="N26" s="85"/>
      <c r="R26" s="85"/>
      <c r="S26" s="85"/>
      <c r="T26" s="86"/>
      <c r="U26" s="86"/>
      <c r="V26" s="86"/>
      <c r="W26" s="85"/>
      <c r="X26" s="85"/>
      <c r="Y26" s="86"/>
      <c r="Z26" s="86"/>
      <c r="AA26" s="86"/>
      <c r="AB26" s="85"/>
      <c r="AC26" s="85"/>
      <c r="AD26" s="86"/>
      <c r="AE26" s="86"/>
      <c r="AF26" s="86"/>
      <c r="AG26" s="85"/>
      <c r="AH26" s="85"/>
      <c r="AI26" s="86"/>
      <c r="AJ26" s="86"/>
      <c r="AK26" s="86"/>
      <c r="AL26" s="85"/>
      <c r="AM26" s="85"/>
      <c r="AN26" s="86"/>
      <c r="AO26" s="86"/>
      <c r="AP26" s="86"/>
      <c r="AQ26" s="85"/>
    </row>
    <row r="27" spans="1:43">
      <c r="A27" s="13" t="s">
        <v>656</v>
      </c>
      <c r="B27" s="13"/>
      <c r="C27" s="52" t="s">
        <v>410</v>
      </c>
      <c r="I27" s="85"/>
      <c r="M27" s="85"/>
      <c r="N27" s="85"/>
      <c r="R27" s="85"/>
      <c r="S27" s="85"/>
      <c r="T27" s="86"/>
      <c r="U27" s="86"/>
      <c r="V27" s="86"/>
      <c r="W27" s="85"/>
      <c r="X27" s="85"/>
      <c r="Y27" s="86"/>
      <c r="Z27" s="86"/>
      <c r="AA27" s="86"/>
      <c r="AB27" s="85"/>
      <c r="AC27" s="85"/>
      <c r="AD27" s="86"/>
      <c r="AE27" s="86"/>
      <c r="AF27" s="86"/>
      <c r="AG27" s="85"/>
      <c r="AH27" s="85"/>
      <c r="AI27" s="86"/>
      <c r="AJ27" s="86"/>
      <c r="AK27" s="86"/>
      <c r="AL27" s="85"/>
      <c r="AM27" s="85"/>
      <c r="AN27" s="86"/>
      <c r="AO27" s="86"/>
      <c r="AP27" s="86"/>
      <c r="AQ27" s="85"/>
    </row>
    <row r="28" spans="1:43" ht="60">
      <c r="A28" s="13" t="s">
        <v>657</v>
      </c>
      <c r="B28" s="13"/>
      <c r="C28" s="17" t="s">
        <v>658</v>
      </c>
      <c r="I28" s="85"/>
      <c r="M28" s="85"/>
      <c r="N28" s="85"/>
      <c r="R28" s="85"/>
      <c r="S28" s="85"/>
      <c r="T28" s="86"/>
      <c r="U28" s="86"/>
      <c r="V28" s="86"/>
      <c r="W28" s="85"/>
      <c r="X28" s="85"/>
      <c r="Y28" s="86"/>
      <c r="Z28" s="86"/>
      <c r="AA28" s="86"/>
      <c r="AB28" s="85"/>
      <c r="AC28" s="85"/>
      <c r="AD28" s="86"/>
      <c r="AE28" s="86"/>
      <c r="AF28" s="86"/>
      <c r="AG28" s="85"/>
      <c r="AH28" s="85"/>
      <c r="AI28" s="86"/>
      <c r="AJ28" s="86"/>
      <c r="AK28" s="86"/>
      <c r="AL28" s="85"/>
      <c r="AM28" s="85"/>
      <c r="AN28" s="86"/>
      <c r="AO28" s="86"/>
      <c r="AP28" s="86"/>
      <c r="AQ28" s="85"/>
    </row>
    <row r="29" spans="1:43" ht="108">
      <c r="A29" s="13" t="s">
        <v>659</v>
      </c>
      <c r="B29" s="13"/>
      <c r="C29" s="17" t="s">
        <v>660</v>
      </c>
      <c r="G29" s="149">
        <v>11.910063375254127</v>
      </c>
      <c r="H29" s="90">
        <v>0</v>
      </c>
      <c r="I29" s="85"/>
      <c r="L29" s="149">
        <v>12.294834002900604</v>
      </c>
      <c r="M29" s="90">
        <v>0</v>
      </c>
      <c r="N29" s="85"/>
      <c r="Q29" s="149">
        <v>12.692057781224483</v>
      </c>
      <c r="R29" s="90">
        <v>0</v>
      </c>
      <c r="S29" s="85"/>
      <c r="T29" s="86"/>
      <c r="U29" s="86"/>
      <c r="V29" s="149">
        <v>13.133868414444617</v>
      </c>
      <c r="W29" s="90">
        <v>0</v>
      </c>
      <c r="X29" s="85"/>
      <c r="Y29" s="86"/>
      <c r="Z29" s="86"/>
      <c r="AA29" s="149">
        <v>13.591082135099379</v>
      </c>
      <c r="AB29" s="90">
        <v>0</v>
      </c>
      <c r="AC29" s="85"/>
      <c r="AD29" s="86"/>
      <c r="AE29" s="86"/>
      <c r="AF29" s="149">
        <v>14.132191954806297</v>
      </c>
      <c r="AG29" s="90">
        <v>0</v>
      </c>
      <c r="AH29" s="85"/>
      <c r="AI29" s="86"/>
      <c r="AJ29" s="86"/>
      <c r="AK29" s="149">
        <v>14.765531123104607</v>
      </c>
      <c r="AL29" s="90">
        <v>0</v>
      </c>
      <c r="AM29" s="85"/>
      <c r="AN29" s="86"/>
      <c r="AO29" s="86"/>
      <c r="AP29" s="149">
        <v>15.427279222537956</v>
      </c>
      <c r="AQ29" s="90">
        <v>0</v>
      </c>
    </row>
    <row r="30" spans="1:43">
      <c r="A30" s="13" t="s">
        <v>661</v>
      </c>
      <c r="B30" s="13"/>
      <c r="C30" s="52" t="s">
        <v>320</v>
      </c>
      <c r="I30" s="85"/>
      <c r="M30" s="85"/>
      <c r="N30" s="85"/>
      <c r="R30" s="85"/>
      <c r="S30" s="85"/>
      <c r="T30" s="86"/>
      <c r="U30" s="86"/>
      <c r="V30" s="86"/>
      <c r="W30" s="85"/>
      <c r="X30" s="85"/>
      <c r="Y30" s="86"/>
      <c r="Z30" s="86"/>
      <c r="AA30" s="86"/>
      <c r="AB30" s="85"/>
      <c r="AC30" s="85"/>
      <c r="AD30" s="86"/>
      <c r="AE30" s="86"/>
      <c r="AF30" s="86"/>
      <c r="AG30" s="85"/>
      <c r="AH30" s="85"/>
      <c r="AI30" s="86"/>
      <c r="AJ30" s="86"/>
      <c r="AK30" s="86"/>
      <c r="AL30" s="85"/>
      <c r="AM30" s="85"/>
      <c r="AN30" s="86"/>
      <c r="AO30" s="86"/>
      <c r="AP30" s="86"/>
      <c r="AQ30" s="85"/>
    </row>
    <row r="31" spans="1:43" ht="60">
      <c r="A31" s="13" t="s">
        <v>662</v>
      </c>
      <c r="B31" s="13"/>
      <c r="C31" s="251" t="s">
        <v>663</v>
      </c>
      <c r="H31" s="90">
        <v>150</v>
      </c>
      <c r="I31" s="85"/>
      <c r="M31" s="90">
        <v>150</v>
      </c>
      <c r="N31" s="85"/>
      <c r="R31" s="90">
        <v>150</v>
      </c>
      <c r="S31" s="85"/>
      <c r="T31" s="86"/>
      <c r="U31" s="86"/>
      <c r="V31" s="86"/>
      <c r="W31" s="90">
        <v>150</v>
      </c>
      <c r="X31" s="85"/>
      <c r="Y31" s="86"/>
      <c r="Z31" s="86"/>
      <c r="AA31" s="86"/>
      <c r="AB31" s="90">
        <v>150</v>
      </c>
      <c r="AC31" s="85"/>
      <c r="AD31" s="86"/>
      <c r="AE31" s="86"/>
      <c r="AF31" s="86"/>
      <c r="AG31" s="90">
        <v>150</v>
      </c>
      <c r="AH31" s="85"/>
      <c r="AI31" s="86"/>
      <c r="AJ31" s="86"/>
      <c r="AK31" s="86"/>
      <c r="AL31" s="90">
        <v>150</v>
      </c>
      <c r="AM31" s="85"/>
      <c r="AN31" s="86"/>
      <c r="AO31" s="86"/>
      <c r="AP31" s="86"/>
      <c r="AQ31" s="90">
        <v>150</v>
      </c>
    </row>
    <row r="32" spans="1:43" ht="60">
      <c r="A32" s="13" t="s">
        <v>664</v>
      </c>
      <c r="B32" s="13"/>
      <c r="C32" s="252" t="s">
        <v>665</v>
      </c>
      <c r="H32" s="90">
        <v>75</v>
      </c>
      <c r="I32" s="85"/>
      <c r="M32" s="90">
        <v>75</v>
      </c>
      <c r="N32" s="85"/>
      <c r="R32" s="90">
        <v>75</v>
      </c>
      <c r="S32" s="85"/>
      <c r="T32" s="86"/>
      <c r="U32" s="86"/>
      <c r="V32" s="86"/>
      <c r="W32" s="90">
        <v>75</v>
      </c>
      <c r="X32" s="85"/>
      <c r="Y32" s="86"/>
      <c r="Z32" s="86"/>
      <c r="AA32" s="86"/>
      <c r="AB32" s="90">
        <v>75</v>
      </c>
      <c r="AC32" s="85"/>
      <c r="AD32" s="86"/>
      <c r="AE32" s="86"/>
      <c r="AF32" s="86"/>
      <c r="AG32" s="90">
        <v>75</v>
      </c>
      <c r="AH32" s="85"/>
      <c r="AI32" s="86"/>
      <c r="AJ32" s="86"/>
      <c r="AK32" s="86"/>
      <c r="AL32" s="90">
        <v>75</v>
      </c>
      <c r="AM32" s="85"/>
      <c r="AN32" s="86"/>
      <c r="AO32" s="86"/>
      <c r="AP32" s="86"/>
      <c r="AQ32" s="90">
        <v>75</v>
      </c>
    </row>
    <row r="33" spans="1:46" ht="48">
      <c r="A33" s="50" t="s">
        <v>666</v>
      </c>
      <c r="B33" s="50"/>
      <c r="C33" s="252" t="s">
        <v>667</v>
      </c>
      <c r="H33" s="90">
        <v>10</v>
      </c>
      <c r="I33" s="85"/>
      <c r="M33" s="90">
        <v>10</v>
      </c>
      <c r="N33" s="85"/>
      <c r="R33" s="90">
        <v>10</v>
      </c>
      <c r="S33" s="85"/>
      <c r="T33" s="86"/>
      <c r="U33" s="86"/>
      <c r="V33" s="86"/>
      <c r="W33" s="90">
        <v>10</v>
      </c>
      <c r="X33" s="85"/>
      <c r="Y33" s="86"/>
      <c r="Z33" s="86"/>
      <c r="AA33" s="86"/>
      <c r="AB33" s="90">
        <v>10</v>
      </c>
      <c r="AC33" s="85"/>
      <c r="AD33" s="86"/>
      <c r="AE33" s="86"/>
      <c r="AF33" s="86"/>
      <c r="AG33" s="90">
        <v>10</v>
      </c>
      <c r="AH33" s="85"/>
      <c r="AI33" s="86"/>
      <c r="AJ33" s="86"/>
      <c r="AK33" s="86"/>
      <c r="AL33" s="90">
        <v>10</v>
      </c>
      <c r="AM33" s="85"/>
      <c r="AN33" s="86"/>
      <c r="AO33" s="86"/>
      <c r="AP33" s="86"/>
      <c r="AQ33" s="90">
        <v>10</v>
      </c>
    </row>
    <row r="34" spans="1:46">
      <c r="A34" s="13" t="s">
        <v>668</v>
      </c>
      <c r="B34" s="13"/>
      <c r="C34" s="52" t="s">
        <v>479</v>
      </c>
      <c r="I34" s="85"/>
      <c r="M34" s="85"/>
      <c r="N34" s="85"/>
      <c r="R34" s="85"/>
      <c r="S34" s="85"/>
      <c r="T34" s="86"/>
      <c r="U34" s="86"/>
      <c r="V34" s="86"/>
      <c r="W34" s="85"/>
      <c r="X34" s="85"/>
      <c r="Y34" s="86"/>
      <c r="Z34" s="86"/>
      <c r="AA34" s="86"/>
      <c r="AB34" s="85"/>
      <c r="AC34" s="85"/>
      <c r="AD34" s="86"/>
      <c r="AE34" s="86"/>
      <c r="AF34" s="86"/>
      <c r="AG34" s="85"/>
      <c r="AH34" s="85"/>
      <c r="AI34" s="86"/>
      <c r="AJ34" s="86"/>
      <c r="AK34" s="86"/>
      <c r="AL34" s="85"/>
      <c r="AM34" s="85"/>
      <c r="AN34" s="86"/>
      <c r="AO34" s="86"/>
      <c r="AP34" s="86"/>
      <c r="AQ34" s="85"/>
    </row>
    <row r="35" spans="1:46" ht="36">
      <c r="A35" s="13" t="s">
        <v>669</v>
      </c>
      <c r="B35" s="13"/>
      <c r="C35" s="252" t="s">
        <v>670</v>
      </c>
      <c r="H35" s="90">
        <v>150</v>
      </c>
      <c r="I35" s="85"/>
      <c r="M35" s="90">
        <v>150</v>
      </c>
      <c r="N35" s="85"/>
      <c r="R35" s="90">
        <v>150</v>
      </c>
      <c r="S35" s="85"/>
      <c r="T35" s="86"/>
      <c r="U35" s="86"/>
      <c r="V35" s="86"/>
      <c r="W35" s="90">
        <v>150</v>
      </c>
      <c r="X35" s="85"/>
      <c r="Y35" s="86"/>
      <c r="Z35" s="86"/>
      <c r="AA35" s="86"/>
      <c r="AB35" s="90">
        <v>150</v>
      </c>
      <c r="AC35" s="85"/>
      <c r="AD35" s="86"/>
      <c r="AE35" s="86"/>
      <c r="AF35" s="86"/>
      <c r="AG35" s="90">
        <v>150</v>
      </c>
      <c r="AH35" s="85"/>
      <c r="AI35" s="86"/>
      <c r="AJ35" s="86"/>
      <c r="AK35" s="86"/>
      <c r="AL35" s="90">
        <v>150</v>
      </c>
      <c r="AM35" s="85"/>
      <c r="AN35" s="86"/>
      <c r="AO35" s="86"/>
      <c r="AP35" s="86"/>
      <c r="AQ35" s="90">
        <v>150</v>
      </c>
    </row>
    <row r="36" spans="1:46" ht="36">
      <c r="A36" s="13" t="s">
        <v>671</v>
      </c>
      <c r="B36" s="13"/>
      <c r="C36" s="252" t="s">
        <v>672</v>
      </c>
      <c r="H36" s="90">
        <v>50</v>
      </c>
      <c r="I36" s="85"/>
      <c r="M36" s="90">
        <v>50</v>
      </c>
      <c r="N36" s="85"/>
      <c r="R36" s="90">
        <v>50</v>
      </c>
      <c r="S36" s="85"/>
      <c r="T36" s="86"/>
      <c r="U36" s="86"/>
      <c r="V36" s="86"/>
      <c r="W36" s="90">
        <v>50</v>
      </c>
      <c r="X36" s="85"/>
      <c r="Y36" s="86"/>
      <c r="Z36" s="86"/>
      <c r="AA36" s="86"/>
      <c r="AB36" s="90">
        <v>50</v>
      </c>
      <c r="AC36" s="85"/>
      <c r="AD36" s="86"/>
      <c r="AE36" s="86"/>
      <c r="AF36" s="86"/>
      <c r="AG36" s="90">
        <v>50</v>
      </c>
      <c r="AH36" s="85"/>
      <c r="AI36" s="86"/>
      <c r="AJ36" s="86"/>
      <c r="AK36" s="86"/>
      <c r="AL36" s="90">
        <v>50</v>
      </c>
      <c r="AM36" s="85"/>
      <c r="AN36" s="86"/>
      <c r="AO36" s="86"/>
      <c r="AP36" s="86"/>
      <c r="AQ36" s="90">
        <v>50</v>
      </c>
    </row>
    <row r="37" spans="1:46">
      <c r="A37" s="347" t="s">
        <v>673</v>
      </c>
      <c r="C37" s="52" t="s">
        <v>530</v>
      </c>
      <c r="I37" s="85"/>
      <c r="M37" s="85"/>
      <c r="N37" s="85"/>
      <c r="R37" s="85"/>
      <c r="S37" s="85"/>
      <c r="T37" s="86"/>
      <c r="U37" s="86"/>
      <c r="V37" s="86"/>
      <c r="W37" s="85"/>
      <c r="X37" s="85"/>
      <c r="Y37" s="86"/>
      <c r="Z37" s="86"/>
      <c r="AA37" s="86"/>
      <c r="AB37" s="85"/>
      <c r="AC37" s="85"/>
      <c r="AD37" s="86"/>
      <c r="AE37" s="86"/>
      <c r="AF37" s="86"/>
      <c r="AG37" s="85"/>
      <c r="AH37" s="85"/>
      <c r="AI37" s="86"/>
      <c r="AJ37" s="86"/>
      <c r="AK37" s="86"/>
      <c r="AL37" s="85"/>
      <c r="AM37" s="85"/>
      <c r="AN37" s="86"/>
      <c r="AO37" s="86"/>
      <c r="AP37" s="86"/>
      <c r="AQ37" s="85"/>
    </row>
    <row r="38" spans="1:46" ht="48">
      <c r="A38" s="348" t="s">
        <v>674</v>
      </c>
      <c r="B38" s="56"/>
      <c r="C38" s="252" t="s">
        <v>675</v>
      </c>
      <c r="D38" s="94"/>
      <c r="E38" s="95"/>
      <c r="F38" s="95"/>
      <c r="G38" s="95"/>
      <c r="H38" s="90">
        <v>10</v>
      </c>
      <c r="I38" s="94"/>
      <c r="J38" s="95"/>
      <c r="K38" s="95"/>
      <c r="L38" s="95"/>
      <c r="M38" s="90">
        <v>10</v>
      </c>
      <c r="N38" s="94"/>
      <c r="O38" s="95"/>
      <c r="P38" s="95"/>
      <c r="Q38" s="95"/>
      <c r="R38" s="90">
        <v>10</v>
      </c>
      <c r="S38" s="94"/>
      <c r="T38" s="95"/>
      <c r="U38" s="95"/>
      <c r="V38" s="95"/>
      <c r="W38" s="90">
        <v>10</v>
      </c>
      <c r="X38" s="94"/>
      <c r="Y38" s="95"/>
      <c r="Z38" s="95"/>
      <c r="AA38" s="95"/>
      <c r="AB38" s="90">
        <v>10</v>
      </c>
      <c r="AC38" s="94"/>
      <c r="AD38" s="95"/>
      <c r="AE38" s="95"/>
      <c r="AF38" s="95"/>
      <c r="AG38" s="90">
        <v>10</v>
      </c>
      <c r="AH38" s="94"/>
      <c r="AI38" s="95"/>
      <c r="AJ38" s="95"/>
      <c r="AK38" s="95"/>
      <c r="AL38" s="90">
        <v>10</v>
      </c>
      <c r="AM38" s="85"/>
      <c r="AN38" s="95"/>
      <c r="AO38" s="95"/>
      <c r="AP38" s="95"/>
      <c r="AQ38" s="90">
        <v>10</v>
      </c>
    </row>
    <row r="39" spans="1:46">
      <c r="A39" s="28"/>
      <c r="B39" s="96"/>
      <c r="C39" s="96"/>
      <c r="D39" s="97"/>
      <c r="E39" s="98"/>
      <c r="F39" s="98"/>
      <c r="G39" s="98"/>
      <c r="H39" s="99">
        <f t="shared" ref="H39:AQ39" si="0">SUM(H3:H38)</f>
        <v>13764</v>
      </c>
      <c r="I39" s="99">
        <f t="shared" si="0"/>
        <v>2080</v>
      </c>
      <c r="J39" s="99">
        <f t="shared" si="0"/>
        <v>38.640906866259044</v>
      </c>
      <c r="K39" s="99">
        <f t="shared" si="0"/>
        <v>45244.989130674221</v>
      </c>
      <c r="L39" s="99">
        <f t="shared" si="0"/>
        <v>12.294834002900604</v>
      </c>
      <c r="M39" s="99">
        <f t="shared" si="0"/>
        <v>13764</v>
      </c>
      <c r="N39" s="99">
        <f t="shared" si="0"/>
        <v>2080</v>
      </c>
      <c r="O39" s="99">
        <f t="shared" si="0"/>
        <v>39.889324455276949</v>
      </c>
      <c r="P39" s="99">
        <f t="shared" si="0"/>
        <v>46706.772634906098</v>
      </c>
      <c r="Q39" s="99">
        <f t="shared" si="0"/>
        <v>12.692057781224483</v>
      </c>
      <c r="R39" s="99">
        <f t="shared" si="0"/>
        <v>13764</v>
      </c>
      <c r="S39" s="99">
        <f t="shared" si="0"/>
        <v>2080</v>
      </c>
      <c r="T39" s="99">
        <f t="shared" si="0"/>
        <v>41.277872159683085</v>
      </c>
      <c r="U39" s="99">
        <f t="shared" si="0"/>
        <v>48332.635765156185</v>
      </c>
      <c r="V39" s="99">
        <f t="shared" si="0"/>
        <v>13.133868414444617</v>
      </c>
      <c r="W39" s="99">
        <f t="shared" si="0"/>
        <v>13764</v>
      </c>
      <c r="X39" s="99">
        <f t="shared" si="0"/>
        <v>2080</v>
      </c>
      <c r="Y39" s="99">
        <f t="shared" si="0"/>
        <v>42.71482956745519</v>
      </c>
      <c r="Z39" s="99">
        <f t="shared" si="0"/>
        <v>50015.182257165718</v>
      </c>
      <c r="AA39" s="99">
        <f t="shared" si="0"/>
        <v>13.591082135099379</v>
      </c>
      <c r="AB39" s="99">
        <f t="shared" si="0"/>
        <v>13764</v>
      </c>
      <c r="AC39" s="99">
        <f t="shared" si="0"/>
        <v>2080</v>
      </c>
      <c r="AD39" s="99">
        <f t="shared" si="0"/>
        <v>44.415460429391217</v>
      </c>
      <c r="AE39" s="99">
        <f t="shared" si="0"/>
        <v>52006.466393687173</v>
      </c>
      <c r="AF39" s="99">
        <f t="shared" si="0"/>
        <v>14.132191954806297</v>
      </c>
      <c r="AG39" s="99">
        <f t="shared" si="0"/>
        <v>13764</v>
      </c>
      <c r="AH39" s="99">
        <f t="shared" si="0"/>
        <v>2080</v>
      </c>
      <c r="AI39" s="99">
        <f t="shared" si="0"/>
        <v>46.405954958328763</v>
      </c>
      <c r="AJ39" s="99">
        <f t="shared" si="0"/>
        <v>54337.15453302495</v>
      </c>
      <c r="AK39" s="99">
        <f t="shared" si="0"/>
        <v>14.765531123104607</v>
      </c>
      <c r="AL39" s="99">
        <f t="shared" si="0"/>
        <v>13764</v>
      </c>
      <c r="AM39" s="99">
        <f t="shared" si="0"/>
        <v>2080</v>
      </c>
      <c r="AN39" s="99">
        <f t="shared" si="0"/>
        <v>48.485734699405015</v>
      </c>
      <c r="AO39" s="99">
        <f t="shared" si="0"/>
        <v>56772.387538939685</v>
      </c>
      <c r="AP39" s="99">
        <f t="shared" si="0"/>
        <v>15.427279222537956</v>
      </c>
      <c r="AQ39" s="99">
        <f t="shared" si="0"/>
        <v>13764</v>
      </c>
    </row>
    <row r="40" spans="1:46" s="65" customFormat="1" ht="16.5">
      <c r="A40" s="64"/>
      <c r="D40" s="341"/>
      <c r="E40" s="341"/>
      <c r="F40" s="341"/>
      <c r="G40" s="341"/>
      <c r="H40" s="81" t="s">
        <v>385</v>
      </c>
      <c r="I40" s="341"/>
      <c r="J40" s="341"/>
      <c r="K40" s="341"/>
      <c r="L40" s="341"/>
      <c r="M40" s="81" t="s">
        <v>385</v>
      </c>
      <c r="N40" s="68"/>
      <c r="O40" s="341"/>
      <c r="P40" s="341"/>
      <c r="Q40" s="341"/>
      <c r="R40" s="81" t="s">
        <v>385</v>
      </c>
      <c r="S40" s="341"/>
      <c r="T40" s="341"/>
      <c r="U40" s="341"/>
      <c r="V40" s="341"/>
      <c r="W40" s="81" t="s">
        <v>385</v>
      </c>
      <c r="X40" s="341"/>
      <c r="Y40" s="341"/>
      <c r="Z40" s="341"/>
      <c r="AA40" s="341"/>
      <c r="AB40" s="81" t="s">
        <v>385</v>
      </c>
      <c r="AC40" s="341"/>
      <c r="AD40" s="341"/>
      <c r="AE40" s="341"/>
      <c r="AF40" s="341"/>
      <c r="AG40" s="81" t="s">
        <v>385</v>
      </c>
      <c r="AH40" s="341"/>
      <c r="AI40" s="341"/>
      <c r="AJ40" s="341"/>
      <c r="AK40" s="341"/>
      <c r="AL40" s="81" t="s">
        <v>385</v>
      </c>
      <c r="AM40" s="341"/>
      <c r="AN40" s="341"/>
      <c r="AO40" s="341"/>
      <c r="AP40" s="341"/>
      <c r="AQ40" s="81" t="s">
        <v>385</v>
      </c>
    </row>
    <row r="41" spans="1:46" s="100" customFormat="1" ht="30">
      <c r="A41" s="150"/>
      <c r="B41" s="151"/>
      <c r="C41" s="151"/>
      <c r="D41" s="152"/>
      <c r="E41" s="153"/>
      <c r="F41" s="153"/>
      <c r="G41" s="153"/>
      <c r="H41" s="154" t="s">
        <v>189</v>
      </c>
      <c r="I41" s="155"/>
      <c r="J41" s="153"/>
      <c r="K41" s="153"/>
      <c r="L41" s="153"/>
      <c r="M41" s="154" t="s">
        <v>190</v>
      </c>
      <c r="N41" s="155"/>
      <c r="O41" s="153"/>
      <c r="P41" s="153"/>
      <c r="Q41" s="153"/>
      <c r="R41" s="154" t="s">
        <v>191</v>
      </c>
      <c r="S41" s="156"/>
      <c r="T41" s="153"/>
      <c r="U41" s="153"/>
      <c r="V41" s="153"/>
      <c r="W41" s="154" t="s">
        <v>432</v>
      </c>
      <c r="X41" s="156"/>
      <c r="Y41" s="153"/>
      <c r="Z41" s="153"/>
      <c r="AA41" s="153"/>
      <c r="AB41" s="154" t="s">
        <v>433</v>
      </c>
      <c r="AC41" s="156"/>
      <c r="AD41" s="153"/>
      <c r="AE41" s="153"/>
      <c r="AF41" s="153"/>
      <c r="AG41" s="154" t="s">
        <v>194</v>
      </c>
      <c r="AH41" s="156"/>
      <c r="AI41" s="153"/>
      <c r="AJ41" s="153"/>
      <c r="AK41" s="153"/>
      <c r="AL41" s="154" t="s">
        <v>251</v>
      </c>
      <c r="AM41" s="156"/>
      <c r="AN41" s="153"/>
      <c r="AO41" s="153"/>
      <c r="AP41" s="153"/>
      <c r="AQ41" s="154" t="s">
        <v>676</v>
      </c>
    </row>
    <row r="42" spans="1:46" s="100" customFormat="1" ht="16.5">
      <c r="A42" s="150"/>
      <c r="B42" s="151"/>
      <c r="C42" s="184" t="s">
        <v>386</v>
      </c>
      <c r="D42" s="152"/>
      <c r="E42" s="153"/>
      <c r="F42" s="153"/>
      <c r="G42" s="153"/>
      <c r="H42" s="157">
        <f>SUM(H43:H48)</f>
        <v>163930.1122969978</v>
      </c>
      <c r="I42" s="157">
        <f t="shared" ref="I42:AQ42" si="1">SUM(I43:I48)</f>
        <v>0</v>
      </c>
      <c r="J42" s="157">
        <f t="shared" si="1"/>
        <v>0</v>
      </c>
      <c r="K42" s="157">
        <f t="shared" si="1"/>
        <v>0</v>
      </c>
      <c r="L42" s="157">
        <f t="shared" si="1"/>
        <v>0</v>
      </c>
      <c r="M42" s="157">
        <f t="shared" si="1"/>
        <v>194915.91521592392</v>
      </c>
      <c r="N42" s="157">
        <f t="shared" si="1"/>
        <v>0</v>
      </c>
      <c r="O42" s="157">
        <f t="shared" si="1"/>
        <v>0</v>
      </c>
      <c r="P42" s="157">
        <f t="shared" si="1"/>
        <v>0</v>
      </c>
      <c r="Q42" s="157">
        <f t="shared" si="1"/>
        <v>0</v>
      </c>
      <c r="R42" s="157">
        <f t="shared" si="1"/>
        <v>220428.01330077377</v>
      </c>
      <c r="S42" s="157">
        <f t="shared" si="1"/>
        <v>0</v>
      </c>
      <c r="T42" s="157">
        <f t="shared" si="1"/>
        <v>0</v>
      </c>
      <c r="U42" s="157">
        <f t="shared" si="1"/>
        <v>0</v>
      </c>
      <c r="V42" s="157">
        <f t="shared" si="1"/>
        <v>0</v>
      </c>
      <c r="W42" s="157">
        <f t="shared" si="1"/>
        <v>217960.46485641573</v>
      </c>
      <c r="X42" s="157">
        <f t="shared" si="1"/>
        <v>0</v>
      </c>
      <c r="Y42" s="157">
        <f t="shared" si="1"/>
        <v>0</v>
      </c>
      <c r="Z42" s="157">
        <f t="shared" si="1"/>
        <v>0</v>
      </c>
      <c r="AA42" s="157">
        <f t="shared" si="1"/>
        <v>0</v>
      </c>
      <c r="AB42" s="157">
        <f t="shared" si="1"/>
        <v>225546.34450750786</v>
      </c>
      <c r="AC42" s="157">
        <f t="shared" si="1"/>
        <v>0</v>
      </c>
      <c r="AD42" s="157">
        <f t="shared" si="1"/>
        <v>0</v>
      </c>
      <c r="AE42" s="157">
        <f t="shared" si="1"/>
        <v>0</v>
      </c>
      <c r="AF42" s="157">
        <f t="shared" si="1"/>
        <v>0</v>
      </c>
      <c r="AG42" s="157">
        <f t="shared" si="1"/>
        <v>234453.32006595389</v>
      </c>
      <c r="AH42" s="157">
        <f t="shared" si="1"/>
        <v>0</v>
      </c>
      <c r="AI42" s="157">
        <f t="shared" si="1"/>
        <v>0</v>
      </c>
      <c r="AJ42" s="157">
        <f t="shared" si="1"/>
        <v>0</v>
      </c>
      <c r="AK42" s="157">
        <f t="shared" si="1"/>
        <v>0</v>
      </c>
      <c r="AL42" s="157">
        <f t="shared" si="1"/>
        <v>244811.5103784118</v>
      </c>
      <c r="AM42" s="157">
        <f t="shared" si="1"/>
        <v>0</v>
      </c>
      <c r="AN42" s="157">
        <f t="shared" si="1"/>
        <v>0</v>
      </c>
      <c r="AO42" s="157">
        <f t="shared" si="1"/>
        <v>0</v>
      </c>
      <c r="AP42" s="157">
        <f t="shared" si="1"/>
        <v>0</v>
      </c>
      <c r="AQ42" s="157">
        <f t="shared" si="1"/>
        <v>255629.08121901247</v>
      </c>
    </row>
    <row r="43" spans="1:46" ht="15">
      <c r="C43" s="184" t="s">
        <v>387</v>
      </c>
      <c r="H43" s="157">
        <v>163930.1122969978</v>
      </c>
      <c r="I43" s="155"/>
      <c r="J43" s="153"/>
      <c r="K43" s="153"/>
      <c r="L43" s="153"/>
      <c r="M43" s="157">
        <v>169226.09521592391</v>
      </c>
      <c r="N43" s="155"/>
      <c r="O43" s="153"/>
      <c r="P43" s="153"/>
      <c r="Q43" s="153"/>
      <c r="R43" s="157">
        <v>174693.48330077378</v>
      </c>
      <c r="S43" s="156"/>
      <c r="T43" s="153"/>
      <c r="U43" s="153"/>
      <c r="V43" s="153"/>
      <c r="W43" s="157">
        <v>180774.5648564157</v>
      </c>
      <c r="X43" s="156"/>
      <c r="Y43" s="153"/>
      <c r="Z43" s="153"/>
      <c r="AA43" s="153"/>
      <c r="AB43" s="157">
        <v>187067.65450750786</v>
      </c>
      <c r="AC43" s="156"/>
      <c r="AD43" s="153"/>
      <c r="AE43" s="153"/>
      <c r="AF43" s="153"/>
      <c r="AG43" s="157">
        <v>194515.49006595387</v>
      </c>
      <c r="AH43" s="156"/>
      <c r="AI43" s="153"/>
      <c r="AJ43" s="153"/>
      <c r="AK43" s="153"/>
      <c r="AL43" s="157">
        <v>203232.77037841181</v>
      </c>
      <c r="AM43" s="156"/>
      <c r="AN43" s="153"/>
      <c r="AO43" s="153"/>
      <c r="AP43" s="153"/>
      <c r="AQ43" s="157">
        <v>212341.07121901243</v>
      </c>
    </row>
    <row r="44" spans="1:46" ht="16.5">
      <c r="C44" s="54" t="s">
        <v>677</v>
      </c>
      <c r="H44" s="157">
        <v>0</v>
      </c>
      <c r="I44" s="155"/>
      <c r="J44" s="153"/>
      <c r="K44" s="153"/>
      <c r="L44" s="153"/>
      <c r="M44" s="55">
        <v>21972.69</v>
      </c>
      <c r="N44" s="74"/>
      <c r="O44" s="72"/>
      <c r="P44" s="72"/>
      <c r="Q44" s="72"/>
      <c r="R44" s="55">
        <v>22682.41</v>
      </c>
      <c r="S44" s="75"/>
      <c r="T44" s="72"/>
      <c r="U44" s="72"/>
      <c r="V44" s="72"/>
      <c r="W44" s="55">
        <v>23471.75</v>
      </c>
      <c r="X44" s="75"/>
      <c r="Y44" s="72"/>
      <c r="Z44" s="72"/>
      <c r="AA44" s="72"/>
      <c r="AB44" s="55">
        <v>24288.57</v>
      </c>
      <c r="AC44" s="75"/>
      <c r="AD44" s="72"/>
      <c r="AE44" s="72"/>
      <c r="AF44" s="72"/>
      <c r="AG44" s="55">
        <v>25255.26</v>
      </c>
      <c r="AH44" s="75"/>
      <c r="AI44" s="72"/>
      <c r="AJ44" s="72"/>
      <c r="AK44" s="72"/>
      <c r="AL44" s="55">
        <v>26386.69</v>
      </c>
      <c r="AM44" s="75"/>
      <c r="AN44" s="72"/>
      <c r="AO44" s="72"/>
      <c r="AP44" s="72"/>
      <c r="AQ44" s="55">
        <v>27568.82</v>
      </c>
    </row>
    <row r="45" spans="1:46" ht="15">
      <c r="C45" s="54" t="s">
        <v>678</v>
      </c>
      <c r="H45" s="157">
        <v>0</v>
      </c>
      <c r="I45" s="155"/>
      <c r="J45" s="153"/>
      <c r="K45" s="153"/>
      <c r="L45" s="153"/>
      <c r="M45" s="157">
        <v>3717.13</v>
      </c>
      <c r="N45" s="155"/>
      <c r="O45" s="153"/>
      <c r="P45" s="153"/>
      <c r="Q45" s="153"/>
      <c r="R45" s="157">
        <v>23052.12</v>
      </c>
      <c r="S45" s="156"/>
      <c r="T45" s="153"/>
      <c r="U45" s="153"/>
      <c r="V45" s="153"/>
      <c r="W45" s="157">
        <v>23826.67</v>
      </c>
      <c r="X45" s="156"/>
      <c r="Y45" s="153"/>
      <c r="Z45" s="153"/>
      <c r="AA45" s="153"/>
      <c r="AB45" s="157">
        <v>24627.25</v>
      </c>
      <c r="AC45" s="156"/>
      <c r="AD45" s="153"/>
      <c r="AE45" s="153"/>
      <c r="AF45" s="153"/>
      <c r="AG45" s="157">
        <v>25454.73</v>
      </c>
      <c r="AH45" s="156"/>
      <c r="AI45" s="153"/>
      <c r="AJ45" s="153"/>
      <c r="AK45" s="153"/>
      <c r="AL45" s="157">
        <v>26310</v>
      </c>
      <c r="AM45" s="156"/>
      <c r="AN45" s="153"/>
      <c r="AO45" s="153"/>
      <c r="AP45" s="153"/>
      <c r="AQ45" s="157">
        <v>27194.02</v>
      </c>
    </row>
    <row r="46" spans="1:46" ht="15">
      <c r="C46" s="54" t="s">
        <v>533</v>
      </c>
      <c r="H46" s="157"/>
      <c r="I46" s="155"/>
      <c r="J46" s="153"/>
      <c r="K46" s="153"/>
      <c r="L46" s="153"/>
      <c r="M46" s="157"/>
      <c r="N46" s="155"/>
      <c r="O46" s="153"/>
      <c r="P46" s="153"/>
      <c r="Q46" s="153"/>
      <c r="R46" s="157"/>
      <c r="S46" s="156"/>
      <c r="T46" s="153"/>
      <c r="U46" s="153"/>
      <c r="V46" s="153"/>
      <c r="W46" s="157">
        <v>-10112.52</v>
      </c>
      <c r="X46" s="156"/>
      <c r="Y46" s="153"/>
      <c r="Z46" s="153"/>
      <c r="AA46" s="153"/>
      <c r="AB46" s="157">
        <v>-10437.129999999999</v>
      </c>
      <c r="AC46" s="156"/>
      <c r="AD46" s="153"/>
      <c r="AE46" s="153"/>
      <c r="AF46" s="153"/>
      <c r="AG46" s="157">
        <v>-10772.16</v>
      </c>
      <c r="AH46" s="156"/>
      <c r="AI46" s="153"/>
      <c r="AJ46" s="153"/>
      <c r="AK46" s="153"/>
      <c r="AL46" s="157">
        <v>-11117.95</v>
      </c>
      <c r="AM46" s="156"/>
      <c r="AN46" s="153"/>
      <c r="AO46" s="153"/>
      <c r="AP46" s="153"/>
      <c r="AQ46" s="157">
        <v>-11474.83</v>
      </c>
      <c r="AS46" s="86">
        <f>SUM(H46:AQ46)</f>
        <v>-53914.590000000004</v>
      </c>
      <c r="AT46" s="54" t="s">
        <v>534</v>
      </c>
    </row>
    <row r="47" spans="1:46" ht="15">
      <c r="H47" s="157"/>
      <c r="I47" s="155"/>
      <c r="J47" s="153"/>
      <c r="K47" s="153"/>
      <c r="L47" s="153"/>
      <c r="M47" s="157"/>
      <c r="N47" s="155"/>
      <c r="O47" s="153"/>
      <c r="P47" s="153"/>
      <c r="Q47" s="153"/>
      <c r="R47" s="157"/>
      <c r="S47" s="156"/>
      <c r="T47" s="153"/>
      <c r="U47" s="153"/>
      <c r="V47" s="153"/>
      <c r="W47" s="157"/>
      <c r="X47" s="156"/>
      <c r="Y47" s="153"/>
      <c r="Z47" s="153"/>
      <c r="AA47" s="153"/>
      <c r="AB47" s="157"/>
      <c r="AC47" s="156"/>
      <c r="AD47" s="153"/>
      <c r="AE47" s="153"/>
      <c r="AF47" s="153"/>
      <c r="AG47" s="157"/>
      <c r="AH47" s="156"/>
      <c r="AI47" s="153"/>
      <c r="AJ47" s="153"/>
      <c r="AK47" s="153"/>
      <c r="AL47" s="157"/>
      <c r="AM47" s="156"/>
      <c r="AN47" s="153"/>
      <c r="AO47" s="153"/>
      <c r="AP47" s="153"/>
      <c r="AQ47" s="157"/>
    </row>
    <row r="48" spans="1:46" ht="15">
      <c r="H48" s="157"/>
      <c r="I48" s="155"/>
      <c r="J48" s="153"/>
      <c r="K48" s="153"/>
      <c r="L48" s="153"/>
      <c r="M48" s="157"/>
      <c r="N48" s="155"/>
      <c r="O48" s="153"/>
      <c r="P48" s="153"/>
      <c r="Q48" s="153"/>
      <c r="R48" s="157"/>
      <c r="S48" s="156"/>
      <c r="T48" s="153"/>
      <c r="U48" s="153"/>
      <c r="V48" s="153"/>
      <c r="W48" s="157"/>
      <c r="X48" s="156"/>
      <c r="Y48" s="153"/>
      <c r="Z48" s="153"/>
      <c r="AA48" s="153"/>
      <c r="AB48" s="157"/>
      <c r="AC48" s="156"/>
      <c r="AD48" s="153"/>
      <c r="AE48" s="153"/>
      <c r="AF48" s="153"/>
      <c r="AG48" s="157"/>
      <c r="AH48" s="156"/>
      <c r="AI48" s="153"/>
      <c r="AJ48" s="153"/>
      <c r="AK48" s="153"/>
      <c r="AL48" s="157"/>
      <c r="AM48" s="156"/>
      <c r="AN48" s="153"/>
      <c r="AO48" s="153"/>
      <c r="AP48" s="153"/>
      <c r="AQ48" s="157"/>
    </row>
  </sheetData>
  <phoneticPr fontId="0" type="noConversion"/>
  <printOptions horizontalCentered="1"/>
  <pageMargins left="0.5" right="0.5" top="1" bottom="1" header="0.5" footer="0.5"/>
  <pageSetup paperSize="9" fitToWidth="3" fitToHeight="2" orientation="landscape" r:id="rId1"/>
  <headerFooter alignWithMargins="0">
    <oddHeader>&amp;C&amp;"Calibri"&amp;10&amp;K737373Serco Business&amp;1#_x000D_&amp;"Calibri"&amp;11&amp;K000000&amp;"Calibri"&amp;11&amp;K000000&amp;"Arial,Bold"RESTRICTED - CONTRACTS</oddHeader>
    <oddFooter>&amp;L&amp;8PTC/CB/00642&amp;C&amp;8 2-(7)-&amp;P&amp;10
&amp;"Arial,Bold"RESTRICTED - CONTRACTS&amp;R&amp;8Pricing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H22"/>
  <sheetViews>
    <sheetView showGridLines="0" tabSelected="1" zoomScale="130" zoomScaleNormal="130" zoomScaleSheetLayoutView="100" workbookViewId="0">
      <selection activeCell="F22" sqref="F22"/>
    </sheetView>
  </sheetViews>
  <sheetFormatPr defaultColWidth="20.7109375" defaultRowHeight="14.25"/>
  <cols>
    <col min="1" max="1" width="2.28515625" style="331" customWidth="1"/>
    <col min="2" max="2" width="44.85546875" style="331" customWidth="1"/>
    <col min="3" max="3" width="23.7109375" style="331" customWidth="1"/>
    <col min="4" max="4" width="17.7109375" style="331" customWidth="1"/>
    <col min="5" max="5" width="23.7109375" style="331" customWidth="1"/>
    <col min="6" max="6" width="17.7109375" style="331" customWidth="1"/>
    <col min="7" max="7" width="23.7109375" style="331" customWidth="1"/>
    <col min="8" max="8" width="17.7109375" style="331" customWidth="1"/>
    <col min="9" max="9" width="7.140625" style="331" customWidth="1"/>
    <col min="10" max="16384" width="20.7109375" style="331"/>
  </cols>
  <sheetData>
    <row r="1" spans="2:8" ht="15" thickBot="1"/>
    <row r="2" spans="2:8" ht="15">
      <c r="B2" s="470" t="s">
        <v>18</v>
      </c>
      <c r="C2" s="471"/>
      <c r="D2" s="471"/>
      <c r="E2" s="471"/>
      <c r="F2" s="471"/>
      <c r="G2" s="471"/>
      <c r="H2" s="472"/>
    </row>
    <row r="3" spans="2:8" ht="15.75" thickBot="1">
      <c r="B3" s="473" t="s">
        <v>19</v>
      </c>
      <c r="C3" s="474"/>
      <c r="D3" s="474"/>
      <c r="E3" s="474"/>
      <c r="F3" s="474"/>
      <c r="G3" s="474"/>
      <c r="H3" s="475"/>
    </row>
    <row r="4" spans="2:8" ht="7.5" customHeight="1">
      <c r="B4" s="364"/>
      <c r="C4" s="365"/>
      <c r="D4" s="365"/>
      <c r="E4" s="365"/>
      <c r="F4" s="365"/>
      <c r="G4" s="365"/>
      <c r="H4" s="366"/>
    </row>
    <row r="5" spans="2:8" ht="23.25" customHeight="1">
      <c r="B5" s="482" t="s">
        <v>20</v>
      </c>
      <c r="C5" s="483"/>
      <c r="D5" s="483"/>
      <c r="E5" s="483"/>
      <c r="F5" s="483"/>
      <c r="G5" s="483"/>
      <c r="H5" s="484"/>
    </row>
    <row r="6" spans="2:8" ht="8.25" customHeight="1" thickBot="1">
      <c r="B6" s="370"/>
      <c r="C6" s="371"/>
      <c r="D6" s="371"/>
      <c r="E6" s="371"/>
      <c r="F6" s="371"/>
      <c r="G6" s="371"/>
      <c r="H6" s="372"/>
    </row>
    <row r="7" spans="2:8" ht="15" customHeight="1">
      <c r="B7" s="479" t="s">
        <v>21</v>
      </c>
      <c r="C7" s="480"/>
      <c r="D7" s="480"/>
      <c r="E7" s="480"/>
      <c r="F7" s="480"/>
      <c r="G7" s="480"/>
      <c r="H7" s="481"/>
    </row>
    <row r="8" spans="2:8" s="368" customFormat="1" ht="36.75" customHeight="1">
      <c r="B8" s="367"/>
      <c r="C8" s="384" t="s">
        <v>22</v>
      </c>
      <c r="D8" s="384" t="s">
        <v>23</v>
      </c>
      <c r="E8" s="385" t="s">
        <v>24</v>
      </c>
      <c r="F8" s="385" t="s">
        <v>25</v>
      </c>
      <c r="G8" s="386" t="s">
        <v>24</v>
      </c>
      <c r="H8" s="390" t="s">
        <v>26</v>
      </c>
    </row>
    <row r="9" spans="2:8" s="332" customFormat="1" ht="20.100000000000001" customHeight="1">
      <c r="B9" s="369" t="s">
        <v>27</v>
      </c>
      <c r="C9" s="463" t="s">
        <v>28</v>
      </c>
      <c r="D9" s="463" t="s">
        <v>28</v>
      </c>
      <c r="E9" s="464" t="s">
        <v>29</v>
      </c>
      <c r="F9" s="463" t="s">
        <v>28</v>
      </c>
      <c r="G9" s="464" t="s">
        <v>29</v>
      </c>
      <c r="H9" s="463" t="s">
        <v>28</v>
      </c>
    </row>
    <row r="10" spans="2:8" ht="20.100000000000001" customHeight="1">
      <c r="B10" s="369" t="s">
        <v>30</v>
      </c>
      <c r="C10" s="463" t="s">
        <v>28</v>
      </c>
      <c r="D10" s="463" t="s">
        <v>28</v>
      </c>
      <c r="E10" s="463" t="s">
        <v>29</v>
      </c>
      <c r="F10" s="463" t="s">
        <v>28</v>
      </c>
      <c r="G10" s="463" t="s">
        <v>29</v>
      </c>
      <c r="H10" s="463" t="s">
        <v>28</v>
      </c>
    </row>
    <row r="11" spans="2:8" s="332" customFormat="1" ht="20.100000000000001" customHeight="1">
      <c r="B11" s="369" t="s">
        <v>31</v>
      </c>
      <c r="C11" s="464" t="s">
        <v>28</v>
      </c>
      <c r="D11" s="464" t="s">
        <v>28</v>
      </c>
      <c r="E11" s="464" t="s">
        <v>29</v>
      </c>
      <c r="F11" s="464" t="s">
        <v>28</v>
      </c>
      <c r="G11" s="464" t="s">
        <v>29</v>
      </c>
      <c r="H11" s="464" t="s">
        <v>28</v>
      </c>
    </row>
    <row r="12" spans="2:8" s="332" customFormat="1" ht="20.100000000000001" customHeight="1">
      <c r="B12" s="369" t="s">
        <v>32</v>
      </c>
      <c r="C12" s="464" t="s">
        <v>28</v>
      </c>
      <c r="D12" s="464" t="s">
        <v>28</v>
      </c>
      <c r="E12" s="464" t="s">
        <v>29</v>
      </c>
      <c r="F12" s="464" t="s">
        <v>28</v>
      </c>
      <c r="G12" s="464" t="s">
        <v>29</v>
      </c>
      <c r="H12" s="464" t="s">
        <v>28</v>
      </c>
    </row>
    <row r="13" spans="2:8" ht="21" customHeight="1">
      <c r="B13" s="361" t="s">
        <v>33</v>
      </c>
      <c r="C13" s="465" t="s">
        <v>28</v>
      </c>
      <c r="D13" s="465" t="s">
        <v>28</v>
      </c>
      <c r="E13" s="465" t="s">
        <v>29</v>
      </c>
      <c r="F13" s="465" t="s">
        <v>28</v>
      </c>
      <c r="G13" s="465" t="s">
        <v>29</v>
      </c>
      <c r="H13" s="465" t="s">
        <v>28</v>
      </c>
    </row>
    <row r="14" spans="2:8" ht="15">
      <c r="B14" s="468" t="s">
        <v>34</v>
      </c>
      <c r="C14" s="469"/>
      <c r="D14" s="469"/>
      <c r="E14" s="469"/>
      <c r="F14" s="469"/>
      <c r="G14" s="469"/>
      <c r="H14" s="446" t="s">
        <v>35</v>
      </c>
    </row>
    <row r="15" spans="2:8" ht="33.75" customHeight="1" thickBot="1">
      <c r="B15" s="476" t="s">
        <v>36</v>
      </c>
      <c r="C15" s="477"/>
      <c r="D15" s="477"/>
      <c r="E15" s="477"/>
      <c r="F15" s="477"/>
      <c r="G15" s="477"/>
      <c r="H15" s="478"/>
    </row>
    <row r="17" spans="2:5">
      <c r="B17" s="331" t="s">
        <v>37</v>
      </c>
    </row>
    <row r="18" spans="2:5">
      <c r="B18" s="331" t="s">
        <v>38</v>
      </c>
    </row>
    <row r="20" spans="2:5">
      <c r="E20" s="389"/>
    </row>
    <row r="22" spans="2:5">
      <c r="E22" s="389"/>
    </row>
  </sheetData>
  <sheetProtection algorithmName="SHA-512" hashValue="SkiVh0hH0l1UZor1c1UpvdOWD9saEGfpvARyBAAPMgWEvBwo6Ux6TcAJRq3CFwuk4Pl7NpHCgB8uOC+fVj9l7g==" saltValue="UkMTKQRVnkgrb4bbTBw3Aw==" spinCount="100000" sheet="1" objects="1" scenarios="1"/>
  <dataConsolidate/>
  <mergeCells count="6">
    <mergeCell ref="B14:G14"/>
    <mergeCell ref="B2:H2"/>
    <mergeCell ref="B3:H3"/>
    <mergeCell ref="B15:H15"/>
    <mergeCell ref="B7:H7"/>
    <mergeCell ref="B5:H5"/>
  </mergeCells>
  <printOptions horizontalCentered="1"/>
  <pageMargins left="0.7" right="0.7" top="0.75" bottom="0.75" header="0.3" footer="0.3"/>
  <pageSetup paperSize="9" scale="81" firstPageNumber="5" fitToHeight="0" orientation="landscape" r:id="rId1"/>
  <headerFooter alignWithMargins="0">
    <oddHeader>&amp;C&amp;"Calibri"&amp;10&amp;K737373Serco Business&amp;1#_x000D_&amp;"Calibri"&amp;11&amp;K000000&amp;"Calibri"&amp;11&amp;K000000ACT/03098 -&amp;KFF0000 AL24</oddHeader>
    <oddFooter>&amp;C1-1&amp;R&amp;8Amendment  No 24 - March 2020</oddFooter>
  </headerFooter>
  <colBreaks count="1" manualBreakCount="1">
    <brk id="8"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AL43"/>
  <sheetViews>
    <sheetView topLeftCell="D32" zoomScale="65" workbookViewId="0">
      <selection activeCell="E50" sqref="E50"/>
    </sheetView>
  </sheetViews>
  <sheetFormatPr defaultColWidth="9.140625" defaultRowHeight="12" outlineLevelCol="1"/>
  <cols>
    <col min="1" max="1" width="8.7109375" style="13" customWidth="1"/>
    <col min="2" max="2" width="1.7109375" style="54" customWidth="1"/>
    <col min="3" max="3" width="25.7109375" style="54" customWidth="1"/>
    <col min="4" max="4" width="17.140625" style="85" customWidth="1" outlineLevel="1"/>
    <col min="5" max="6" width="14.7109375" style="86" customWidth="1" outlineLevel="1"/>
    <col min="7" max="7" width="14.28515625" style="85" customWidth="1"/>
    <col min="8" max="8" width="15.42578125" style="101" hidden="1" customWidth="1" outlineLevel="1"/>
    <col min="9" max="10" width="14.7109375" style="86" hidden="1" customWidth="1" outlineLevel="1"/>
    <col min="11" max="11" width="14.42578125" style="54" customWidth="1" collapsed="1"/>
    <col min="12" max="12" width="14.7109375" style="101" hidden="1" customWidth="1" outlineLevel="1"/>
    <col min="13" max="14" width="14.7109375" style="86" hidden="1" customWidth="1" outlineLevel="1"/>
    <col min="15" max="15" width="15" style="54" customWidth="1" collapsed="1"/>
    <col min="16" max="18" width="14.7109375" style="54" hidden="1" customWidth="1" outlineLevel="1"/>
    <col min="19" max="19" width="15.140625" style="54" customWidth="1" collapsed="1"/>
    <col min="20" max="22" width="14.7109375" style="54" hidden="1" customWidth="1" outlineLevel="1"/>
    <col min="23" max="23" width="15.42578125" style="54" customWidth="1" collapsed="1"/>
    <col min="24" max="26" width="14.7109375" style="54" hidden="1" customWidth="1" outlineLevel="1"/>
    <col min="27" max="27" width="14.140625" style="54" customWidth="1" collapsed="1"/>
    <col min="28" max="30" width="14.7109375" style="54" hidden="1" customWidth="1" outlineLevel="1"/>
    <col min="31" max="31" width="15.28515625" style="54" customWidth="1" collapsed="1"/>
    <col min="32" max="34" width="14.7109375" style="54" hidden="1" customWidth="1" outlineLevel="1"/>
    <col min="35" max="35" width="14.5703125" style="54" customWidth="1" collapsed="1"/>
    <col min="36" max="36" width="9.140625" style="54"/>
    <col min="37" max="37" width="11.140625" style="54" bestFit="1" customWidth="1"/>
    <col min="38" max="16384" width="9.140625" style="54"/>
  </cols>
  <sheetData>
    <row r="1" spans="1:35" ht="24">
      <c r="C1" s="21" t="s">
        <v>679</v>
      </c>
      <c r="D1" s="340" t="s">
        <v>189</v>
      </c>
      <c r="E1" s="340"/>
      <c r="F1" s="340"/>
      <c r="G1" s="340"/>
      <c r="H1" s="340" t="s">
        <v>190</v>
      </c>
      <c r="I1" s="340"/>
      <c r="J1" s="340"/>
      <c r="K1" s="340"/>
      <c r="L1" s="340" t="s">
        <v>191</v>
      </c>
      <c r="M1" s="340"/>
      <c r="N1" s="340"/>
      <c r="O1" s="340"/>
      <c r="P1" s="340" t="s">
        <v>192</v>
      </c>
      <c r="Q1" s="340"/>
      <c r="R1" s="340"/>
      <c r="S1" s="340"/>
      <c r="T1" s="340" t="s">
        <v>193</v>
      </c>
      <c r="U1" s="340"/>
      <c r="V1" s="340"/>
      <c r="W1" s="340"/>
      <c r="X1" s="340" t="s">
        <v>680</v>
      </c>
      <c r="Y1" s="340"/>
      <c r="Z1" s="340"/>
      <c r="AA1" s="340"/>
      <c r="AB1" s="340" t="s">
        <v>681</v>
      </c>
      <c r="AC1" s="340"/>
      <c r="AD1" s="340"/>
      <c r="AE1" s="340"/>
      <c r="AF1" s="340" t="s">
        <v>682</v>
      </c>
      <c r="AG1" s="340"/>
      <c r="AH1" s="340"/>
      <c r="AI1" s="340"/>
    </row>
    <row r="2" spans="1:35" ht="24">
      <c r="A2" s="18" t="s">
        <v>253</v>
      </c>
      <c r="B2" s="49"/>
      <c r="C2" s="49" t="s">
        <v>490</v>
      </c>
      <c r="D2" s="19" t="s">
        <v>434</v>
      </c>
      <c r="E2" s="19" t="s">
        <v>435</v>
      </c>
      <c r="F2" s="19" t="s">
        <v>436</v>
      </c>
      <c r="G2" s="19" t="s">
        <v>254</v>
      </c>
      <c r="H2" s="19" t="s">
        <v>434</v>
      </c>
      <c r="I2" s="19" t="s">
        <v>435</v>
      </c>
      <c r="J2" s="19" t="s">
        <v>436</v>
      </c>
      <c r="K2" s="19" t="s">
        <v>254</v>
      </c>
      <c r="L2" s="19" t="s">
        <v>434</v>
      </c>
      <c r="M2" s="19" t="s">
        <v>435</v>
      </c>
      <c r="N2" s="19" t="s">
        <v>436</v>
      </c>
      <c r="O2" s="19" t="s">
        <v>254</v>
      </c>
      <c r="P2" s="19" t="s">
        <v>434</v>
      </c>
      <c r="Q2" s="19" t="s">
        <v>435</v>
      </c>
      <c r="R2" s="19" t="s">
        <v>436</v>
      </c>
      <c r="S2" s="19" t="s">
        <v>254</v>
      </c>
      <c r="T2" s="19" t="s">
        <v>434</v>
      </c>
      <c r="U2" s="19" t="s">
        <v>435</v>
      </c>
      <c r="V2" s="19" t="s">
        <v>436</v>
      </c>
      <c r="W2" s="19" t="s">
        <v>254</v>
      </c>
      <c r="X2" s="19" t="s">
        <v>434</v>
      </c>
      <c r="Y2" s="19" t="s">
        <v>435</v>
      </c>
      <c r="Z2" s="19" t="s">
        <v>436</v>
      </c>
      <c r="AA2" s="19" t="s">
        <v>254</v>
      </c>
      <c r="AB2" s="19" t="s">
        <v>434</v>
      </c>
      <c r="AC2" s="19" t="s">
        <v>435</v>
      </c>
      <c r="AD2" s="19" t="s">
        <v>436</v>
      </c>
      <c r="AE2" s="19" t="s">
        <v>254</v>
      </c>
      <c r="AF2" s="19" t="s">
        <v>434</v>
      </c>
      <c r="AG2" s="19" t="s">
        <v>435</v>
      </c>
      <c r="AH2" s="19" t="s">
        <v>436</v>
      </c>
      <c r="AI2" s="19" t="s">
        <v>254</v>
      </c>
    </row>
    <row r="3" spans="1:35">
      <c r="B3" s="13"/>
      <c r="C3" s="21"/>
      <c r="H3" s="54"/>
      <c r="I3" s="87"/>
      <c r="J3" s="87"/>
      <c r="L3" s="54"/>
      <c r="M3" s="87"/>
      <c r="N3" s="87"/>
      <c r="Q3" s="87"/>
      <c r="R3" s="87"/>
      <c r="U3" s="87"/>
      <c r="V3" s="87"/>
      <c r="Y3" s="87"/>
      <c r="Z3" s="87"/>
      <c r="AC3" s="87"/>
      <c r="AD3" s="87"/>
      <c r="AG3" s="87"/>
      <c r="AH3" s="87"/>
    </row>
    <row r="4" spans="1:35">
      <c r="A4" s="88" t="s">
        <v>683</v>
      </c>
      <c r="B4" s="88"/>
      <c r="C4" s="89" t="s">
        <v>256</v>
      </c>
      <c r="H4" s="54"/>
      <c r="I4" s="54"/>
      <c r="J4" s="54"/>
      <c r="L4" s="54"/>
      <c r="M4" s="54"/>
      <c r="N4" s="54"/>
    </row>
    <row r="5" spans="1:35">
      <c r="A5" s="50" t="s">
        <v>684</v>
      </c>
      <c r="B5" s="88"/>
      <c r="C5" s="89" t="s">
        <v>685</v>
      </c>
      <c r="H5" s="54"/>
      <c r="I5" s="54"/>
      <c r="J5" s="54"/>
      <c r="L5" s="54"/>
      <c r="M5" s="54"/>
      <c r="N5" s="54"/>
    </row>
    <row r="6" spans="1:35" ht="36">
      <c r="A6" s="50" t="s">
        <v>686</v>
      </c>
      <c r="B6" s="50"/>
      <c r="C6" s="256" t="s">
        <v>687</v>
      </c>
      <c r="D6" s="90">
        <v>1500</v>
      </c>
      <c r="E6" s="91">
        <v>50.098352169386622</v>
      </c>
      <c r="F6" s="91">
        <f>SUM(D6)*E6</f>
        <v>75147.528254079938</v>
      </c>
      <c r="G6" s="90">
        <v>5450</v>
      </c>
      <c r="H6" s="90">
        <v>1500</v>
      </c>
      <c r="I6" s="91">
        <v>58.317466857073171</v>
      </c>
      <c r="J6" s="91">
        <f>SUM(H6)*I6</f>
        <v>87476.200285609753</v>
      </c>
      <c r="K6" s="90">
        <v>5450</v>
      </c>
      <c r="L6" s="90">
        <v>1500</v>
      </c>
      <c r="M6" s="91">
        <v>60.110886358872776</v>
      </c>
      <c r="N6" s="91">
        <f>SUM(L6)*M6</f>
        <v>90166.329538309161</v>
      </c>
      <c r="O6" s="90">
        <v>5450</v>
      </c>
      <c r="P6" s="90">
        <v>1500</v>
      </c>
      <c r="Q6" s="91">
        <v>62.110576501529273</v>
      </c>
      <c r="R6" s="91">
        <f>SUM(P6)*Q6</f>
        <v>93165.864752293914</v>
      </c>
      <c r="S6" s="90">
        <v>5450</v>
      </c>
      <c r="T6" s="90">
        <v>1500</v>
      </c>
      <c r="U6" s="91">
        <v>64.17765102718117</v>
      </c>
      <c r="V6" s="91">
        <f>SUM(T6)*U6</f>
        <v>96266.47654077175</v>
      </c>
      <c r="W6" s="90">
        <v>5450</v>
      </c>
      <c r="X6" s="90">
        <v>1500</v>
      </c>
      <c r="Y6" s="91">
        <v>66.635291525069249</v>
      </c>
      <c r="Z6" s="91">
        <f>SUM(X6)*Y6</f>
        <v>99952.937287603869</v>
      </c>
      <c r="AA6" s="90">
        <v>5450</v>
      </c>
      <c r="AB6" s="90">
        <v>1500</v>
      </c>
      <c r="AC6" s="91">
        <v>69.521130134202224</v>
      </c>
      <c r="AD6" s="91">
        <f>SUM(AB6)*AC6</f>
        <v>104281.69520130333</v>
      </c>
      <c r="AE6" s="90">
        <v>5450</v>
      </c>
      <c r="AF6" s="90">
        <v>1500</v>
      </c>
      <c r="AG6" s="91">
        <v>72.532885247913825</v>
      </c>
      <c r="AH6" s="91">
        <f>SUM(AF6)*AG6</f>
        <v>108799.32787187074</v>
      </c>
      <c r="AI6" s="90">
        <v>5450</v>
      </c>
    </row>
    <row r="7" spans="1:35">
      <c r="A7" s="50" t="s">
        <v>688</v>
      </c>
      <c r="B7" s="50"/>
      <c r="C7" s="50" t="s">
        <v>689</v>
      </c>
      <c r="D7" s="90">
        <v>8000000</v>
      </c>
      <c r="E7" s="91">
        <v>1.3800765660416875E-2</v>
      </c>
      <c r="F7" s="91">
        <f>SUM(D7)*E7</f>
        <v>110406.125283335</v>
      </c>
      <c r="G7" s="90">
        <v>4700</v>
      </c>
      <c r="H7" s="90">
        <v>8000000</v>
      </c>
      <c r="I7" s="91">
        <v>9.4297738839992182E-3</v>
      </c>
      <c r="J7" s="91">
        <f>SUM(H7)*I7</f>
        <v>75438.191071993744</v>
      </c>
      <c r="K7" s="90">
        <v>4700</v>
      </c>
      <c r="L7" s="90">
        <v>8000000</v>
      </c>
      <c r="M7" s="91">
        <v>9.719764881423237E-3</v>
      </c>
      <c r="N7" s="91">
        <f>SUM(L7)*M7</f>
        <v>77758.119051385889</v>
      </c>
      <c r="O7" s="90">
        <v>4700</v>
      </c>
      <c r="P7" s="90">
        <v>8000000</v>
      </c>
      <c r="Q7" s="91">
        <v>1.0043109273756455E-2</v>
      </c>
      <c r="R7" s="91">
        <f>SUM(P7)*Q7</f>
        <v>80344.874190051632</v>
      </c>
      <c r="S7" s="90">
        <v>4700</v>
      </c>
      <c r="T7" s="90">
        <v>8000000</v>
      </c>
      <c r="U7" s="91">
        <v>1.0377349535358424E-2</v>
      </c>
      <c r="V7" s="91">
        <f>SUM(T7)*U7</f>
        <v>83018.796282867392</v>
      </c>
      <c r="W7" s="90">
        <v>4700</v>
      </c>
      <c r="X7" s="90">
        <v>8000000</v>
      </c>
      <c r="Y7" s="91">
        <v>1.0774743239718767E-2</v>
      </c>
      <c r="Z7" s="91">
        <f>SUM(X7)*Y7</f>
        <v>86197.945917750141</v>
      </c>
      <c r="AA7" s="90">
        <v>4700</v>
      </c>
      <c r="AB7" s="90">
        <v>8000000</v>
      </c>
      <c r="AC7" s="91">
        <v>1.1241375400140498E-2</v>
      </c>
      <c r="AD7" s="91">
        <f>SUM(AB7)*AC7</f>
        <v>89931.003201123982</v>
      </c>
      <c r="AE7" s="90">
        <v>4700</v>
      </c>
      <c r="AF7" s="90">
        <v>8000000</v>
      </c>
      <c r="AG7" s="91">
        <v>1.1728367912793407E-2</v>
      </c>
      <c r="AH7" s="91">
        <f>SUM(AF7)*AG7</f>
        <v>93826.943302347252</v>
      </c>
      <c r="AI7" s="90">
        <v>4700</v>
      </c>
    </row>
    <row r="8" spans="1:35" ht="24">
      <c r="A8" s="50" t="s">
        <v>690</v>
      </c>
      <c r="B8" s="50"/>
      <c r="C8" s="50" t="s">
        <v>691</v>
      </c>
      <c r="G8" s="90">
        <v>10</v>
      </c>
      <c r="H8" s="85"/>
      <c r="K8" s="90">
        <v>10</v>
      </c>
      <c r="L8" s="85"/>
      <c r="O8" s="90">
        <v>10</v>
      </c>
      <c r="P8" s="85"/>
      <c r="Q8" s="86"/>
      <c r="R8" s="86"/>
      <c r="S8" s="90">
        <v>10</v>
      </c>
      <c r="T8" s="85"/>
      <c r="U8" s="86"/>
      <c r="V8" s="86"/>
      <c r="W8" s="90">
        <v>10</v>
      </c>
      <c r="X8" s="85"/>
      <c r="Y8" s="86"/>
      <c r="Z8" s="86"/>
      <c r="AA8" s="90">
        <v>10</v>
      </c>
      <c r="AB8" s="85"/>
      <c r="AC8" s="86"/>
      <c r="AD8" s="86"/>
      <c r="AE8" s="90">
        <v>10</v>
      </c>
      <c r="AF8" s="85"/>
      <c r="AG8" s="86"/>
      <c r="AH8" s="86"/>
      <c r="AI8" s="90">
        <v>10</v>
      </c>
    </row>
    <row r="9" spans="1:35" ht="36">
      <c r="A9" s="50" t="s">
        <v>692</v>
      </c>
      <c r="B9" s="50"/>
      <c r="C9" s="50" t="s">
        <v>693</v>
      </c>
      <c r="G9" s="90">
        <v>1575</v>
      </c>
      <c r="H9" s="85"/>
      <c r="K9" s="90">
        <v>1575</v>
      </c>
      <c r="L9" s="85"/>
      <c r="O9" s="90">
        <v>1575</v>
      </c>
      <c r="P9" s="85"/>
      <c r="Q9" s="86"/>
      <c r="R9" s="86"/>
      <c r="S9" s="90">
        <v>1575</v>
      </c>
      <c r="T9" s="85"/>
      <c r="U9" s="86"/>
      <c r="V9" s="86"/>
      <c r="W9" s="90">
        <v>1575</v>
      </c>
      <c r="X9" s="85"/>
      <c r="Y9" s="86"/>
      <c r="Z9" s="86"/>
      <c r="AA9" s="90">
        <v>1575</v>
      </c>
      <c r="AB9" s="85"/>
      <c r="AC9" s="86"/>
      <c r="AD9" s="86"/>
      <c r="AE9" s="90">
        <v>1575</v>
      </c>
      <c r="AF9" s="85"/>
      <c r="AG9" s="86"/>
      <c r="AH9" s="86"/>
      <c r="AI9" s="90">
        <v>1575</v>
      </c>
    </row>
    <row r="10" spans="1:35" ht="36">
      <c r="A10" s="50" t="s">
        <v>694</v>
      </c>
      <c r="B10" s="50"/>
      <c r="C10" s="50" t="s">
        <v>695</v>
      </c>
      <c r="G10" s="90">
        <v>52</v>
      </c>
      <c r="H10" s="85"/>
      <c r="K10" s="90">
        <v>52</v>
      </c>
      <c r="L10" s="85"/>
      <c r="O10" s="90">
        <v>52</v>
      </c>
      <c r="P10" s="85"/>
      <c r="Q10" s="86"/>
      <c r="R10" s="86"/>
      <c r="S10" s="90">
        <v>52</v>
      </c>
      <c r="T10" s="85"/>
      <c r="U10" s="86"/>
      <c r="V10" s="86"/>
      <c r="W10" s="90">
        <v>52</v>
      </c>
      <c r="X10" s="85"/>
      <c r="Y10" s="86"/>
      <c r="Z10" s="86"/>
      <c r="AA10" s="90">
        <v>52</v>
      </c>
      <c r="AB10" s="85"/>
      <c r="AC10" s="86"/>
      <c r="AD10" s="86"/>
      <c r="AE10" s="90">
        <v>52</v>
      </c>
      <c r="AF10" s="85"/>
      <c r="AG10" s="86"/>
      <c r="AH10" s="86"/>
      <c r="AI10" s="90">
        <v>52</v>
      </c>
    </row>
    <row r="11" spans="1:35" ht="36">
      <c r="A11" s="50" t="s">
        <v>696</v>
      </c>
      <c r="C11" s="50" t="s">
        <v>697</v>
      </c>
      <c r="D11" s="90">
        <v>10000</v>
      </c>
      <c r="E11" s="91">
        <v>4.4719580414032203</v>
      </c>
      <c r="F11" s="91">
        <f>SUM(D11)*E11</f>
        <v>44719.5804140322</v>
      </c>
      <c r="G11" s="90">
        <v>12000</v>
      </c>
      <c r="H11" s="90">
        <v>37000</v>
      </c>
      <c r="I11" s="91">
        <v>5.2056256058880095</v>
      </c>
      <c r="J11" s="91">
        <f>SUM(H11)*I11</f>
        <v>192608.14741785635</v>
      </c>
      <c r="K11" s="90">
        <v>12000</v>
      </c>
      <c r="L11" s="90">
        <v>37000</v>
      </c>
      <c r="M11" s="91">
        <v>5.3657126429938504</v>
      </c>
      <c r="N11" s="91">
        <f>SUM(L11)*M11</f>
        <v>198531.36779077246</v>
      </c>
      <c r="O11" s="90">
        <v>12000</v>
      </c>
      <c r="P11" s="90">
        <v>37000</v>
      </c>
      <c r="Q11" s="91">
        <v>5.544212135023689</v>
      </c>
      <c r="R11" s="91">
        <f>SUM(P11)*Q11</f>
        <v>205135.8489958765</v>
      </c>
      <c r="S11" s="90">
        <v>12000</v>
      </c>
      <c r="T11" s="90">
        <v>37000</v>
      </c>
      <c r="U11" s="91">
        <v>5.7287265980127007</v>
      </c>
      <c r="V11" s="91">
        <f>SUM(T11)*U11</f>
        <v>211962.88412646993</v>
      </c>
      <c r="W11" s="90">
        <v>12000</v>
      </c>
      <c r="X11" s="90">
        <v>37000</v>
      </c>
      <c r="Y11" s="91">
        <v>5.9481043761529699</v>
      </c>
      <c r="Z11" s="91">
        <f>SUM(X11)*Y11</f>
        <v>220079.8619176599</v>
      </c>
      <c r="AA11" s="90">
        <v>12000</v>
      </c>
      <c r="AB11" s="90">
        <v>37000</v>
      </c>
      <c r="AC11" s="91">
        <v>6.2057046487262086</v>
      </c>
      <c r="AD11" s="91">
        <f>SUM(AB11)*AC11</f>
        <v>229611.07200286971</v>
      </c>
      <c r="AE11" s="90">
        <v>12000</v>
      </c>
      <c r="AF11" s="90">
        <v>37000</v>
      </c>
      <c r="AG11" s="91">
        <v>6.4745446787128635</v>
      </c>
      <c r="AH11" s="91">
        <f>SUM(AF11)*AG11</f>
        <v>239558.15311237596</v>
      </c>
      <c r="AI11" s="90">
        <v>12000</v>
      </c>
    </row>
    <row r="12" spans="1:35" ht="24">
      <c r="B12" s="50"/>
      <c r="C12" s="17" t="s">
        <v>698</v>
      </c>
      <c r="D12" s="90"/>
      <c r="E12" s="91"/>
      <c r="F12" s="91"/>
      <c r="G12" s="90">
        <v>104</v>
      </c>
      <c r="H12" s="90"/>
      <c r="I12" s="91"/>
      <c r="J12" s="91"/>
      <c r="K12" s="90">
        <v>104</v>
      </c>
      <c r="L12" s="90"/>
      <c r="M12" s="91"/>
      <c r="N12" s="91"/>
      <c r="O12" s="90">
        <v>104</v>
      </c>
      <c r="P12" s="90"/>
      <c r="Q12" s="91"/>
      <c r="R12" s="91"/>
      <c r="S12" s="90">
        <v>104</v>
      </c>
      <c r="T12" s="90"/>
      <c r="U12" s="91"/>
      <c r="V12" s="91"/>
      <c r="W12" s="90">
        <v>104</v>
      </c>
      <c r="X12" s="90"/>
      <c r="Y12" s="91"/>
      <c r="Z12" s="91"/>
      <c r="AA12" s="90">
        <v>104</v>
      </c>
      <c r="AB12" s="90"/>
      <c r="AC12" s="91"/>
      <c r="AD12" s="91"/>
      <c r="AE12" s="90">
        <v>104</v>
      </c>
      <c r="AF12" s="90"/>
      <c r="AG12" s="91"/>
      <c r="AH12" s="91"/>
      <c r="AI12" s="90">
        <v>104</v>
      </c>
    </row>
    <row r="13" spans="1:35">
      <c r="A13" s="50" t="s">
        <v>699</v>
      </c>
      <c r="B13" s="50"/>
      <c r="C13" s="50" t="s">
        <v>700</v>
      </c>
      <c r="D13" s="90">
        <v>1000</v>
      </c>
      <c r="E13" s="91">
        <v>4.6329485308937359</v>
      </c>
      <c r="F13" s="91">
        <f>SUM(D13)*E13</f>
        <v>4632.9485308937356</v>
      </c>
      <c r="G13" s="90">
        <v>336</v>
      </c>
      <c r="H13" s="90">
        <v>1000</v>
      </c>
      <c r="I13" s="91">
        <v>5.3930281276999779</v>
      </c>
      <c r="J13" s="91">
        <f>SUM(H13)*I13</f>
        <v>5393.0281276999776</v>
      </c>
      <c r="K13" s="90">
        <v>336</v>
      </c>
      <c r="L13" s="90">
        <v>1000</v>
      </c>
      <c r="M13" s="91">
        <v>5.5588782981416278</v>
      </c>
      <c r="N13" s="91">
        <f>SUM(L13)*M13</f>
        <v>5558.878298141628</v>
      </c>
      <c r="O13" s="90">
        <v>336</v>
      </c>
      <c r="P13" s="90">
        <v>1000</v>
      </c>
      <c r="Q13" s="91">
        <v>5.7438037718845418</v>
      </c>
      <c r="R13" s="91">
        <f>SUM(P13)*Q13</f>
        <v>5743.8037718845417</v>
      </c>
      <c r="S13" s="90">
        <v>336</v>
      </c>
      <c r="T13" s="90">
        <v>1000</v>
      </c>
      <c r="U13" s="91">
        <v>5.9349607555411579</v>
      </c>
      <c r="V13" s="91">
        <f>SUM(T13)*U13</f>
        <v>5934.9607555411576</v>
      </c>
      <c r="W13" s="90">
        <v>336</v>
      </c>
      <c r="X13" s="90">
        <v>1000</v>
      </c>
      <c r="Y13" s="91">
        <v>6.1622361336944769</v>
      </c>
      <c r="Z13" s="91">
        <f>SUM(X13)*Y13</f>
        <v>6162.2361336944768</v>
      </c>
      <c r="AA13" s="90">
        <v>336</v>
      </c>
      <c r="AB13" s="90">
        <v>1000</v>
      </c>
      <c r="AC13" s="91">
        <v>6.4291100160803518</v>
      </c>
      <c r="AD13" s="91">
        <f>SUM(AB13)*AC13</f>
        <v>6429.1100160803517</v>
      </c>
      <c r="AE13" s="90">
        <v>336</v>
      </c>
      <c r="AF13" s="90">
        <v>1000</v>
      </c>
      <c r="AG13" s="91">
        <v>6.7076282871465267</v>
      </c>
      <c r="AH13" s="91">
        <f>SUM(AF13)*AG13</f>
        <v>6707.6282871465264</v>
      </c>
      <c r="AI13" s="90">
        <v>336</v>
      </c>
    </row>
    <row r="14" spans="1:35">
      <c r="A14" s="50" t="s">
        <v>701</v>
      </c>
      <c r="B14" s="88"/>
      <c r="C14" s="89" t="s">
        <v>702</v>
      </c>
      <c r="H14" s="85"/>
      <c r="K14" s="85"/>
      <c r="L14" s="85"/>
      <c r="O14" s="85"/>
      <c r="P14" s="85"/>
      <c r="Q14" s="86"/>
      <c r="R14" s="86"/>
      <c r="S14" s="85"/>
      <c r="T14" s="85"/>
      <c r="U14" s="86"/>
      <c r="V14" s="86"/>
      <c r="W14" s="85"/>
      <c r="X14" s="85"/>
      <c r="Y14" s="86"/>
      <c r="Z14" s="86"/>
      <c r="AA14" s="85"/>
      <c r="AB14" s="85"/>
      <c r="AC14" s="86"/>
      <c r="AD14" s="86"/>
      <c r="AE14" s="85"/>
      <c r="AF14" s="85"/>
      <c r="AG14" s="86"/>
      <c r="AH14" s="86"/>
      <c r="AI14" s="85"/>
    </row>
    <row r="15" spans="1:35">
      <c r="A15" s="50" t="s">
        <v>703</v>
      </c>
      <c r="B15" s="50"/>
      <c r="C15" s="50" t="s">
        <v>655</v>
      </c>
      <c r="H15" s="85"/>
      <c r="K15" s="85"/>
      <c r="L15" s="85"/>
      <c r="O15" s="85"/>
      <c r="P15" s="85"/>
      <c r="Q15" s="86"/>
      <c r="R15" s="86"/>
      <c r="S15" s="85"/>
      <c r="T15" s="85"/>
      <c r="U15" s="86"/>
      <c r="V15" s="86"/>
      <c r="W15" s="85"/>
      <c r="X15" s="85"/>
      <c r="Y15" s="86"/>
      <c r="Z15" s="86"/>
      <c r="AA15" s="85"/>
      <c r="AB15" s="85"/>
      <c r="AC15" s="86"/>
      <c r="AD15" s="86"/>
      <c r="AE15" s="85"/>
      <c r="AF15" s="85"/>
      <c r="AG15" s="86"/>
      <c r="AH15" s="86"/>
      <c r="AI15" s="85"/>
    </row>
    <row r="16" spans="1:35">
      <c r="A16" s="50" t="s">
        <v>704</v>
      </c>
      <c r="B16" s="50"/>
      <c r="C16" s="93" t="s">
        <v>410</v>
      </c>
      <c r="H16" s="85"/>
      <c r="K16" s="85"/>
      <c r="L16" s="85"/>
      <c r="O16" s="85"/>
      <c r="P16" s="85"/>
      <c r="Q16" s="86"/>
      <c r="R16" s="86"/>
      <c r="S16" s="85"/>
      <c r="T16" s="85"/>
      <c r="U16" s="86"/>
      <c r="V16" s="86"/>
      <c r="W16" s="85"/>
      <c r="X16" s="85"/>
      <c r="Y16" s="86"/>
      <c r="Z16" s="86"/>
      <c r="AA16" s="85"/>
      <c r="AB16" s="85"/>
      <c r="AC16" s="86"/>
      <c r="AD16" s="86"/>
      <c r="AE16" s="85"/>
      <c r="AF16" s="85"/>
      <c r="AG16" s="86"/>
      <c r="AH16" s="86"/>
      <c r="AI16" s="85"/>
    </row>
    <row r="17" spans="1:35" ht="60">
      <c r="A17" s="50" t="s">
        <v>705</v>
      </c>
      <c r="B17" s="50"/>
      <c r="C17" s="13" t="s">
        <v>516</v>
      </c>
      <c r="H17" s="85"/>
      <c r="K17" s="85"/>
      <c r="L17" s="85"/>
      <c r="O17" s="85"/>
      <c r="P17" s="85"/>
      <c r="Q17" s="86"/>
      <c r="R17" s="86"/>
      <c r="S17" s="85"/>
      <c r="T17" s="85"/>
      <c r="U17" s="86"/>
      <c r="V17" s="86"/>
      <c r="W17" s="85"/>
      <c r="X17" s="85"/>
      <c r="Y17" s="86"/>
      <c r="Z17" s="86"/>
      <c r="AA17" s="85"/>
      <c r="AB17" s="85"/>
      <c r="AC17" s="86"/>
      <c r="AD17" s="86"/>
      <c r="AE17" s="85"/>
      <c r="AF17" s="85"/>
      <c r="AG17" s="86"/>
      <c r="AH17" s="86"/>
      <c r="AI17" s="85"/>
    </row>
    <row r="18" spans="1:35">
      <c r="A18" s="50" t="s">
        <v>706</v>
      </c>
      <c r="B18" s="50"/>
      <c r="C18" s="89" t="s">
        <v>320</v>
      </c>
      <c r="H18" s="85"/>
      <c r="K18" s="85"/>
      <c r="L18" s="85"/>
      <c r="O18" s="85"/>
      <c r="P18" s="85"/>
      <c r="Q18" s="86"/>
      <c r="R18" s="86"/>
      <c r="S18" s="85"/>
      <c r="T18" s="85"/>
      <c r="U18" s="86"/>
      <c r="V18" s="86"/>
      <c r="W18" s="85"/>
      <c r="X18" s="85"/>
      <c r="Y18" s="86"/>
      <c r="Z18" s="86"/>
      <c r="AA18" s="85"/>
      <c r="AB18" s="85"/>
      <c r="AC18" s="86"/>
      <c r="AD18" s="86"/>
      <c r="AE18" s="85"/>
      <c r="AF18" s="85"/>
      <c r="AG18" s="86"/>
      <c r="AH18" s="86"/>
      <c r="AI18" s="85"/>
    </row>
    <row r="19" spans="1:35" ht="36">
      <c r="A19" s="50" t="s">
        <v>707</v>
      </c>
      <c r="B19" s="50"/>
      <c r="C19" s="50" t="s">
        <v>708</v>
      </c>
      <c r="G19" s="90">
        <v>15</v>
      </c>
      <c r="H19" s="85"/>
      <c r="K19" s="90">
        <v>15</v>
      </c>
      <c r="L19" s="85"/>
      <c r="O19" s="90">
        <v>15</v>
      </c>
      <c r="P19" s="85"/>
      <c r="Q19" s="86"/>
      <c r="R19" s="86"/>
      <c r="S19" s="90">
        <v>15</v>
      </c>
      <c r="T19" s="85"/>
      <c r="U19" s="86"/>
      <c r="V19" s="86"/>
      <c r="W19" s="90">
        <v>15</v>
      </c>
      <c r="X19" s="85"/>
      <c r="Y19" s="86"/>
      <c r="Z19" s="86"/>
      <c r="AA19" s="90">
        <v>15</v>
      </c>
      <c r="AB19" s="85"/>
      <c r="AC19" s="86"/>
      <c r="AD19" s="86"/>
      <c r="AE19" s="90">
        <v>15</v>
      </c>
      <c r="AF19" s="85"/>
      <c r="AG19" s="86"/>
      <c r="AH19" s="86"/>
      <c r="AI19" s="90">
        <v>15</v>
      </c>
    </row>
    <row r="20" spans="1:35" ht="24">
      <c r="A20" s="50" t="s">
        <v>709</v>
      </c>
      <c r="B20" s="50"/>
      <c r="C20" s="50" t="s">
        <v>710</v>
      </c>
      <c r="G20" s="90">
        <v>375</v>
      </c>
      <c r="H20" s="85"/>
      <c r="K20" s="90">
        <v>375</v>
      </c>
      <c r="L20" s="85"/>
      <c r="O20" s="90">
        <v>375</v>
      </c>
      <c r="P20" s="85"/>
      <c r="Q20" s="86"/>
      <c r="R20" s="86"/>
      <c r="S20" s="90">
        <v>375</v>
      </c>
      <c r="T20" s="85"/>
      <c r="U20" s="86"/>
      <c r="V20" s="86"/>
      <c r="W20" s="90">
        <v>375</v>
      </c>
      <c r="X20" s="85"/>
      <c r="Y20" s="86"/>
      <c r="Z20" s="86"/>
      <c r="AA20" s="90">
        <v>375</v>
      </c>
      <c r="AB20" s="85"/>
      <c r="AC20" s="86"/>
      <c r="AD20" s="86"/>
      <c r="AE20" s="90">
        <v>375</v>
      </c>
      <c r="AF20" s="85"/>
      <c r="AG20" s="86"/>
      <c r="AH20" s="86"/>
      <c r="AI20" s="90">
        <v>375</v>
      </c>
    </row>
    <row r="21" spans="1:35" ht="24">
      <c r="A21" s="13" t="s">
        <v>711</v>
      </c>
      <c r="B21" s="50"/>
      <c r="C21" s="50" t="s">
        <v>712</v>
      </c>
      <c r="G21" s="90">
        <v>26</v>
      </c>
      <c r="H21" s="85"/>
      <c r="K21" s="90">
        <v>26</v>
      </c>
      <c r="L21" s="85"/>
      <c r="O21" s="90">
        <v>26</v>
      </c>
      <c r="P21" s="85"/>
      <c r="Q21" s="86"/>
      <c r="R21" s="86"/>
      <c r="S21" s="90">
        <v>26</v>
      </c>
      <c r="T21" s="85"/>
      <c r="U21" s="86"/>
      <c r="V21" s="86"/>
      <c r="W21" s="90">
        <v>26</v>
      </c>
      <c r="X21" s="85"/>
      <c r="Y21" s="86"/>
      <c r="Z21" s="86"/>
      <c r="AA21" s="90">
        <v>26</v>
      </c>
      <c r="AB21" s="85"/>
      <c r="AC21" s="86"/>
      <c r="AD21" s="86"/>
      <c r="AE21" s="90">
        <v>26</v>
      </c>
      <c r="AF21" s="85"/>
      <c r="AG21" s="86"/>
      <c r="AH21" s="86"/>
      <c r="AI21" s="90">
        <v>26</v>
      </c>
    </row>
    <row r="22" spans="1:35" ht="36">
      <c r="A22" s="50" t="s">
        <v>713</v>
      </c>
      <c r="B22" s="50"/>
      <c r="C22" s="17" t="s">
        <v>714</v>
      </c>
      <c r="G22" s="90">
        <v>750</v>
      </c>
      <c r="H22" s="85"/>
      <c r="K22" s="90">
        <v>750</v>
      </c>
      <c r="L22" s="85"/>
      <c r="O22" s="90">
        <v>750</v>
      </c>
      <c r="P22" s="85"/>
      <c r="Q22" s="86"/>
      <c r="R22" s="86"/>
      <c r="S22" s="90">
        <v>750</v>
      </c>
      <c r="T22" s="85"/>
      <c r="U22" s="86"/>
      <c r="V22" s="86"/>
      <c r="W22" s="90">
        <v>750</v>
      </c>
      <c r="X22" s="85"/>
      <c r="Y22" s="86"/>
      <c r="Z22" s="86"/>
      <c r="AA22" s="90">
        <v>750</v>
      </c>
      <c r="AB22" s="85"/>
      <c r="AC22" s="86"/>
      <c r="AD22" s="86"/>
      <c r="AE22" s="90">
        <v>750</v>
      </c>
      <c r="AF22" s="85"/>
      <c r="AG22" s="86"/>
      <c r="AH22" s="86"/>
      <c r="AI22" s="90">
        <v>750</v>
      </c>
    </row>
    <row r="23" spans="1:35" ht="24">
      <c r="A23" s="13" t="s">
        <v>715</v>
      </c>
      <c r="B23" s="50"/>
      <c r="C23" s="50" t="s">
        <v>716</v>
      </c>
      <c r="G23" s="90">
        <v>26</v>
      </c>
      <c r="H23" s="85"/>
      <c r="K23" s="90">
        <v>26</v>
      </c>
      <c r="L23" s="85"/>
      <c r="O23" s="90">
        <v>26</v>
      </c>
      <c r="P23" s="85"/>
      <c r="Q23" s="86"/>
      <c r="R23" s="86"/>
      <c r="S23" s="90">
        <v>26</v>
      </c>
      <c r="T23" s="85"/>
      <c r="U23" s="86"/>
      <c r="V23" s="86"/>
      <c r="W23" s="90">
        <v>26</v>
      </c>
      <c r="X23" s="85"/>
      <c r="Y23" s="86"/>
      <c r="Z23" s="86"/>
      <c r="AA23" s="90">
        <v>26</v>
      </c>
      <c r="AB23" s="85"/>
      <c r="AC23" s="86"/>
      <c r="AD23" s="86"/>
      <c r="AE23" s="90">
        <v>26</v>
      </c>
      <c r="AF23" s="85"/>
      <c r="AG23" s="86"/>
      <c r="AH23" s="86"/>
      <c r="AI23" s="90">
        <v>26</v>
      </c>
    </row>
    <row r="24" spans="1:35">
      <c r="A24" s="50" t="s">
        <v>717</v>
      </c>
      <c r="B24" s="50"/>
      <c r="C24" s="89" t="s">
        <v>718</v>
      </c>
      <c r="H24" s="85"/>
      <c r="K24" s="85"/>
      <c r="L24" s="85"/>
      <c r="O24" s="85"/>
      <c r="P24" s="85"/>
      <c r="Q24" s="86"/>
      <c r="R24" s="86"/>
      <c r="S24" s="85"/>
      <c r="T24" s="85"/>
      <c r="U24" s="86"/>
      <c r="V24" s="86"/>
      <c r="W24" s="85"/>
      <c r="X24" s="85"/>
      <c r="Y24" s="86"/>
      <c r="Z24" s="86"/>
      <c r="AA24" s="85"/>
      <c r="AB24" s="85"/>
      <c r="AC24" s="86"/>
      <c r="AD24" s="86"/>
      <c r="AE24" s="85"/>
      <c r="AF24" s="85"/>
      <c r="AG24" s="86"/>
      <c r="AH24" s="86"/>
      <c r="AI24" s="85"/>
    </row>
    <row r="25" spans="1:35">
      <c r="A25" s="92" t="s">
        <v>719</v>
      </c>
      <c r="B25" s="50"/>
      <c r="C25" s="89" t="s">
        <v>720</v>
      </c>
      <c r="H25" s="85"/>
      <c r="K25" s="85"/>
      <c r="L25" s="85"/>
      <c r="O25" s="85"/>
      <c r="P25" s="85"/>
      <c r="Q25" s="86"/>
      <c r="R25" s="86"/>
      <c r="S25" s="85"/>
      <c r="T25" s="85"/>
      <c r="U25" s="86"/>
      <c r="V25" s="86"/>
      <c r="W25" s="85"/>
      <c r="X25" s="85"/>
      <c r="Y25" s="86"/>
      <c r="Z25" s="86"/>
      <c r="AA25" s="85"/>
      <c r="AB25" s="85"/>
      <c r="AC25" s="86"/>
      <c r="AD25" s="86"/>
      <c r="AE25" s="85"/>
      <c r="AF25" s="85"/>
      <c r="AG25" s="86"/>
      <c r="AH25" s="86"/>
      <c r="AI25" s="85"/>
    </row>
    <row r="26" spans="1:35" ht="24">
      <c r="A26" s="50" t="s">
        <v>721</v>
      </c>
      <c r="B26" s="50"/>
      <c r="C26" s="50" t="s">
        <v>722</v>
      </c>
      <c r="G26" s="90">
        <v>52</v>
      </c>
      <c r="H26" s="85"/>
      <c r="K26" s="90">
        <v>52</v>
      </c>
      <c r="L26" s="85"/>
      <c r="O26" s="90">
        <v>52</v>
      </c>
      <c r="P26" s="85"/>
      <c r="Q26" s="86"/>
      <c r="R26" s="86"/>
      <c r="S26" s="90">
        <v>52</v>
      </c>
      <c r="T26" s="85"/>
      <c r="U26" s="86"/>
      <c r="V26" s="86"/>
      <c r="W26" s="90">
        <v>52</v>
      </c>
      <c r="X26" s="85"/>
      <c r="Y26" s="86"/>
      <c r="Z26" s="86"/>
      <c r="AA26" s="90">
        <v>52</v>
      </c>
      <c r="AB26" s="85"/>
      <c r="AC26" s="86"/>
      <c r="AD26" s="86"/>
      <c r="AE26" s="90">
        <v>52</v>
      </c>
      <c r="AF26" s="85"/>
      <c r="AG26" s="86"/>
      <c r="AH26" s="86"/>
      <c r="AI26" s="90">
        <v>52</v>
      </c>
    </row>
    <row r="27" spans="1:35" ht="108">
      <c r="A27" s="50" t="s">
        <v>723</v>
      </c>
      <c r="B27" s="50"/>
      <c r="C27" s="50" t="s">
        <v>724</v>
      </c>
      <c r="G27" s="90">
        <v>25</v>
      </c>
      <c r="H27" s="85"/>
      <c r="K27" s="90">
        <v>25</v>
      </c>
      <c r="L27" s="85"/>
      <c r="O27" s="90">
        <v>25</v>
      </c>
      <c r="P27" s="85"/>
      <c r="Q27" s="86"/>
      <c r="R27" s="86"/>
      <c r="S27" s="90">
        <v>25</v>
      </c>
      <c r="T27" s="85"/>
      <c r="U27" s="86"/>
      <c r="V27" s="86"/>
      <c r="W27" s="90">
        <v>25</v>
      </c>
      <c r="X27" s="85"/>
      <c r="Y27" s="86"/>
      <c r="Z27" s="86"/>
      <c r="AA27" s="90">
        <v>25</v>
      </c>
      <c r="AB27" s="85"/>
      <c r="AC27" s="86"/>
      <c r="AD27" s="86"/>
      <c r="AE27" s="90">
        <v>25</v>
      </c>
      <c r="AF27" s="85"/>
      <c r="AG27" s="86"/>
      <c r="AH27" s="86"/>
      <c r="AI27" s="90">
        <v>25</v>
      </c>
    </row>
    <row r="28" spans="1:35" ht="72">
      <c r="A28" s="50" t="s">
        <v>725</v>
      </c>
      <c r="B28" s="50"/>
      <c r="C28" s="50" t="s">
        <v>726</v>
      </c>
      <c r="G28" s="90">
        <v>25</v>
      </c>
      <c r="H28" s="85"/>
      <c r="K28" s="90">
        <v>25</v>
      </c>
      <c r="L28" s="85"/>
      <c r="O28" s="90">
        <v>25</v>
      </c>
      <c r="P28" s="85"/>
      <c r="Q28" s="86"/>
      <c r="R28" s="86"/>
      <c r="S28" s="90">
        <v>25</v>
      </c>
      <c r="T28" s="85"/>
      <c r="U28" s="86"/>
      <c r="V28" s="86"/>
      <c r="W28" s="90">
        <v>25</v>
      </c>
      <c r="X28" s="85"/>
      <c r="Y28" s="86"/>
      <c r="Z28" s="86"/>
      <c r="AA28" s="90">
        <v>25</v>
      </c>
      <c r="AB28" s="85"/>
      <c r="AC28" s="86"/>
      <c r="AD28" s="86"/>
      <c r="AE28" s="90">
        <v>25</v>
      </c>
      <c r="AF28" s="85"/>
      <c r="AG28" s="86"/>
      <c r="AH28" s="86"/>
      <c r="AI28" s="90">
        <v>25</v>
      </c>
    </row>
    <row r="29" spans="1:35" ht="72">
      <c r="A29" s="50" t="s">
        <v>727</v>
      </c>
      <c r="B29" s="50"/>
      <c r="C29" s="50" t="s">
        <v>728</v>
      </c>
      <c r="G29" s="90">
        <v>10</v>
      </c>
      <c r="H29" s="85"/>
      <c r="K29" s="90">
        <v>10</v>
      </c>
      <c r="L29" s="85"/>
      <c r="O29" s="90">
        <v>10</v>
      </c>
      <c r="P29" s="85"/>
      <c r="Q29" s="86"/>
      <c r="R29" s="86"/>
      <c r="S29" s="90">
        <v>10</v>
      </c>
      <c r="T29" s="85"/>
      <c r="U29" s="86"/>
      <c r="V29" s="86"/>
      <c r="W29" s="90">
        <v>10</v>
      </c>
      <c r="X29" s="85"/>
      <c r="Y29" s="86"/>
      <c r="Z29" s="86"/>
      <c r="AA29" s="90">
        <v>10</v>
      </c>
      <c r="AB29" s="85"/>
      <c r="AC29" s="86"/>
      <c r="AD29" s="86"/>
      <c r="AE29" s="90">
        <v>10</v>
      </c>
      <c r="AF29" s="85"/>
      <c r="AG29" s="86"/>
      <c r="AH29" s="86"/>
      <c r="AI29" s="90">
        <v>10</v>
      </c>
    </row>
    <row r="30" spans="1:35">
      <c r="A30" s="50" t="s">
        <v>729</v>
      </c>
      <c r="B30" s="50"/>
      <c r="C30" s="89" t="s">
        <v>730</v>
      </c>
      <c r="H30" s="85"/>
      <c r="K30" s="85"/>
      <c r="L30" s="85"/>
      <c r="O30" s="85"/>
      <c r="P30" s="85"/>
      <c r="Q30" s="86"/>
      <c r="R30" s="86"/>
      <c r="S30" s="85"/>
      <c r="T30" s="85"/>
      <c r="U30" s="86"/>
      <c r="V30" s="86"/>
      <c r="W30" s="85"/>
      <c r="X30" s="85"/>
      <c r="Y30" s="86"/>
      <c r="Z30" s="86"/>
      <c r="AA30" s="85"/>
      <c r="AB30" s="85"/>
      <c r="AC30" s="86"/>
      <c r="AD30" s="86"/>
      <c r="AE30" s="85"/>
      <c r="AF30" s="85"/>
      <c r="AG30" s="86"/>
      <c r="AH30" s="86"/>
      <c r="AI30" s="85"/>
    </row>
    <row r="31" spans="1:35" ht="60">
      <c r="A31" s="50" t="s">
        <v>731</v>
      </c>
      <c r="B31" s="50"/>
      <c r="C31" s="50" t="s">
        <v>732</v>
      </c>
      <c r="G31" s="90">
        <v>10</v>
      </c>
      <c r="H31" s="85"/>
      <c r="K31" s="90">
        <v>10</v>
      </c>
      <c r="L31" s="85"/>
      <c r="O31" s="90">
        <v>10</v>
      </c>
      <c r="P31" s="85"/>
      <c r="Q31" s="86"/>
      <c r="R31" s="86"/>
      <c r="S31" s="90">
        <v>10</v>
      </c>
      <c r="T31" s="85"/>
      <c r="U31" s="86"/>
      <c r="V31" s="86"/>
      <c r="W31" s="90">
        <v>10</v>
      </c>
      <c r="X31" s="85"/>
      <c r="Y31" s="86"/>
      <c r="Z31" s="86"/>
      <c r="AA31" s="90">
        <v>10</v>
      </c>
      <c r="AB31" s="85"/>
      <c r="AC31" s="86"/>
      <c r="AD31" s="86"/>
      <c r="AE31" s="90">
        <v>10</v>
      </c>
      <c r="AF31" s="85"/>
      <c r="AG31" s="86"/>
      <c r="AH31" s="86"/>
      <c r="AI31" s="90">
        <v>10</v>
      </c>
    </row>
    <row r="32" spans="1:35" ht="60">
      <c r="A32" s="50" t="s">
        <v>733</v>
      </c>
      <c r="B32" s="50"/>
      <c r="C32" s="50" t="s">
        <v>734</v>
      </c>
      <c r="G32" s="90">
        <v>25</v>
      </c>
      <c r="H32" s="85"/>
      <c r="K32" s="90">
        <v>25</v>
      </c>
      <c r="L32" s="85"/>
      <c r="O32" s="90">
        <v>25</v>
      </c>
      <c r="P32" s="85"/>
      <c r="Q32" s="86"/>
      <c r="R32" s="86"/>
      <c r="S32" s="90">
        <v>25</v>
      </c>
      <c r="T32" s="85"/>
      <c r="U32" s="86"/>
      <c r="V32" s="86"/>
      <c r="W32" s="90">
        <v>25</v>
      </c>
      <c r="X32" s="85"/>
      <c r="Y32" s="86"/>
      <c r="Z32" s="86"/>
      <c r="AA32" s="90">
        <v>25</v>
      </c>
      <c r="AB32" s="85"/>
      <c r="AC32" s="86"/>
      <c r="AD32" s="86"/>
      <c r="AE32" s="90">
        <v>25</v>
      </c>
      <c r="AF32" s="85"/>
      <c r="AG32" s="86"/>
      <c r="AH32" s="86"/>
      <c r="AI32" s="90">
        <v>25</v>
      </c>
    </row>
    <row r="33" spans="1:38" ht="96">
      <c r="A33" s="57" t="s">
        <v>735</v>
      </c>
      <c r="B33" s="57"/>
      <c r="C33" s="57" t="s">
        <v>736</v>
      </c>
      <c r="D33" s="94"/>
      <c r="E33" s="95"/>
      <c r="F33" s="95"/>
      <c r="G33" s="90">
        <v>2</v>
      </c>
      <c r="H33" s="94"/>
      <c r="I33" s="95"/>
      <c r="J33" s="95"/>
      <c r="K33" s="90">
        <v>2</v>
      </c>
      <c r="L33" s="94"/>
      <c r="M33" s="95"/>
      <c r="N33" s="95"/>
      <c r="O33" s="90">
        <v>2</v>
      </c>
      <c r="P33" s="94"/>
      <c r="Q33" s="95"/>
      <c r="R33" s="95"/>
      <c r="S33" s="90">
        <v>2</v>
      </c>
      <c r="T33" s="94"/>
      <c r="U33" s="95"/>
      <c r="V33" s="95"/>
      <c r="W33" s="90">
        <v>2</v>
      </c>
      <c r="X33" s="94"/>
      <c r="Y33" s="95"/>
      <c r="Z33" s="95"/>
      <c r="AA33" s="90">
        <v>2</v>
      </c>
      <c r="AB33" s="94"/>
      <c r="AC33" s="95"/>
      <c r="AD33" s="95"/>
      <c r="AE33" s="90">
        <v>2</v>
      </c>
      <c r="AF33" s="94"/>
      <c r="AG33" s="95"/>
      <c r="AH33" s="95"/>
      <c r="AI33" s="90">
        <v>2</v>
      </c>
    </row>
    <row r="34" spans="1:38">
      <c r="A34" s="28"/>
      <c r="B34" s="96"/>
      <c r="C34" s="96"/>
      <c r="D34" s="97"/>
      <c r="E34" s="98"/>
      <c r="F34" s="98"/>
      <c r="G34" s="99">
        <f>SUM(G3:G33)</f>
        <v>25568</v>
      </c>
      <c r="H34" s="99">
        <f t="shared" ref="H34:AI34" si="0">SUM(H3:H33)</f>
        <v>8039500</v>
      </c>
      <c r="I34" s="99">
        <f t="shared" si="0"/>
        <v>68.92555036454516</v>
      </c>
      <c r="J34" s="99">
        <f t="shared" si="0"/>
        <v>360915.56690315984</v>
      </c>
      <c r="K34" s="99">
        <f t="shared" si="0"/>
        <v>25568</v>
      </c>
      <c r="L34" s="99">
        <f t="shared" si="0"/>
        <v>8039500</v>
      </c>
      <c r="M34" s="99">
        <f t="shared" si="0"/>
        <v>71.045197064889678</v>
      </c>
      <c r="N34" s="99">
        <f t="shared" si="0"/>
        <v>372014.69467860914</v>
      </c>
      <c r="O34" s="99">
        <f t="shared" si="0"/>
        <v>25568</v>
      </c>
      <c r="P34" s="99">
        <f t="shared" si="0"/>
        <v>8039500</v>
      </c>
      <c r="Q34" s="99">
        <f t="shared" si="0"/>
        <v>73.408635517711261</v>
      </c>
      <c r="R34" s="99">
        <f t="shared" si="0"/>
        <v>384390.39171010657</v>
      </c>
      <c r="S34" s="99">
        <f t="shared" si="0"/>
        <v>25568</v>
      </c>
      <c r="T34" s="99">
        <f t="shared" si="0"/>
        <v>8039500</v>
      </c>
      <c r="U34" s="99">
        <f t="shared" si="0"/>
        <v>75.851715730270385</v>
      </c>
      <c r="V34" s="99">
        <f t="shared" si="0"/>
        <v>397183.11770565022</v>
      </c>
      <c r="W34" s="99">
        <f t="shared" si="0"/>
        <v>25568</v>
      </c>
      <c r="X34" s="99">
        <f t="shared" si="0"/>
        <v>8039500</v>
      </c>
      <c r="Y34" s="99">
        <f t="shared" si="0"/>
        <v>78.756406778156418</v>
      </c>
      <c r="Z34" s="99">
        <f t="shared" si="0"/>
        <v>412392.98125670839</v>
      </c>
      <c r="AA34" s="99">
        <f t="shared" si="0"/>
        <v>25568</v>
      </c>
      <c r="AB34" s="99">
        <f t="shared" si="0"/>
        <v>8039500</v>
      </c>
      <c r="AC34" s="99">
        <f t="shared" si="0"/>
        <v>82.16718617440894</v>
      </c>
      <c r="AD34" s="99">
        <f t="shared" si="0"/>
        <v>430252.88042137743</v>
      </c>
      <c r="AE34" s="99">
        <f t="shared" si="0"/>
        <v>25568</v>
      </c>
      <c r="AF34" s="99">
        <f t="shared" si="0"/>
        <v>8039500</v>
      </c>
      <c r="AG34" s="99">
        <f t="shared" si="0"/>
        <v>85.726786581686014</v>
      </c>
      <c r="AH34" s="99">
        <f t="shared" si="0"/>
        <v>448892.05257374042</v>
      </c>
      <c r="AI34" s="99">
        <f t="shared" si="0"/>
        <v>25568</v>
      </c>
    </row>
    <row r="35" spans="1:38" s="65" customFormat="1" ht="16.5">
      <c r="A35" s="64"/>
      <c r="D35" s="341"/>
      <c r="E35" s="341"/>
      <c r="F35" s="341"/>
      <c r="G35" s="81" t="s">
        <v>385</v>
      </c>
      <c r="H35" s="341"/>
      <c r="I35" s="341"/>
      <c r="J35" s="341"/>
      <c r="K35" s="81" t="s">
        <v>385</v>
      </c>
      <c r="L35" s="68"/>
      <c r="M35" s="341"/>
      <c r="N35" s="341"/>
      <c r="O35" s="81" t="s">
        <v>385</v>
      </c>
      <c r="P35" s="341"/>
      <c r="Q35" s="341"/>
      <c r="R35" s="341"/>
      <c r="S35" s="81" t="s">
        <v>385</v>
      </c>
      <c r="T35" s="341"/>
      <c r="U35" s="341"/>
      <c r="V35" s="341"/>
      <c r="W35" s="81" t="s">
        <v>385</v>
      </c>
      <c r="X35" s="341"/>
      <c r="Y35" s="341"/>
      <c r="Z35" s="341"/>
      <c r="AA35" s="81" t="s">
        <v>385</v>
      </c>
      <c r="AB35" s="341"/>
      <c r="AC35" s="341"/>
      <c r="AD35" s="341"/>
      <c r="AE35" s="81" t="s">
        <v>385</v>
      </c>
      <c r="AF35" s="341"/>
      <c r="AG35" s="341"/>
      <c r="AH35" s="341"/>
      <c r="AI35" s="81" t="s">
        <v>385</v>
      </c>
    </row>
    <row r="36" spans="1:38" s="100" customFormat="1" ht="49.5">
      <c r="A36" s="69"/>
      <c r="D36" s="71"/>
      <c r="E36" s="72"/>
      <c r="F36" s="72"/>
      <c r="G36" s="73" t="s">
        <v>189</v>
      </c>
      <c r="H36" s="74"/>
      <c r="I36" s="72"/>
      <c r="J36" s="72"/>
      <c r="K36" s="73" t="s">
        <v>190</v>
      </c>
      <c r="L36" s="74"/>
      <c r="M36" s="72"/>
      <c r="N36" s="72"/>
      <c r="O36" s="73" t="s">
        <v>191</v>
      </c>
      <c r="P36" s="75"/>
      <c r="Q36" s="72"/>
      <c r="R36" s="72"/>
      <c r="S36" s="73" t="s">
        <v>192</v>
      </c>
      <c r="T36" s="75"/>
      <c r="U36" s="72"/>
      <c r="V36" s="72"/>
      <c r="W36" s="73" t="s">
        <v>193</v>
      </c>
      <c r="X36" s="75"/>
      <c r="Y36" s="72"/>
      <c r="Z36" s="72"/>
      <c r="AA36" s="73" t="s">
        <v>194</v>
      </c>
      <c r="AB36" s="75"/>
      <c r="AC36" s="72"/>
      <c r="AD36" s="72"/>
      <c r="AE36" s="73" t="s">
        <v>251</v>
      </c>
      <c r="AF36" s="75"/>
      <c r="AG36" s="72"/>
      <c r="AH36" s="72"/>
      <c r="AI36" s="73" t="s">
        <v>252</v>
      </c>
    </row>
    <row r="37" spans="1:38" s="100" customFormat="1" ht="16.5">
      <c r="A37" s="69"/>
      <c r="C37" s="184" t="s">
        <v>386</v>
      </c>
      <c r="D37" s="71"/>
      <c r="E37" s="72"/>
      <c r="F37" s="72"/>
      <c r="G37" s="91">
        <f>SUM(G38:G43)</f>
        <v>398145.32154134236</v>
      </c>
      <c r="H37" s="91">
        <f t="shared" ref="H37:AI37" si="1">SUM(H38:H43)</f>
        <v>0</v>
      </c>
      <c r="I37" s="91">
        <f t="shared" si="1"/>
        <v>0</v>
      </c>
      <c r="J37" s="91">
        <f t="shared" si="1"/>
        <v>0</v>
      </c>
      <c r="K37" s="91">
        <f t="shared" si="1"/>
        <v>413894.52943164593</v>
      </c>
      <c r="L37" s="91">
        <f t="shared" si="1"/>
        <v>0</v>
      </c>
      <c r="M37" s="91">
        <f t="shared" si="1"/>
        <v>0</v>
      </c>
      <c r="N37" s="91">
        <f t="shared" si="1"/>
        <v>0</v>
      </c>
      <c r="O37" s="91">
        <f t="shared" si="1"/>
        <v>451158.89763953921</v>
      </c>
      <c r="P37" s="91">
        <f t="shared" si="1"/>
        <v>0</v>
      </c>
      <c r="Q37" s="91">
        <f t="shared" si="1"/>
        <v>0</v>
      </c>
      <c r="R37" s="91">
        <f t="shared" si="1"/>
        <v>0</v>
      </c>
      <c r="S37" s="91">
        <f t="shared" si="1"/>
        <v>480465.92559388088</v>
      </c>
      <c r="T37" s="91">
        <f t="shared" si="1"/>
        <v>0</v>
      </c>
      <c r="U37" s="91">
        <f t="shared" si="1"/>
        <v>0</v>
      </c>
      <c r="V37" s="91">
        <f t="shared" si="1"/>
        <v>0</v>
      </c>
      <c r="W37" s="91">
        <f t="shared" si="1"/>
        <v>496434.10177879862</v>
      </c>
      <c r="X37" s="91">
        <f t="shared" si="1"/>
        <v>0</v>
      </c>
      <c r="Y37" s="91">
        <f t="shared" si="1"/>
        <v>0</v>
      </c>
      <c r="Z37" s="91">
        <f t="shared" si="1"/>
        <v>0</v>
      </c>
      <c r="AA37" s="91">
        <f t="shared" si="1"/>
        <v>515323.23579256068</v>
      </c>
      <c r="AB37" s="91">
        <f t="shared" si="1"/>
        <v>0</v>
      </c>
      <c r="AC37" s="91">
        <f t="shared" si="1"/>
        <v>0</v>
      </c>
      <c r="AD37" s="91">
        <f t="shared" si="1"/>
        <v>0</v>
      </c>
      <c r="AE37" s="91">
        <f t="shared" si="1"/>
        <v>537413.48741411441</v>
      </c>
      <c r="AF37" s="91">
        <f t="shared" si="1"/>
        <v>0</v>
      </c>
      <c r="AG37" s="91">
        <f t="shared" si="1"/>
        <v>0</v>
      </c>
      <c r="AH37" s="91">
        <f t="shared" si="1"/>
        <v>0</v>
      </c>
      <c r="AI37" s="91">
        <f t="shared" si="1"/>
        <v>560459.72156476905</v>
      </c>
    </row>
    <row r="38" spans="1:38" ht="16.5">
      <c r="C38" s="184" t="s">
        <v>387</v>
      </c>
      <c r="G38" s="91">
        <v>398145.32154134236</v>
      </c>
      <c r="H38" s="74"/>
      <c r="I38" s="72"/>
      <c r="J38" s="72"/>
      <c r="K38" s="91">
        <v>410383.75943164591</v>
      </c>
      <c r="L38" s="74"/>
      <c r="M38" s="72"/>
      <c r="N38" s="72"/>
      <c r="O38" s="91">
        <v>423004.16763953917</v>
      </c>
      <c r="P38" s="75"/>
      <c r="Q38" s="72"/>
      <c r="R38" s="72"/>
      <c r="S38" s="91">
        <v>437076.11559388088</v>
      </c>
      <c r="T38" s="75"/>
      <c r="U38" s="72"/>
      <c r="V38" s="72"/>
      <c r="W38" s="91">
        <v>451622.25177879859</v>
      </c>
      <c r="X38" s="75"/>
      <c r="Y38" s="72"/>
      <c r="Z38" s="72"/>
      <c r="AA38" s="91">
        <v>468916.8257925607</v>
      </c>
      <c r="AB38" s="75"/>
      <c r="AC38" s="72"/>
      <c r="AD38" s="72"/>
      <c r="AE38" s="91">
        <v>489224.65741411439</v>
      </c>
      <c r="AF38" s="75"/>
      <c r="AG38" s="72"/>
      <c r="AH38" s="72"/>
      <c r="AI38" s="91">
        <v>510418.57156476902</v>
      </c>
    </row>
    <row r="39" spans="1:38" ht="16.5">
      <c r="F39" s="86" t="s">
        <v>737</v>
      </c>
      <c r="G39" s="91">
        <v>0</v>
      </c>
      <c r="H39" s="74"/>
      <c r="I39" s="72"/>
      <c r="J39" s="72"/>
      <c r="K39" s="91">
        <v>3510.77</v>
      </c>
      <c r="L39" s="74"/>
      <c r="M39" s="72"/>
      <c r="N39" s="72"/>
      <c r="O39" s="91">
        <v>23579.9</v>
      </c>
      <c r="P39" s="75"/>
      <c r="Q39" s="72"/>
      <c r="R39" s="72"/>
      <c r="S39" s="91">
        <v>24365.11</v>
      </c>
      <c r="T39" s="75"/>
      <c r="U39" s="72"/>
      <c r="V39" s="72"/>
      <c r="W39" s="91">
        <v>25176.47</v>
      </c>
      <c r="X39" s="75"/>
      <c r="Y39" s="72"/>
      <c r="Z39" s="72"/>
      <c r="AA39" s="91">
        <v>26140.73</v>
      </c>
      <c r="AB39" s="75"/>
      <c r="AC39" s="72"/>
      <c r="AD39" s="72"/>
      <c r="AE39" s="91">
        <v>27272.62</v>
      </c>
      <c r="AF39" s="75"/>
      <c r="AG39" s="72"/>
      <c r="AH39" s="72"/>
      <c r="AI39" s="91">
        <v>28453.53</v>
      </c>
      <c r="AK39" s="86">
        <f>SUM(G39:AI39)</f>
        <v>158499.13</v>
      </c>
      <c r="AL39" s="54" t="s">
        <v>738</v>
      </c>
    </row>
    <row r="40" spans="1:38" ht="16.5">
      <c r="F40" s="86" t="s">
        <v>739</v>
      </c>
      <c r="G40" s="91"/>
      <c r="H40" s="74"/>
      <c r="I40" s="72"/>
      <c r="J40" s="72"/>
      <c r="K40" s="91"/>
      <c r="L40" s="74"/>
      <c r="M40" s="72"/>
      <c r="N40" s="72"/>
      <c r="O40" s="91">
        <v>4574.83</v>
      </c>
      <c r="P40" s="75"/>
      <c r="Q40" s="72"/>
      <c r="R40" s="72"/>
      <c r="S40" s="91">
        <v>28330.11</v>
      </c>
      <c r="T40" s="75"/>
      <c r="U40" s="72"/>
      <c r="V40" s="72"/>
      <c r="W40" s="91">
        <v>29239.5</v>
      </c>
      <c r="X40" s="75"/>
      <c r="Y40" s="72"/>
      <c r="Z40" s="72"/>
      <c r="AA40" s="91">
        <v>30178.09</v>
      </c>
      <c r="AB40" s="75"/>
      <c r="AC40" s="72"/>
      <c r="AD40" s="72"/>
      <c r="AE40" s="91">
        <v>31146.81</v>
      </c>
      <c r="AF40" s="75"/>
      <c r="AG40" s="72"/>
      <c r="AH40" s="72"/>
      <c r="AI40" s="91">
        <v>32146.62</v>
      </c>
      <c r="AK40" s="86">
        <f>SUM(G40:AI40)</f>
        <v>155615.96</v>
      </c>
    </row>
    <row r="41" spans="1:38" ht="16.5">
      <c r="F41" s="86" t="s">
        <v>533</v>
      </c>
      <c r="G41" s="91"/>
      <c r="H41" s="74"/>
      <c r="I41" s="72"/>
      <c r="J41" s="72"/>
      <c r="K41" s="91"/>
      <c r="L41" s="74"/>
      <c r="M41" s="72"/>
      <c r="N41" s="72"/>
      <c r="O41" s="91"/>
      <c r="P41" s="75"/>
      <c r="Q41" s="72"/>
      <c r="R41" s="72"/>
      <c r="S41" s="91">
        <v>-9305.41</v>
      </c>
      <c r="T41" s="75"/>
      <c r="U41" s="72"/>
      <c r="V41" s="72"/>
      <c r="W41" s="91">
        <v>-9604.1200000000008</v>
      </c>
      <c r="X41" s="75"/>
      <c r="Y41" s="72"/>
      <c r="Z41" s="72"/>
      <c r="AA41" s="91">
        <v>-9912.41</v>
      </c>
      <c r="AB41" s="75"/>
      <c r="AC41" s="72"/>
      <c r="AD41" s="72"/>
      <c r="AE41" s="91">
        <v>-10230.6</v>
      </c>
      <c r="AF41" s="75"/>
      <c r="AG41" s="72"/>
      <c r="AH41" s="72"/>
      <c r="AI41" s="91">
        <v>-10559</v>
      </c>
      <c r="AK41" s="86">
        <f>SUM(G41:AI41)</f>
        <v>-49611.54</v>
      </c>
      <c r="AL41" s="54" t="s">
        <v>534</v>
      </c>
    </row>
    <row r="42" spans="1:38" ht="16.5">
      <c r="G42" s="91"/>
      <c r="H42" s="74"/>
      <c r="I42" s="72"/>
      <c r="J42" s="72"/>
      <c r="K42" s="91"/>
      <c r="L42" s="74"/>
      <c r="M42" s="72"/>
      <c r="N42" s="72"/>
      <c r="O42" s="91"/>
      <c r="P42" s="75"/>
      <c r="Q42" s="72"/>
      <c r="R42" s="72"/>
      <c r="S42" s="91"/>
      <c r="T42" s="75"/>
      <c r="U42" s="72"/>
      <c r="V42" s="72"/>
      <c r="W42" s="91"/>
      <c r="X42" s="75"/>
      <c r="Y42" s="72"/>
      <c r="Z42" s="72"/>
      <c r="AA42" s="91"/>
      <c r="AB42" s="75"/>
      <c r="AC42" s="72"/>
      <c r="AD42" s="72"/>
      <c r="AE42" s="91"/>
      <c r="AF42" s="75"/>
      <c r="AG42" s="72"/>
      <c r="AH42" s="72"/>
      <c r="AI42" s="91"/>
    </row>
    <row r="43" spans="1:38" ht="16.5">
      <c r="G43" s="91"/>
      <c r="H43" s="74"/>
      <c r="I43" s="72"/>
      <c r="J43" s="72"/>
      <c r="K43" s="91"/>
      <c r="L43" s="74"/>
      <c r="M43" s="72"/>
      <c r="N43" s="72"/>
      <c r="O43" s="91"/>
      <c r="P43" s="75"/>
      <c r="Q43" s="72"/>
      <c r="R43" s="72"/>
      <c r="S43" s="91"/>
      <c r="T43" s="75"/>
      <c r="U43" s="72"/>
      <c r="V43" s="72"/>
      <c r="W43" s="91"/>
      <c r="X43" s="75"/>
      <c r="Y43" s="72"/>
      <c r="Z43" s="72"/>
      <c r="AA43" s="91"/>
      <c r="AB43" s="75"/>
      <c r="AC43" s="72"/>
      <c r="AD43" s="72"/>
      <c r="AE43" s="91"/>
      <c r="AF43" s="75"/>
      <c r="AG43" s="72"/>
      <c r="AH43" s="72"/>
      <c r="AI43" s="91"/>
    </row>
  </sheetData>
  <phoneticPr fontId="0" type="noConversion"/>
  <printOptions horizontalCentered="1"/>
  <pageMargins left="0.5" right="0.5" top="1" bottom="1" header="0.5" footer="0.5"/>
  <pageSetup paperSize="9" orientation="landscape" r:id="rId1"/>
  <headerFooter alignWithMargins="0">
    <oddHeader>&amp;C&amp;"Calibri"&amp;10&amp;K737373Serco Business&amp;1#_x000D_&amp;"Calibri"&amp;11&amp;K000000&amp;"Calibri"&amp;11&amp;K000000&amp;"Arial,Bold"RESTRICTED - CONTRACTS</oddHeader>
    <oddFooter>&amp;L&amp;8PTC/CB/00642&amp;C&amp;8 2-(8)-&amp;P&amp;10
&amp;"Arial,Bold"RESTRICTED - CONTRACTS&amp;R&amp;8Pricing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dimension ref="A1:N43"/>
  <sheetViews>
    <sheetView topLeftCell="A22" zoomScale="75" workbookViewId="0">
      <selection activeCell="C39" sqref="C39"/>
    </sheetView>
  </sheetViews>
  <sheetFormatPr defaultColWidth="9.140625" defaultRowHeight="12"/>
  <cols>
    <col min="1" max="1" width="8.7109375" style="13" customWidth="1"/>
    <col min="2" max="2" width="2.7109375" style="54" customWidth="1"/>
    <col min="3" max="3" width="25.7109375" style="54" customWidth="1"/>
    <col min="4" max="4" width="14.7109375" style="85" customWidth="1"/>
    <col min="5" max="5" width="14.5703125" style="54" customWidth="1"/>
    <col min="6" max="6" width="15.28515625" style="54" customWidth="1"/>
    <col min="7" max="7" width="14.140625" style="54" customWidth="1"/>
    <col min="8" max="9" width="15" style="54" customWidth="1"/>
    <col min="10" max="10" width="14.28515625" style="54" customWidth="1"/>
    <col min="11" max="11" width="14.42578125" style="54" customWidth="1"/>
    <col min="12" max="16384" width="9.140625" style="54"/>
  </cols>
  <sheetData>
    <row r="1" spans="1:11" ht="24">
      <c r="C1" s="21" t="s">
        <v>740</v>
      </c>
      <c r="D1" s="340" t="s">
        <v>189</v>
      </c>
      <c r="E1" s="340" t="s">
        <v>190</v>
      </c>
      <c r="F1" s="340" t="s">
        <v>191</v>
      </c>
      <c r="G1" s="340" t="s">
        <v>432</v>
      </c>
      <c r="H1" s="340" t="s">
        <v>433</v>
      </c>
      <c r="I1" s="340" t="s">
        <v>194</v>
      </c>
      <c r="J1" s="340" t="s">
        <v>251</v>
      </c>
      <c r="K1" s="340" t="s">
        <v>252</v>
      </c>
    </row>
    <row r="2" spans="1:11" ht="24">
      <c r="A2" s="18" t="s">
        <v>253</v>
      </c>
      <c r="B2" s="49"/>
      <c r="C2" s="49" t="s">
        <v>490</v>
      </c>
      <c r="D2" s="19" t="s">
        <v>254</v>
      </c>
      <c r="E2" s="19" t="s">
        <v>254</v>
      </c>
      <c r="F2" s="19" t="s">
        <v>254</v>
      </c>
      <c r="G2" s="19" t="s">
        <v>254</v>
      </c>
      <c r="H2" s="19" t="s">
        <v>254</v>
      </c>
      <c r="I2" s="19" t="s">
        <v>254</v>
      </c>
      <c r="J2" s="19" t="s">
        <v>254</v>
      </c>
      <c r="K2" s="19" t="s">
        <v>254</v>
      </c>
    </row>
    <row r="3" spans="1:11">
      <c r="B3" s="13"/>
      <c r="C3" s="21"/>
    </row>
    <row r="4" spans="1:11">
      <c r="A4" s="13" t="s">
        <v>741</v>
      </c>
      <c r="B4" s="13"/>
      <c r="C4" s="21" t="s">
        <v>256</v>
      </c>
    </row>
    <row r="5" spans="1:11">
      <c r="A5" s="13" t="s">
        <v>742</v>
      </c>
      <c r="B5" s="13"/>
      <c r="C5" s="21" t="s">
        <v>743</v>
      </c>
    </row>
    <row r="6" spans="1:11" ht="48">
      <c r="A6" s="13" t="s">
        <v>744</v>
      </c>
      <c r="B6" s="13"/>
      <c r="C6" s="17" t="s">
        <v>745</v>
      </c>
      <c r="D6" s="90">
        <v>2500</v>
      </c>
      <c r="E6" s="90">
        <v>2500</v>
      </c>
      <c r="F6" s="90">
        <v>2500</v>
      </c>
      <c r="G6" s="90">
        <v>2500</v>
      </c>
      <c r="H6" s="90">
        <v>2500</v>
      </c>
      <c r="I6" s="90">
        <v>2500</v>
      </c>
      <c r="J6" s="90">
        <v>2500</v>
      </c>
      <c r="K6" s="90">
        <v>2500</v>
      </c>
    </row>
    <row r="7" spans="1:11" ht="24">
      <c r="B7" s="13"/>
      <c r="C7" s="17" t="s">
        <v>302</v>
      </c>
      <c r="D7" s="90"/>
      <c r="E7" s="90"/>
      <c r="F7" s="90"/>
      <c r="G7" s="90"/>
      <c r="H7" s="90"/>
      <c r="I7" s="90"/>
      <c r="J7" s="90"/>
      <c r="K7" s="90"/>
    </row>
    <row r="8" spans="1:11" ht="72">
      <c r="A8" s="13" t="s">
        <v>746</v>
      </c>
      <c r="B8" s="13"/>
      <c r="C8" s="17" t="s">
        <v>747</v>
      </c>
      <c r="D8" s="90">
        <v>750</v>
      </c>
      <c r="E8" s="90">
        <v>750</v>
      </c>
      <c r="F8" s="90">
        <v>750</v>
      </c>
      <c r="G8" s="90">
        <v>750</v>
      </c>
      <c r="H8" s="90">
        <v>750</v>
      </c>
      <c r="I8" s="90">
        <v>750</v>
      </c>
      <c r="J8" s="90">
        <v>750</v>
      </c>
      <c r="K8" s="90">
        <v>750</v>
      </c>
    </row>
    <row r="9" spans="1:11" ht="24">
      <c r="B9" s="13"/>
      <c r="C9" s="17" t="s">
        <v>302</v>
      </c>
      <c r="D9" s="90"/>
      <c r="E9" s="90"/>
      <c r="F9" s="90"/>
      <c r="G9" s="90"/>
      <c r="H9" s="90"/>
      <c r="I9" s="90"/>
      <c r="J9" s="90"/>
      <c r="K9" s="90"/>
    </row>
    <row r="10" spans="1:11" ht="48">
      <c r="A10" s="13" t="s">
        <v>748</v>
      </c>
      <c r="B10" s="13"/>
      <c r="C10" s="17" t="s">
        <v>749</v>
      </c>
      <c r="D10" s="90">
        <v>50</v>
      </c>
      <c r="E10" s="90">
        <v>50</v>
      </c>
      <c r="F10" s="90">
        <v>50</v>
      </c>
      <c r="G10" s="90">
        <v>50</v>
      </c>
      <c r="H10" s="90">
        <v>50</v>
      </c>
      <c r="I10" s="90">
        <v>50</v>
      </c>
      <c r="J10" s="90">
        <v>50</v>
      </c>
      <c r="K10" s="90">
        <v>50</v>
      </c>
    </row>
    <row r="11" spans="1:11" ht="36">
      <c r="A11" s="13" t="s">
        <v>750</v>
      </c>
      <c r="B11" s="13"/>
      <c r="C11" s="17" t="s">
        <v>751</v>
      </c>
      <c r="D11" s="90">
        <v>30</v>
      </c>
      <c r="E11" s="90">
        <v>30</v>
      </c>
      <c r="F11" s="90">
        <v>30</v>
      </c>
      <c r="G11" s="90">
        <v>30</v>
      </c>
      <c r="H11" s="90">
        <v>30</v>
      </c>
      <c r="I11" s="90">
        <v>30</v>
      </c>
      <c r="J11" s="90">
        <v>30</v>
      </c>
      <c r="K11" s="90">
        <v>30</v>
      </c>
    </row>
    <row r="12" spans="1:11" ht="48">
      <c r="A12" s="13" t="s">
        <v>752</v>
      </c>
      <c r="B12" s="13"/>
      <c r="C12" s="17" t="s">
        <v>753</v>
      </c>
      <c r="D12" s="90">
        <v>500</v>
      </c>
      <c r="E12" s="90">
        <v>500</v>
      </c>
      <c r="F12" s="90">
        <v>500</v>
      </c>
      <c r="G12" s="90">
        <v>500</v>
      </c>
      <c r="H12" s="90">
        <v>500</v>
      </c>
      <c r="I12" s="90">
        <v>500</v>
      </c>
      <c r="J12" s="90">
        <v>500</v>
      </c>
      <c r="K12" s="90">
        <v>500</v>
      </c>
    </row>
    <row r="13" spans="1:11" ht="24">
      <c r="A13" s="13" t="s">
        <v>754</v>
      </c>
      <c r="B13" s="13"/>
      <c r="C13" s="17" t="s">
        <v>755</v>
      </c>
      <c r="D13" s="90">
        <v>100</v>
      </c>
      <c r="E13" s="90">
        <v>100</v>
      </c>
      <c r="F13" s="90">
        <v>100</v>
      </c>
      <c r="G13" s="90">
        <v>100</v>
      </c>
      <c r="H13" s="90">
        <v>100</v>
      </c>
      <c r="I13" s="90">
        <v>100</v>
      </c>
      <c r="J13" s="90">
        <v>100</v>
      </c>
      <c r="K13" s="90">
        <v>100</v>
      </c>
    </row>
    <row r="14" spans="1:11" ht="24">
      <c r="A14" s="13" t="s">
        <v>756</v>
      </c>
      <c r="C14" s="17" t="s">
        <v>757</v>
      </c>
      <c r="D14" s="90">
        <v>400</v>
      </c>
      <c r="E14" s="90">
        <v>400</v>
      </c>
      <c r="F14" s="90">
        <v>400</v>
      </c>
      <c r="G14" s="90">
        <v>400</v>
      </c>
      <c r="H14" s="90">
        <v>400</v>
      </c>
      <c r="I14" s="90">
        <v>400</v>
      </c>
      <c r="J14" s="90">
        <v>400</v>
      </c>
      <c r="K14" s="90">
        <v>400</v>
      </c>
    </row>
    <row r="15" spans="1:11" ht="36">
      <c r="A15" s="13" t="s">
        <v>758</v>
      </c>
      <c r="B15" s="13"/>
      <c r="C15" s="17" t="s">
        <v>759</v>
      </c>
      <c r="D15" s="90">
        <v>125</v>
      </c>
      <c r="E15" s="90">
        <v>125</v>
      </c>
      <c r="F15" s="90">
        <v>125</v>
      </c>
      <c r="G15" s="90">
        <v>125</v>
      </c>
      <c r="H15" s="90">
        <v>125</v>
      </c>
      <c r="I15" s="90">
        <v>125</v>
      </c>
      <c r="J15" s="90">
        <v>125</v>
      </c>
      <c r="K15" s="90">
        <v>125</v>
      </c>
    </row>
    <row r="16" spans="1:11" ht="24">
      <c r="A16" s="102" t="s">
        <v>760</v>
      </c>
      <c r="B16" s="13"/>
      <c r="C16" s="17" t="s">
        <v>761</v>
      </c>
      <c r="D16" s="90">
        <v>75</v>
      </c>
      <c r="E16" s="90">
        <v>75</v>
      </c>
      <c r="F16" s="90">
        <v>75</v>
      </c>
      <c r="G16" s="90">
        <v>75</v>
      </c>
      <c r="H16" s="90">
        <v>75</v>
      </c>
      <c r="I16" s="90">
        <v>75</v>
      </c>
      <c r="J16" s="90">
        <v>75</v>
      </c>
      <c r="K16" s="90">
        <v>75</v>
      </c>
    </row>
    <row r="17" spans="1:11">
      <c r="A17" s="54" t="s">
        <v>762</v>
      </c>
      <c r="C17" s="52" t="s">
        <v>312</v>
      </c>
      <c r="E17" s="85"/>
      <c r="F17" s="85"/>
      <c r="G17" s="85"/>
      <c r="H17" s="85"/>
      <c r="I17" s="85"/>
      <c r="J17" s="85"/>
      <c r="K17" s="85"/>
    </row>
    <row r="18" spans="1:11">
      <c r="A18" s="54" t="s">
        <v>763</v>
      </c>
      <c r="C18" s="54" t="s">
        <v>460</v>
      </c>
      <c r="E18" s="85"/>
      <c r="F18" s="85"/>
      <c r="G18" s="85"/>
      <c r="H18" s="85"/>
      <c r="I18" s="85"/>
      <c r="J18" s="85"/>
      <c r="K18" s="85"/>
    </row>
    <row r="19" spans="1:11">
      <c r="A19" s="54" t="s">
        <v>764</v>
      </c>
      <c r="C19" s="52" t="s">
        <v>410</v>
      </c>
      <c r="E19" s="85"/>
      <c r="F19" s="85"/>
      <c r="G19" s="85"/>
      <c r="H19" s="85"/>
      <c r="I19" s="85"/>
      <c r="J19" s="85"/>
      <c r="K19" s="85"/>
    </row>
    <row r="20" spans="1:11" ht="60">
      <c r="A20" s="54" t="s">
        <v>765</v>
      </c>
      <c r="C20" s="13" t="s">
        <v>516</v>
      </c>
      <c r="E20" s="85"/>
      <c r="F20" s="85"/>
      <c r="G20" s="85"/>
      <c r="H20" s="85"/>
      <c r="I20" s="85"/>
      <c r="J20" s="85"/>
      <c r="K20" s="85"/>
    </row>
    <row r="21" spans="1:11">
      <c r="A21" s="54" t="s">
        <v>766</v>
      </c>
      <c r="C21" s="52" t="s">
        <v>320</v>
      </c>
      <c r="E21" s="85"/>
      <c r="F21" s="85"/>
      <c r="G21" s="85"/>
      <c r="H21" s="85"/>
      <c r="I21" s="85"/>
      <c r="J21" s="85"/>
      <c r="K21" s="85"/>
    </row>
    <row r="22" spans="1:11" ht="24">
      <c r="A22" s="13" t="s">
        <v>767</v>
      </c>
      <c r="B22" s="13"/>
      <c r="C22" s="17" t="s">
        <v>768</v>
      </c>
      <c r="D22" s="90">
        <v>1000</v>
      </c>
      <c r="E22" s="90">
        <v>1000</v>
      </c>
      <c r="F22" s="90">
        <v>1000</v>
      </c>
      <c r="G22" s="90">
        <v>1000</v>
      </c>
      <c r="H22" s="90">
        <v>1000</v>
      </c>
      <c r="I22" s="90">
        <v>1000</v>
      </c>
      <c r="J22" s="90">
        <v>1000</v>
      </c>
      <c r="K22" s="90">
        <v>1000</v>
      </c>
    </row>
    <row r="23" spans="1:11" ht="24">
      <c r="A23" s="13" t="s">
        <v>769</v>
      </c>
      <c r="B23" s="13"/>
      <c r="C23" s="17" t="s">
        <v>770</v>
      </c>
      <c r="D23" s="90">
        <v>0</v>
      </c>
      <c r="E23" s="90">
        <v>0</v>
      </c>
      <c r="F23" s="90">
        <v>0</v>
      </c>
      <c r="G23" s="90">
        <v>0</v>
      </c>
      <c r="H23" s="90">
        <v>0</v>
      </c>
      <c r="I23" s="90">
        <v>0</v>
      </c>
      <c r="J23" s="90">
        <v>0</v>
      </c>
      <c r="K23" s="90">
        <v>0</v>
      </c>
    </row>
    <row r="24" spans="1:11" ht="24">
      <c r="A24" s="13" t="s">
        <v>771</v>
      </c>
      <c r="B24" s="13"/>
      <c r="C24" s="17" t="s">
        <v>772</v>
      </c>
      <c r="D24" s="90">
        <v>100</v>
      </c>
      <c r="E24" s="90">
        <v>100</v>
      </c>
      <c r="F24" s="90">
        <v>100</v>
      </c>
      <c r="G24" s="90">
        <v>100</v>
      </c>
      <c r="H24" s="90">
        <v>100</v>
      </c>
      <c r="I24" s="90">
        <v>100</v>
      </c>
      <c r="J24" s="90">
        <v>100</v>
      </c>
      <c r="K24" s="90">
        <v>100</v>
      </c>
    </row>
    <row r="25" spans="1:11" ht="36">
      <c r="A25" s="13" t="s">
        <v>773</v>
      </c>
      <c r="B25" s="13"/>
      <c r="C25" s="17" t="s">
        <v>774</v>
      </c>
      <c r="D25" s="90">
        <v>25</v>
      </c>
      <c r="E25" s="90">
        <v>25</v>
      </c>
      <c r="F25" s="90">
        <v>25</v>
      </c>
      <c r="G25" s="90">
        <v>25</v>
      </c>
      <c r="H25" s="90">
        <v>25</v>
      </c>
      <c r="I25" s="90">
        <v>25</v>
      </c>
      <c r="J25" s="90">
        <v>25</v>
      </c>
      <c r="K25" s="90">
        <v>25</v>
      </c>
    </row>
    <row r="26" spans="1:11" ht="36">
      <c r="A26" s="13" t="s">
        <v>775</v>
      </c>
      <c r="B26" s="13"/>
      <c r="C26" s="17" t="s">
        <v>776</v>
      </c>
      <c r="D26" s="90">
        <v>0</v>
      </c>
      <c r="E26" s="90">
        <v>0</v>
      </c>
      <c r="F26" s="90">
        <v>0</v>
      </c>
      <c r="G26" s="90">
        <v>0</v>
      </c>
      <c r="H26" s="90">
        <v>0</v>
      </c>
      <c r="I26" s="90">
        <v>0</v>
      </c>
      <c r="J26" s="90">
        <v>0</v>
      </c>
      <c r="K26" s="90">
        <v>0</v>
      </c>
    </row>
    <row r="27" spans="1:11">
      <c r="A27" s="54" t="s">
        <v>777</v>
      </c>
      <c r="C27" s="21" t="s">
        <v>778</v>
      </c>
      <c r="E27" s="85"/>
      <c r="F27" s="85"/>
      <c r="G27" s="85"/>
      <c r="H27" s="85"/>
      <c r="I27" s="85"/>
      <c r="J27" s="85"/>
      <c r="K27" s="85"/>
    </row>
    <row r="28" spans="1:11">
      <c r="A28" s="132" t="s">
        <v>779</v>
      </c>
      <c r="B28" s="132"/>
      <c r="C28" s="132" t="s">
        <v>655</v>
      </c>
      <c r="D28" s="94"/>
      <c r="E28" s="94"/>
      <c r="F28" s="94"/>
      <c r="G28" s="94"/>
      <c r="H28" s="94"/>
      <c r="I28" s="94"/>
      <c r="J28" s="94"/>
      <c r="K28" s="94"/>
    </row>
    <row r="29" spans="1:11">
      <c r="A29" s="28"/>
      <c r="B29" s="96"/>
      <c r="C29" s="96"/>
      <c r="D29" s="99">
        <f t="shared" ref="D29:K29" si="0">SUM(D3:D28)</f>
        <v>5655</v>
      </c>
      <c r="E29" s="99">
        <f t="shared" si="0"/>
        <v>5655</v>
      </c>
      <c r="F29" s="99">
        <f t="shared" si="0"/>
        <v>5655</v>
      </c>
      <c r="G29" s="99">
        <f t="shared" si="0"/>
        <v>5655</v>
      </c>
      <c r="H29" s="99">
        <f t="shared" si="0"/>
        <v>5655</v>
      </c>
      <c r="I29" s="99">
        <f t="shared" si="0"/>
        <v>5655</v>
      </c>
      <c r="J29" s="99">
        <f t="shared" si="0"/>
        <v>5655</v>
      </c>
      <c r="K29" s="99">
        <f t="shared" si="0"/>
        <v>5655</v>
      </c>
    </row>
    <row r="30" spans="1:11" s="65" customFormat="1" ht="16.5">
      <c r="A30" s="64"/>
      <c r="D30" s="544" t="s">
        <v>385</v>
      </c>
      <c r="E30" s="544"/>
      <c r="F30" s="544" t="s">
        <v>385</v>
      </c>
      <c r="G30" s="544"/>
      <c r="H30" s="544"/>
      <c r="I30" s="544"/>
      <c r="J30" s="544"/>
      <c r="K30" s="544"/>
    </row>
    <row r="31" spans="1:11" s="151" customFormat="1" ht="30">
      <c r="A31" s="150"/>
      <c r="D31" s="154" t="s">
        <v>189</v>
      </c>
      <c r="E31" s="158" t="s">
        <v>190</v>
      </c>
      <c r="F31" s="159" t="s">
        <v>191</v>
      </c>
      <c r="G31" s="158" t="s">
        <v>432</v>
      </c>
      <c r="H31" s="159" t="s">
        <v>433</v>
      </c>
      <c r="I31" s="158" t="s">
        <v>194</v>
      </c>
      <c r="J31" s="159" t="s">
        <v>251</v>
      </c>
      <c r="K31" s="158" t="s">
        <v>252</v>
      </c>
    </row>
    <row r="32" spans="1:11" s="151" customFormat="1" ht="15">
      <c r="A32" s="150"/>
      <c r="C32" s="184" t="s">
        <v>386</v>
      </c>
      <c r="D32" s="160">
        <f>SUM(D33:D43)</f>
        <v>65461.425394799648</v>
      </c>
      <c r="E32" s="160">
        <f t="shared" ref="E32:K32" si="1">SUM(E33:E43)</f>
        <v>67575.377298614825</v>
      </c>
      <c r="F32" s="160">
        <f t="shared" si="1"/>
        <v>69757.727889819915</v>
      </c>
      <c r="G32" s="160">
        <f t="shared" si="1"/>
        <v>70276.737588616204</v>
      </c>
      <c r="H32" s="160">
        <f t="shared" si="1"/>
        <v>72727.440857436683</v>
      </c>
      <c r="I32" s="160">
        <f t="shared" si="1"/>
        <v>75637.215225033564</v>
      </c>
      <c r="J32" s="160">
        <f t="shared" si="1"/>
        <v>79051.793713458435</v>
      </c>
      <c r="K32" s="160">
        <f t="shared" si="1"/>
        <v>82620.328143977866</v>
      </c>
    </row>
    <row r="33" spans="3:14" ht="15">
      <c r="C33" s="184" t="s">
        <v>387</v>
      </c>
      <c r="D33" s="160">
        <v>65461.425394799648</v>
      </c>
      <c r="E33" s="160">
        <v>67575.377298614825</v>
      </c>
      <c r="F33" s="161">
        <v>69757.727889819915</v>
      </c>
      <c r="G33" s="160">
        <v>72185.08758861621</v>
      </c>
      <c r="H33" s="161">
        <v>74697.050857436683</v>
      </c>
      <c r="I33" s="160">
        <v>77670.05522503356</v>
      </c>
      <c r="J33" s="161">
        <v>81149.883713458432</v>
      </c>
      <c r="K33" s="160">
        <v>84785.768143977868</v>
      </c>
    </row>
    <row r="34" spans="3:14">
      <c r="C34" s="54" t="s">
        <v>533</v>
      </c>
      <c r="D34" s="317"/>
      <c r="E34" s="317"/>
      <c r="F34" s="317"/>
      <c r="G34" s="317">
        <v>-1908.35</v>
      </c>
      <c r="H34" s="317">
        <v>-1969.61</v>
      </c>
      <c r="I34" s="317">
        <v>-2032.84</v>
      </c>
      <c r="J34" s="317">
        <v>-2098.09</v>
      </c>
      <c r="K34" s="317">
        <v>-2165.44</v>
      </c>
      <c r="M34" s="86">
        <f>SUM(D34:K34)</f>
        <v>-10174.33</v>
      </c>
      <c r="N34" s="54" t="s">
        <v>534</v>
      </c>
    </row>
    <row r="35" spans="3:14">
      <c r="D35" s="317"/>
      <c r="E35" s="317"/>
      <c r="F35" s="317"/>
      <c r="G35" s="317"/>
      <c r="H35" s="317"/>
      <c r="I35" s="317"/>
      <c r="J35" s="317"/>
      <c r="K35" s="317"/>
      <c r="M35" s="86">
        <f t="shared" ref="M35:M43" si="2">SUM(D35:K35)</f>
        <v>0</v>
      </c>
    </row>
    <row r="36" spans="3:14">
      <c r="D36" s="317"/>
      <c r="E36" s="317"/>
      <c r="F36" s="317"/>
      <c r="G36" s="317"/>
      <c r="H36" s="317"/>
      <c r="I36" s="317"/>
      <c r="J36" s="317"/>
      <c r="K36" s="317"/>
      <c r="M36" s="86">
        <f t="shared" si="2"/>
        <v>0</v>
      </c>
    </row>
    <row r="37" spans="3:14">
      <c r="D37" s="317"/>
      <c r="E37" s="317"/>
      <c r="F37" s="317"/>
      <c r="G37" s="317"/>
      <c r="H37" s="317"/>
      <c r="I37" s="317"/>
      <c r="J37" s="317"/>
      <c r="K37" s="317"/>
      <c r="M37" s="86">
        <f t="shared" si="2"/>
        <v>0</v>
      </c>
    </row>
    <row r="38" spans="3:14">
      <c r="D38" s="317"/>
      <c r="E38" s="317"/>
      <c r="F38" s="317"/>
      <c r="G38" s="317"/>
      <c r="H38" s="317"/>
      <c r="I38" s="317"/>
      <c r="J38" s="317"/>
      <c r="K38" s="317"/>
      <c r="M38" s="86">
        <f t="shared" si="2"/>
        <v>0</v>
      </c>
    </row>
    <row r="39" spans="3:14">
      <c r="D39" s="317"/>
      <c r="E39" s="317"/>
      <c r="F39" s="317"/>
      <c r="G39" s="317"/>
      <c r="H39" s="317"/>
      <c r="I39" s="317"/>
      <c r="J39" s="317"/>
      <c r="K39" s="317"/>
      <c r="M39" s="86">
        <f t="shared" si="2"/>
        <v>0</v>
      </c>
    </row>
    <row r="40" spans="3:14">
      <c r="D40" s="317"/>
      <c r="E40" s="317"/>
      <c r="F40" s="317"/>
      <c r="G40" s="317"/>
      <c r="H40" s="317"/>
      <c r="I40" s="317"/>
      <c r="J40" s="317"/>
      <c r="K40" s="317"/>
      <c r="M40" s="86">
        <f t="shared" si="2"/>
        <v>0</v>
      </c>
    </row>
    <row r="41" spans="3:14">
      <c r="D41" s="317"/>
      <c r="E41" s="317"/>
      <c r="F41" s="317"/>
      <c r="G41" s="317"/>
      <c r="H41" s="317"/>
      <c r="I41" s="317"/>
      <c r="J41" s="317"/>
      <c r="K41" s="317"/>
      <c r="M41" s="86">
        <f t="shared" si="2"/>
        <v>0</v>
      </c>
    </row>
    <row r="42" spans="3:14">
      <c r="D42" s="317"/>
      <c r="E42" s="317"/>
      <c r="F42" s="317"/>
      <c r="G42" s="317"/>
      <c r="H42" s="317"/>
      <c r="I42" s="317"/>
      <c r="J42" s="317"/>
      <c r="K42" s="317"/>
      <c r="M42" s="86">
        <f t="shared" si="2"/>
        <v>0</v>
      </c>
    </row>
    <row r="43" spans="3:14">
      <c r="D43" s="317"/>
      <c r="E43" s="317"/>
      <c r="F43" s="317"/>
      <c r="G43" s="317"/>
      <c r="H43" s="317"/>
      <c r="I43" s="317"/>
      <c r="J43" s="317"/>
      <c r="K43" s="317"/>
      <c r="M43" s="86">
        <f t="shared" si="2"/>
        <v>0</v>
      </c>
    </row>
  </sheetData>
  <mergeCells count="2">
    <mergeCell ref="D30:E30"/>
    <mergeCell ref="F30:K30"/>
  </mergeCells>
  <phoneticPr fontId="0" type="noConversion"/>
  <conditionalFormatting sqref="A16">
    <cfRule type="cellIs" priority="1" stopIfTrue="1" operator="equal">
      <formula>"9.C.1.i"</formula>
    </cfRule>
  </conditionalFormatting>
  <printOptions horizontalCentered="1"/>
  <pageMargins left="0.5" right="0.5" top="1" bottom="1" header="0.5" footer="0.5"/>
  <pageSetup paperSize="9" fitToWidth="2" fitToHeight="2" orientation="landscape" r:id="rId1"/>
  <headerFooter alignWithMargins="0">
    <oddHeader>&amp;C&amp;"Calibri"&amp;10&amp;K737373Serco Business&amp;1#_x000D_&amp;"Calibri"&amp;11&amp;K000000&amp;"Calibri"&amp;11&amp;K000000&amp;"Arial,Bold"RESTRICTED - CONTRACTS</oddHeader>
    <oddFooter>&amp;L&amp;8PTC/CB/00642&amp;C&amp;8 2-(9)-&amp;P&amp;10
&amp;"Arial,Bold"RESTRICTED - CONTRACTS&amp;R&amp;8Pricing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AL115"/>
  <sheetViews>
    <sheetView zoomScale="75" workbookViewId="0">
      <pane ySplit="600" topLeftCell="A95" activePane="bottomLeft"/>
      <selection activeCell="A5" sqref="A5"/>
      <selection pane="bottomLeft" activeCell="A110" sqref="A110"/>
    </sheetView>
  </sheetViews>
  <sheetFormatPr defaultColWidth="9.140625" defaultRowHeight="12"/>
  <cols>
    <col min="1" max="1" width="8.7109375" style="13" customWidth="1"/>
    <col min="2" max="2" width="1.7109375" style="54" customWidth="1"/>
    <col min="3" max="3" width="30.7109375" style="54" customWidth="1"/>
    <col min="4" max="4" width="14.28515625" style="85" customWidth="1"/>
    <col min="5" max="6" width="12.7109375" style="86" customWidth="1"/>
    <col min="7" max="7" width="15" style="85" customWidth="1"/>
    <col min="8" max="8" width="14.7109375" style="101" hidden="1" customWidth="1"/>
    <col min="9" max="10" width="14.7109375" style="86" hidden="1" customWidth="1"/>
    <col min="11" max="11" width="15.140625" style="54" customWidth="1"/>
    <col min="12" max="12" width="14.7109375" style="101" hidden="1" customWidth="1"/>
    <col min="13" max="14" width="14.7109375" style="86" hidden="1" customWidth="1"/>
    <col min="15" max="15" width="14.28515625" style="54" customWidth="1"/>
    <col min="16" max="18" width="14.7109375" style="54" hidden="1" customWidth="1"/>
    <col min="19" max="19" width="15.42578125" style="54" customWidth="1"/>
    <col min="20" max="22" width="14.7109375" style="54" hidden="1" customWidth="1"/>
    <col min="23" max="23" width="14.5703125" style="54" customWidth="1"/>
    <col min="24" max="26" width="14.7109375" style="54" hidden="1" customWidth="1"/>
    <col min="27" max="27" width="14.5703125" style="54" customWidth="1"/>
    <col min="28" max="30" width="14.7109375" style="54" hidden="1" customWidth="1"/>
    <col min="31" max="31" width="14.42578125" style="54" customWidth="1"/>
    <col min="32" max="33" width="14.7109375" style="54" hidden="1" customWidth="1"/>
    <col min="34" max="34" width="11.140625" style="54" hidden="1" customWidth="1"/>
    <col min="35" max="35" width="14.28515625" style="54" customWidth="1"/>
    <col min="36" max="36" width="9.140625" style="54"/>
    <col min="37" max="37" width="15.5703125" style="54" customWidth="1"/>
    <col min="38" max="16384" width="9.140625" style="54"/>
  </cols>
  <sheetData>
    <row r="1" spans="1:35">
      <c r="C1" s="21" t="s">
        <v>780</v>
      </c>
      <c r="D1" s="543" t="s">
        <v>189</v>
      </c>
      <c r="E1" s="543"/>
      <c r="F1" s="543"/>
      <c r="G1" s="543"/>
      <c r="H1" s="543" t="s">
        <v>190</v>
      </c>
      <c r="I1" s="543"/>
      <c r="J1" s="543"/>
      <c r="K1" s="543"/>
      <c r="L1" s="543" t="s">
        <v>191</v>
      </c>
      <c r="M1" s="543"/>
      <c r="N1" s="543"/>
      <c r="O1" s="543"/>
      <c r="P1" s="543" t="s">
        <v>432</v>
      </c>
      <c r="Q1" s="543"/>
      <c r="R1" s="543"/>
      <c r="S1" s="543"/>
      <c r="T1" s="543" t="s">
        <v>433</v>
      </c>
      <c r="U1" s="543"/>
      <c r="V1" s="543"/>
      <c r="W1" s="543"/>
      <c r="X1" s="543" t="s">
        <v>194</v>
      </c>
      <c r="Y1" s="543"/>
      <c r="Z1" s="543"/>
      <c r="AA1" s="543"/>
      <c r="AB1" s="543" t="s">
        <v>251</v>
      </c>
      <c r="AC1" s="543"/>
      <c r="AD1" s="543"/>
      <c r="AE1" s="543"/>
      <c r="AF1" s="543" t="s">
        <v>252</v>
      </c>
      <c r="AG1" s="543"/>
      <c r="AH1" s="543"/>
      <c r="AI1" s="543"/>
    </row>
    <row r="2" spans="1:35" ht="24">
      <c r="A2" s="18" t="s">
        <v>253</v>
      </c>
      <c r="B2" s="49"/>
      <c r="C2" s="49" t="s">
        <v>490</v>
      </c>
      <c r="D2" s="19" t="s">
        <v>434</v>
      </c>
      <c r="E2" s="19" t="s">
        <v>435</v>
      </c>
      <c r="F2" s="19" t="s">
        <v>436</v>
      </c>
      <c r="G2" s="19" t="s">
        <v>254</v>
      </c>
      <c r="H2" s="19" t="s">
        <v>434</v>
      </c>
      <c r="I2" s="19" t="s">
        <v>435</v>
      </c>
      <c r="J2" s="19" t="s">
        <v>436</v>
      </c>
      <c r="K2" s="19" t="s">
        <v>254</v>
      </c>
      <c r="L2" s="19" t="s">
        <v>434</v>
      </c>
      <c r="M2" s="19" t="s">
        <v>435</v>
      </c>
      <c r="N2" s="19" t="s">
        <v>436</v>
      </c>
      <c r="O2" s="19" t="s">
        <v>254</v>
      </c>
      <c r="P2" s="19" t="s">
        <v>434</v>
      </c>
      <c r="Q2" s="19" t="s">
        <v>435</v>
      </c>
      <c r="R2" s="19" t="s">
        <v>436</v>
      </c>
      <c r="S2" s="19" t="s">
        <v>254</v>
      </c>
      <c r="T2" s="19" t="s">
        <v>434</v>
      </c>
      <c r="U2" s="19" t="s">
        <v>435</v>
      </c>
      <c r="V2" s="19" t="s">
        <v>436</v>
      </c>
      <c r="W2" s="19" t="s">
        <v>254</v>
      </c>
      <c r="X2" s="19" t="s">
        <v>434</v>
      </c>
      <c r="Y2" s="19" t="s">
        <v>435</v>
      </c>
      <c r="Z2" s="19" t="s">
        <v>436</v>
      </c>
      <c r="AA2" s="19" t="s">
        <v>254</v>
      </c>
      <c r="AB2" s="19" t="s">
        <v>434</v>
      </c>
      <c r="AC2" s="19" t="s">
        <v>435</v>
      </c>
      <c r="AD2" s="19" t="s">
        <v>436</v>
      </c>
      <c r="AE2" s="19" t="s">
        <v>254</v>
      </c>
      <c r="AF2" s="19" t="s">
        <v>434</v>
      </c>
      <c r="AG2" s="19" t="s">
        <v>435</v>
      </c>
      <c r="AH2" s="19" t="s">
        <v>436</v>
      </c>
      <c r="AI2" s="19" t="s">
        <v>254</v>
      </c>
    </row>
    <row r="3" spans="1:35">
      <c r="B3" s="13"/>
      <c r="C3" s="21"/>
      <c r="H3" s="54"/>
      <c r="I3" s="87"/>
      <c r="J3" s="87"/>
      <c r="L3" s="54"/>
      <c r="M3" s="87"/>
      <c r="N3" s="87"/>
      <c r="Q3" s="87"/>
      <c r="R3" s="87"/>
      <c r="U3" s="87"/>
      <c r="V3" s="87"/>
      <c r="Y3" s="87"/>
      <c r="Z3" s="87"/>
      <c r="AC3" s="87"/>
      <c r="AD3" s="87"/>
      <c r="AG3" s="87"/>
      <c r="AH3" s="87"/>
    </row>
    <row r="4" spans="1:35">
      <c r="A4" s="88" t="s">
        <v>781</v>
      </c>
      <c r="B4" s="88"/>
      <c r="C4" s="93" t="s">
        <v>256</v>
      </c>
      <c r="H4" s="54"/>
      <c r="I4" s="54"/>
      <c r="J4" s="54"/>
      <c r="L4" s="54"/>
      <c r="M4" s="54"/>
      <c r="N4" s="54"/>
    </row>
    <row r="5" spans="1:35">
      <c r="A5" s="50" t="s">
        <v>782</v>
      </c>
      <c r="B5" s="88"/>
      <c r="C5" s="93" t="s">
        <v>783</v>
      </c>
      <c r="H5" s="54"/>
      <c r="I5" s="54"/>
      <c r="J5" s="54"/>
      <c r="L5" s="54"/>
      <c r="M5" s="54"/>
      <c r="N5" s="54"/>
    </row>
    <row r="6" spans="1:35" ht="60">
      <c r="A6" s="88" t="s">
        <v>784</v>
      </c>
      <c r="B6" s="50"/>
      <c r="C6" s="256" t="s">
        <v>785</v>
      </c>
      <c r="D6" s="90"/>
      <c r="E6" s="91"/>
      <c r="F6" s="91"/>
      <c r="G6" s="90"/>
      <c r="H6" s="90"/>
      <c r="I6" s="91"/>
      <c r="J6" s="91"/>
      <c r="K6" s="90"/>
      <c r="L6" s="90"/>
      <c r="M6" s="91"/>
      <c r="N6" s="91"/>
      <c r="O6" s="90"/>
      <c r="P6" s="90"/>
      <c r="Q6" s="91"/>
      <c r="R6" s="91"/>
      <c r="S6" s="90"/>
      <c r="T6" s="90"/>
      <c r="U6" s="91"/>
      <c r="V6" s="91"/>
      <c r="W6" s="90"/>
      <c r="X6" s="90"/>
      <c r="Y6" s="91"/>
      <c r="Z6" s="91"/>
      <c r="AA6" s="90"/>
      <c r="AB6" s="90"/>
      <c r="AC6" s="91"/>
      <c r="AD6" s="91"/>
      <c r="AE6" s="90"/>
      <c r="AF6" s="90"/>
      <c r="AG6" s="91"/>
      <c r="AH6" s="91"/>
      <c r="AI6" s="90"/>
    </row>
    <row r="7" spans="1:35" ht="36">
      <c r="A7" s="88" t="s">
        <v>786</v>
      </c>
      <c r="B7" s="50"/>
      <c r="C7" s="256" t="s">
        <v>787</v>
      </c>
      <c r="D7" s="90">
        <v>1400</v>
      </c>
      <c r="E7" s="91">
        <v>12.807855003969902</v>
      </c>
      <c r="F7" s="91">
        <f>SUM(D7)*E7</f>
        <v>17930.997005557863</v>
      </c>
      <c r="G7" s="90">
        <v>13043</v>
      </c>
      <c r="H7" s="90">
        <v>10750</v>
      </c>
      <c r="I7" s="91">
        <v>13.216086735884662</v>
      </c>
      <c r="J7" s="91">
        <f>SUM(H7)*I7</f>
        <v>142072.93241076011</v>
      </c>
      <c r="K7" s="90">
        <v>13043</v>
      </c>
      <c r="L7" s="90">
        <v>10750</v>
      </c>
      <c r="M7" s="91">
        <v>13.637405469083076</v>
      </c>
      <c r="N7" s="91">
        <f>SUM(L7)*M7</f>
        <v>146602.10879264306</v>
      </c>
      <c r="O7" s="90">
        <v>13043</v>
      </c>
      <c r="P7" s="90">
        <v>10750</v>
      </c>
      <c r="Q7" s="91">
        <v>14.106325982854493</v>
      </c>
      <c r="R7" s="91">
        <f>SUM(P7)*Q7</f>
        <v>151643.0043156858</v>
      </c>
      <c r="S7" s="90">
        <v>13043</v>
      </c>
      <c r="T7" s="90">
        <v>10750</v>
      </c>
      <c r="U7" s="91">
        <v>14.591448997666753</v>
      </c>
      <c r="V7" s="91">
        <f>SUM(T7)*U7</f>
        <v>156858.0767249176</v>
      </c>
      <c r="W7" s="90">
        <v>13043</v>
      </c>
      <c r="X7" s="90">
        <v>10750</v>
      </c>
      <c r="Y7" s="91">
        <v>15.166293603121083</v>
      </c>
      <c r="Z7" s="91">
        <f>SUM(X7)*Y7</f>
        <v>163037.65623355165</v>
      </c>
      <c r="AA7" s="90">
        <v>13043</v>
      </c>
      <c r="AB7" s="90">
        <v>10750</v>
      </c>
      <c r="AC7" s="91">
        <v>15.839699060175624</v>
      </c>
      <c r="AD7" s="91">
        <f>SUM(AB7)*AC7</f>
        <v>170276.76489688797</v>
      </c>
      <c r="AE7" s="90">
        <v>13043</v>
      </c>
      <c r="AF7" s="90">
        <v>10750</v>
      </c>
      <c r="AG7" s="91">
        <v>16.543090041369606</v>
      </c>
      <c r="AH7" s="91">
        <f>SUM(AF7)*AG7</f>
        <v>177838.21794472326</v>
      </c>
      <c r="AI7" s="90">
        <v>13043</v>
      </c>
    </row>
    <row r="8" spans="1:35" ht="48">
      <c r="A8" s="263" t="s">
        <v>788</v>
      </c>
      <c r="B8" s="256"/>
      <c r="C8" s="256" t="s">
        <v>789</v>
      </c>
      <c r="D8" s="257"/>
      <c r="E8" s="258"/>
      <c r="F8" s="258"/>
      <c r="G8" s="90"/>
      <c r="H8" s="257"/>
      <c r="I8" s="258"/>
      <c r="J8" s="258"/>
      <c r="K8" s="90"/>
      <c r="L8" s="257"/>
      <c r="M8" s="258"/>
      <c r="N8" s="258"/>
      <c r="O8" s="90"/>
      <c r="P8" s="257"/>
      <c r="Q8" s="258"/>
      <c r="R8" s="258"/>
      <c r="S8" s="90"/>
      <c r="T8" s="257"/>
      <c r="U8" s="258"/>
      <c r="V8" s="258"/>
      <c r="W8" s="90"/>
      <c r="X8" s="257"/>
      <c r="Y8" s="258"/>
      <c r="Z8" s="258"/>
      <c r="AA8" s="90"/>
      <c r="AB8" s="257"/>
      <c r="AC8" s="258"/>
      <c r="AD8" s="258"/>
      <c r="AE8" s="90"/>
      <c r="AF8" s="257"/>
      <c r="AG8" s="258"/>
      <c r="AH8" s="258"/>
      <c r="AI8" s="90"/>
    </row>
    <row r="9" spans="1:35" ht="60">
      <c r="A9" s="263" t="s">
        <v>790</v>
      </c>
      <c r="B9" s="256"/>
      <c r="C9" s="256" t="s">
        <v>791</v>
      </c>
      <c r="D9" s="257">
        <v>13000</v>
      </c>
      <c r="E9" s="258"/>
      <c r="F9" s="258"/>
      <c r="G9" s="90"/>
      <c r="H9" s="257"/>
      <c r="I9" s="258"/>
      <c r="J9" s="258"/>
      <c r="K9" s="90"/>
      <c r="L9" s="257"/>
      <c r="M9" s="258"/>
      <c r="N9" s="258"/>
      <c r="O9" s="90"/>
      <c r="P9" s="257"/>
      <c r="Q9" s="258"/>
      <c r="R9" s="258"/>
      <c r="S9" s="90"/>
      <c r="T9" s="257"/>
      <c r="U9" s="258"/>
      <c r="V9" s="258"/>
      <c r="W9" s="90"/>
      <c r="X9" s="257"/>
      <c r="Y9" s="258"/>
      <c r="Z9" s="258"/>
      <c r="AA9" s="90"/>
      <c r="AB9" s="257"/>
      <c r="AC9" s="258"/>
      <c r="AD9" s="258"/>
      <c r="AE9" s="90"/>
      <c r="AF9" s="257"/>
      <c r="AG9" s="258"/>
      <c r="AH9" s="258"/>
      <c r="AI9" s="90"/>
    </row>
    <row r="10" spans="1:35" ht="36">
      <c r="A10" s="263" t="s">
        <v>792</v>
      </c>
      <c r="B10" s="256"/>
      <c r="C10" s="256" t="s">
        <v>793</v>
      </c>
      <c r="D10" s="257">
        <v>400</v>
      </c>
      <c r="E10" s="258"/>
      <c r="F10" s="258"/>
      <c r="G10" s="90"/>
      <c r="H10" s="257"/>
      <c r="I10" s="258"/>
      <c r="J10" s="258"/>
      <c r="K10" s="90"/>
      <c r="L10" s="257"/>
      <c r="M10" s="258"/>
      <c r="N10" s="258"/>
      <c r="O10" s="90"/>
      <c r="P10" s="257"/>
      <c r="Q10" s="258"/>
      <c r="R10" s="258"/>
      <c r="S10" s="90"/>
      <c r="T10" s="257"/>
      <c r="U10" s="258"/>
      <c r="V10" s="258"/>
      <c r="W10" s="90"/>
      <c r="X10" s="257"/>
      <c r="Y10" s="258"/>
      <c r="Z10" s="258"/>
      <c r="AA10" s="90"/>
      <c r="AB10" s="257"/>
      <c r="AC10" s="258"/>
      <c r="AD10" s="258"/>
      <c r="AE10" s="90"/>
      <c r="AF10" s="257"/>
      <c r="AG10" s="258"/>
      <c r="AH10" s="258"/>
      <c r="AI10" s="90"/>
    </row>
    <row r="11" spans="1:35" ht="60">
      <c r="A11" s="50" t="s">
        <v>794</v>
      </c>
      <c r="B11" s="50"/>
      <c r="C11" s="256" t="s">
        <v>795</v>
      </c>
      <c r="G11" s="90">
        <v>363</v>
      </c>
      <c r="H11" s="85"/>
      <c r="K11" s="90">
        <v>363</v>
      </c>
      <c r="L11" s="85"/>
      <c r="O11" s="90">
        <v>363</v>
      </c>
      <c r="P11" s="85"/>
      <c r="Q11" s="86"/>
      <c r="R11" s="86"/>
      <c r="S11" s="90">
        <v>363</v>
      </c>
      <c r="T11" s="85"/>
      <c r="U11" s="86"/>
      <c r="V11" s="86"/>
      <c r="W11" s="90">
        <v>363</v>
      </c>
      <c r="X11" s="85"/>
      <c r="Y11" s="86"/>
      <c r="Z11" s="86"/>
      <c r="AA11" s="90">
        <v>363</v>
      </c>
      <c r="AB11" s="85"/>
      <c r="AC11" s="86"/>
      <c r="AD11" s="86"/>
      <c r="AE11" s="90">
        <v>363</v>
      </c>
      <c r="AF11" s="85"/>
      <c r="AG11" s="86"/>
      <c r="AH11" s="86"/>
      <c r="AI11" s="90">
        <v>363</v>
      </c>
    </row>
    <row r="12" spans="1:35">
      <c r="A12" s="50" t="s">
        <v>796</v>
      </c>
      <c r="B12" s="50"/>
      <c r="C12" s="256" t="s">
        <v>554</v>
      </c>
      <c r="G12" s="90"/>
      <c r="H12" s="85"/>
      <c r="K12" s="90"/>
      <c r="L12" s="85"/>
      <c r="O12" s="90"/>
      <c r="P12" s="85"/>
      <c r="Q12" s="86"/>
      <c r="R12" s="86"/>
      <c r="S12" s="90"/>
      <c r="T12" s="85"/>
      <c r="U12" s="86"/>
      <c r="V12" s="86"/>
      <c r="W12" s="90"/>
      <c r="X12" s="85"/>
      <c r="Y12" s="86"/>
      <c r="Z12" s="86"/>
      <c r="AA12" s="90"/>
      <c r="AB12" s="85"/>
      <c r="AC12" s="86"/>
      <c r="AD12" s="86"/>
      <c r="AE12" s="90"/>
      <c r="AF12" s="85"/>
      <c r="AG12" s="86"/>
      <c r="AH12" s="86"/>
      <c r="AI12" s="90"/>
    </row>
    <row r="13" spans="1:35" ht="48">
      <c r="A13" s="50" t="s">
        <v>797</v>
      </c>
      <c r="B13" s="50"/>
      <c r="C13" s="17" t="s">
        <v>798</v>
      </c>
      <c r="D13" s="90">
        <v>256</v>
      </c>
      <c r="E13" s="91">
        <v>24.844168051959613</v>
      </c>
      <c r="F13" s="91">
        <f>SUM(D13)*E13</f>
        <v>6360.107021301661</v>
      </c>
      <c r="G13" s="90">
        <v>1205</v>
      </c>
      <c r="H13" s="90">
        <v>512</v>
      </c>
      <c r="I13" s="91">
        <v>25.636039739192885</v>
      </c>
      <c r="J13" s="91">
        <f>SUM(H13)*I13</f>
        <v>13125.652346466757</v>
      </c>
      <c r="K13" s="90">
        <v>1205</v>
      </c>
      <c r="L13" s="90">
        <v>512</v>
      </c>
      <c r="M13" s="91">
        <v>26.453297071335989</v>
      </c>
      <c r="N13" s="91">
        <f>SUM(L13)*M13</f>
        <v>13544.088100524026</v>
      </c>
      <c r="O13" s="90">
        <v>1205</v>
      </c>
      <c r="P13" s="90">
        <v>512</v>
      </c>
      <c r="Q13" s="91">
        <v>27.36289044536602</v>
      </c>
      <c r="R13" s="91">
        <f>SUM(P13)*Q13</f>
        <v>14009.799908027402</v>
      </c>
      <c r="S13" s="90">
        <v>1205</v>
      </c>
      <c r="T13" s="90">
        <v>512</v>
      </c>
      <c r="U13" s="91">
        <v>28.303912786900433</v>
      </c>
      <c r="V13" s="91">
        <f>SUM(T13)*U13</f>
        <v>14491.603346893022</v>
      </c>
      <c r="W13" s="90">
        <v>1205</v>
      </c>
      <c r="X13" s="90">
        <v>512</v>
      </c>
      <c r="Y13" s="91">
        <v>29.418973503721727</v>
      </c>
      <c r="Z13" s="91">
        <f>SUM(X13)*Y13</f>
        <v>15062.514433905524</v>
      </c>
      <c r="AA13" s="90">
        <v>1205</v>
      </c>
      <c r="AB13" s="90">
        <v>512</v>
      </c>
      <c r="AC13" s="91">
        <v>30.725218642894834</v>
      </c>
      <c r="AD13" s="91">
        <f>SUM(AB13)*AC13</f>
        <v>15731.311945162155</v>
      </c>
      <c r="AE13" s="90">
        <v>1205</v>
      </c>
      <c r="AF13" s="90">
        <v>512</v>
      </c>
      <c r="AG13" s="91">
        <v>32.089628509933419</v>
      </c>
      <c r="AH13" s="91">
        <f>SUM(AF13)*AG13</f>
        <v>16429.889797085911</v>
      </c>
      <c r="AI13" s="90">
        <v>1205</v>
      </c>
    </row>
    <row r="14" spans="1:35" ht="24">
      <c r="A14" s="50" t="s">
        <v>799</v>
      </c>
      <c r="B14" s="50"/>
      <c r="C14" s="17" t="s">
        <v>800</v>
      </c>
      <c r="G14" s="90">
        <v>51</v>
      </c>
      <c r="H14" s="85"/>
      <c r="K14" s="90">
        <v>51</v>
      </c>
      <c r="L14" s="85"/>
      <c r="O14" s="90">
        <v>51</v>
      </c>
      <c r="P14" s="85"/>
      <c r="Q14" s="86"/>
      <c r="R14" s="86"/>
      <c r="S14" s="90">
        <v>51</v>
      </c>
      <c r="T14" s="85"/>
      <c r="U14" s="86"/>
      <c r="V14" s="86"/>
      <c r="W14" s="90">
        <v>51</v>
      </c>
      <c r="X14" s="85"/>
      <c r="Y14" s="86"/>
      <c r="Z14" s="86"/>
      <c r="AA14" s="90">
        <v>51</v>
      </c>
      <c r="AB14" s="85"/>
      <c r="AC14" s="86"/>
      <c r="AD14" s="86"/>
      <c r="AE14" s="90">
        <v>51</v>
      </c>
      <c r="AF14" s="85"/>
      <c r="AG14" s="86"/>
      <c r="AH14" s="86"/>
      <c r="AI14" s="90">
        <v>51</v>
      </c>
    </row>
    <row r="15" spans="1:35" ht="24">
      <c r="A15" s="50" t="s">
        <v>801</v>
      </c>
      <c r="B15" s="50"/>
      <c r="C15" s="17" t="s">
        <v>802</v>
      </c>
      <c r="D15" s="90">
        <v>577</v>
      </c>
      <c r="E15" s="91">
        <v>10.958683434159214</v>
      </c>
      <c r="F15" s="91">
        <f>SUM(D15)*E15</f>
        <v>6323.1603415098662</v>
      </c>
      <c r="G15" s="90">
        <v>599</v>
      </c>
      <c r="H15" s="90">
        <v>577</v>
      </c>
      <c r="I15" s="91">
        <v>11.307975514405729</v>
      </c>
      <c r="J15" s="91">
        <f>SUM(H15)*I15</f>
        <v>6524.7018718121062</v>
      </c>
      <c r="K15" s="90">
        <v>599</v>
      </c>
      <c r="L15" s="90">
        <v>577</v>
      </c>
      <c r="M15" s="91">
        <v>11.668465121804571</v>
      </c>
      <c r="N15" s="91">
        <f>SUM(L15)*M15</f>
        <v>6732.7043752812378</v>
      </c>
      <c r="O15" s="90">
        <v>599</v>
      </c>
      <c r="P15" s="90">
        <v>577</v>
      </c>
      <c r="Q15" s="91">
        <v>12.069683863319952</v>
      </c>
      <c r="R15" s="91">
        <f>SUM(P15)*Q15</f>
        <v>6964.2075891356126</v>
      </c>
      <c r="S15" s="90">
        <v>599</v>
      </c>
      <c r="T15" s="90">
        <v>577</v>
      </c>
      <c r="U15" s="91">
        <v>12.484765822344679</v>
      </c>
      <c r="V15" s="91">
        <f>SUM(T15)*U15</f>
        <v>7203.7098794928797</v>
      </c>
      <c r="W15" s="90">
        <v>599</v>
      </c>
      <c r="X15" s="90">
        <v>577</v>
      </c>
      <c r="Y15" s="91">
        <v>12.97661555464221</v>
      </c>
      <c r="Z15" s="91">
        <f>SUM(X15)*Y15</f>
        <v>7487.5071750285551</v>
      </c>
      <c r="AA15" s="90">
        <v>599</v>
      </c>
      <c r="AB15" s="90">
        <v>577</v>
      </c>
      <c r="AC15" s="91">
        <v>13.552796126986962</v>
      </c>
      <c r="AD15" s="91">
        <f>SUM(AB15)*AC15</f>
        <v>7819.9633652714774</v>
      </c>
      <c r="AE15" s="90">
        <v>599</v>
      </c>
      <c r="AF15" s="90">
        <v>577</v>
      </c>
      <c r="AG15" s="91">
        <v>14.15463297562073</v>
      </c>
      <c r="AH15" s="91">
        <f>SUM(AF15)*AG15</f>
        <v>8167.2232269331616</v>
      </c>
      <c r="AI15" s="90">
        <v>599</v>
      </c>
    </row>
    <row r="16" spans="1:35">
      <c r="A16" s="50" t="s">
        <v>803</v>
      </c>
      <c r="B16" s="50"/>
      <c r="C16" s="93" t="s">
        <v>804</v>
      </c>
      <c r="H16" s="85"/>
      <c r="K16" s="85"/>
      <c r="L16" s="85"/>
      <c r="O16" s="85"/>
      <c r="P16" s="85"/>
      <c r="Q16" s="86"/>
      <c r="R16" s="86"/>
      <c r="S16" s="85"/>
      <c r="T16" s="85"/>
      <c r="U16" s="86"/>
      <c r="V16" s="86"/>
      <c r="W16" s="85"/>
      <c r="X16" s="85"/>
      <c r="Y16" s="86"/>
      <c r="Z16" s="86"/>
      <c r="AA16" s="85"/>
      <c r="AB16" s="85"/>
      <c r="AC16" s="86"/>
      <c r="AD16" s="86"/>
      <c r="AE16" s="85"/>
      <c r="AF16" s="85"/>
      <c r="AG16" s="86"/>
      <c r="AH16" s="86"/>
      <c r="AI16" s="85"/>
    </row>
    <row r="17" spans="1:35" ht="72">
      <c r="A17" s="50" t="s">
        <v>805</v>
      </c>
      <c r="B17" s="50"/>
      <c r="C17" s="256" t="s">
        <v>806</v>
      </c>
      <c r="D17" s="90">
        <v>1600</v>
      </c>
      <c r="E17" s="91">
        <v>30.857075247539282</v>
      </c>
      <c r="F17" s="91">
        <f>SUM(D17)*E17</f>
        <v>49371.320396062853</v>
      </c>
      <c r="G17" s="90">
        <v>4677</v>
      </c>
      <c r="H17" s="90">
        <v>1600</v>
      </c>
      <c r="I17" s="91">
        <v>31.840599597730826</v>
      </c>
      <c r="J17" s="91">
        <f>SUM(H17)*I17</f>
        <v>50944.95935636932</v>
      </c>
      <c r="K17" s="90">
        <v>4677</v>
      </c>
      <c r="L17" s="90">
        <v>1600</v>
      </c>
      <c r="M17" s="91">
        <v>32.85565355090813</v>
      </c>
      <c r="N17" s="91">
        <f>SUM(L17)*M17</f>
        <v>52569.045681453004</v>
      </c>
      <c r="O17" s="90">
        <v>4677</v>
      </c>
      <c r="P17" s="90">
        <v>1600</v>
      </c>
      <c r="Q17" s="91">
        <v>33.98539116693162</v>
      </c>
      <c r="R17" s="91">
        <f>SUM(P17)*Q17</f>
        <v>54376.625867090595</v>
      </c>
      <c r="S17" s="90">
        <v>4677</v>
      </c>
      <c r="T17" s="90">
        <v>1600</v>
      </c>
      <c r="U17" s="91">
        <v>35.154164343059477</v>
      </c>
      <c r="V17" s="91">
        <f>SUM(T17)*U17</f>
        <v>56246.662948895166</v>
      </c>
      <c r="W17" s="90">
        <v>4677</v>
      </c>
      <c r="X17" s="90">
        <v>1600</v>
      </c>
      <c r="Y17" s="91">
        <v>36.539097514199241</v>
      </c>
      <c r="Z17" s="91">
        <f>SUM(X17)*Y17</f>
        <v>58462.556022718789</v>
      </c>
      <c r="AA17" s="90">
        <v>4677</v>
      </c>
      <c r="AB17" s="90">
        <v>1600</v>
      </c>
      <c r="AC17" s="91">
        <v>38.161486497678112</v>
      </c>
      <c r="AD17" s="91">
        <f>SUM(AB17)*AC17</f>
        <v>61058.378396284977</v>
      </c>
      <c r="AE17" s="90">
        <v>4677</v>
      </c>
      <c r="AF17" s="90">
        <v>1600</v>
      </c>
      <c r="AG17" s="91">
        <v>39.856117521250418</v>
      </c>
      <c r="AH17" s="91">
        <f>SUM(AF17)*AG17</f>
        <v>63769.788034000667</v>
      </c>
      <c r="AI17" s="90">
        <v>4677</v>
      </c>
    </row>
    <row r="18" spans="1:35" ht="24">
      <c r="A18" s="50" t="s">
        <v>807</v>
      </c>
      <c r="B18" s="50"/>
      <c r="C18" s="17" t="s">
        <v>808</v>
      </c>
      <c r="G18" s="90">
        <v>0</v>
      </c>
      <c r="H18" s="85"/>
      <c r="K18" s="90">
        <v>0</v>
      </c>
      <c r="L18" s="85"/>
      <c r="O18" s="90">
        <v>0</v>
      </c>
      <c r="P18" s="85"/>
      <c r="Q18" s="86"/>
      <c r="R18" s="86"/>
      <c r="S18" s="90">
        <v>0</v>
      </c>
      <c r="T18" s="85"/>
      <c r="U18" s="86"/>
      <c r="V18" s="86"/>
      <c r="W18" s="90">
        <v>0</v>
      </c>
      <c r="X18" s="85"/>
      <c r="Y18" s="86"/>
      <c r="Z18" s="86"/>
      <c r="AA18" s="90">
        <v>0</v>
      </c>
      <c r="AB18" s="85"/>
      <c r="AC18" s="86"/>
      <c r="AD18" s="86"/>
      <c r="AE18" s="90">
        <v>0</v>
      </c>
      <c r="AF18" s="85"/>
      <c r="AG18" s="86"/>
      <c r="AH18" s="86"/>
      <c r="AI18" s="90">
        <v>0</v>
      </c>
    </row>
    <row r="19" spans="1:35">
      <c r="A19" s="50" t="s">
        <v>809</v>
      </c>
      <c r="B19" s="103"/>
      <c r="C19" s="93" t="s">
        <v>810</v>
      </c>
      <c r="H19" s="85"/>
      <c r="K19" s="85"/>
      <c r="L19" s="85"/>
      <c r="O19" s="85"/>
      <c r="P19" s="85"/>
      <c r="Q19" s="86"/>
      <c r="R19" s="86"/>
      <c r="S19" s="85"/>
      <c r="T19" s="85"/>
      <c r="U19" s="86"/>
      <c r="V19" s="86"/>
      <c r="W19" s="85"/>
      <c r="X19" s="85"/>
      <c r="Y19" s="86"/>
      <c r="Z19" s="86"/>
      <c r="AA19" s="85"/>
      <c r="AB19" s="85"/>
      <c r="AC19" s="86"/>
      <c r="AD19" s="86"/>
      <c r="AE19" s="85"/>
      <c r="AF19" s="85"/>
      <c r="AG19" s="86"/>
      <c r="AH19" s="86"/>
      <c r="AI19" s="85"/>
    </row>
    <row r="20" spans="1:35" ht="48">
      <c r="A20" s="50" t="s">
        <v>811</v>
      </c>
      <c r="B20" s="103"/>
      <c r="C20" s="17" t="s">
        <v>812</v>
      </c>
      <c r="G20" s="90">
        <v>997</v>
      </c>
      <c r="H20" s="85"/>
      <c r="K20" s="90">
        <v>997</v>
      </c>
      <c r="L20" s="85"/>
      <c r="O20" s="90">
        <v>997</v>
      </c>
      <c r="P20" s="85"/>
      <c r="Q20" s="86"/>
      <c r="R20" s="86"/>
      <c r="S20" s="90">
        <v>997</v>
      </c>
      <c r="T20" s="85"/>
      <c r="U20" s="86"/>
      <c r="V20" s="86"/>
      <c r="W20" s="90">
        <v>997</v>
      </c>
      <c r="X20" s="85"/>
      <c r="Y20" s="86"/>
      <c r="Z20" s="86"/>
      <c r="AA20" s="90">
        <v>997</v>
      </c>
      <c r="AB20" s="85"/>
      <c r="AC20" s="86"/>
      <c r="AD20" s="86"/>
      <c r="AE20" s="90">
        <v>997</v>
      </c>
      <c r="AF20" s="85"/>
      <c r="AG20" s="86"/>
      <c r="AH20" s="86"/>
      <c r="AI20" s="90">
        <v>997</v>
      </c>
    </row>
    <row r="21" spans="1:35">
      <c r="A21" s="50" t="s">
        <v>813</v>
      </c>
      <c r="B21" s="50"/>
      <c r="C21" s="93" t="s">
        <v>814</v>
      </c>
      <c r="H21" s="85"/>
      <c r="K21" s="85"/>
      <c r="L21" s="85"/>
      <c r="O21" s="85"/>
      <c r="P21" s="85"/>
      <c r="Q21" s="86"/>
      <c r="R21" s="86"/>
      <c r="S21" s="85"/>
      <c r="T21" s="85"/>
      <c r="U21" s="86"/>
      <c r="V21" s="86"/>
      <c r="W21" s="85"/>
      <c r="X21" s="85"/>
      <c r="Y21" s="86"/>
      <c r="Z21" s="86"/>
      <c r="AA21" s="85"/>
      <c r="AB21" s="85"/>
      <c r="AC21" s="86"/>
      <c r="AD21" s="86"/>
      <c r="AE21" s="85"/>
      <c r="AF21" s="85"/>
      <c r="AG21" s="86"/>
      <c r="AH21" s="86"/>
      <c r="AI21" s="85"/>
    </row>
    <row r="22" spans="1:35" ht="36">
      <c r="A22" s="50" t="s">
        <v>815</v>
      </c>
      <c r="B22" s="50"/>
      <c r="C22" s="17" t="s">
        <v>816</v>
      </c>
      <c r="G22" s="90">
        <v>257</v>
      </c>
      <c r="H22" s="85"/>
      <c r="K22" s="90">
        <v>257</v>
      </c>
      <c r="L22" s="85"/>
      <c r="O22" s="90">
        <v>257</v>
      </c>
      <c r="P22" s="85"/>
      <c r="Q22" s="86"/>
      <c r="R22" s="86"/>
      <c r="S22" s="90">
        <v>257</v>
      </c>
      <c r="T22" s="85"/>
      <c r="U22" s="86"/>
      <c r="V22" s="86"/>
      <c r="W22" s="90">
        <v>257</v>
      </c>
      <c r="X22" s="85"/>
      <c r="Y22" s="86"/>
      <c r="Z22" s="86"/>
      <c r="AA22" s="90">
        <v>257</v>
      </c>
      <c r="AB22" s="85"/>
      <c r="AC22" s="86"/>
      <c r="AD22" s="86"/>
      <c r="AE22" s="90">
        <v>257</v>
      </c>
      <c r="AF22" s="85"/>
      <c r="AG22" s="86"/>
      <c r="AH22" s="86"/>
      <c r="AI22" s="90">
        <v>257</v>
      </c>
    </row>
    <row r="23" spans="1:35" ht="120">
      <c r="A23" s="50" t="s">
        <v>817</v>
      </c>
      <c r="B23" s="50"/>
      <c r="C23" s="256" t="s">
        <v>818</v>
      </c>
      <c r="D23" s="90">
        <v>3300</v>
      </c>
      <c r="E23" s="91">
        <v>43.890309771711962</v>
      </c>
      <c r="F23" s="91">
        <f>SUM(D23)*E23</f>
        <v>144838.02224664949</v>
      </c>
      <c r="G23" s="90">
        <v>1871</v>
      </c>
      <c r="H23" s="90">
        <v>450</v>
      </c>
      <c r="I23" s="91">
        <v>45.289249497905587</v>
      </c>
      <c r="J23" s="91">
        <f>SUM(H23)*I23</f>
        <v>20380.162274057515</v>
      </c>
      <c r="K23" s="90">
        <v>1871</v>
      </c>
      <c r="L23" s="90">
        <v>450</v>
      </c>
      <c r="M23" s="91">
        <v>46.733036120019285</v>
      </c>
      <c r="N23" s="91">
        <f>SUM(L23)*M23</f>
        <v>21029.866254008677</v>
      </c>
      <c r="O23" s="90">
        <v>1871</v>
      </c>
      <c r="P23" s="90">
        <v>450</v>
      </c>
      <c r="Q23" s="91">
        <v>48.33994583295393</v>
      </c>
      <c r="R23" s="91">
        <f>SUM(P23)*Q23</f>
        <v>21752.975624829269</v>
      </c>
      <c r="S23" s="90">
        <v>1871</v>
      </c>
      <c r="T23" s="90">
        <v>450</v>
      </c>
      <c r="U23" s="91">
        <v>50.002378722059646</v>
      </c>
      <c r="V23" s="91">
        <f>SUM(T23)*U23</f>
        <v>22501.070424926842</v>
      </c>
      <c r="W23" s="90">
        <v>1871</v>
      </c>
      <c r="X23" s="90">
        <v>450</v>
      </c>
      <c r="Y23" s="91">
        <v>51.972272025518187</v>
      </c>
      <c r="Z23" s="91">
        <f>SUM(X23)*Y23</f>
        <v>23387.522411483184</v>
      </c>
      <c r="AA23" s="90">
        <v>1871</v>
      </c>
      <c r="AB23" s="90">
        <v>450</v>
      </c>
      <c r="AC23" s="91">
        <v>54.279916365879934</v>
      </c>
      <c r="AD23" s="91">
        <f>SUM(AB23)*AC23</f>
        <v>24425.96236464597</v>
      </c>
      <c r="AE23" s="90">
        <v>1871</v>
      </c>
      <c r="AF23" s="90">
        <v>450</v>
      </c>
      <c r="AG23" s="91">
        <v>56.690315925030404</v>
      </c>
      <c r="AH23" s="91">
        <f>SUM(AF23)*AG23</f>
        <v>25510.642166263682</v>
      </c>
      <c r="AI23" s="90">
        <v>1871</v>
      </c>
    </row>
    <row r="24" spans="1:35">
      <c r="A24" s="50" t="s">
        <v>819</v>
      </c>
      <c r="B24" s="50"/>
      <c r="C24" s="256" t="s">
        <v>820</v>
      </c>
      <c r="D24" s="90"/>
      <c r="E24" s="91"/>
      <c r="F24" s="91"/>
      <c r="G24" s="90"/>
      <c r="H24" s="90"/>
      <c r="I24" s="91"/>
      <c r="J24" s="91"/>
      <c r="K24" s="90"/>
      <c r="L24" s="90"/>
      <c r="M24" s="91"/>
      <c r="N24" s="91"/>
      <c r="O24" s="90"/>
      <c r="P24" s="90"/>
      <c r="Q24" s="91"/>
      <c r="R24" s="91"/>
      <c r="S24" s="90"/>
      <c r="T24" s="90"/>
      <c r="U24" s="91"/>
      <c r="V24" s="91"/>
      <c r="W24" s="90"/>
      <c r="X24" s="90"/>
      <c r="Y24" s="91"/>
      <c r="Z24" s="91"/>
      <c r="AA24" s="90"/>
      <c r="AB24" s="90"/>
      <c r="AC24" s="91"/>
      <c r="AD24" s="91"/>
      <c r="AE24" s="90"/>
      <c r="AF24" s="90"/>
      <c r="AG24" s="91"/>
      <c r="AH24" s="91"/>
      <c r="AI24" s="90"/>
    </row>
    <row r="25" spans="1:35">
      <c r="A25" s="88" t="s">
        <v>821</v>
      </c>
      <c r="B25" s="50"/>
      <c r="C25" s="256" t="s">
        <v>820</v>
      </c>
      <c r="D25" s="90"/>
      <c r="E25" s="91"/>
      <c r="F25" s="91"/>
      <c r="G25" s="90"/>
      <c r="H25" s="90"/>
      <c r="I25" s="91"/>
      <c r="J25" s="91"/>
      <c r="K25" s="90"/>
      <c r="L25" s="90"/>
      <c r="M25" s="91"/>
      <c r="N25" s="91"/>
      <c r="O25" s="90"/>
      <c r="P25" s="90"/>
      <c r="Q25" s="91"/>
      <c r="R25" s="91"/>
      <c r="S25" s="90"/>
      <c r="T25" s="90"/>
      <c r="U25" s="91"/>
      <c r="V25" s="91"/>
      <c r="W25" s="90"/>
      <c r="X25" s="90"/>
      <c r="Y25" s="91"/>
      <c r="Z25" s="91"/>
      <c r="AA25" s="90"/>
      <c r="AB25" s="90"/>
      <c r="AC25" s="91"/>
      <c r="AD25" s="91"/>
      <c r="AE25" s="90"/>
      <c r="AF25" s="90"/>
      <c r="AG25" s="91"/>
      <c r="AH25" s="91"/>
      <c r="AI25" s="90"/>
    </row>
    <row r="26" spans="1:35" ht="24">
      <c r="A26" s="88" t="s">
        <v>822</v>
      </c>
      <c r="B26" s="50"/>
      <c r="C26" s="17" t="s">
        <v>823</v>
      </c>
      <c r="D26" s="90">
        <v>3500</v>
      </c>
      <c r="E26" s="91">
        <v>76.813906652843841</v>
      </c>
      <c r="F26" s="91">
        <f>SUM(D26)*E26</f>
        <v>268848.67328495346</v>
      </c>
      <c r="G26" s="90">
        <v>4366</v>
      </c>
      <c r="H26" s="90">
        <v>600</v>
      </c>
      <c r="I26" s="91">
        <v>79.262238097750853</v>
      </c>
      <c r="J26" s="91">
        <f>SUM(H26)*I26</f>
        <v>47557.342858650511</v>
      </c>
      <c r="K26" s="90">
        <v>4366</v>
      </c>
      <c r="L26" s="90">
        <v>600</v>
      </c>
      <c r="M26" s="91">
        <v>81.789057602887837</v>
      </c>
      <c r="N26" s="91">
        <f>SUM(L26)*M26</f>
        <v>49073.434561732705</v>
      </c>
      <c r="O26" s="90">
        <v>4366</v>
      </c>
      <c r="P26" s="90">
        <v>600</v>
      </c>
      <c r="Q26" s="91">
        <v>84.601364313205579</v>
      </c>
      <c r="R26" s="91">
        <f>SUM(P26)*Q26</f>
        <v>50760.81858792335</v>
      </c>
      <c r="S26" s="90">
        <v>4366</v>
      </c>
      <c r="T26" s="90">
        <v>600</v>
      </c>
      <c r="U26" s="91">
        <v>87.51084400073988</v>
      </c>
      <c r="V26" s="91">
        <f>SUM(T26)*U26</f>
        <v>52506.506400443926</v>
      </c>
      <c r="W26" s="90">
        <v>4366</v>
      </c>
      <c r="X26" s="90">
        <v>600</v>
      </c>
      <c r="Y26" s="91">
        <v>90.958420495755902</v>
      </c>
      <c r="Z26" s="91">
        <f>SUM(X26)*Y26</f>
        <v>54575.052297453542</v>
      </c>
      <c r="AA26" s="90">
        <v>4366</v>
      </c>
      <c r="AB26" s="90">
        <v>600</v>
      </c>
      <c r="AC26" s="91">
        <v>94.997106435100918</v>
      </c>
      <c r="AD26" s="91">
        <f>SUM(AB26)*AC26</f>
        <v>56998.26386106055</v>
      </c>
      <c r="AE26" s="90">
        <v>4366</v>
      </c>
      <c r="AF26" s="90">
        <v>600</v>
      </c>
      <c r="AG26" s="91">
        <v>99.215627737312687</v>
      </c>
      <c r="AH26" s="91">
        <f>SUM(AF26)*AG26</f>
        <v>59529.376642387615</v>
      </c>
      <c r="AI26" s="90">
        <v>4366</v>
      </c>
    </row>
    <row r="27" spans="1:35" ht="24">
      <c r="A27" s="50" t="s">
        <v>824</v>
      </c>
      <c r="B27" s="50"/>
      <c r="C27" s="17" t="s">
        <v>825</v>
      </c>
      <c r="G27" s="90">
        <v>467</v>
      </c>
      <c r="H27" s="85"/>
      <c r="K27" s="90">
        <v>467</v>
      </c>
      <c r="L27" s="85"/>
      <c r="O27" s="90">
        <v>467</v>
      </c>
      <c r="P27" s="85"/>
      <c r="Q27" s="86"/>
      <c r="R27" s="86"/>
      <c r="S27" s="90">
        <v>467</v>
      </c>
      <c r="T27" s="85"/>
      <c r="U27" s="86"/>
      <c r="V27" s="86"/>
      <c r="W27" s="90">
        <v>467</v>
      </c>
      <c r="X27" s="85"/>
      <c r="Y27" s="86"/>
      <c r="Z27" s="86"/>
      <c r="AA27" s="90">
        <v>467</v>
      </c>
      <c r="AB27" s="85"/>
      <c r="AC27" s="86"/>
      <c r="AD27" s="86"/>
      <c r="AE27" s="90">
        <v>467</v>
      </c>
      <c r="AF27" s="85"/>
      <c r="AG27" s="86"/>
      <c r="AH27" s="86"/>
      <c r="AI27" s="90">
        <v>467</v>
      </c>
    </row>
    <row r="28" spans="1:35" ht="36">
      <c r="A28" s="50" t="s">
        <v>826</v>
      </c>
      <c r="B28" s="50"/>
      <c r="C28" s="17" t="s">
        <v>827</v>
      </c>
      <c r="G28" s="90">
        <v>51</v>
      </c>
      <c r="H28" s="85"/>
      <c r="K28" s="90">
        <v>51</v>
      </c>
      <c r="L28" s="85"/>
      <c r="O28" s="90">
        <v>51</v>
      </c>
      <c r="P28" s="85"/>
      <c r="Q28" s="86"/>
      <c r="R28" s="86"/>
      <c r="S28" s="90">
        <v>51</v>
      </c>
      <c r="T28" s="85"/>
      <c r="U28" s="86"/>
      <c r="V28" s="86"/>
      <c r="W28" s="90">
        <v>51</v>
      </c>
      <c r="X28" s="85"/>
      <c r="Y28" s="86"/>
      <c r="Z28" s="86"/>
      <c r="AA28" s="90">
        <v>51</v>
      </c>
      <c r="AB28" s="85"/>
      <c r="AC28" s="86"/>
      <c r="AD28" s="86"/>
      <c r="AE28" s="90">
        <v>51</v>
      </c>
      <c r="AF28" s="85"/>
      <c r="AG28" s="86"/>
      <c r="AH28" s="86"/>
      <c r="AI28" s="90">
        <v>51</v>
      </c>
    </row>
    <row r="29" spans="1:35">
      <c r="A29" s="88" t="s">
        <v>828</v>
      </c>
      <c r="B29" s="50"/>
      <c r="C29" s="93" t="s">
        <v>829</v>
      </c>
      <c r="H29" s="85"/>
      <c r="K29" s="85"/>
      <c r="L29" s="85"/>
      <c r="O29" s="85"/>
      <c r="P29" s="85"/>
      <c r="Q29" s="86"/>
      <c r="R29" s="86"/>
      <c r="S29" s="85"/>
      <c r="T29" s="85"/>
      <c r="U29" s="86"/>
      <c r="V29" s="86"/>
      <c r="W29" s="85"/>
      <c r="X29" s="85"/>
      <c r="Y29" s="86"/>
      <c r="Z29" s="86"/>
      <c r="AA29" s="85"/>
      <c r="AB29" s="85"/>
      <c r="AC29" s="86"/>
      <c r="AD29" s="86"/>
      <c r="AE29" s="85"/>
      <c r="AF29" s="85"/>
      <c r="AG29" s="86"/>
      <c r="AH29" s="86"/>
      <c r="AI29" s="85"/>
    </row>
    <row r="30" spans="1:35" ht="60">
      <c r="A30" s="92" t="s">
        <v>830</v>
      </c>
      <c r="B30" s="50"/>
      <c r="C30" s="17" t="s">
        <v>831</v>
      </c>
      <c r="D30" s="90">
        <v>1214</v>
      </c>
      <c r="E30" s="91">
        <v>3010.8611754138055</v>
      </c>
      <c r="F30" s="91">
        <f>SUM(D30)*E30</f>
        <v>3655185.4669523598</v>
      </c>
      <c r="G30" s="90">
        <v>2567</v>
      </c>
      <c r="H30" s="90">
        <v>14</v>
      </c>
      <c r="I30" s="91">
        <v>1997.2465662940228</v>
      </c>
      <c r="J30" s="91">
        <f>SUM(H30)*I30</f>
        <v>27961.451928116319</v>
      </c>
      <c r="K30" s="90">
        <v>2567</v>
      </c>
      <c r="L30" s="90">
        <v>14</v>
      </c>
      <c r="M30" s="91">
        <v>2060.9172586867326</v>
      </c>
      <c r="N30" s="91">
        <f>SUM(L30)*M30</f>
        <v>28852.841621614258</v>
      </c>
      <c r="O30" s="90">
        <v>2567</v>
      </c>
      <c r="P30" s="90">
        <v>14</v>
      </c>
      <c r="Q30" s="91">
        <v>2131.7816457561553</v>
      </c>
      <c r="R30" s="91">
        <f>SUM(P30)*Q30</f>
        <v>29844.943040586175</v>
      </c>
      <c r="S30" s="90">
        <v>2567</v>
      </c>
      <c r="T30" s="90">
        <v>14</v>
      </c>
      <c r="U30" s="91">
        <v>2205.0945934483925</v>
      </c>
      <c r="V30" s="91">
        <f>SUM(T30)*U30</f>
        <v>30871.324308277493</v>
      </c>
      <c r="W30" s="90">
        <v>2567</v>
      </c>
      <c r="X30" s="90">
        <v>14</v>
      </c>
      <c r="Y30" s="91">
        <v>2291.9664820293701</v>
      </c>
      <c r="Z30" s="91">
        <f>SUM(X30)*Y30</f>
        <v>32087.530748411184</v>
      </c>
      <c r="AA30" s="90">
        <v>2567</v>
      </c>
      <c r="AB30" s="90">
        <v>14</v>
      </c>
      <c r="AC30" s="91">
        <v>2393.733121709025</v>
      </c>
      <c r="AD30" s="91">
        <f>SUM(AB30)*AC30</f>
        <v>33512.26370392635</v>
      </c>
      <c r="AE30" s="90">
        <v>2567</v>
      </c>
      <c r="AF30" s="90">
        <v>14</v>
      </c>
      <c r="AG30" s="91">
        <v>2500.0312453538545</v>
      </c>
      <c r="AH30" s="91">
        <f>SUM(AF30)*AG30</f>
        <v>35000.437434953965</v>
      </c>
      <c r="AI30" s="90">
        <v>2567</v>
      </c>
    </row>
    <row r="31" spans="1:35" ht="60">
      <c r="A31" s="92" t="s">
        <v>832</v>
      </c>
      <c r="B31" s="92"/>
      <c r="C31" s="17" t="s">
        <v>833</v>
      </c>
      <c r="D31" s="90">
        <v>1200</v>
      </c>
      <c r="E31" s="91">
        <v>10.556194226226824</v>
      </c>
      <c r="F31" s="91">
        <f>SUM(D31)*E31</f>
        <v>12667.433071472189</v>
      </c>
      <c r="G31" s="90">
        <v>2400</v>
      </c>
      <c r="H31" s="90">
        <v>2400</v>
      </c>
      <c r="I31" s="91">
        <v>10.89265754893507</v>
      </c>
      <c r="J31" s="91">
        <f>SUM(H31)*I31</f>
        <v>26142.378117444168</v>
      </c>
      <c r="K31" s="90">
        <v>2400</v>
      </c>
      <c r="L31" s="90">
        <v>2400</v>
      </c>
      <c r="M31" s="91">
        <v>11.239907137364339</v>
      </c>
      <c r="N31" s="91">
        <f>SUM(L31)*M31</f>
        <v>26975.777129674414</v>
      </c>
      <c r="O31" s="90">
        <v>2400</v>
      </c>
      <c r="P31" s="90">
        <v>2400</v>
      </c>
      <c r="Q31" s="91">
        <v>11.626389965167968</v>
      </c>
      <c r="R31" s="91">
        <f>SUM(P31)*Q31</f>
        <v>27903.335916403124</v>
      </c>
      <c r="S31" s="90">
        <v>2400</v>
      </c>
      <c r="T31" s="90">
        <v>2400</v>
      </c>
      <c r="U31" s="91">
        <v>12.026226843894625</v>
      </c>
      <c r="V31" s="91">
        <f>SUM(T31)*U31</f>
        <v>28862.944425347101</v>
      </c>
      <c r="W31" s="90">
        <v>2400</v>
      </c>
      <c r="X31" s="90">
        <v>2400</v>
      </c>
      <c r="Y31" s="91">
        <v>12.500011978344833</v>
      </c>
      <c r="Z31" s="91">
        <f>SUM(X31)*Y31</f>
        <v>30000.028748027598</v>
      </c>
      <c r="AA31" s="90">
        <v>2400</v>
      </c>
      <c r="AB31" s="90">
        <v>2400</v>
      </c>
      <c r="AC31" s="91">
        <v>13.055030659885606</v>
      </c>
      <c r="AD31" s="91">
        <f>SUM(AB31)*AC31</f>
        <v>31332.073583725454</v>
      </c>
      <c r="AE31" s="90">
        <v>2400</v>
      </c>
      <c r="AF31" s="90">
        <v>2400</v>
      </c>
      <c r="AG31" s="91">
        <v>13.634763317083744</v>
      </c>
      <c r="AH31" s="91">
        <f>SUM(AF31)*AG31</f>
        <v>32723.431961000984</v>
      </c>
      <c r="AI31" s="90">
        <v>2400</v>
      </c>
    </row>
    <row r="32" spans="1:35" ht="24">
      <c r="A32" s="50" t="s">
        <v>834</v>
      </c>
      <c r="B32" s="50"/>
      <c r="C32" s="17" t="s">
        <v>835</v>
      </c>
      <c r="G32" s="90">
        <v>103</v>
      </c>
      <c r="H32" s="85"/>
      <c r="K32" s="90">
        <v>103</v>
      </c>
      <c r="L32" s="85"/>
      <c r="O32" s="90">
        <v>103</v>
      </c>
      <c r="P32" s="85"/>
      <c r="Q32" s="86"/>
      <c r="R32" s="86"/>
      <c r="S32" s="90">
        <v>103</v>
      </c>
      <c r="T32" s="85"/>
      <c r="U32" s="86"/>
      <c r="V32" s="86"/>
      <c r="W32" s="90">
        <v>103</v>
      </c>
      <c r="X32" s="85"/>
      <c r="Y32" s="86"/>
      <c r="Z32" s="86"/>
      <c r="AA32" s="90">
        <v>103</v>
      </c>
      <c r="AB32" s="85"/>
      <c r="AC32" s="86"/>
      <c r="AD32" s="86"/>
      <c r="AE32" s="90">
        <v>103</v>
      </c>
      <c r="AF32" s="85"/>
      <c r="AG32" s="86"/>
      <c r="AH32" s="86"/>
      <c r="AI32" s="90">
        <v>103</v>
      </c>
    </row>
    <row r="33" spans="1:35" ht="24">
      <c r="A33" s="50" t="s">
        <v>836</v>
      </c>
      <c r="B33" s="50"/>
      <c r="C33" s="17" t="s">
        <v>837</v>
      </c>
      <c r="G33" s="90">
        <v>37</v>
      </c>
      <c r="H33" s="85"/>
      <c r="K33" s="90">
        <v>37</v>
      </c>
      <c r="L33" s="85"/>
      <c r="O33" s="90">
        <v>37</v>
      </c>
      <c r="P33" s="85"/>
      <c r="Q33" s="86"/>
      <c r="R33" s="86"/>
      <c r="S33" s="90">
        <v>37</v>
      </c>
      <c r="T33" s="85"/>
      <c r="U33" s="86"/>
      <c r="V33" s="86"/>
      <c r="W33" s="90">
        <v>37</v>
      </c>
      <c r="X33" s="85"/>
      <c r="Y33" s="86"/>
      <c r="Z33" s="86"/>
      <c r="AA33" s="90">
        <v>37</v>
      </c>
      <c r="AB33" s="85"/>
      <c r="AC33" s="86"/>
      <c r="AD33" s="86"/>
      <c r="AE33" s="90">
        <v>37</v>
      </c>
      <c r="AF33" s="85"/>
      <c r="AG33" s="86"/>
      <c r="AH33" s="86"/>
      <c r="AI33" s="90">
        <v>37</v>
      </c>
    </row>
    <row r="34" spans="1:35" ht="36">
      <c r="A34" s="50" t="s">
        <v>838</v>
      </c>
      <c r="B34" s="50"/>
      <c r="C34" s="17" t="s">
        <v>839</v>
      </c>
      <c r="G34" s="90">
        <v>51</v>
      </c>
      <c r="H34" s="85"/>
      <c r="K34" s="90">
        <v>51</v>
      </c>
      <c r="L34" s="85"/>
      <c r="O34" s="90">
        <v>51</v>
      </c>
      <c r="P34" s="85"/>
      <c r="Q34" s="86"/>
      <c r="R34" s="86"/>
      <c r="S34" s="90">
        <v>51</v>
      </c>
      <c r="T34" s="85"/>
      <c r="U34" s="86"/>
      <c r="V34" s="86"/>
      <c r="W34" s="90">
        <v>51</v>
      </c>
      <c r="X34" s="85"/>
      <c r="Y34" s="86"/>
      <c r="Z34" s="86"/>
      <c r="AA34" s="90">
        <v>51</v>
      </c>
      <c r="AB34" s="85"/>
      <c r="AC34" s="86"/>
      <c r="AD34" s="86"/>
      <c r="AE34" s="90">
        <v>51</v>
      </c>
      <c r="AF34" s="85"/>
      <c r="AG34" s="86"/>
      <c r="AH34" s="86"/>
      <c r="AI34" s="90">
        <v>51</v>
      </c>
    </row>
    <row r="35" spans="1:35">
      <c r="A35" s="50" t="s">
        <v>840</v>
      </c>
      <c r="B35" s="50"/>
      <c r="C35" s="17" t="s">
        <v>841</v>
      </c>
      <c r="D35" s="90">
        <v>1300</v>
      </c>
      <c r="E35" s="91">
        <v>65.828427194750475</v>
      </c>
      <c r="F35" s="91">
        <f>SUM(D35)*E35</f>
        <v>85576.95535317561</v>
      </c>
      <c r="G35" s="90">
        <v>1559</v>
      </c>
      <c r="H35" s="90">
        <v>250</v>
      </c>
      <c r="I35" s="91">
        <v>67.926612475159104</v>
      </c>
      <c r="J35" s="91">
        <f>SUM(H35)*I35</f>
        <v>16981.653118789774</v>
      </c>
      <c r="K35" s="90">
        <v>1559</v>
      </c>
      <c r="L35" s="90">
        <v>250</v>
      </c>
      <c r="M35" s="91">
        <v>70.092060908604026</v>
      </c>
      <c r="N35" s="91">
        <f>SUM(L35)*M35</f>
        <v>17523.015227151005</v>
      </c>
      <c r="O35" s="90">
        <v>1559</v>
      </c>
      <c r="P35" s="90">
        <v>250</v>
      </c>
      <c r="Q35" s="91">
        <v>72.502167822787456</v>
      </c>
      <c r="R35" s="91">
        <f>SUM(P35)*Q35</f>
        <v>18125.541955696863</v>
      </c>
      <c r="S35" s="90">
        <v>1559</v>
      </c>
      <c r="T35" s="90">
        <v>250</v>
      </c>
      <c r="U35" s="91">
        <v>74.995550598526876</v>
      </c>
      <c r="V35" s="91">
        <f>SUM(T35)*U35</f>
        <v>18748.887649631721</v>
      </c>
      <c r="W35" s="90">
        <v>1559</v>
      </c>
      <c r="X35" s="90">
        <v>250</v>
      </c>
      <c r="Y35" s="91">
        <v>77.950074696958382</v>
      </c>
      <c r="Z35" s="91">
        <f>SUM(X35)*Y35</f>
        <v>19487.518674239596</v>
      </c>
      <c r="AA35" s="90">
        <v>1559</v>
      </c>
      <c r="AB35" s="90">
        <v>250</v>
      </c>
      <c r="AC35" s="91">
        <v>81.411171195046649</v>
      </c>
      <c r="AD35" s="91">
        <f>SUM(AB35)*AC35</f>
        <v>20352.79279876166</v>
      </c>
      <c r="AE35" s="90">
        <v>1559</v>
      </c>
      <c r="AF35" s="90">
        <v>250</v>
      </c>
      <c r="AG35" s="91">
        <v>85.026384045334225</v>
      </c>
      <c r="AH35" s="91">
        <f>SUM(AF35)*AG35</f>
        <v>21256.596011333557</v>
      </c>
      <c r="AI35" s="90">
        <v>1559</v>
      </c>
    </row>
    <row r="36" spans="1:35" ht="36">
      <c r="A36" s="50" t="s">
        <v>842</v>
      </c>
      <c r="B36" s="50"/>
      <c r="C36" s="17" t="s">
        <v>843</v>
      </c>
      <c r="D36" s="90">
        <v>575</v>
      </c>
      <c r="E36" s="91">
        <v>19.185883006167252</v>
      </c>
      <c r="F36" s="91">
        <f>SUM(D36)*E36</f>
        <v>11031.88272854617</v>
      </c>
      <c r="G36" s="90">
        <v>727</v>
      </c>
      <c r="H36" s="90">
        <v>400</v>
      </c>
      <c r="I36" s="91">
        <v>19.79740509518949</v>
      </c>
      <c r="J36" s="91">
        <f>SUM(H36)*I36</f>
        <v>7918.962038075796</v>
      </c>
      <c r="K36" s="90">
        <v>727</v>
      </c>
      <c r="L36" s="90">
        <v>400</v>
      </c>
      <c r="M36" s="91">
        <v>20.428531222159684</v>
      </c>
      <c r="N36" s="91">
        <f>SUM(L36)*M36</f>
        <v>8171.4124888638735</v>
      </c>
      <c r="O36" s="90">
        <v>727</v>
      </c>
      <c r="P36" s="90">
        <v>400</v>
      </c>
      <c r="Q36" s="91">
        <v>21.130963761692783</v>
      </c>
      <c r="R36" s="91">
        <f>SUM(P36)*Q36</f>
        <v>8452.3855046771132</v>
      </c>
      <c r="S36" s="90">
        <v>727</v>
      </c>
      <c r="T36" s="90">
        <v>400</v>
      </c>
      <c r="U36" s="91">
        <v>21.85766728877848</v>
      </c>
      <c r="V36" s="91">
        <f>SUM(T36)*U36</f>
        <v>8743.0669155113919</v>
      </c>
      <c r="W36" s="90">
        <v>727</v>
      </c>
      <c r="X36" s="90">
        <v>400</v>
      </c>
      <c r="Y36" s="91">
        <v>22.718771770641734</v>
      </c>
      <c r="Z36" s="91">
        <f>SUM(X36)*Y36</f>
        <v>9087.5087082566934</v>
      </c>
      <c r="AA36" s="90">
        <v>727</v>
      </c>
      <c r="AB36" s="90">
        <v>400</v>
      </c>
      <c r="AC36" s="91">
        <v>23.727518224342088</v>
      </c>
      <c r="AD36" s="91">
        <f>SUM(AB36)*AC36</f>
        <v>9491.0072897368354</v>
      </c>
      <c r="AE36" s="90">
        <v>727</v>
      </c>
      <c r="AF36" s="90">
        <v>400</v>
      </c>
      <c r="AG36" s="91">
        <v>24.781182328799705</v>
      </c>
      <c r="AH36" s="91">
        <f>SUM(AF36)*AG36</f>
        <v>9912.472931519882</v>
      </c>
      <c r="AI36" s="90">
        <v>727</v>
      </c>
    </row>
    <row r="37" spans="1:35" ht="36">
      <c r="A37" s="50" t="s">
        <v>844</v>
      </c>
      <c r="B37" s="50"/>
      <c r="C37" s="17" t="s">
        <v>845</v>
      </c>
      <c r="D37" s="90">
        <v>1300</v>
      </c>
      <c r="E37" s="91">
        <v>65.813810925821855</v>
      </c>
      <c r="F37" s="91">
        <f>SUM(D37)*E37</f>
        <v>85557.954203568414</v>
      </c>
      <c r="G37" s="90">
        <v>1621</v>
      </c>
      <c r="H37" s="90">
        <v>260</v>
      </c>
      <c r="I37" s="91">
        <v>67.911530333937492</v>
      </c>
      <c r="J37" s="91">
        <f>SUM(H37)*I37</f>
        <v>17656.997886823749</v>
      </c>
      <c r="K37" s="90">
        <v>1621</v>
      </c>
      <c r="L37" s="90">
        <v>260</v>
      </c>
      <c r="M37" s="91">
        <v>70.076497960259971</v>
      </c>
      <c r="N37" s="91">
        <f>SUM(L37)*M37</f>
        <v>18219.889469667592</v>
      </c>
      <c r="O37" s="90">
        <v>1621</v>
      </c>
      <c r="P37" s="90">
        <v>260</v>
      </c>
      <c r="Q37" s="91">
        <v>72.486069744374149</v>
      </c>
      <c r="R37" s="91">
        <f>SUM(P37)*Q37</f>
        <v>18846.378133537277</v>
      </c>
      <c r="S37" s="90">
        <v>1621</v>
      </c>
      <c r="T37" s="90">
        <v>260</v>
      </c>
      <c r="U37" s="91">
        <v>74.978898899819953</v>
      </c>
      <c r="V37" s="91">
        <f>SUM(T37)*U37</f>
        <v>19494.513713953187</v>
      </c>
      <c r="W37" s="90">
        <v>1621</v>
      </c>
      <c r="X37" s="90">
        <v>260</v>
      </c>
      <c r="Y37" s="91">
        <v>77.932766988065296</v>
      </c>
      <c r="Z37" s="91">
        <f>SUM(X37)*Y37</f>
        <v>20262.519416896976</v>
      </c>
      <c r="AA37" s="90">
        <v>1621</v>
      </c>
      <c r="AB37" s="90">
        <v>260</v>
      </c>
      <c r="AC37" s="91">
        <v>81.393094998748339</v>
      </c>
      <c r="AD37" s="91">
        <f>SUM(AB37)*AC37</f>
        <v>21162.204699674567</v>
      </c>
      <c r="AE37" s="90">
        <v>1621</v>
      </c>
      <c r="AF37" s="90">
        <v>260</v>
      </c>
      <c r="AG37" s="91">
        <v>85.007505142279797</v>
      </c>
      <c r="AH37" s="91">
        <f>SUM(AF37)*AG37</f>
        <v>22101.951336992748</v>
      </c>
      <c r="AI37" s="90">
        <v>1621</v>
      </c>
    </row>
    <row r="38" spans="1:35">
      <c r="A38" s="50" t="s">
        <v>846</v>
      </c>
      <c r="B38" s="50"/>
      <c r="C38" s="17" t="s">
        <v>847</v>
      </c>
      <c r="G38" s="90">
        <v>259</v>
      </c>
      <c r="H38" s="85"/>
      <c r="K38" s="90">
        <v>259</v>
      </c>
      <c r="L38" s="85"/>
      <c r="O38" s="90">
        <v>259</v>
      </c>
      <c r="P38" s="85"/>
      <c r="Q38" s="86"/>
      <c r="R38" s="86"/>
      <c r="S38" s="90">
        <v>259</v>
      </c>
      <c r="T38" s="85"/>
      <c r="U38" s="86"/>
      <c r="V38" s="86"/>
      <c r="W38" s="90">
        <v>259</v>
      </c>
      <c r="X38" s="85"/>
      <c r="Y38" s="86"/>
      <c r="Z38" s="86"/>
      <c r="AA38" s="90">
        <v>259</v>
      </c>
      <c r="AB38" s="85"/>
      <c r="AC38" s="86"/>
      <c r="AD38" s="86"/>
      <c r="AE38" s="90">
        <v>259</v>
      </c>
      <c r="AF38" s="85"/>
      <c r="AG38" s="86"/>
      <c r="AH38" s="86"/>
      <c r="AI38" s="90">
        <v>259</v>
      </c>
    </row>
    <row r="39" spans="1:35" ht="36">
      <c r="A39" s="50" t="s">
        <v>848</v>
      </c>
      <c r="B39" s="50"/>
      <c r="C39" s="17" t="s">
        <v>849</v>
      </c>
      <c r="G39" s="90">
        <v>87</v>
      </c>
      <c r="H39" s="85"/>
      <c r="K39" s="90">
        <v>87</v>
      </c>
      <c r="L39" s="85"/>
      <c r="O39" s="90">
        <v>87</v>
      </c>
      <c r="P39" s="85"/>
      <c r="Q39" s="86"/>
      <c r="R39" s="86"/>
      <c r="S39" s="90">
        <v>87</v>
      </c>
      <c r="T39" s="85"/>
      <c r="U39" s="86"/>
      <c r="V39" s="86"/>
      <c r="W39" s="90">
        <v>87</v>
      </c>
      <c r="X39" s="85"/>
      <c r="Y39" s="86"/>
      <c r="Z39" s="86"/>
      <c r="AA39" s="90">
        <v>87</v>
      </c>
      <c r="AB39" s="85"/>
      <c r="AC39" s="86"/>
      <c r="AD39" s="86"/>
      <c r="AE39" s="90">
        <v>87</v>
      </c>
      <c r="AF39" s="85"/>
      <c r="AG39" s="86"/>
      <c r="AH39" s="86"/>
      <c r="AI39" s="90">
        <v>87</v>
      </c>
    </row>
    <row r="40" spans="1:35">
      <c r="A40" s="88" t="s">
        <v>850</v>
      </c>
      <c r="B40" s="50"/>
      <c r="C40" s="93" t="s">
        <v>851</v>
      </c>
      <c r="H40" s="85"/>
      <c r="K40" s="85"/>
      <c r="L40" s="85"/>
      <c r="O40" s="85"/>
      <c r="P40" s="85"/>
      <c r="Q40" s="86"/>
      <c r="R40" s="86"/>
      <c r="S40" s="85"/>
      <c r="T40" s="85"/>
      <c r="U40" s="86"/>
      <c r="V40" s="86"/>
      <c r="W40" s="85"/>
      <c r="X40" s="85"/>
      <c r="Y40" s="86"/>
      <c r="Z40" s="86"/>
      <c r="AA40" s="85"/>
      <c r="AB40" s="85"/>
      <c r="AC40" s="86"/>
      <c r="AD40" s="86"/>
      <c r="AE40" s="85"/>
      <c r="AF40" s="85"/>
      <c r="AG40" s="86"/>
      <c r="AH40" s="86"/>
      <c r="AI40" s="85"/>
    </row>
    <row r="41" spans="1:35" ht="36">
      <c r="A41" s="88" t="s">
        <v>852</v>
      </c>
      <c r="B41" s="50"/>
      <c r="C41" s="17" t="s">
        <v>853</v>
      </c>
      <c r="G41" s="90">
        <v>276</v>
      </c>
      <c r="H41" s="85"/>
      <c r="K41" s="90">
        <v>276</v>
      </c>
      <c r="L41" s="85"/>
      <c r="O41" s="90">
        <v>276</v>
      </c>
      <c r="P41" s="85"/>
      <c r="Q41" s="86"/>
      <c r="R41" s="86"/>
      <c r="S41" s="90">
        <v>276</v>
      </c>
      <c r="T41" s="85"/>
      <c r="U41" s="86"/>
      <c r="V41" s="86"/>
      <c r="W41" s="90">
        <v>276</v>
      </c>
      <c r="X41" s="85"/>
      <c r="Y41" s="86"/>
      <c r="Z41" s="86"/>
      <c r="AA41" s="90">
        <v>276</v>
      </c>
      <c r="AB41" s="85"/>
      <c r="AC41" s="86"/>
      <c r="AD41" s="86"/>
      <c r="AE41" s="90">
        <v>276</v>
      </c>
      <c r="AF41" s="85"/>
      <c r="AG41" s="86"/>
      <c r="AH41" s="86"/>
      <c r="AI41" s="90">
        <v>276</v>
      </c>
    </row>
    <row r="42" spans="1:35">
      <c r="A42" s="13" t="s">
        <v>854</v>
      </c>
      <c r="B42" s="13"/>
      <c r="C42" s="21" t="s">
        <v>855</v>
      </c>
      <c r="H42" s="85"/>
      <c r="K42" s="85"/>
      <c r="L42" s="85"/>
      <c r="O42" s="85"/>
      <c r="P42" s="85"/>
      <c r="Q42" s="86"/>
      <c r="R42" s="86"/>
      <c r="S42" s="85"/>
      <c r="T42" s="85"/>
      <c r="U42" s="86"/>
      <c r="V42" s="86"/>
      <c r="W42" s="85"/>
      <c r="X42" s="85"/>
      <c r="Y42" s="86"/>
      <c r="Z42" s="86"/>
      <c r="AA42" s="85"/>
      <c r="AB42" s="85"/>
      <c r="AC42" s="86"/>
      <c r="AD42" s="86"/>
      <c r="AE42" s="85"/>
      <c r="AF42" s="85"/>
      <c r="AG42" s="86"/>
      <c r="AH42" s="86"/>
      <c r="AI42" s="85"/>
    </row>
    <row r="43" spans="1:35" s="52" customFormat="1" ht="36">
      <c r="A43" s="13" t="s">
        <v>856</v>
      </c>
      <c r="B43" s="13"/>
      <c r="C43" s="17" t="s">
        <v>857</v>
      </c>
      <c r="D43" s="90">
        <v>15000</v>
      </c>
      <c r="E43" s="91">
        <v>8.0543761946110664</v>
      </c>
      <c r="F43" s="91">
        <f>SUM(D43)*E43</f>
        <v>120815.642919166</v>
      </c>
      <c r="G43" s="90">
        <v>415</v>
      </c>
      <c r="H43" s="90">
        <v>12000</v>
      </c>
      <c r="I43" s="91">
        <v>8.3110977098374565</v>
      </c>
      <c r="J43" s="91">
        <f>SUM(H43)*I43</f>
        <v>99733.172518049483</v>
      </c>
      <c r="K43" s="90">
        <v>415</v>
      </c>
      <c r="L43" s="90">
        <v>12000</v>
      </c>
      <c r="M43" s="91">
        <v>8.5760491458089909</v>
      </c>
      <c r="N43" s="91">
        <f>SUM(L43)*M43</f>
        <v>102912.58974970788</v>
      </c>
      <c r="O43" s="90">
        <v>415</v>
      </c>
      <c r="P43" s="90">
        <v>12000</v>
      </c>
      <c r="Q43" s="91">
        <v>8.87093554342316</v>
      </c>
      <c r="R43" s="91">
        <f>SUM(P43)*Q43</f>
        <v>106451.22652107792</v>
      </c>
      <c r="S43" s="90">
        <v>415</v>
      </c>
      <c r="T43" s="90">
        <v>12000</v>
      </c>
      <c r="U43" s="91">
        <v>9.1760110818915983</v>
      </c>
      <c r="V43" s="91">
        <f>SUM(T43)*U43</f>
        <v>110112.13298269919</v>
      </c>
      <c r="W43" s="90">
        <v>415</v>
      </c>
      <c r="X43" s="90">
        <v>12000</v>
      </c>
      <c r="Y43" s="91">
        <v>9.5375091394771072</v>
      </c>
      <c r="Z43" s="91">
        <f>SUM(X43)*Y43</f>
        <v>114450.10967372528</v>
      </c>
      <c r="AA43" s="90">
        <v>415</v>
      </c>
      <c r="AB43" s="90">
        <v>12000</v>
      </c>
      <c r="AC43" s="91">
        <v>9.9609883934927161</v>
      </c>
      <c r="AD43" s="91">
        <f>SUM(AB43)*AC43</f>
        <v>119531.8607219126</v>
      </c>
      <c r="AE43" s="90">
        <v>415</v>
      </c>
      <c r="AF43" s="90">
        <v>12000</v>
      </c>
      <c r="AG43" s="91">
        <v>10.403324410934895</v>
      </c>
      <c r="AH43" s="91">
        <f>SUM(AF43)*AG43</f>
        <v>124839.89293121874</v>
      </c>
      <c r="AI43" s="90">
        <v>415</v>
      </c>
    </row>
    <row r="44" spans="1:35" s="52" customFormat="1" ht="48">
      <c r="A44" s="13" t="s">
        <v>858</v>
      </c>
      <c r="B44" s="13"/>
      <c r="C44" s="17" t="s">
        <v>859</v>
      </c>
      <c r="D44" s="134"/>
      <c r="E44" s="133"/>
      <c r="F44" s="133"/>
      <c r="G44" s="90">
        <v>8741</v>
      </c>
      <c r="H44" s="134"/>
      <c r="I44" s="133"/>
      <c r="J44" s="133"/>
      <c r="K44" s="90">
        <v>8741</v>
      </c>
      <c r="L44" s="134"/>
      <c r="M44" s="133"/>
      <c r="N44" s="133"/>
      <c r="O44" s="90">
        <v>8741</v>
      </c>
      <c r="P44" s="134"/>
      <c r="Q44" s="133"/>
      <c r="R44" s="133"/>
      <c r="S44" s="90">
        <v>8741</v>
      </c>
      <c r="T44" s="134"/>
      <c r="U44" s="133"/>
      <c r="V44" s="133"/>
      <c r="W44" s="90">
        <v>8741</v>
      </c>
      <c r="X44" s="134"/>
      <c r="Y44" s="133"/>
      <c r="Z44" s="133"/>
      <c r="AA44" s="90">
        <v>8741</v>
      </c>
      <c r="AB44" s="134"/>
      <c r="AC44" s="133"/>
      <c r="AD44" s="133"/>
      <c r="AE44" s="90">
        <v>8741</v>
      </c>
      <c r="AF44" s="134"/>
      <c r="AG44" s="133"/>
      <c r="AH44" s="133"/>
      <c r="AI44" s="90">
        <v>8741</v>
      </c>
    </row>
    <row r="45" spans="1:35" ht="48">
      <c r="A45" s="13" t="s">
        <v>860</v>
      </c>
      <c r="B45" s="13"/>
      <c r="C45" s="17" t="s">
        <v>861</v>
      </c>
      <c r="G45" s="90">
        <v>27</v>
      </c>
      <c r="H45" s="85"/>
      <c r="K45" s="90">
        <v>27</v>
      </c>
      <c r="L45" s="85"/>
      <c r="O45" s="90">
        <v>27</v>
      </c>
      <c r="P45" s="85"/>
      <c r="Q45" s="86"/>
      <c r="R45" s="86"/>
      <c r="S45" s="90">
        <v>27</v>
      </c>
      <c r="T45" s="85"/>
      <c r="U45" s="86"/>
      <c r="V45" s="86"/>
      <c r="W45" s="90">
        <v>27</v>
      </c>
      <c r="X45" s="85"/>
      <c r="Y45" s="86"/>
      <c r="Z45" s="86"/>
      <c r="AA45" s="90">
        <v>27</v>
      </c>
      <c r="AB45" s="85"/>
      <c r="AC45" s="86"/>
      <c r="AD45" s="86"/>
      <c r="AE45" s="90">
        <v>27</v>
      </c>
      <c r="AF45" s="85"/>
      <c r="AG45" s="86"/>
      <c r="AH45" s="86"/>
      <c r="AI45" s="90">
        <v>27</v>
      </c>
    </row>
    <row r="46" spans="1:35" ht="36">
      <c r="A46" s="13" t="s">
        <v>862</v>
      </c>
      <c r="B46" s="13"/>
      <c r="C46" s="17" t="s">
        <v>863</v>
      </c>
      <c r="G46" s="90">
        <v>62</v>
      </c>
      <c r="H46" s="85"/>
      <c r="K46" s="90">
        <v>62</v>
      </c>
      <c r="L46" s="85"/>
      <c r="O46" s="90">
        <v>62</v>
      </c>
      <c r="P46" s="85"/>
      <c r="Q46" s="86"/>
      <c r="R46" s="86"/>
      <c r="S46" s="90">
        <v>62</v>
      </c>
      <c r="T46" s="85"/>
      <c r="U46" s="86"/>
      <c r="V46" s="86"/>
      <c r="W46" s="90">
        <v>62</v>
      </c>
      <c r="X46" s="85"/>
      <c r="Y46" s="86"/>
      <c r="Z46" s="86"/>
      <c r="AA46" s="90">
        <v>62</v>
      </c>
      <c r="AB46" s="85"/>
      <c r="AC46" s="86"/>
      <c r="AD46" s="86"/>
      <c r="AE46" s="90">
        <v>62</v>
      </c>
      <c r="AF46" s="85"/>
      <c r="AG46" s="86"/>
      <c r="AH46" s="86"/>
      <c r="AI46" s="90">
        <v>62</v>
      </c>
    </row>
    <row r="47" spans="1:35" ht="36">
      <c r="A47" s="13" t="s">
        <v>864</v>
      </c>
      <c r="B47" s="13"/>
      <c r="C47" s="17" t="s">
        <v>865</v>
      </c>
      <c r="G47" s="90">
        <v>181</v>
      </c>
      <c r="H47" s="85"/>
      <c r="K47" s="90">
        <v>181</v>
      </c>
      <c r="L47" s="85"/>
      <c r="O47" s="90">
        <v>181</v>
      </c>
      <c r="P47" s="85"/>
      <c r="Q47" s="86"/>
      <c r="R47" s="86"/>
      <c r="S47" s="90">
        <v>181</v>
      </c>
      <c r="T47" s="85"/>
      <c r="U47" s="86"/>
      <c r="V47" s="86"/>
      <c r="W47" s="90">
        <v>181</v>
      </c>
      <c r="X47" s="85"/>
      <c r="Y47" s="86"/>
      <c r="Z47" s="86"/>
      <c r="AA47" s="90">
        <v>181</v>
      </c>
      <c r="AB47" s="85"/>
      <c r="AC47" s="86"/>
      <c r="AD47" s="86"/>
      <c r="AE47" s="90">
        <v>181</v>
      </c>
      <c r="AF47" s="85"/>
      <c r="AG47" s="86"/>
      <c r="AH47" s="86"/>
      <c r="AI47" s="90">
        <v>181</v>
      </c>
    </row>
    <row r="48" spans="1:35" ht="24">
      <c r="A48" s="13" t="s">
        <v>866</v>
      </c>
      <c r="B48" s="13"/>
      <c r="C48" s="128" t="s">
        <v>867</v>
      </c>
      <c r="G48" s="135" t="s">
        <v>868</v>
      </c>
      <c r="H48" s="85"/>
      <c r="K48" s="135" t="s">
        <v>868</v>
      </c>
      <c r="L48" s="85"/>
      <c r="O48" s="135" t="s">
        <v>868</v>
      </c>
      <c r="P48" s="85"/>
      <c r="Q48" s="86"/>
      <c r="R48" s="86"/>
      <c r="S48" s="135" t="s">
        <v>868</v>
      </c>
      <c r="T48" s="85"/>
      <c r="U48" s="86"/>
      <c r="V48" s="86"/>
      <c r="W48" s="135" t="s">
        <v>868</v>
      </c>
      <c r="X48" s="85"/>
      <c r="Y48" s="86"/>
      <c r="Z48" s="86"/>
      <c r="AA48" s="135" t="s">
        <v>868</v>
      </c>
      <c r="AB48" s="85"/>
      <c r="AC48" s="86"/>
      <c r="AD48" s="86"/>
      <c r="AE48" s="135" t="s">
        <v>868</v>
      </c>
      <c r="AF48" s="85"/>
      <c r="AG48" s="86"/>
      <c r="AH48" s="86"/>
      <c r="AI48" s="135" t="s">
        <v>868</v>
      </c>
    </row>
    <row r="49" spans="1:35">
      <c r="A49" s="13" t="s">
        <v>869</v>
      </c>
      <c r="B49" s="13"/>
      <c r="C49" s="21" t="s">
        <v>870</v>
      </c>
      <c r="H49" s="85"/>
      <c r="K49" s="85"/>
      <c r="L49" s="85"/>
      <c r="O49" s="85"/>
      <c r="P49" s="85"/>
      <c r="Q49" s="86"/>
      <c r="R49" s="86"/>
      <c r="S49" s="85"/>
      <c r="T49" s="85"/>
      <c r="U49" s="86"/>
      <c r="V49" s="86"/>
      <c r="W49" s="85"/>
      <c r="X49" s="85"/>
      <c r="Y49" s="86"/>
      <c r="Z49" s="86"/>
      <c r="AA49" s="85"/>
      <c r="AB49" s="85"/>
      <c r="AC49" s="86"/>
      <c r="AD49" s="86"/>
      <c r="AE49" s="85"/>
      <c r="AF49" s="85"/>
      <c r="AG49" s="86"/>
      <c r="AH49" s="86"/>
      <c r="AI49" s="85"/>
    </row>
    <row r="50" spans="1:35" ht="72">
      <c r="A50" s="13" t="s">
        <v>871</v>
      </c>
      <c r="C50" s="17" t="s">
        <v>872</v>
      </c>
      <c r="G50" s="90">
        <v>415</v>
      </c>
      <c r="H50" s="85"/>
      <c r="K50" s="90">
        <v>415</v>
      </c>
      <c r="L50" s="85"/>
      <c r="O50" s="90">
        <v>415</v>
      </c>
      <c r="P50" s="85"/>
      <c r="Q50" s="86"/>
      <c r="R50" s="86"/>
      <c r="S50" s="90">
        <v>415</v>
      </c>
      <c r="T50" s="85"/>
      <c r="U50" s="86"/>
      <c r="V50" s="86"/>
      <c r="W50" s="90">
        <v>415</v>
      </c>
      <c r="X50" s="85"/>
      <c r="Y50" s="86"/>
      <c r="Z50" s="86"/>
      <c r="AA50" s="90">
        <v>415</v>
      </c>
      <c r="AB50" s="85"/>
      <c r="AC50" s="86"/>
      <c r="AD50" s="86"/>
      <c r="AE50" s="90">
        <v>415</v>
      </c>
      <c r="AF50" s="85"/>
      <c r="AG50" s="86"/>
      <c r="AH50" s="86"/>
      <c r="AI50" s="90">
        <v>415</v>
      </c>
    </row>
    <row r="51" spans="1:35" ht="48">
      <c r="A51" s="13" t="s">
        <v>873</v>
      </c>
      <c r="C51" s="17" t="s">
        <v>874</v>
      </c>
      <c r="D51" s="90">
        <v>600</v>
      </c>
      <c r="E51" s="91">
        <v>5.5595956258127925</v>
      </c>
      <c r="F51" s="91">
        <f>SUM(D51)*E51</f>
        <v>3335.7573754876757</v>
      </c>
      <c r="G51" s="90">
        <v>316</v>
      </c>
      <c r="H51" s="90">
        <v>600</v>
      </c>
      <c r="I51" s="91">
        <v>5.7367996424391361</v>
      </c>
      <c r="J51" s="91">
        <f>SUM(H51)*I51</f>
        <v>3442.0797854634816</v>
      </c>
      <c r="K51" s="90">
        <v>316</v>
      </c>
      <c r="L51" s="90">
        <v>600</v>
      </c>
      <c r="M51" s="91">
        <v>5.9196844256785512</v>
      </c>
      <c r="N51" s="91">
        <f>SUM(L51)*M51</f>
        <v>3551.8106554071305</v>
      </c>
      <c r="O51" s="90">
        <v>316</v>
      </c>
      <c r="P51" s="90">
        <v>600</v>
      </c>
      <c r="Q51" s="91">
        <v>6.1232320483217961</v>
      </c>
      <c r="R51" s="91">
        <f>SUM(P51)*Q51</f>
        <v>3673.9392289930774</v>
      </c>
      <c r="S51" s="90">
        <v>316</v>
      </c>
      <c r="T51" s="90">
        <v>600</v>
      </c>
      <c r="U51" s="91">
        <v>6.3338128044511697</v>
      </c>
      <c r="V51" s="91">
        <f>SUM(T51)*U51</f>
        <v>3800.287682670702</v>
      </c>
      <c r="W51" s="90">
        <v>316</v>
      </c>
      <c r="X51" s="90">
        <v>600</v>
      </c>
      <c r="Y51" s="91">
        <v>6.583339641928279</v>
      </c>
      <c r="Z51" s="91">
        <f>SUM(X51)*Y51</f>
        <v>3950.0037851569673</v>
      </c>
      <c r="AA51" s="90">
        <v>316</v>
      </c>
      <c r="AB51" s="90">
        <v>600</v>
      </c>
      <c r="AC51" s="91">
        <v>6.8756494808730864</v>
      </c>
      <c r="AD51" s="91">
        <f>SUM(AB51)*AC51</f>
        <v>4125.3896885238519</v>
      </c>
      <c r="AE51" s="90">
        <v>316</v>
      </c>
      <c r="AF51" s="90">
        <v>600</v>
      </c>
      <c r="AG51" s="91">
        <v>7.1809753469974389</v>
      </c>
      <c r="AH51" s="91">
        <f>SUM(AF51)*AG51</f>
        <v>4308.5852081984631</v>
      </c>
      <c r="AI51" s="90">
        <v>316</v>
      </c>
    </row>
    <row r="52" spans="1:35" ht="48">
      <c r="A52" s="13" t="s">
        <v>875</v>
      </c>
      <c r="B52" s="13"/>
      <c r="C52" s="17" t="s">
        <v>876</v>
      </c>
      <c r="G52" s="90">
        <v>432</v>
      </c>
      <c r="H52" s="85"/>
      <c r="K52" s="90">
        <v>432</v>
      </c>
      <c r="L52" s="85"/>
      <c r="O52" s="90">
        <v>432</v>
      </c>
      <c r="P52" s="85"/>
      <c r="Q52" s="86"/>
      <c r="R52" s="86"/>
      <c r="S52" s="90">
        <v>432</v>
      </c>
      <c r="T52" s="85"/>
      <c r="U52" s="86"/>
      <c r="V52" s="86"/>
      <c r="W52" s="90">
        <v>432</v>
      </c>
      <c r="X52" s="85"/>
      <c r="Y52" s="86"/>
      <c r="Z52" s="86"/>
      <c r="AA52" s="90">
        <v>432</v>
      </c>
      <c r="AB52" s="85"/>
      <c r="AC52" s="86"/>
      <c r="AD52" s="86"/>
      <c r="AE52" s="90">
        <v>432</v>
      </c>
      <c r="AF52" s="85"/>
      <c r="AG52" s="86"/>
      <c r="AH52" s="86"/>
      <c r="AI52" s="90">
        <v>432</v>
      </c>
    </row>
    <row r="53" spans="1:35" ht="48">
      <c r="A53" s="13" t="s">
        <v>877</v>
      </c>
      <c r="B53" s="13"/>
      <c r="C53" s="17" t="s">
        <v>878</v>
      </c>
      <c r="G53" s="90">
        <v>1663</v>
      </c>
      <c r="H53" s="85"/>
      <c r="K53" s="90">
        <v>1663</v>
      </c>
      <c r="L53" s="85"/>
      <c r="O53" s="90">
        <v>1663</v>
      </c>
      <c r="P53" s="85"/>
      <c r="Q53" s="86"/>
      <c r="R53" s="86"/>
      <c r="S53" s="90">
        <v>1663</v>
      </c>
      <c r="T53" s="85"/>
      <c r="U53" s="86"/>
      <c r="V53" s="86"/>
      <c r="W53" s="90">
        <v>1663</v>
      </c>
      <c r="X53" s="85"/>
      <c r="Y53" s="86"/>
      <c r="Z53" s="86"/>
      <c r="AA53" s="90">
        <v>1663</v>
      </c>
      <c r="AB53" s="85"/>
      <c r="AC53" s="86"/>
      <c r="AD53" s="86"/>
      <c r="AE53" s="90">
        <v>1663</v>
      </c>
      <c r="AF53" s="85"/>
      <c r="AG53" s="86"/>
      <c r="AH53" s="86"/>
      <c r="AI53" s="90">
        <v>1663</v>
      </c>
    </row>
    <row r="54" spans="1:35">
      <c r="A54" s="13" t="s">
        <v>879</v>
      </c>
      <c r="B54" s="13"/>
      <c r="C54" s="21" t="s">
        <v>880</v>
      </c>
      <c r="H54" s="85"/>
      <c r="K54" s="85"/>
      <c r="L54" s="85"/>
      <c r="O54" s="85"/>
      <c r="P54" s="85"/>
      <c r="Q54" s="86"/>
      <c r="R54" s="86"/>
      <c r="S54" s="85"/>
      <c r="T54" s="85"/>
      <c r="U54" s="86"/>
      <c r="V54" s="86"/>
      <c r="W54" s="85"/>
      <c r="X54" s="85"/>
      <c r="Y54" s="86"/>
      <c r="Z54" s="86"/>
      <c r="AA54" s="85"/>
      <c r="AB54" s="85"/>
      <c r="AC54" s="86"/>
      <c r="AD54" s="86"/>
      <c r="AE54" s="85"/>
      <c r="AF54" s="85"/>
      <c r="AG54" s="86"/>
      <c r="AH54" s="86"/>
      <c r="AI54" s="85"/>
    </row>
    <row r="55" spans="1:35" ht="24">
      <c r="A55" s="13" t="s">
        <v>881</v>
      </c>
      <c r="B55" s="13"/>
      <c r="C55" s="17" t="s">
        <v>882</v>
      </c>
      <c r="G55" s="90">
        <v>25</v>
      </c>
      <c r="H55" s="85"/>
      <c r="K55" s="90">
        <v>25</v>
      </c>
      <c r="L55" s="85"/>
      <c r="O55" s="90">
        <v>25</v>
      </c>
      <c r="P55" s="85"/>
      <c r="Q55" s="86"/>
      <c r="R55" s="86"/>
      <c r="S55" s="90">
        <v>25</v>
      </c>
      <c r="T55" s="85"/>
      <c r="U55" s="86"/>
      <c r="V55" s="86"/>
      <c r="W55" s="90">
        <v>25</v>
      </c>
      <c r="X55" s="85"/>
      <c r="Y55" s="86"/>
      <c r="Z55" s="86"/>
      <c r="AA55" s="90">
        <v>25</v>
      </c>
      <c r="AB55" s="85"/>
      <c r="AC55" s="86"/>
      <c r="AD55" s="86"/>
      <c r="AE55" s="90">
        <v>25</v>
      </c>
      <c r="AF55" s="85"/>
      <c r="AG55" s="86"/>
      <c r="AH55" s="86"/>
      <c r="AI55" s="90">
        <v>25</v>
      </c>
    </row>
    <row r="56" spans="1:35" ht="36">
      <c r="A56" s="13" t="s">
        <v>883</v>
      </c>
      <c r="C56" s="17" t="s">
        <v>884</v>
      </c>
      <c r="G56" s="90">
        <v>166</v>
      </c>
      <c r="H56" s="85"/>
      <c r="K56" s="90">
        <v>166</v>
      </c>
      <c r="L56" s="85"/>
      <c r="O56" s="90">
        <v>166</v>
      </c>
      <c r="P56" s="85"/>
      <c r="Q56" s="86"/>
      <c r="R56" s="86"/>
      <c r="S56" s="90">
        <v>166</v>
      </c>
      <c r="T56" s="85"/>
      <c r="U56" s="86"/>
      <c r="V56" s="86"/>
      <c r="W56" s="90">
        <v>166</v>
      </c>
      <c r="X56" s="85"/>
      <c r="Y56" s="86"/>
      <c r="Z56" s="86"/>
      <c r="AA56" s="90">
        <v>166</v>
      </c>
      <c r="AB56" s="85"/>
      <c r="AC56" s="86"/>
      <c r="AD56" s="86"/>
      <c r="AE56" s="90">
        <v>166</v>
      </c>
      <c r="AF56" s="85"/>
      <c r="AG56" s="86"/>
      <c r="AH56" s="86"/>
      <c r="AI56" s="90">
        <v>166</v>
      </c>
    </row>
    <row r="57" spans="1:35" s="87" customFormat="1">
      <c r="A57" s="50" t="s">
        <v>885</v>
      </c>
      <c r="B57" s="50"/>
      <c r="C57" s="93" t="s">
        <v>567</v>
      </c>
      <c r="D57" s="85"/>
      <c r="E57" s="86"/>
      <c r="F57" s="86"/>
      <c r="G57" s="85"/>
      <c r="H57" s="85"/>
      <c r="I57" s="86"/>
      <c r="J57" s="86"/>
      <c r="K57" s="85"/>
      <c r="L57" s="85"/>
      <c r="M57" s="86"/>
      <c r="N57" s="86"/>
      <c r="O57" s="85"/>
      <c r="P57" s="85"/>
      <c r="Q57" s="86"/>
      <c r="R57" s="86"/>
      <c r="S57" s="85"/>
      <c r="T57" s="85"/>
      <c r="U57" s="86"/>
      <c r="V57" s="86"/>
      <c r="W57" s="85"/>
      <c r="X57" s="85"/>
      <c r="Y57" s="86"/>
      <c r="Z57" s="86"/>
      <c r="AA57" s="85"/>
      <c r="AB57" s="85"/>
      <c r="AC57" s="86"/>
      <c r="AD57" s="86"/>
      <c r="AE57" s="85"/>
      <c r="AF57" s="85"/>
      <c r="AG57" s="86"/>
      <c r="AH57" s="86"/>
      <c r="AI57" s="85"/>
    </row>
    <row r="58" spans="1:35" ht="72">
      <c r="A58" s="50" t="s">
        <v>886</v>
      </c>
      <c r="B58" s="50"/>
      <c r="C58" s="17" t="s">
        <v>887</v>
      </c>
      <c r="G58" s="90">
        <v>108</v>
      </c>
      <c r="H58" s="85"/>
      <c r="K58" s="90">
        <v>108</v>
      </c>
      <c r="L58" s="85"/>
      <c r="O58" s="90">
        <v>108</v>
      </c>
      <c r="P58" s="85"/>
      <c r="Q58" s="86"/>
      <c r="R58" s="86"/>
      <c r="S58" s="90">
        <v>108</v>
      </c>
      <c r="T58" s="85"/>
      <c r="U58" s="86"/>
      <c r="V58" s="86"/>
      <c r="W58" s="90">
        <v>108</v>
      </c>
      <c r="X58" s="85"/>
      <c r="Y58" s="86"/>
      <c r="Z58" s="86"/>
      <c r="AA58" s="90">
        <v>108</v>
      </c>
      <c r="AB58" s="85"/>
      <c r="AC58" s="86"/>
      <c r="AD58" s="86"/>
      <c r="AE58" s="90">
        <v>108</v>
      </c>
      <c r="AF58" s="85"/>
      <c r="AG58" s="86"/>
      <c r="AH58" s="86"/>
      <c r="AI58" s="90">
        <v>108</v>
      </c>
    </row>
    <row r="59" spans="1:35" ht="36">
      <c r="A59" s="50" t="s">
        <v>888</v>
      </c>
      <c r="B59" s="50"/>
      <c r="C59" s="17" t="s">
        <v>889</v>
      </c>
      <c r="G59" s="90">
        <v>51</v>
      </c>
      <c r="H59" s="85"/>
      <c r="K59" s="90">
        <v>51</v>
      </c>
      <c r="L59" s="85"/>
      <c r="O59" s="90">
        <v>51</v>
      </c>
      <c r="P59" s="85"/>
      <c r="Q59" s="86"/>
      <c r="R59" s="86"/>
      <c r="S59" s="90">
        <v>51</v>
      </c>
      <c r="T59" s="85"/>
      <c r="U59" s="86"/>
      <c r="V59" s="86"/>
      <c r="W59" s="90">
        <v>51</v>
      </c>
      <c r="X59" s="85"/>
      <c r="Y59" s="86"/>
      <c r="Z59" s="86"/>
      <c r="AA59" s="90">
        <v>51</v>
      </c>
      <c r="AB59" s="85"/>
      <c r="AC59" s="86"/>
      <c r="AD59" s="86"/>
      <c r="AE59" s="90">
        <v>51</v>
      </c>
      <c r="AF59" s="85"/>
      <c r="AG59" s="86"/>
      <c r="AH59" s="86"/>
      <c r="AI59" s="90">
        <v>51</v>
      </c>
    </row>
    <row r="60" spans="1:35" ht="36">
      <c r="A60" s="13" t="s">
        <v>890</v>
      </c>
      <c r="B60" s="13"/>
      <c r="C60" s="17" t="s">
        <v>891</v>
      </c>
      <c r="G60" s="90">
        <v>1829</v>
      </c>
      <c r="H60" s="85"/>
      <c r="K60" s="90">
        <v>1829</v>
      </c>
      <c r="L60" s="85"/>
      <c r="O60" s="90">
        <v>1829</v>
      </c>
      <c r="P60" s="85"/>
      <c r="Q60" s="86"/>
      <c r="R60" s="86"/>
      <c r="S60" s="90">
        <v>1829</v>
      </c>
      <c r="T60" s="85"/>
      <c r="U60" s="86"/>
      <c r="V60" s="86"/>
      <c r="W60" s="90">
        <v>1829</v>
      </c>
      <c r="X60" s="85"/>
      <c r="Y60" s="86"/>
      <c r="Z60" s="86"/>
      <c r="AA60" s="90">
        <v>1829</v>
      </c>
      <c r="AB60" s="85"/>
      <c r="AC60" s="86"/>
      <c r="AD60" s="86"/>
      <c r="AE60" s="90">
        <v>1829</v>
      </c>
      <c r="AF60" s="85"/>
      <c r="AG60" s="86"/>
      <c r="AH60" s="86"/>
      <c r="AI60" s="90">
        <v>1829</v>
      </c>
    </row>
    <row r="61" spans="1:35" ht="24">
      <c r="A61" s="13" t="s">
        <v>892</v>
      </c>
      <c r="B61" s="13"/>
      <c r="C61" s="17" t="s">
        <v>893</v>
      </c>
      <c r="G61" s="90">
        <v>2</v>
      </c>
      <c r="H61" s="85"/>
      <c r="K61" s="90">
        <v>2</v>
      </c>
      <c r="L61" s="85"/>
      <c r="O61" s="90">
        <v>2</v>
      </c>
      <c r="P61" s="85"/>
      <c r="Q61" s="86"/>
      <c r="R61" s="86"/>
      <c r="S61" s="90">
        <v>2</v>
      </c>
      <c r="T61" s="85"/>
      <c r="U61" s="86"/>
      <c r="V61" s="86"/>
      <c r="W61" s="90">
        <v>2</v>
      </c>
      <c r="X61" s="85"/>
      <c r="Y61" s="86"/>
      <c r="Z61" s="86"/>
      <c r="AA61" s="90">
        <v>2</v>
      </c>
      <c r="AB61" s="85"/>
      <c r="AC61" s="86"/>
      <c r="AD61" s="86"/>
      <c r="AE61" s="90">
        <v>2</v>
      </c>
      <c r="AF61" s="85"/>
      <c r="AG61" s="86"/>
      <c r="AH61" s="86"/>
      <c r="AI61" s="90">
        <v>2</v>
      </c>
    </row>
    <row r="62" spans="1:35" ht="24">
      <c r="A62" s="13" t="s">
        <v>894</v>
      </c>
      <c r="B62" s="13"/>
      <c r="C62" s="17" t="s">
        <v>895</v>
      </c>
      <c r="G62" s="90">
        <v>49</v>
      </c>
      <c r="H62" s="85"/>
      <c r="K62" s="90">
        <v>49</v>
      </c>
      <c r="L62" s="85"/>
      <c r="O62" s="90">
        <v>49</v>
      </c>
      <c r="P62" s="85"/>
      <c r="Q62" s="86"/>
      <c r="R62" s="86"/>
      <c r="S62" s="90">
        <v>49</v>
      </c>
      <c r="T62" s="85"/>
      <c r="U62" s="86"/>
      <c r="V62" s="86"/>
      <c r="W62" s="90">
        <v>49</v>
      </c>
      <c r="X62" s="85"/>
      <c r="Y62" s="86"/>
      <c r="Z62" s="86"/>
      <c r="AA62" s="90">
        <v>49</v>
      </c>
      <c r="AB62" s="85"/>
      <c r="AC62" s="86"/>
      <c r="AD62" s="86"/>
      <c r="AE62" s="90">
        <v>49</v>
      </c>
      <c r="AF62" s="85"/>
      <c r="AG62" s="86"/>
      <c r="AH62" s="86"/>
      <c r="AI62" s="90">
        <v>49</v>
      </c>
    </row>
    <row r="63" spans="1:35" ht="36">
      <c r="A63" s="13" t="s">
        <v>896</v>
      </c>
      <c r="B63" s="13"/>
      <c r="C63" s="17" t="s">
        <v>897</v>
      </c>
      <c r="G63" s="90">
        <v>24</v>
      </c>
      <c r="H63" s="85"/>
      <c r="K63" s="90">
        <v>24</v>
      </c>
      <c r="L63" s="85"/>
      <c r="O63" s="90">
        <v>24</v>
      </c>
      <c r="P63" s="85"/>
      <c r="Q63" s="86"/>
      <c r="R63" s="86"/>
      <c r="S63" s="90">
        <v>24</v>
      </c>
      <c r="T63" s="85"/>
      <c r="U63" s="86"/>
      <c r="V63" s="86"/>
      <c r="W63" s="90">
        <v>24</v>
      </c>
      <c r="X63" s="85"/>
      <c r="Y63" s="86"/>
      <c r="Z63" s="86"/>
      <c r="AA63" s="90">
        <v>24</v>
      </c>
      <c r="AB63" s="85"/>
      <c r="AC63" s="86"/>
      <c r="AD63" s="86"/>
      <c r="AE63" s="90">
        <v>24</v>
      </c>
      <c r="AF63" s="85"/>
      <c r="AG63" s="86"/>
      <c r="AH63" s="86"/>
      <c r="AI63" s="90">
        <v>24</v>
      </c>
    </row>
    <row r="64" spans="1:35" ht="36">
      <c r="A64" s="13" t="s">
        <v>898</v>
      </c>
      <c r="B64" s="13"/>
      <c r="C64" s="17" t="s">
        <v>899</v>
      </c>
      <c r="G64" s="90">
        <v>24</v>
      </c>
      <c r="H64" s="85"/>
      <c r="K64" s="90">
        <v>24</v>
      </c>
      <c r="L64" s="85"/>
      <c r="O64" s="90">
        <v>24</v>
      </c>
      <c r="P64" s="85"/>
      <c r="Q64" s="86"/>
      <c r="R64" s="86"/>
      <c r="S64" s="90">
        <v>24</v>
      </c>
      <c r="T64" s="85"/>
      <c r="U64" s="86"/>
      <c r="V64" s="86"/>
      <c r="W64" s="90">
        <v>24</v>
      </c>
      <c r="X64" s="85"/>
      <c r="Y64" s="86"/>
      <c r="Z64" s="86"/>
      <c r="AA64" s="90">
        <v>24</v>
      </c>
      <c r="AB64" s="85"/>
      <c r="AC64" s="86"/>
      <c r="AD64" s="86"/>
      <c r="AE64" s="90">
        <v>24</v>
      </c>
      <c r="AF64" s="85"/>
      <c r="AG64" s="86"/>
      <c r="AH64" s="86"/>
      <c r="AI64" s="90">
        <v>24</v>
      </c>
    </row>
    <row r="65" spans="1:35" ht="36">
      <c r="A65" s="13" t="s">
        <v>900</v>
      </c>
      <c r="B65" s="13"/>
      <c r="C65" s="17" t="s">
        <v>901</v>
      </c>
      <c r="G65" s="90">
        <v>3</v>
      </c>
      <c r="H65" s="85"/>
      <c r="K65" s="90">
        <v>3</v>
      </c>
      <c r="L65" s="85"/>
      <c r="O65" s="90">
        <v>3</v>
      </c>
      <c r="P65" s="85"/>
      <c r="Q65" s="86"/>
      <c r="R65" s="86"/>
      <c r="S65" s="90">
        <v>3</v>
      </c>
      <c r="T65" s="85"/>
      <c r="U65" s="86"/>
      <c r="V65" s="86"/>
      <c r="W65" s="90">
        <v>3</v>
      </c>
      <c r="X65" s="85"/>
      <c r="Y65" s="86"/>
      <c r="Z65" s="86"/>
      <c r="AA65" s="90">
        <v>3</v>
      </c>
      <c r="AB65" s="85"/>
      <c r="AC65" s="86"/>
      <c r="AD65" s="86"/>
      <c r="AE65" s="90">
        <v>3</v>
      </c>
      <c r="AF65" s="85"/>
      <c r="AG65" s="86"/>
      <c r="AH65" s="86"/>
      <c r="AI65" s="90">
        <v>3</v>
      </c>
    </row>
    <row r="66" spans="1:35" ht="24">
      <c r="A66" s="13" t="s">
        <v>902</v>
      </c>
      <c r="B66" s="13"/>
      <c r="C66" s="17" t="s">
        <v>903</v>
      </c>
      <c r="G66" s="90">
        <v>486</v>
      </c>
      <c r="H66" s="85"/>
      <c r="K66" s="90">
        <v>486</v>
      </c>
      <c r="L66" s="85"/>
      <c r="O66" s="90">
        <v>486</v>
      </c>
      <c r="P66" s="85"/>
      <c r="Q66" s="86"/>
      <c r="R66" s="86"/>
      <c r="S66" s="90">
        <v>486</v>
      </c>
      <c r="T66" s="85"/>
      <c r="U66" s="86"/>
      <c r="V66" s="86"/>
      <c r="W66" s="90">
        <v>486</v>
      </c>
      <c r="X66" s="85"/>
      <c r="Y66" s="86"/>
      <c r="Z66" s="86"/>
      <c r="AA66" s="90">
        <v>486</v>
      </c>
      <c r="AB66" s="85"/>
      <c r="AC66" s="86"/>
      <c r="AD66" s="86"/>
      <c r="AE66" s="90">
        <v>486</v>
      </c>
      <c r="AF66" s="85"/>
      <c r="AG66" s="86"/>
      <c r="AH66" s="86"/>
      <c r="AI66" s="90">
        <v>486</v>
      </c>
    </row>
    <row r="67" spans="1:35">
      <c r="A67" s="50" t="s">
        <v>904</v>
      </c>
      <c r="B67" s="88"/>
      <c r="C67" s="93" t="s">
        <v>702</v>
      </c>
      <c r="H67" s="85"/>
      <c r="K67" s="85"/>
      <c r="L67" s="85"/>
      <c r="O67" s="85"/>
      <c r="P67" s="85"/>
      <c r="Q67" s="86"/>
      <c r="R67" s="86"/>
      <c r="S67" s="85"/>
      <c r="T67" s="85"/>
      <c r="U67" s="86"/>
      <c r="V67" s="86"/>
      <c r="W67" s="85"/>
      <c r="X67" s="85"/>
      <c r="Y67" s="86"/>
      <c r="Z67" s="86"/>
      <c r="AA67" s="85"/>
      <c r="AB67" s="85"/>
      <c r="AC67" s="86"/>
      <c r="AD67" s="86"/>
      <c r="AE67" s="85"/>
      <c r="AF67" s="85"/>
      <c r="AG67" s="86"/>
      <c r="AH67" s="86"/>
      <c r="AI67" s="85"/>
    </row>
    <row r="68" spans="1:35">
      <c r="A68" s="50" t="s">
        <v>905</v>
      </c>
      <c r="B68" s="50"/>
      <c r="C68" s="50" t="s">
        <v>377</v>
      </c>
      <c r="H68" s="85"/>
      <c r="K68" s="85"/>
      <c r="L68" s="85"/>
      <c r="O68" s="85"/>
      <c r="P68" s="85"/>
      <c r="Q68" s="86"/>
      <c r="R68" s="86"/>
      <c r="S68" s="85"/>
      <c r="T68" s="85"/>
      <c r="U68" s="86"/>
      <c r="V68" s="86"/>
      <c r="W68" s="85"/>
      <c r="X68" s="85"/>
      <c r="Y68" s="86"/>
      <c r="Z68" s="86"/>
      <c r="AA68" s="85"/>
      <c r="AB68" s="85"/>
      <c r="AC68" s="86"/>
      <c r="AD68" s="86"/>
      <c r="AE68" s="85"/>
      <c r="AF68" s="85"/>
      <c r="AG68" s="86"/>
      <c r="AH68" s="86"/>
      <c r="AI68" s="85"/>
    </row>
    <row r="69" spans="1:35">
      <c r="A69" s="50" t="s">
        <v>906</v>
      </c>
      <c r="B69" s="50"/>
      <c r="C69" s="93" t="s">
        <v>410</v>
      </c>
      <c r="H69" s="85"/>
      <c r="K69" s="85"/>
      <c r="L69" s="85"/>
      <c r="O69" s="85"/>
      <c r="P69" s="85"/>
      <c r="Q69" s="86"/>
      <c r="R69" s="86"/>
      <c r="S69" s="85"/>
      <c r="T69" s="85"/>
      <c r="U69" s="86"/>
      <c r="V69" s="86"/>
      <c r="W69" s="85"/>
      <c r="X69" s="85"/>
      <c r="Y69" s="86"/>
      <c r="Z69" s="86"/>
      <c r="AA69" s="85"/>
      <c r="AB69" s="85"/>
      <c r="AC69" s="86"/>
      <c r="AD69" s="86"/>
      <c r="AE69" s="85"/>
      <c r="AF69" s="85"/>
      <c r="AG69" s="86"/>
      <c r="AH69" s="86"/>
      <c r="AI69" s="85"/>
    </row>
    <row r="70" spans="1:35" ht="48">
      <c r="A70" s="105" t="s">
        <v>907</v>
      </c>
      <c r="B70" s="50"/>
      <c r="C70" s="13" t="s">
        <v>516</v>
      </c>
      <c r="H70" s="85"/>
      <c r="K70" s="85"/>
      <c r="L70" s="85"/>
      <c r="O70" s="85"/>
      <c r="P70" s="85"/>
      <c r="Q70" s="86"/>
      <c r="R70" s="86"/>
      <c r="S70" s="85"/>
      <c r="T70" s="85"/>
      <c r="U70" s="86"/>
      <c r="V70" s="86"/>
      <c r="W70" s="85"/>
      <c r="X70" s="85"/>
      <c r="Y70" s="86"/>
      <c r="Z70" s="86"/>
      <c r="AA70" s="85"/>
      <c r="AB70" s="85"/>
      <c r="AC70" s="86"/>
      <c r="AD70" s="86"/>
      <c r="AE70" s="85"/>
      <c r="AF70" s="85"/>
      <c r="AG70" s="86"/>
      <c r="AH70" s="86"/>
      <c r="AI70" s="85"/>
    </row>
    <row r="71" spans="1:35" ht="48">
      <c r="A71" s="105" t="s">
        <v>908</v>
      </c>
      <c r="B71" s="50"/>
      <c r="C71" s="13" t="s">
        <v>909</v>
      </c>
      <c r="G71" s="90">
        <v>11.04</v>
      </c>
      <c r="H71" s="85"/>
      <c r="K71" s="90">
        <v>11.4</v>
      </c>
      <c r="L71" s="85"/>
      <c r="O71" s="90">
        <v>11.76</v>
      </c>
      <c r="P71" s="85"/>
      <c r="Q71" s="86"/>
      <c r="R71" s="86"/>
      <c r="S71" s="90">
        <v>18.18</v>
      </c>
      <c r="T71" s="85"/>
      <c r="U71" s="86"/>
      <c r="V71" s="86"/>
      <c r="W71" s="90">
        <v>18.91</v>
      </c>
      <c r="X71" s="85"/>
      <c r="Y71" s="86"/>
      <c r="Z71" s="86"/>
      <c r="AA71" s="90">
        <v>19.670000000000002</v>
      </c>
      <c r="AB71" s="85"/>
      <c r="AC71" s="86"/>
      <c r="AD71" s="86"/>
      <c r="AE71" s="90">
        <v>20.46</v>
      </c>
      <c r="AF71" s="85"/>
      <c r="AG71" s="86"/>
      <c r="AH71" s="86"/>
      <c r="AI71" s="90">
        <v>21.28</v>
      </c>
    </row>
    <row r="72" spans="1:35">
      <c r="A72" s="50" t="s">
        <v>910</v>
      </c>
      <c r="B72" s="50"/>
      <c r="C72" s="93" t="s">
        <v>320</v>
      </c>
      <c r="H72" s="85"/>
      <c r="K72" s="85"/>
      <c r="L72" s="85"/>
      <c r="O72" s="85"/>
      <c r="P72" s="85"/>
      <c r="Q72" s="86"/>
      <c r="R72" s="86"/>
      <c r="S72" s="85"/>
      <c r="T72" s="85"/>
      <c r="U72" s="86"/>
      <c r="V72" s="86"/>
      <c r="W72" s="85"/>
      <c r="X72" s="85"/>
      <c r="Y72" s="86"/>
      <c r="Z72" s="86"/>
      <c r="AA72" s="85"/>
      <c r="AB72" s="85"/>
      <c r="AC72" s="86"/>
      <c r="AD72" s="86"/>
      <c r="AE72" s="85"/>
      <c r="AF72" s="85"/>
      <c r="AG72" s="86"/>
      <c r="AH72" s="86"/>
      <c r="AI72" s="85"/>
    </row>
    <row r="73" spans="1:35">
      <c r="A73" s="50" t="s">
        <v>911</v>
      </c>
      <c r="B73" s="50"/>
      <c r="C73" s="92" t="s">
        <v>912</v>
      </c>
      <c r="G73" s="90">
        <v>0</v>
      </c>
      <c r="H73" s="85"/>
      <c r="K73" s="90">
        <v>0</v>
      </c>
      <c r="L73" s="85"/>
      <c r="O73" s="90">
        <v>0</v>
      </c>
      <c r="P73" s="85"/>
      <c r="Q73" s="86"/>
      <c r="R73" s="86"/>
      <c r="S73" s="90">
        <v>0</v>
      </c>
      <c r="T73" s="85"/>
      <c r="U73" s="86"/>
      <c r="V73" s="86"/>
      <c r="W73" s="90">
        <v>0</v>
      </c>
      <c r="X73" s="85"/>
      <c r="Y73" s="86"/>
      <c r="Z73" s="86"/>
      <c r="AA73" s="90">
        <v>0</v>
      </c>
      <c r="AB73" s="85"/>
      <c r="AC73" s="86"/>
      <c r="AD73" s="86"/>
      <c r="AE73" s="90">
        <v>0</v>
      </c>
      <c r="AF73" s="85"/>
      <c r="AG73" s="86"/>
      <c r="AH73" s="86"/>
      <c r="AI73" s="90">
        <v>0</v>
      </c>
    </row>
    <row r="74" spans="1:35" ht="24">
      <c r="A74" s="50" t="s">
        <v>913</v>
      </c>
      <c r="B74" s="50"/>
      <c r="C74" s="92" t="s">
        <v>914</v>
      </c>
      <c r="G74" s="90">
        <v>363</v>
      </c>
      <c r="H74" s="85"/>
      <c r="K74" s="90">
        <v>363</v>
      </c>
      <c r="L74" s="85"/>
      <c r="O74" s="90">
        <v>363</v>
      </c>
      <c r="P74" s="85"/>
      <c r="Q74" s="86"/>
      <c r="R74" s="86"/>
      <c r="S74" s="90">
        <v>363</v>
      </c>
      <c r="T74" s="85"/>
      <c r="U74" s="86"/>
      <c r="V74" s="86"/>
      <c r="W74" s="90">
        <v>363</v>
      </c>
      <c r="X74" s="85"/>
      <c r="Y74" s="86"/>
      <c r="Z74" s="86"/>
      <c r="AA74" s="90">
        <v>363</v>
      </c>
      <c r="AB74" s="85"/>
      <c r="AC74" s="86"/>
      <c r="AD74" s="86"/>
      <c r="AE74" s="90">
        <v>363</v>
      </c>
      <c r="AF74" s="85"/>
      <c r="AG74" s="86"/>
      <c r="AH74" s="86"/>
      <c r="AI74" s="90">
        <v>363</v>
      </c>
    </row>
    <row r="75" spans="1:35" ht="24">
      <c r="A75" s="50" t="s">
        <v>915</v>
      </c>
      <c r="B75" s="50"/>
      <c r="C75" s="92" t="s">
        <v>916</v>
      </c>
      <c r="G75" s="90">
        <v>103</v>
      </c>
      <c r="H75" s="85"/>
      <c r="K75" s="90">
        <v>103</v>
      </c>
      <c r="L75" s="85"/>
      <c r="O75" s="90">
        <v>103</v>
      </c>
      <c r="P75" s="85"/>
      <c r="Q75" s="86"/>
      <c r="R75" s="86"/>
      <c r="S75" s="90">
        <v>103</v>
      </c>
      <c r="T75" s="85"/>
      <c r="U75" s="86"/>
      <c r="V75" s="86"/>
      <c r="W75" s="90">
        <v>103</v>
      </c>
      <c r="X75" s="85"/>
      <c r="Y75" s="86"/>
      <c r="Z75" s="86"/>
      <c r="AA75" s="90">
        <v>103</v>
      </c>
      <c r="AB75" s="85"/>
      <c r="AC75" s="86"/>
      <c r="AD75" s="86"/>
      <c r="AE75" s="90">
        <v>103</v>
      </c>
      <c r="AF75" s="85"/>
      <c r="AG75" s="86"/>
      <c r="AH75" s="86"/>
      <c r="AI75" s="90">
        <v>103</v>
      </c>
    </row>
    <row r="76" spans="1:35" ht="36">
      <c r="A76" s="54" t="s">
        <v>917</v>
      </c>
      <c r="B76" s="50"/>
      <c r="C76" s="92" t="s">
        <v>918</v>
      </c>
      <c r="G76" s="90">
        <v>363</v>
      </c>
      <c r="H76" s="85"/>
      <c r="K76" s="90">
        <v>363</v>
      </c>
      <c r="L76" s="85"/>
      <c r="O76" s="90">
        <v>363</v>
      </c>
      <c r="P76" s="85"/>
      <c r="Q76" s="86"/>
      <c r="R76" s="86"/>
      <c r="S76" s="90">
        <v>363</v>
      </c>
      <c r="T76" s="85"/>
      <c r="U76" s="86"/>
      <c r="V76" s="86"/>
      <c r="W76" s="90">
        <v>363</v>
      </c>
      <c r="X76" s="85"/>
      <c r="Y76" s="86"/>
      <c r="Z76" s="86"/>
      <c r="AA76" s="90">
        <v>363</v>
      </c>
      <c r="AB76" s="85"/>
      <c r="AC76" s="86"/>
      <c r="AD76" s="86"/>
      <c r="AE76" s="90">
        <v>363</v>
      </c>
      <c r="AF76" s="85"/>
      <c r="AG76" s="86"/>
      <c r="AH76" s="86"/>
      <c r="AI76" s="90">
        <v>363</v>
      </c>
    </row>
    <row r="77" spans="1:35" ht="36">
      <c r="A77" s="13" t="s">
        <v>919</v>
      </c>
      <c r="B77" s="50"/>
      <c r="C77" s="92" t="s">
        <v>920</v>
      </c>
      <c r="G77" s="90">
        <v>99</v>
      </c>
      <c r="H77" s="85"/>
      <c r="K77" s="90">
        <v>99</v>
      </c>
      <c r="L77" s="85"/>
      <c r="O77" s="90">
        <v>99</v>
      </c>
      <c r="P77" s="85"/>
      <c r="Q77" s="86"/>
      <c r="R77" s="86"/>
      <c r="S77" s="90">
        <v>99</v>
      </c>
      <c r="T77" s="85"/>
      <c r="U77" s="86"/>
      <c r="V77" s="86"/>
      <c r="W77" s="90">
        <v>99</v>
      </c>
      <c r="X77" s="85"/>
      <c r="Y77" s="86"/>
      <c r="Z77" s="86"/>
      <c r="AA77" s="90">
        <v>99</v>
      </c>
      <c r="AB77" s="85"/>
      <c r="AC77" s="86"/>
      <c r="AD77" s="86"/>
      <c r="AE77" s="90">
        <v>99</v>
      </c>
      <c r="AF77" s="85"/>
      <c r="AG77" s="86"/>
      <c r="AH77" s="86"/>
      <c r="AI77" s="90">
        <v>99</v>
      </c>
    </row>
    <row r="78" spans="1:35" ht="36">
      <c r="A78" s="13" t="s">
        <v>921</v>
      </c>
      <c r="B78" s="50"/>
      <c r="C78" s="92" t="s">
        <v>922</v>
      </c>
      <c r="G78" s="90">
        <v>12</v>
      </c>
      <c r="H78" s="85"/>
      <c r="K78" s="90">
        <v>12</v>
      </c>
      <c r="L78" s="85"/>
      <c r="O78" s="90">
        <v>12</v>
      </c>
      <c r="P78" s="85"/>
      <c r="Q78" s="86"/>
      <c r="R78" s="86"/>
      <c r="S78" s="90">
        <v>12</v>
      </c>
      <c r="T78" s="85"/>
      <c r="U78" s="86"/>
      <c r="V78" s="86"/>
      <c r="W78" s="90">
        <v>12</v>
      </c>
      <c r="X78" s="85"/>
      <c r="Y78" s="86"/>
      <c r="Z78" s="86"/>
      <c r="AA78" s="90">
        <v>12</v>
      </c>
      <c r="AB78" s="85"/>
      <c r="AC78" s="86"/>
      <c r="AD78" s="86"/>
      <c r="AE78" s="90">
        <v>12</v>
      </c>
      <c r="AF78" s="85"/>
      <c r="AG78" s="86"/>
      <c r="AH78" s="86"/>
      <c r="AI78" s="90">
        <v>12</v>
      </c>
    </row>
    <row r="79" spans="1:35" ht="36">
      <c r="A79" s="13" t="s">
        <v>923</v>
      </c>
      <c r="B79" s="13"/>
      <c r="C79" s="17" t="s">
        <v>924</v>
      </c>
      <c r="G79" s="90">
        <v>54</v>
      </c>
      <c r="H79" s="85"/>
      <c r="K79" s="90">
        <v>54</v>
      </c>
      <c r="L79" s="85"/>
      <c r="O79" s="90">
        <v>54</v>
      </c>
      <c r="P79" s="85"/>
      <c r="Q79" s="86"/>
      <c r="R79" s="86"/>
      <c r="S79" s="90">
        <v>54</v>
      </c>
      <c r="T79" s="85"/>
      <c r="U79" s="86"/>
      <c r="V79" s="86"/>
      <c r="W79" s="90">
        <v>54</v>
      </c>
      <c r="X79" s="85"/>
      <c r="Y79" s="86"/>
      <c r="Z79" s="86"/>
      <c r="AA79" s="90">
        <v>54</v>
      </c>
      <c r="AB79" s="85"/>
      <c r="AC79" s="86"/>
      <c r="AD79" s="86"/>
      <c r="AE79" s="90">
        <v>54</v>
      </c>
      <c r="AF79" s="85"/>
      <c r="AG79" s="86"/>
      <c r="AH79" s="86"/>
      <c r="AI79" s="90">
        <v>54</v>
      </c>
    </row>
    <row r="80" spans="1:35" ht="48">
      <c r="A80" s="13" t="s">
        <v>925</v>
      </c>
      <c r="B80" s="13"/>
      <c r="C80" s="17" t="s">
        <v>926</v>
      </c>
      <c r="G80" s="90">
        <v>54</v>
      </c>
      <c r="H80" s="85"/>
      <c r="K80" s="90">
        <v>54</v>
      </c>
      <c r="L80" s="85"/>
      <c r="O80" s="90">
        <v>54</v>
      </c>
      <c r="P80" s="85"/>
      <c r="Q80" s="86"/>
      <c r="R80" s="86"/>
      <c r="S80" s="90">
        <v>54</v>
      </c>
      <c r="T80" s="85"/>
      <c r="U80" s="86"/>
      <c r="V80" s="86"/>
      <c r="W80" s="90">
        <v>54</v>
      </c>
      <c r="X80" s="85"/>
      <c r="Y80" s="86"/>
      <c r="Z80" s="86"/>
      <c r="AA80" s="90">
        <v>54</v>
      </c>
      <c r="AB80" s="85"/>
      <c r="AC80" s="86"/>
      <c r="AD80" s="86"/>
      <c r="AE80" s="90">
        <v>54</v>
      </c>
      <c r="AF80" s="85"/>
      <c r="AG80" s="86"/>
      <c r="AH80" s="86"/>
      <c r="AI80" s="90">
        <v>54</v>
      </c>
    </row>
    <row r="81" spans="1:35" ht="36">
      <c r="A81" s="13" t="s">
        <v>927</v>
      </c>
      <c r="B81" s="13"/>
      <c r="C81" s="17" t="s">
        <v>928</v>
      </c>
      <c r="G81" s="90">
        <v>54</v>
      </c>
      <c r="H81" s="85"/>
      <c r="K81" s="90">
        <v>54</v>
      </c>
      <c r="L81" s="85"/>
      <c r="O81" s="90">
        <v>54</v>
      </c>
      <c r="P81" s="85"/>
      <c r="Q81" s="86"/>
      <c r="R81" s="86"/>
      <c r="S81" s="90">
        <v>54</v>
      </c>
      <c r="T81" s="85"/>
      <c r="U81" s="86"/>
      <c r="V81" s="86"/>
      <c r="W81" s="90">
        <v>54</v>
      </c>
      <c r="X81" s="85"/>
      <c r="Y81" s="86"/>
      <c r="Z81" s="86"/>
      <c r="AA81" s="90">
        <v>54</v>
      </c>
      <c r="AB81" s="85"/>
      <c r="AC81" s="86"/>
      <c r="AD81" s="86"/>
      <c r="AE81" s="90">
        <v>54</v>
      </c>
      <c r="AF81" s="85"/>
      <c r="AG81" s="86"/>
      <c r="AH81" s="86"/>
      <c r="AI81" s="90">
        <v>54</v>
      </c>
    </row>
    <row r="82" spans="1:35" ht="24">
      <c r="A82" s="13" t="s">
        <v>929</v>
      </c>
      <c r="B82" s="17"/>
      <c r="C82" s="17" t="s">
        <v>930</v>
      </c>
      <c r="G82" s="90">
        <v>54</v>
      </c>
      <c r="H82" s="85"/>
      <c r="K82" s="90">
        <v>54</v>
      </c>
      <c r="L82" s="85"/>
      <c r="O82" s="90">
        <v>54</v>
      </c>
      <c r="P82" s="85"/>
      <c r="Q82" s="86"/>
      <c r="R82" s="86"/>
      <c r="S82" s="90">
        <v>54</v>
      </c>
      <c r="T82" s="85"/>
      <c r="U82" s="86"/>
      <c r="V82" s="86"/>
      <c r="W82" s="90">
        <v>54</v>
      </c>
      <c r="X82" s="85"/>
      <c r="Y82" s="86"/>
      <c r="Z82" s="86"/>
      <c r="AA82" s="90">
        <v>54</v>
      </c>
      <c r="AB82" s="85"/>
      <c r="AC82" s="86"/>
      <c r="AD82" s="86"/>
      <c r="AE82" s="90">
        <v>54</v>
      </c>
      <c r="AF82" s="85"/>
      <c r="AG82" s="86"/>
      <c r="AH82" s="86"/>
      <c r="AI82" s="90">
        <v>54</v>
      </c>
    </row>
    <row r="83" spans="1:35" ht="24">
      <c r="A83" s="13" t="s">
        <v>931</v>
      </c>
      <c r="B83" s="13"/>
      <c r="C83" s="17" t="s">
        <v>932</v>
      </c>
      <c r="G83" s="90">
        <v>2</v>
      </c>
      <c r="H83" s="85"/>
      <c r="K83" s="90">
        <v>2</v>
      </c>
      <c r="L83" s="85"/>
      <c r="O83" s="90">
        <v>2</v>
      </c>
      <c r="P83" s="85"/>
      <c r="Q83" s="86"/>
      <c r="R83" s="86"/>
      <c r="S83" s="90">
        <v>2</v>
      </c>
      <c r="T83" s="85"/>
      <c r="U83" s="86"/>
      <c r="V83" s="86"/>
      <c r="W83" s="90">
        <v>2</v>
      </c>
      <c r="X83" s="85"/>
      <c r="Y83" s="86"/>
      <c r="Z83" s="86"/>
      <c r="AA83" s="90">
        <v>2</v>
      </c>
      <c r="AB83" s="85"/>
      <c r="AC83" s="86"/>
      <c r="AD83" s="86"/>
      <c r="AE83" s="90">
        <v>2</v>
      </c>
      <c r="AF83" s="85"/>
      <c r="AG83" s="86"/>
      <c r="AH83" s="86"/>
      <c r="AI83" s="90">
        <v>2</v>
      </c>
    </row>
    <row r="84" spans="1:35" ht="60">
      <c r="A84" s="50" t="s">
        <v>933</v>
      </c>
      <c r="B84" s="50"/>
      <c r="C84" s="92" t="s">
        <v>934</v>
      </c>
      <c r="G84" s="90">
        <v>51</v>
      </c>
      <c r="H84" s="85"/>
      <c r="K84" s="90">
        <v>51</v>
      </c>
      <c r="L84" s="85"/>
      <c r="O84" s="90">
        <v>51</v>
      </c>
      <c r="P84" s="85"/>
      <c r="Q84" s="86"/>
      <c r="R84" s="86"/>
      <c r="S84" s="90">
        <v>51</v>
      </c>
      <c r="T84" s="85"/>
      <c r="U84" s="86"/>
      <c r="V84" s="86"/>
      <c r="W84" s="90">
        <v>51</v>
      </c>
      <c r="X84" s="85"/>
      <c r="Y84" s="86"/>
      <c r="Z84" s="86"/>
      <c r="AA84" s="90">
        <v>51</v>
      </c>
      <c r="AB84" s="85"/>
      <c r="AC84" s="86"/>
      <c r="AD84" s="86"/>
      <c r="AE84" s="90">
        <v>51</v>
      </c>
      <c r="AF84" s="85"/>
      <c r="AG84" s="86"/>
      <c r="AH84" s="86"/>
      <c r="AI84" s="90">
        <v>51</v>
      </c>
    </row>
    <row r="85" spans="1:35" ht="36">
      <c r="A85" s="50" t="s">
        <v>935</v>
      </c>
      <c r="B85" s="50"/>
      <c r="C85" s="17" t="s">
        <v>936</v>
      </c>
      <c r="G85" s="90">
        <v>0</v>
      </c>
      <c r="H85" s="85"/>
      <c r="K85" s="90">
        <v>0</v>
      </c>
      <c r="L85" s="85"/>
      <c r="O85" s="90">
        <v>0</v>
      </c>
      <c r="P85" s="85"/>
      <c r="Q85" s="86"/>
      <c r="R85" s="86"/>
      <c r="S85" s="90">
        <v>0</v>
      </c>
      <c r="T85" s="85"/>
      <c r="U85" s="86"/>
      <c r="V85" s="86"/>
      <c r="W85" s="90">
        <v>0</v>
      </c>
      <c r="X85" s="85"/>
      <c r="Y85" s="86"/>
      <c r="Z85" s="86"/>
      <c r="AA85" s="90">
        <v>0</v>
      </c>
      <c r="AB85" s="85"/>
      <c r="AC85" s="86"/>
      <c r="AD85" s="86"/>
      <c r="AE85" s="90">
        <v>0</v>
      </c>
      <c r="AF85" s="85"/>
      <c r="AG85" s="86"/>
      <c r="AH85" s="86"/>
      <c r="AI85" s="90">
        <v>0</v>
      </c>
    </row>
    <row r="86" spans="1:35" ht="36">
      <c r="A86" s="50" t="s">
        <v>937</v>
      </c>
      <c r="B86" s="50"/>
      <c r="C86" s="17" t="s">
        <v>938</v>
      </c>
      <c r="G86" s="90">
        <v>12</v>
      </c>
      <c r="H86" s="85"/>
      <c r="K86" s="90">
        <v>12</v>
      </c>
      <c r="L86" s="85"/>
      <c r="O86" s="90">
        <v>12</v>
      </c>
      <c r="P86" s="85"/>
      <c r="Q86" s="86"/>
      <c r="R86" s="86"/>
      <c r="S86" s="90">
        <v>12</v>
      </c>
      <c r="T86" s="85"/>
      <c r="U86" s="86"/>
      <c r="V86" s="86"/>
      <c r="W86" s="90">
        <v>12</v>
      </c>
      <c r="X86" s="85"/>
      <c r="Y86" s="86"/>
      <c r="Z86" s="86"/>
      <c r="AA86" s="90">
        <v>12</v>
      </c>
      <c r="AB86" s="85"/>
      <c r="AC86" s="86"/>
      <c r="AD86" s="86"/>
      <c r="AE86" s="90">
        <v>12</v>
      </c>
      <c r="AF86" s="85"/>
      <c r="AG86" s="86"/>
      <c r="AH86" s="86"/>
      <c r="AI86" s="90">
        <v>12</v>
      </c>
    </row>
    <row r="87" spans="1:35">
      <c r="A87" s="50" t="s">
        <v>939</v>
      </c>
      <c r="B87" s="50"/>
      <c r="C87" s="93" t="s">
        <v>429</v>
      </c>
      <c r="H87" s="85"/>
      <c r="K87" s="85"/>
      <c r="L87" s="85"/>
      <c r="O87" s="85"/>
      <c r="P87" s="85"/>
      <c r="Q87" s="86"/>
      <c r="R87" s="86"/>
      <c r="S87" s="85"/>
      <c r="T87" s="85"/>
      <c r="U87" s="86"/>
      <c r="V87" s="86"/>
      <c r="W87" s="85"/>
      <c r="X87" s="85"/>
      <c r="Y87" s="86"/>
      <c r="Z87" s="86"/>
      <c r="AA87" s="85"/>
      <c r="AB87" s="85"/>
      <c r="AC87" s="86"/>
      <c r="AD87" s="86"/>
      <c r="AE87" s="85"/>
      <c r="AF87" s="85"/>
      <c r="AG87" s="86"/>
      <c r="AH87" s="86"/>
      <c r="AI87" s="85"/>
    </row>
    <row r="88" spans="1:35">
      <c r="A88" s="92" t="s">
        <v>940</v>
      </c>
      <c r="B88" s="50"/>
      <c r="C88" s="93" t="s">
        <v>479</v>
      </c>
      <c r="H88" s="85"/>
      <c r="K88" s="85"/>
      <c r="L88" s="85"/>
      <c r="O88" s="85"/>
      <c r="P88" s="85"/>
      <c r="Q88" s="86"/>
      <c r="R88" s="86"/>
      <c r="S88" s="85"/>
      <c r="T88" s="85"/>
      <c r="U88" s="86"/>
      <c r="V88" s="86"/>
      <c r="W88" s="85"/>
      <c r="X88" s="85"/>
      <c r="Y88" s="86"/>
      <c r="Z88" s="86"/>
      <c r="AA88" s="85"/>
      <c r="AB88" s="85"/>
      <c r="AC88" s="86"/>
      <c r="AD88" s="86"/>
      <c r="AE88" s="85"/>
      <c r="AF88" s="85"/>
      <c r="AG88" s="86"/>
      <c r="AH88" s="86"/>
      <c r="AI88" s="85"/>
    </row>
    <row r="89" spans="1:35" ht="48">
      <c r="A89" s="50" t="s">
        <v>941</v>
      </c>
      <c r="B89" s="50"/>
      <c r="C89" s="92" t="s">
        <v>942</v>
      </c>
      <c r="G89" s="90">
        <v>243</v>
      </c>
      <c r="H89" s="85"/>
      <c r="K89" s="90">
        <v>243</v>
      </c>
      <c r="L89" s="85"/>
      <c r="O89" s="90">
        <v>243</v>
      </c>
      <c r="P89" s="85"/>
      <c r="Q89" s="86"/>
      <c r="R89" s="86"/>
      <c r="S89" s="90">
        <v>243</v>
      </c>
      <c r="T89" s="85"/>
      <c r="U89" s="86"/>
      <c r="V89" s="86"/>
      <c r="W89" s="90">
        <v>243</v>
      </c>
      <c r="X89" s="85"/>
      <c r="Y89" s="86"/>
      <c r="Z89" s="86"/>
      <c r="AA89" s="90">
        <v>243</v>
      </c>
      <c r="AB89" s="85"/>
      <c r="AC89" s="86"/>
      <c r="AD89" s="86"/>
      <c r="AE89" s="90">
        <v>243</v>
      </c>
      <c r="AF89" s="85"/>
      <c r="AG89" s="86"/>
      <c r="AH89" s="86"/>
      <c r="AI89" s="90">
        <v>243</v>
      </c>
    </row>
    <row r="90" spans="1:35" ht="60">
      <c r="A90" s="50" t="s">
        <v>943</v>
      </c>
      <c r="B90" s="50"/>
      <c r="C90" s="92" t="s">
        <v>944</v>
      </c>
      <c r="G90" s="90">
        <v>467</v>
      </c>
      <c r="H90" s="85"/>
      <c r="K90" s="90">
        <v>467</v>
      </c>
      <c r="L90" s="85"/>
      <c r="O90" s="90">
        <v>467</v>
      </c>
      <c r="P90" s="85"/>
      <c r="Q90" s="86"/>
      <c r="R90" s="86"/>
      <c r="S90" s="90">
        <v>467</v>
      </c>
      <c r="T90" s="85"/>
      <c r="U90" s="86"/>
      <c r="V90" s="86"/>
      <c r="W90" s="90">
        <v>467</v>
      </c>
      <c r="X90" s="85"/>
      <c r="Y90" s="86"/>
      <c r="Z90" s="86"/>
      <c r="AA90" s="90">
        <v>467</v>
      </c>
      <c r="AB90" s="85"/>
      <c r="AC90" s="86"/>
      <c r="AD90" s="86"/>
      <c r="AE90" s="90">
        <v>467</v>
      </c>
      <c r="AF90" s="85"/>
      <c r="AG90" s="86"/>
      <c r="AH90" s="86"/>
      <c r="AI90" s="90">
        <v>467</v>
      </c>
    </row>
    <row r="91" spans="1:35" ht="36">
      <c r="A91" s="50" t="s">
        <v>945</v>
      </c>
      <c r="B91" s="50"/>
      <c r="C91" s="92" t="s">
        <v>672</v>
      </c>
      <c r="G91" s="90">
        <v>249</v>
      </c>
      <c r="H91" s="85"/>
      <c r="K91" s="90">
        <v>249</v>
      </c>
      <c r="L91" s="85"/>
      <c r="O91" s="90">
        <v>249</v>
      </c>
      <c r="P91" s="85"/>
      <c r="Q91" s="86"/>
      <c r="R91" s="86"/>
      <c r="S91" s="90">
        <v>249</v>
      </c>
      <c r="T91" s="85"/>
      <c r="U91" s="86"/>
      <c r="V91" s="86"/>
      <c r="W91" s="90">
        <v>249</v>
      </c>
      <c r="X91" s="85"/>
      <c r="Y91" s="86"/>
      <c r="Z91" s="86"/>
      <c r="AA91" s="90">
        <v>249</v>
      </c>
      <c r="AB91" s="85"/>
      <c r="AC91" s="86"/>
      <c r="AD91" s="86"/>
      <c r="AE91" s="90">
        <v>249</v>
      </c>
      <c r="AF91" s="85"/>
      <c r="AG91" s="86"/>
      <c r="AH91" s="86"/>
      <c r="AI91" s="90">
        <v>249</v>
      </c>
    </row>
    <row r="92" spans="1:35" ht="48">
      <c r="A92" s="50" t="s">
        <v>946</v>
      </c>
      <c r="B92" s="50"/>
      <c r="C92" s="92" t="s">
        <v>947</v>
      </c>
      <c r="G92" s="90">
        <v>0</v>
      </c>
      <c r="H92" s="85"/>
      <c r="K92" s="90">
        <v>0</v>
      </c>
      <c r="L92" s="85"/>
      <c r="O92" s="90">
        <v>0</v>
      </c>
      <c r="P92" s="85"/>
      <c r="Q92" s="86"/>
      <c r="R92" s="86"/>
      <c r="S92" s="90">
        <v>0</v>
      </c>
      <c r="T92" s="85"/>
      <c r="U92" s="86"/>
      <c r="V92" s="86"/>
      <c r="W92" s="90">
        <v>0</v>
      </c>
      <c r="X92" s="85"/>
      <c r="Y92" s="86"/>
      <c r="Z92" s="86"/>
      <c r="AA92" s="90">
        <v>0</v>
      </c>
      <c r="AB92" s="85"/>
      <c r="AC92" s="86"/>
      <c r="AD92" s="86"/>
      <c r="AE92" s="90">
        <v>0</v>
      </c>
      <c r="AF92" s="85"/>
      <c r="AG92" s="86"/>
      <c r="AH92" s="86"/>
      <c r="AI92" s="90">
        <v>0</v>
      </c>
    </row>
    <row r="93" spans="1:35">
      <c r="A93" s="50" t="s">
        <v>948</v>
      </c>
      <c r="B93" s="50"/>
      <c r="C93" s="93" t="s">
        <v>530</v>
      </c>
      <c r="H93" s="85"/>
      <c r="K93" s="85"/>
      <c r="L93" s="85"/>
      <c r="O93" s="85"/>
      <c r="P93" s="85"/>
      <c r="Q93" s="86"/>
      <c r="R93" s="86"/>
      <c r="S93" s="85"/>
      <c r="T93" s="85"/>
      <c r="U93" s="86"/>
      <c r="V93" s="86"/>
      <c r="W93" s="85"/>
      <c r="X93" s="85"/>
      <c r="Y93" s="86"/>
      <c r="Z93" s="86"/>
      <c r="AA93" s="85"/>
      <c r="AB93" s="85"/>
      <c r="AC93" s="86"/>
      <c r="AD93" s="86"/>
      <c r="AE93" s="85"/>
      <c r="AF93" s="85"/>
      <c r="AG93" s="86"/>
      <c r="AH93" s="86"/>
      <c r="AI93" s="85"/>
    </row>
    <row r="94" spans="1:35" ht="36">
      <c r="A94" s="57" t="s">
        <v>949</v>
      </c>
      <c r="B94" s="57"/>
      <c r="C94" s="92" t="s">
        <v>950</v>
      </c>
      <c r="D94" s="94"/>
      <c r="E94" s="95"/>
      <c r="F94" s="95"/>
      <c r="G94" s="90">
        <v>12</v>
      </c>
      <c r="H94" s="94"/>
      <c r="I94" s="95"/>
      <c r="J94" s="95"/>
      <c r="K94" s="90">
        <v>12</v>
      </c>
      <c r="L94" s="94"/>
      <c r="M94" s="95"/>
      <c r="N94" s="95"/>
      <c r="O94" s="90">
        <v>12</v>
      </c>
      <c r="P94" s="94"/>
      <c r="Q94" s="95"/>
      <c r="R94" s="95"/>
      <c r="S94" s="90">
        <v>12</v>
      </c>
      <c r="T94" s="94"/>
      <c r="U94" s="95"/>
      <c r="V94" s="95"/>
      <c r="W94" s="90">
        <v>12</v>
      </c>
      <c r="X94" s="94"/>
      <c r="Y94" s="95"/>
      <c r="Z94" s="95"/>
      <c r="AA94" s="90">
        <v>12</v>
      </c>
      <c r="AB94" s="94"/>
      <c r="AC94" s="95"/>
      <c r="AD94" s="95"/>
      <c r="AE94" s="90">
        <v>12</v>
      </c>
      <c r="AF94" s="94"/>
      <c r="AG94" s="95"/>
      <c r="AH94" s="95"/>
      <c r="AI94" s="90">
        <v>12</v>
      </c>
    </row>
    <row r="95" spans="1:35">
      <c r="A95" s="54"/>
      <c r="D95" s="54"/>
      <c r="E95" s="54"/>
      <c r="F95" s="54"/>
      <c r="G95" s="54"/>
      <c r="H95" s="54"/>
      <c r="I95" s="54"/>
      <c r="J95" s="54"/>
      <c r="L95" s="54"/>
      <c r="M95" s="54"/>
      <c r="N95" s="54"/>
    </row>
    <row r="96" spans="1:35">
      <c r="A96" s="28"/>
      <c r="B96" s="96"/>
      <c r="C96" s="96"/>
      <c r="D96" s="97"/>
      <c r="E96" s="98"/>
      <c r="F96" s="98"/>
      <c r="G96" s="136">
        <f>SUM(G3:G95)</f>
        <v>54856.04</v>
      </c>
      <c r="H96" s="136"/>
      <c r="I96" s="136"/>
      <c r="J96" s="136">
        <f t="shared" ref="J96:AI96" si="0">SUM(J3:J95)</f>
        <v>480442.44651087903</v>
      </c>
      <c r="K96" s="136">
        <f t="shared" si="0"/>
        <v>54856.4</v>
      </c>
      <c r="L96" s="136"/>
      <c r="M96" s="136"/>
      <c r="N96" s="136">
        <f t="shared" si="0"/>
        <v>495758.58410772879</v>
      </c>
      <c r="O96" s="136">
        <f t="shared" si="0"/>
        <v>54856.76</v>
      </c>
      <c r="P96" s="136"/>
      <c r="Q96" s="136"/>
      <c r="R96" s="136">
        <f t="shared" si="0"/>
        <v>512805.18219366361</v>
      </c>
      <c r="S96" s="136">
        <f t="shared" si="0"/>
        <v>54863.18</v>
      </c>
      <c r="T96" s="136"/>
      <c r="U96" s="136"/>
      <c r="V96" s="136">
        <f t="shared" si="0"/>
        <v>530440.78740366024</v>
      </c>
      <c r="W96" s="136">
        <f t="shared" si="0"/>
        <v>54863.91</v>
      </c>
      <c r="X96" s="136"/>
      <c r="Y96" s="136"/>
      <c r="Z96" s="136">
        <f t="shared" si="0"/>
        <v>551338.02832885552</v>
      </c>
      <c r="AA96" s="136">
        <f t="shared" si="0"/>
        <v>54864.67</v>
      </c>
      <c r="AB96" s="136"/>
      <c r="AC96" s="136"/>
      <c r="AD96" s="136">
        <f t="shared" si="0"/>
        <v>575818.23731557443</v>
      </c>
      <c r="AE96" s="136">
        <f t="shared" si="0"/>
        <v>54865.46</v>
      </c>
      <c r="AF96" s="136"/>
      <c r="AG96" s="136"/>
      <c r="AH96" s="136">
        <f t="shared" si="0"/>
        <v>601388.50562661258</v>
      </c>
      <c r="AI96" s="136">
        <f t="shared" si="0"/>
        <v>54866.28</v>
      </c>
    </row>
    <row r="97" spans="1:38" s="65" customFormat="1" ht="16.5">
      <c r="A97" s="64"/>
      <c r="D97" s="341"/>
      <c r="E97" s="341"/>
      <c r="F97" s="341"/>
      <c r="G97" s="81" t="s">
        <v>385</v>
      </c>
      <c r="H97" s="341"/>
      <c r="I97" s="341"/>
      <c r="J97" s="341"/>
      <c r="K97" s="81" t="s">
        <v>385</v>
      </c>
      <c r="L97" s="68"/>
      <c r="M97" s="341"/>
      <c r="N97" s="341"/>
      <c r="O97" s="81" t="s">
        <v>385</v>
      </c>
      <c r="P97" s="341"/>
      <c r="Q97" s="341"/>
      <c r="R97" s="341"/>
      <c r="S97" s="81" t="s">
        <v>385</v>
      </c>
      <c r="T97" s="341"/>
      <c r="U97" s="341"/>
      <c r="V97" s="341"/>
      <c r="W97" s="81" t="s">
        <v>385</v>
      </c>
      <c r="X97" s="341"/>
      <c r="Y97" s="341"/>
      <c r="Z97" s="341"/>
      <c r="AA97" s="81" t="s">
        <v>385</v>
      </c>
      <c r="AB97" s="341"/>
      <c r="AC97" s="341"/>
      <c r="AD97" s="341"/>
      <c r="AE97" s="81" t="s">
        <v>385</v>
      </c>
      <c r="AF97" s="341"/>
      <c r="AG97" s="341"/>
      <c r="AH97" s="341"/>
      <c r="AI97" s="81" t="s">
        <v>385</v>
      </c>
    </row>
    <row r="98" spans="1:38" s="139" customFormat="1" ht="47.25">
      <c r="A98" s="138"/>
      <c r="D98" s="140"/>
      <c r="E98" s="141"/>
      <c r="F98" s="141"/>
      <c r="G98" s="145" t="s">
        <v>189</v>
      </c>
      <c r="H98" s="143"/>
      <c r="I98" s="141"/>
      <c r="J98" s="141"/>
      <c r="K98" s="145" t="s">
        <v>190</v>
      </c>
      <c r="L98" s="143"/>
      <c r="M98" s="141"/>
      <c r="N98" s="141"/>
      <c r="O98" s="145" t="s">
        <v>191</v>
      </c>
      <c r="P98" s="144"/>
      <c r="Q98" s="141"/>
      <c r="R98" s="141"/>
      <c r="S98" s="145" t="s">
        <v>432</v>
      </c>
      <c r="T98" s="144"/>
      <c r="U98" s="141"/>
      <c r="V98" s="141"/>
      <c r="W98" s="145" t="s">
        <v>433</v>
      </c>
      <c r="X98" s="144"/>
      <c r="Y98" s="141"/>
      <c r="Z98" s="141"/>
      <c r="AA98" s="145" t="s">
        <v>194</v>
      </c>
      <c r="AB98" s="144"/>
      <c r="AC98" s="141"/>
      <c r="AD98" s="141"/>
      <c r="AE98" s="145" t="s">
        <v>251</v>
      </c>
      <c r="AF98" s="144"/>
      <c r="AG98" s="141"/>
      <c r="AH98" s="141"/>
      <c r="AI98" s="145" t="s">
        <v>252</v>
      </c>
    </row>
    <row r="99" spans="1:38" s="139" customFormat="1" ht="15.75">
      <c r="A99" s="138"/>
      <c r="D99" s="140"/>
      <c r="E99" s="184" t="s">
        <v>386</v>
      </c>
      <c r="F99" s="141"/>
      <c r="G99" s="142">
        <f t="shared" ref="G99:AI99" si="1">SUM(G100:G116)</f>
        <v>612643.13155144209</v>
      </c>
      <c r="H99" s="142">
        <f t="shared" si="1"/>
        <v>0</v>
      </c>
      <c r="I99" s="142">
        <f t="shared" si="1"/>
        <v>0</v>
      </c>
      <c r="J99" s="142">
        <f t="shared" si="1"/>
        <v>0</v>
      </c>
      <c r="K99" s="142">
        <f t="shared" si="1"/>
        <v>626060.59539522196</v>
      </c>
      <c r="L99" s="142">
        <f t="shared" si="1"/>
        <v>0</v>
      </c>
      <c r="M99" s="142">
        <f t="shared" si="1"/>
        <v>0</v>
      </c>
      <c r="N99" s="142">
        <f t="shared" si="1"/>
        <v>0</v>
      </c>
      <c r="O99" s="142">
        <f t="shared" si="1"/>
        <v>650760.88340458693</v>
      </c>
      <c r="P99" s="142">
        <f t="shared" si="1"/>
        <v>0</v>
      </c>
      <c r="Q99" s="142">
        <f t="shared" si="1"/>
        <v>0</v>
      </c>
      <c r="R99" s="142">
        <f t="shared" si="1"/>
        <v>0</v>
      </c>
      <c r="S99" s="142">
        <f t="shared" si="1"/>
        <v>666773.86236078409</v>
      </c>
      <c r="T99" s="142">
        <f t="shared" si="1"/>
        <v>0</v>
      </c>
      <c r="U99" s="142">
        <f t="shared" si="1"/>
        <v>0</v>
      </c>
      <c r="V99" s="142">
        <f t="shared" si="1"/>
        <v>0</v>
      </c>
      <c r="W99" s="142">
        <f t="shared" si="1"/>
        <v>689709.74303637398</v>
      </c>
      <c r="X99" s="142">
        <f t="shared" si="1"/>
        <v>0</v>
      </c>
      <c r="Y99" s="142">
        <f t="shared" si="1"/>
        <v>0</v>
      </c>
      <c r="Z99" s="142">
        <f t="shared" si="1"/>
        <v>0</v>
      </c>
      <c r="AA99" s="142">
        <f t="shared" si="1"/>
        <v>716992.4409468649</v>
      </c>
      <c r="AB99" s="142">
        <f t="shared" si="1"/>
        <v>0</v>
      </c>
      <c r="AC99" s="142">
        <f t="shared" si="1"/>
        <v>0</v>
      </c>
      <c r="AD99" s="142">
        <f t="shared" si="1"/>
        <v>0</v>
      </c>
      <c r="AE99" s="142">
        <f t="shared" si="1"/>
        <v>749029.38355418097</v>
      </c>
      <c r="AF99" s="142">
        <f t="shared" si="1"/>
        <v>0</v>
      </c>
      <c r="AG99" s="142">
        <f t="shared" si="1"/>
        <v>0</v>
      </c>
      <c r="AH99" s="142">
        <f t="shared" si="1"/>
        <v>0</v>
      </c>
      <c r="AI99" s="142">
        <f t="shared" si="1"/>
        <v>782499.36241934204</v>
      </c>
    </row>
    <row r="100" spans="1:38" ht="15.75">
      <c r="E100" s="184" t="s">
        <v>387</v>
      </c>
      <c r="G100" s="142">
        <v>608912.95155144203</v>
      </c>
      <c r="H100" s="143"/>
      <c r="I100" s="141"/>
      <c r="J100" s="141"/>
      <c r="K100" s="142">
        <v>628321.16539522202</v>
      </c>
      <c r="L100" s="143"/>
      <c r="M100" s="141"/>
      <c r="N100" s="141"/>
      <c r="O100" s="142">
        <v>648351.56340458698</v>
      </c>
      <c r="P100" s="144"/>
      <c r="Q100" s="141"/>
      <c r="R100" s="141"/>
      <c r="S100" s="142">
        <v>670645.05236078403</v>
      </c>
      <c r="T100" s="144"/>
      <c r="U100" s="141"/>
      <c r="V100" s="141"/>
      <c r="W100" s="142">
        <v>693708.84303637396</v>
      </c>
      <c r="X100" s="144"/>
      <c r="Y100" s="141"/>
      <c r="Z100" s="141"/>
      <c r="AA100" s="142">
        <v>721038.19094686501</v>
      </c>
      <c r="AB100" s="144"/>
      <c r="AC100" s="141"/>
      <c r="AD100" s="141"/>
      <c r="AE100" s="142">
        <v>753053.33355418104</v>
      </c>
      <c r="AF100" s="144"/>
      <c r="AG100" s="141"/>
      <c r="AH100" s="141"/>
      <c r="AI100" s="142">
        <v>786494.05241934198</v>
      </c>
    </row>
    <row r="101" spans="1:38" ht="15.75">
      <c r="E101" s="137" t="s">
        <v>951</v>
      </c>
      <c r="F101" s="137"/>
      <c r="G101" s="142">
        <v>12543.51</v>
      </c>
      <c r="H101" s="143"/>
      <c r="I101" s="141"/>
      <c r="J101" s="141"/>
      <c r="K101" s="142">
        <v>12943.27</v>
      </c>
      <c r="L101" s="143"/>
      <c r="M101" s="141"/>
      <c r="N101" s="141"/>
      <c r="O101" s="142">
        <v>13355.77</v>
      </c>
      <c r="P101" s="144"/>
      <c r="Q101" s="141"/>
      <c r="R101" s="141"/>
      <c r="S101" s="142">
        <v>13781.42</v>
      </c>
      <c r="T101" s="144"/>
      <c r="U101" s="141"/>
      <c r="V101" s="141"/>
      <c r="W101" s="142">
        <v>14220.64</v>
      </c>
      <c r="X101" s="144"/>
      <c r="Y101" s="141"/>
      <c r="Z101" s="141"/>
      <c r="AA101" s="142">
        <v>14780.87</v>
      </c>
      <c r="AB101" s="144"/>
      <c r="AC101" s="141"/>
      <c r="AD101" s="141"/>
      <c r="AE101" s="142">
        <v>15437.16</v>
      </c>
      <c r="AF101" s="144"/>
      <c r="AG101" s="141"/>
      <c r="AH101" s="141"/>
      <c r="AI101" s="142">
        <v>16122.68</v>
      </c>
    </row>
    <row r="102" spans="1:38" ht="15.75">
      <c r="E102" s="260" t="s">
        <v>952</v>
      </c>
      <c r="G102" s="285">
        <v>520</v>
      </c>
      <c r="H102" s="143"/>
      <c r="I102" s="141"/>
      <c r="J102" s="141"/>
      <c r="K102" s="285">
        <v>536.57000000000005</v>
      </c>
      <c r="L102" s="143"/>
      <c r="M102" s="141"/>
      <c r="N102" s="141"/>
      <c r="O102" s="285">
        <v>553.67999999999995</v>
      </c>
      <c r="P102" s="144"/>
      <c r="Q102" s="141"/>
      <c r="R102" s="141"/>
      <c r="S102" s="285">
        <v>572.72</v>
      </c>
      <c r="T102" s="144"/>
      <c r="U102" s="141"/>
      <c r="V102" s="141"/>
      <c r="W102" s="285">
        <v>592.41999999999996</v>
      </c>
      <c r="X102" s="144"/>
      <c r="Y102" s="141"/>
      <c r="Z102" s="141"/>
      <c r="AA102" s="285">
        <v>615.75</v>
      </c>
      <c r="AB102" s="144"/>
      <c r="AC102" s="141"/>
      <c r="AD102" s="141"/>
      <c r="AE102" s="285">
        <v>643.09</v>
      </c>
      <c r="AF102" s="144"/>
      <c r="AG102" s="141"/>
      <c r="AH102" s="141"/>
      <c r="AI102" s="285">
        <v>671.65</v>
      </c>
    </row>
    <row r="103" spans="1:38" ht="18" customHeight="1">
      <c r="E103" s="137" t="s">
        <v>953</v>
      </c>
      <c r="G103" s="286">
        <v>-9333.33</v>
      </c>
      <c r="H103" s="286"/>
      <c r="I103" s="286"/>
      <c r="J103" s="286"/>
      <c r="K103" s="286">
        <v>-9642.26</v>
      </c>
      <c r="L103" s="286"/>
      <c r="M103" s="286"/>
      <c r="N103" s="286"/>
      <c r="O103" s="286">
        <v>-9961.42</v>
      </c>
      <c r="P103" s="286"/>
      <c r="Q103" s="286"/>
      <c r="R103" s="286"/>
      <c r="S103" s="286">
        <v>-10291.15</v>
      </c>
      <c r="T103" s="286"/>
      <c r="U103" s="286"/>
      <c r="V103" s="286"/>
      <c r="W103" s="286">
        <v>-10631.78</v>
      </c>
      <c r="X103" s="286"/>
      <c r="Y103" s="286"/>
      <c r="Z103" s="286"/>
      <c r="AA103" s="286">
        <v>-10983.69</v>
      </c>
      <c r="AB103" s="286"/>
      <c r="AC103" s="286"/>
      <c r="AD103" s="286"/>
      <c r="AE103" s="286">
        <v>-11347.25</v>
      </c>
      <c r="AF103" s="286"/>
      <c r="AG103" s="286"/>
      <c r="AH103" s="286"/>
      <c r="AI103" s="286">
        <v>-11722.85</v>
      </c>
    </row>
    <row r="104" spans="1:38" ht="18" customHeight="1">
      <c r="E104" s="137" t="s">
        <v>488</v>
      </c>
      <c r="G104" s="286">
        <v>0</v>
      </c>
      <c r="H104" s="286"/>
      <c r="I104" s="286"/>
      <c r="J104" s="286"/>
      <c r="K104" s="286">
        <v>850</v>
      </c>
      <c r="L104" s="286"/>
      <c r="M104" s="286"/>
      <c r="N104" s="286"/>
      <c r="O104" s="286">
        <v>879.24</v>
      </c>
      <c r="P104" s="286"/>
      <c r="Q104" s="286"/>
      <c r="R104" s="286"/>
      <c r="S104" s="286">
        <v>909.48</v>
      </c>
      <c r="T104" s="286"/>
      <c r="U104" s="286"/>
      <c r="V104" s="286"/>
      <c r="W104" s="286">
        <v>945.32</v>
      </c>
      <c r="X104" s="286"/>
      <c r="Y104" s="286"/>
      <c r="Z104" s="286"/>
      <c r="AA104" s="286">
        <v>977.83</v>
      </c>
      <c r="AB104" s="286"/>
      <c r="AC104" s="286"/>
      <c r="AD104" s="286"/>
      <c r="AE104" s="286">
        <v>1021.25</v>
      </c>
      <c r="AF104" s="286"/>
      <c r="AG104" s="286"/>
      <c r="AH104" s="286"/>
      <c r="AI104" s="286">
        <v>1066.5899999999999</v>
      </c>
    </row>
    <row r="105" spans="1:38" ht="18" customHeight="1">
      <c r="E105" s="137" t="s">
        <v>954</v>
      </c>
      <c r="G105" s="286">
        <v>0</v>
      </c>
      <c r="H105" s="286"/>
      <c r="I105" s="286"/>
      <c r="J105" s="286"/>
      <c r="K105" s="286">
        <v>-6948.15</v>
      </c>
      <c r="L105" s="286"/>
      <c r="M105" s="286"/>
      <c r="N105" s="286"/>
      <c r="O105" s="286">
        <v>-7169.65</v>
      </c>
      <c r="P105" s="286"/>
      <c r="Q105" s="286"/>
      <c r="R105" s="286"/>
      <c r="S105" s="286">
        <v>-7415.82</v>
      </c>
      <c r="T105" s="286"/>
      <c r="U105" s="286"/>
      <c r="V105" s="286"/>
      <c r="W105" s="286">
        <v>-7670.47</v>
      </c>
      <c r="X105" s="286"/>
      <c r="Y105" s="286"/>
      <c r="Z105" s="286"/>
      <c r="AA105" s="286">
        <v>-7972.66</v>
      </c>
      <c r="AB105" s="286"/>
      <c r="AC105" s="286"/>
      <c r="AD105" s="286"/>
      <c r="AE105" s="286">
        <v>-8326.66</v>
      </c>
      <c r="AF105" s="286"/>
      <c r="AG105" s="286"/>
      <c r="AH105" s="286"/>
      <c r="AI105" s="286">
        <v>-8696.42</v>
      </c>
    </row>
    <row r="106" spans="1:38" ht="18" customHeight="1">
      <c r="E106" s="260" t="s">
        <v>955</v>
      </c>
      <c r="G106" s="286"/>
      <c r="H106" s="286"/>
      <c r="I106" s="286"/>
      <c r="J106" s="286"/>
      <c r="K106" s="286"/>
      <c r="L106" s="286"/>
      <c r="M106" s="286"/>
      <c r="N106" s="286"/>
      <c r="O106" s="286">
        <v>3552</v>
      </c>
      <c r="P106" s="286"/>
      <c r="Q106" s="286"/>
      <c r="R106" s="286"/>
      <c r="S106" s="286">
        <v>3674.19</v>
      </c>
      <c r="T106" s="286"/>
      <c r="U106" s="286"/>
      <c r="V106" s="286"/>
      <c r="W106" s="286">
        <v>3800.58</v>
      </c>
      <c r="X106" s="286"/>
      <c r="Y106" s="286"/>
      <c r="Z106" s="286"/>
      <c r="AA106" s="286">
        <v>3950.32</v>
      </c>
      <c r="AB106" s="286"/>
      <c r="AC106" s="286"/>
      <c r="AD106" s="286"/>
      <c r="AE106" s="286">
        <v>4125.72</v>
      </c>
      <c r="AF106" s="286"/>
      <c r="AG106" s="286"/>
      <c r="AH106" s="286"/>
      <c r="AI106" s="286">
        <v>4308.8999999999996</v>
      </c>
    </row>
    <row r="107" spans="1:38" ht="15.75">
      <c r="E107" s="260" t="s">
        <v>956</v>
      </c>
      <c r="G107" s="286"/>
      <c r="H107" s="286"/>
      <c r="I107" s="286"/>
      <c r="J107" s="286"/>
      <c r="K107" s="286"/>
      <c r="L107" s="286"/>
      <c r="M107" s="286"/>
      <c r="N107" s="286"/>
      <c r="O107" s="286">
        <v>1199.7</v>
      </c>
      <c r="P107" s="286"/>
      <c r="Q107" s="286"/>
      <c r="R107" s="286"/>
      <c r="S107" s="286">
        <v>2476.42</v>
      </c>
      <c r="T107" s="286"/>
      <c r="U107" s="286"/>
      <c r="V107" s="286"/>
      <c r="W107" s="286">
        <v>2555.91</v>
      </c>
      <c r="X107" s="286"/>
      <c r="Y107" s="286"/>
      <c r="Z107" s="286"/>
      <c r="AA107" s="286">
        <v>2637.96</v>
      </c>
      <c r="AB107" s="286"/>
      <c r="AC107" s="286"/>
      <c r="AD107" s="286"/>
      <c r="AE107" s="286">
        <v>2722.64</v>
      </c>
      <c r="AF107" s="286"/>
      <c r="AG107" s="286"/>
      <c r="AH107" s="286"/>
      <c r="AI107" s="286">
        <v>2810.03</v>
      </c>
      <c r="AK107" s="86">
        <f>SUM(O107:AI107)</f>
        <v>14402.66</v>
      </c>
    </row>
    <row r="108" spans="1:38" ht="15.75">
      <c r="E108" s="260" t="s">
        <v>957</v>
      </c>
      <c r="G108" s="286"/>
      <c r="H108" s="286"/>
      <c r="I108" s="286"/>
      <c r="J108" s="286"/>
      <c r="K108" s="286"/>
      <c r="L108" s="286"/>
      <c r="M108" s="286"/>
      <c r="N108" s="286"/>
      <c r="O108" s="286"/>
      <c r="P108" s="286"/>
      <c r="Q108" s="286"/>
      <c r="R108" s="286"/>
      <c r="S108" s="286">
        <v>-12843.45</v>
      </c>
      <c r="T108" s="286"/>
      <c r="U108" s="286"/>
      <c r="V108" s="286"/>
      <c r="W108" s="286">
        <v>-13255.73</v>
      </c>
      <c r="X108" s="286"/>
      <c r="Y108" s="286"/>
      <c r="Z108" s="286"/>
      <c r="AA108" s="286">
        <v>-13681.24</v>
      </c>
      <c r="AB108" s="286"/>
      <c r="AC108" s="286"/>
      <c r="AD108" s="286"/>
      <c r="AE108" s="286">
        <v>-14120.4</v>
      </c>
      <c r="AF108" s="286"/>
      <c r="AG108" s="286"/>
      <c r="AH108" s="286"/>
      <c r="AI108" s="286">
        <v>-14573.67</v>
      </c>
      <c r="AK108" s="86">
        <f>SUM(O108:AI108)</f>
        <v>-68474.490000000005</v>
      </c>
      <c r="AL108" s="54" t="s">
        <v>534</v>
      </c>
    </row>
    <row r="109" spans="1:38" ht="15.75">
      <c r="E109" s="260" t="s">
        <v>958</v>
      </c>
      <c r="G109" s="286"/>
      <c r="H109" s="286"/>
      <c r="I109" s="286"/>
      <c r="J109" s="286"/>
      <c r="K109" s="286"/>
      <c r="L109" s="286"/>
      <c r="M109" s="286"/>
      <c r="N109" s="286"/>
      <c r="O109" s="286"/>
      <c r="P109" s="286"/>
      <c r="Q109" s="286"/>
      <c r="R109" s="286"/>
      <c r="S109" s="286">
        <v>5265</v>
      </c>
      <c r="T109" s="286"/>
      <c r="U109" s="286"/>
      <c r="V109" s="286"/>
      <c r="W109" s="286">
        <v>5444.01</v>
      </c>
      <c r="X109" s="286"/>
      <c r="Y109" s="286"/>
      <c r="Z109" s="286"/>
      <c r="AA109" s="286">
        <v>5629.11</v>
      </c>
      <c r="AB109" s="286"/>
      <c r="AC109" s="286"/>
      <c r="AD109" s="286"/>
      <c r="AE109" s="286">
        <v>5820.5</v>
      </c>
      <c r="AF109" s="286"/>
      <c r="AG109" s="286"/>
      <c r="AH109" s="286"/>
      <c r="AI109" s="286">
        <v>6018.4</v>
      </c>
      <c r="AK109" s="86">
        <f>SUM(O109:AI109)</f>
        <v>28177.019999999997</v>
      </c>
      <c r="AL109" s="54" t="s">
        <v>959</v>
      </c>
    </row>
    <row r="110" spans="1:38" ht="15.75">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6"/>
      <c r="AI110" s="286"/>
      <c r="AK110" s="86">
        <f t="shared" ref="AK110:AK115" si="2">SUM(O110:AI110)</f>
        <v>0</v>
      </c>
    </row>
    <row r="111" spans="1:38" ht="15.75">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K111" s="86">
        <f t="shared" si="2"/>
        <v>0</v>
      </c>
    </row>
    <row r="112" spans="1:38" ht="15.75">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K112" s="86">
        <f t="shared" si="2"/>
        <v>0</v>
      </c>
    </row>
    <row r="113" spans="7:37" ht="15.75">
      <c r="G113" s="286"/>
      <c r="H113" s="286"/>
      <c r="I113" s="286"/>
      <c r="J113" s="286"/>
      <c r="K113" s="286"/>
      <c r="L113" s="286"/>
      <c r="M113" s="286"/>
      <c r="N113" s="286"/>
      <c r="O113" s="286"/>
      <c r="P113" s="286"/>
      <c r="Q113" s="286"/>
      <c r="R113" s="286"/>
      <c r="S113" s="286"/>
      <c r="T113" s="286"/>
      <c r="U113" s="286"/>
      <c r="V113" s="286"/>
      <c r="W113" s="286"/>
      <c r="X113" s="286"/>
      <c r="Y113" s="286"/>
      <c r="Z113" s="286"/>
      <c r="AA113" s="286"/>
      <c r="AB113" s="286"/>
      <c r="AC113" s="286"/>
      <c r="AD113" s="286"/>
      <c r="AE113" s="286"/>
      <c r="AF113" s="286"/>
      <c r="AG113" s="286"/>
      <c r="AH113" s="286"/>
      <c r="AI113" s="286"/>
      <c r="AK113" s="86">
        <f t="shared" si="2"/>
        <v>0</v>
      </c>
    </row>
    <row r="114" spans="7:37" ht="15.75">
      <c r="G114" s="286"/>
      <c r="H114" s="286"/>
      <c r="I114" s="286"/>
      <c r="J114" s="286"/>
      <c r="K114" s="286"/>
      <c r="L114" s="286"/>
      <c r="M114" s="286"/>
      <c r="N114" s="286"/>
      <c r="O114" s="286"/>
      <c r="P114" s="286"/>
      <c r="Q114" s="286"/>
      <c r="R114" s="286"/>
      <c r="S114" s="286"/>
      <c r="T114" s="286"/>
      <c r="U114" s="286"/>
      <c r="V114" s="286"/>
      <c r="W114" s="286"/>
      <c r="X114" s="286"/>
      <c r="Y114" s="286"/>
      <c r="Z114" s="286"/>
      <c r="AA114" s="286"/>
      <c r="AB114" s="286"/>
      <c r="AC114" s="286"/>
      <c r="AD114" s="286"/>
      <c r="AE114" s="286"/>
      <c r="AF114" s="286"/>
      <c r="AG114" s="286"/>
      <c r="AH114" s="286"/>
      <c r="AI114" s="286"/>
      <c r="AK114" s="86">
        <f t="shared" si="2"/>
        <v>0</v>
      </c>
    </row>
    <row r="115" spans="7:37" ht="15.75">
      <c r="G115" s="286"/>
      <c r="H115" s="286"/>
      <c r="I115" s="286"/>
      <c r="J115" s="286"/>
      <c r="K115" s="286"/>
      <c r="L115" s="286"/>
      <c r="M115" s="286"/>
      <c r="N115" s="286"/>
      <c r="O115" s="286"/>
      <c r="P115" s="286"/>
      <c r="Q115" s="286"/>
      <c r="R115" s="286"/>
      <c r="S115" s="286"/>
      <c r="T115" s="286"/>
      <c r="U115" s="286"/>
      <c r="V115" s="286"/>
      <c r="W115" s="286"/>
      <c r="X115" s="286"/>
      <c r="Y115" s="286"/>
      <c r="Z115" s="286"/>
      <c r="AA115" s="286"/>
      <c r="AB115" s="286"/>
      <c r="AC115" s="286"/>
      <c r="AD115" s="286"/>
      <c r="AE115" s="286"/>
      <c r="AF115" s="286"/>
      <c r="AG115" s="286"/>
      <c r="AH115" s="286"/>
      <c r="AI115" s="286"/>
      <c r="AK115" s="86">
        <f t="shared" si="2"/>
        <v>0</v>
      </c>
    </row>
  </sheetData>
  <mergeCells count="8">
    <mergeCell ref="AB1:AE1"/>
    <mergeCell ref="AF1:AI1"/>
    <mergeCell ref="D1:G1"/>
    <mergeCell ref="H1:K1"/>
    <mergeCell ref="L1:O1"/>
    <mergeCell ref="P1:S1"/>
    <mergeCell ref="T1:W1"/>
    <mergeCell ref="X1:AA1"/>
  </mergeCells>
  <phoneticPr fontId="0" type="noConversion"/>
  <printOptions horizontalCentered="1"/>
  <pageMargins left="0.5" right="0.5" top="1" bottom="1" header="0.5" footer="0.5"/>
  <pageSetup paperSize="9" fitToWidth="10" fitToHeight="5" orientation="landscape" r:id="rId1"/>
  <headerFooter alignWithMargins="0">
    <oddHeader>&amp;C&amp;"Calibri"&amp;10&amp;K737373Serco Business&amp;1#_x000D_&amp;"Calibri"&amp;11&amp;K000000&amp;"Calibri"&amp;11&amp;K000000&amp;"Arial,Bold"RESTRICTED - CONTRACTS</oddHeader>
    <oddFooter>&amp;L&amp;8PTC/CB/00642&amp;C&amp;8 2-(10)-&amp;P
&amp;"Arial,Bold"&amp;10RESTRICTED - CONTRACTS&amp;R&amp;8Pricing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K55"/>
  <sheetViews>
    <sheetView topLeftCell="A36" zoomScale="75" workbookViewId="0">
      <selection activeCell="K52" sqref="K52"/>
    </sheetView>
  </sheetViews>
  <sheetFormatPr defaultColWidth="9.140625" defaultRowHeight="12"/>
  <cols>
    <col min="1" max="1" width="8.7109375" style="13" customWidth="1"/>
    <col min="2" max="2" width="2.7109375" style="17" customWidth="1"/>
    <col min="3" max="3" width="30.7109375" style="17" customWidth="1"/>
    <col min="4" max="4" width="15" style="24" customWidth="1"/>
    <col min="5" max="5" width="14.28515625" style="17" customWidth="1"/>
    <col min="6" max="6" width="15" style="17" customWidth="1"/>
    <col min="7" max="7" width="14.28515625" style="17" customWidth="1"/>
    <col min="8" max="8" width="14.85546875" style="17" customWidth="1"/>
    <col min="9" max="9" width="14.42578125" style="17" customWidth="1"/>
    <col min="10" max="10" width="14.5703125" style="17" customWidth="1"/>
    <col min="11" max="11" width="14.42578125" style="17" customWidth="1"/>
    <col min="12" max="16384" width="9.140625" style="17"/>
  </cols>
  <sheetData>
    <row r="1" spans="1:11" s="146" customFormat="1" ht="12" customHeight="1">
      <c r="A1" s="13"/>
      <c r="C1" s="21" t="s">
        <v>960</v>
      </c>
      <c r="D1" s="340" t="s">
        <v>189</v>
      </c>
      <c r="E1" s="340" t="s">
        <v>190</v>
      </c>
      <c r="F1" s="340" t="s">
        <v>191</v>
      </c>
      <c r="G1" s="340" t="s">
        <v>192</v>
      </c>
      <c r="H1" s="340" t="s">
        <v>193</v>
      </c>
      <c r="I1" s="340" t="s">
        <v>194</v>
      </c>
      <c r="J1" s="340" t="s">
        <v>251</v>
      </c>
      <c r="K1" s="340" t="s">
        <v>252</v>
      </c>
    </row>
    <row r="2" spans="1:11" ht="24">
      <c r="A2" s="18" t="s">
        <v>253</v>
      </c>
      <c r="B2" s="49"/>
      <c r="C2" s="49" t="s">
        <v>490</v>
      </c>
      <c r="D2" s="19" t="s">
        <v>254</v>
      </c>
      <c r="E2" s="19" t="s">
        <v>254</v>
      </c>
      <c r="F2" s="19" t="s">
        <v>254</v>
      </c>
      <c r="G2" s="19" t="s">
        <v>254</v>
      </c>
      <c r="H2" s="19" t="s">
        <v>254</v>
      </c>
      <c r="I2" s="19" t="s">
        <v>254</v>
      </c>
      <c r="J2" s="19" t="s">
        <v>254</v>
      </c>
      <c r="K2" s="19" t="s">
        <v>254</v>
      </c>
    </row>
    <row r="3" spans="1:11">
      <c r="B3" s="13"/>
      <c r="C3" s="21"/>
    </row>
    <row r="4" spans="1:11">
      <c r="A4" s="349" t="s">
        <v>961</v>
      </c>
      <c r="B4" s="350"/>
      <c r="C4" s="21" t="s">
        <v>256</v>
      </c>
    </row>
    <row r="5" spans="1:11">
      <c r="A5" s="349" t="s">
        <v>962</v>
      </c>
      <c r="B5" s="350"/>
      <c r="C5" s="21" t="s">
        <v>963</v>
      </c>
    </row>
    <row r="6" spans="1:11" ht="60">
      <c r="A6" s="349" t="s">
        <v>964</v>
      </c>
      <c r="B6" s="350"/>
      <c r="C6" s="1" t="s">
        <v>965</v>
      </c>
      <c r="D6" s="53">
        <v>0</v>
      </c>
      <c r="E6" s="53">
        <v>0</v>
      </c>
      <c r="F6" s="53">
        <v>0</v>
      </c>
      <c r="G6" s="53">
        <v>0</v>
      </c>
      <c r="H6" s="53">
        <v>0</v>
      </c>
      <c r="I6" s="53">
        <v>0</v>
      </c>
      <c r="J6" s="53">
        <v>0</v>
      </c>
      <c r="K6" s="53">
        <v>0</v>
      </c>
    </row>
    <row r="7" spans="1:11">
      <c r="A7" s="349" t="s">
        <v>966</v>
      </c>
      <c r="B7" s="350"/>
      <c r="C7" s="41" t="s">
        <v>967</v>
      </c>
      <c r="E7" s="24"/>
      <c r="F7" s="24"/>
      <c r="G7" s="24"/>
      <c r="H7" s="24"/>
      <c r="I7" s="24"/>
      <c r="J7" s="24"/>
      <c r="K7" s="24"/>
    </row>
    <row r="8" spans="1:11" ht="48">
      <c r="A8" s="349" t="s">
        <v>968</v>
      </c>
      <c r="B8" s="350"/>
      <c r="C8" s="1" t="s">
        <v>969</v>
      </c>
      <c r="D8" s="106" t="s">
        <v>970</v>
      </c>
      <c r="E8" s="106" t="s">
        <v>970</v>
      </c>
      <c r="F8" s="106" t="s">
        <v>970</v>
      </c>
      <c r="G8" s="106" t="s">
        <v>970</v>
      </c>
      <c r="H8" s="106" t="s">
        <v>970</v>
      </c>
      <c r="I8" s="106" t="s">
        <v>970</v>
      </c>
      <c r="J8" s="106" t="s">
        <v>970</v>
      </c>
      <c r="K8" s="106" t="s">
        <v>970</v>
      </c>
    </row>
    <row r="9" spans="1:11" ht="48">
      <c r="A9" s="349" t="s">
        <v>971</v>
      </c>
      <c r="B9" s="350"/>
      <c r="C9" s="1" t="s">
        <v>972</v>
      </c>
      <c r="D9" s="106" t="s">
        <v>973</v>
      </c>
      <c r="E9" s="106" t="s">
        <v>973</v>
      </c>
      <c r="F9" s="106" t="s">
        <v>973</v>
      </c>
      <c r="G9" s="106" t="s">
        <v>973</v>
      </c>
      <c r="H9" s="106" t="s">
        <v>973</v>
      </c>
      <c r="I9" s="106" t="s">
        <v>973</v>
      </c>
      <c r="J9" s="106" t="s">
        <v>973</v>
      </c>
      <c r="K9" s="106" t="s">
        <v>973</v>
      </c>
    </row>
    <row r="10" spans="1:11" ht="36">
      <c r="A10" s="350" t="s">
        <v>974</v>
      </c>
      <c r="B10" s="350"/>
      <c r="C10" s="1" t="s">
        <v>975</v>
      </c>
      <c r="D10" s="106" t="s">
        <v>976</v>
      </c>
      <c r="E10" s="106" t="s">
        <v>976</v>
      </c>
      <c r="F10" s="106" t="s">
        <v>976</v>
      </c>
      <c r="G10" s="106" t="s">
        <v>976</v>
      </c>
      <c r="H10" s="106" t="s">
        <v>976</v>
      </c>
      <c r="I10" s="106" t="s">
        <v>976</v>
      </c>
      <c r="J10" s="106" t="s">
        <v>976</v>
      </c>
      <c r="K10" s="106" t="s">
        <v>976</v>
      </c>
    </row>
    <row r="11" spans="1:11" ht="36">
      <c r="A11" s="17" t="s">
        <v>977</v>
      </c>
      <c r="B11" s="350"/>
      <c r="C11" s="1" t="s">
        <v>978</v>
      </c>
      <c r="D11" s="106" t="s">
        <v>979</v>
      </c>
      <c r="E11" s="106" t="s">
        <v>979</v>
      </c>
      <c r="F11" s="106" t="s">
        <v>979</v>
      </c>
      <c r="G11" s="106" t="s">
        <v>979</v>
      </c>
      <c r="H11" s="106" t="s">
        <v>979</v>
      </c>
      <c r="I11" s="106" t="s">
        <v>979</v>
      </c>
      <c r="J11" s="106" t="s">
        <v>979</v>
      </c>
      <c r="K11" s="106" t="s">
        <v>979</v>
      </c>
    </row>
    <row r="12" spans="1:11" ht="24">
      <c r="A12" s="17" t="s">
        <v>980</v>
      </c>
      <c r="C12" s="1" t="s">
        <v>981</v>
      </c>
      <c r="D12" s="53">
        <v>30</v>
      </c>
      <c r="E12" s="53">
        <v>30</v>
      </c>
      <c r="F12" s="53">
        <v>30</v>
      </c>
      <c r="G12" s="53">
        <v>30</v>
      </c>
      <c r="H12" s="53">
        <v>30</v>
      </c>
      <c r="I12" s="53">
        <v>30</v>
      </c>
      <c r="J12" s="53">
        <v>30</v>
      </c>
      <c r="K12" s="53">
        <v>30</v>
      </c>
    </row>
    <row r="13" spans="1:11" ht="60">
      <c r="A13" s="17" t="s">
        <v>982</v>
      </c>
      <c r="C13" s="1" t="s">
        <v>983</v>
      </c>
      <c r="D13" s="53">
        <v>30</v>
      </c>
      <c r="E13" s="53">
        <v>30</v>
      </c>
      <c r="F13" s="53">
        <v>30</v>
      </c>
      <c r="G13" s="53">
        <v>30</v>
      </c>
      <c r="H13" s="53">
        <v>30</v>
      </c>
      <c r="I13" s="53">
        <v>30</v>
      </c>
      <c r="J13" s="53">
        <v>30</v>
      </c>
      <c r="K13" s="53">
        <v>30</v>
      </c>
    </row>
    <row r="14" spans="1:11" ht="24">
      <c r="A14" s="17" t="s">
        <v>984</v>
      </c>
      <c r="C14" s="17" t="s">
        <v>985</v>
      </c>
      <c r="D14" s="53">
        <v>100</v>
      </c>
      <c r="E14" s="53">
        <v>100</v>
      </c>
      <c r="F14" s="53">
        <v>100</v>
      </c>
      <c r="G14" s="53">
        <v>100</v>
      </c>
      <c r="H14" s="53">
        <v>100</v>
      </c>
      <c r="I14" s="53">
        <v>100</v>
      </c>
      <c r="J14" s="53">
        <v>100</v>
      </c>
      <c r="K14" s="53">
        <v>100</v>
      </c>
    </row>
    <row r="15" spans="1:11" ht="60">
      <c r="A15" s="17" t="s">
        <v>986</v>
      </c>
      <c r="C15" s="1" t="s">
        <v>987</v>
      </c>
      <c r="D15" s="53">
        <v>60</v>
      </c>
      <c r="E15" s="53">
        <v>60</v>
      </c>
      <c r="F15" s="53">
        <v>60</v>
      </c>
      <c r="G15" s="53">
        <v>60</v>
      </c>
      <c r="H15" s="53">
        <v>60</v>
      </c>
      <c r="I15" s="53">
        <v>60</v>
      </c>
      <c r="J15" s="53">
        <v>60</v>
      </c>
      <c r="K15" s="53">
        <v>60</v>
      </c>
    </row>
    <row r="16" spans="1:11" ht="24">
      <c r="A16" s="17" t="s">
        <v>988</v>
      </c>
      <c r="C16" s="17" t="s">
        <v>989</v>
      </c>
      <c r="D16" s="106" t="s">
        <v>990</v>
      </c>
      <c r="E16" s="106" t="s">
        <v>990</v>
      </c>
      <c r="F16" s="106" t="s">
        <v>990</v>
      </c>
      <c r="G16" s="106" t="s">
        <v>990</v>
      </c>
      <c r="H16" s="106" t="s">
        <v>990</v>
      </c>
      <c r="I16" s="106" t="s">
        <v>990</v>
      </c>
      <c r="J16" s="106" t="s">
        <v>990</v>
      </c>
      <c r="K16" s="106" t="s">
        <v>990</v>
      </c>
    </row>
    <row r="17" spans="1:11" ht="24">
      <c r="A17" s="17" t="s">
        <v>991</v>
      </c>
      <c r="C17" s="1" t="s">
        <v>992</v>
      </c>
      <c r="D17" s="106" t="s">
        <v>993</v>
      </c>
      <c r="E17" s="106" t="s">
        <v>993</v>
      </c>
      <c r="F17" s="106" t="s">
        <v>993</v>
      </c>
      <c r="G17" s="106" t="s">
        <v>993</v>
      </c>
      <c r="H17" s="106" t="s">
        <v>993</v>
      </c>
      <c r="I17" s="106" t="s">
        <v>993</v>
      </c>
      <c r="J17" s="106" t="s">
        <v>993</v>
      </c>
      <c r="K17" s="106" t="s">
        <v>993</v>
      </c>
    </row>
    <row r="18" spans="1:11" ht="24">
      <c r="A18" s="17" t="s">
        <v>994</v>
      </c>
      <c r="C18" s="17" t="s">
        <v>995</v>
      </c>
      <c r="D18" s="53">
        <v>50</v>
      </c>
      <c r="E18" s="53">
        <v>50</v>
      </c>
      <c r="F18" s="53">
        <v>50</v>
      </c>
      <c r="G18" s="53">
        <v>50</v>
      </c>
      <c r="H18" s="53">
        <v>50</v>
      </c>
      <c r="I18" s="53">
        <v>50</v>
      </c>
      <c r="J18" s="53">
        <v>50</v>
      </c>
      <c r="K18" s="53">
        <v>50</v>
      </c>
    </row>
    <row r="19" spans="1:11" ht="24">
      <c r="A19" s="17" t="s">
        <v>996</v>
      </c>
      <c r="C19" s="1" t="s">
        <v>997</v>
      </c>
      <c r="D19" s="106" t="s">
        <v>998</v>
      </c>
      <c r="E19" s="106" t="s">
        <v>998</v>
      </c>
      <c r="F19" s="106" t="s">
        <v>998</v>
      </c>
      <c r="G19" s="106" t="s">
        <v>998</v>
      </c>
      <c r="H19" s="106" t="s">
        <v>998</v>
      </c>
      <c r="I19" s="106" t="s">
        <v>998</v>
      </c>
      <c r="J19" s="106" t="s">
        <v>998</v>
      </c>
      <c r="K19" s="106" t="s">
        <v>998</v>
      </c>
    </row>
    <row r="20" spans="1:11" ht="24">
      <c r="A20" s="17" t="s">
        <v>999</v>
      </c>
      <c r="C20" s="1" t="s">
        <v>1000</v>
      </c>
      <c r="D20" s="106" t="s">
        <v>1001</v>
      </c>
      <c r="E20" s="106" t="s">
        <v>1001</v>
      </c>
      <c r="F20" s="106" t="s">
        <v>1001</v>
      </c>
      <c r="G20" s="106" t="s">
        <v>1001</v>
      </c>
      <c r="H20" s="106" t="s">
        <v>1001</v>
      </c>
      <c r="I20" s="106" t="s">
        <v>1001</v>
      </c>
      <c r="J20" s="106" t="s">
        <v>1001</v>
      </c>
      <c r="K20" s="106" t="s">
        <v>1001</v>
      </c>
    </row>
    <row r="21" spans="1:11" ht="36">
      <c r="A21" s="17" t="s">
        <v>1002</v>
      </c>
      <c r="C21" s="1" t="s">
        <v>1003</v>
      </c>
      <c r="D21" s="106" t="s">
        <v>1004</v>
      </c>
      <c r="E21" s="106" t="s">
        <v>1004</v>
      </c>
      <c r="F21" s="106" t="s">
        <v>1004</v>
      </c>
      <c r="G21" s="106" t="s">
        <v>1004</v>
      </c>
      <c r="H21" s="106" t="s">
        <v>1004</v>
      </c>
      <c r="I21" s="106" t="s">
        <v>1004</v>
      </c>
      <c r="J21" s="106" t="s">
        <v>1004</v>
      </c>
      <c r="K21" s="106" t="s">
        <v>1004</v>
      </c>
    </row>
    <row r="22" spans="1:11">
      <c r="A22" s="13" t="s">
        <v>1005</v>
      </c>
      <c r="C22" s="21" t="s">
        <v>1006</v>
      </c>
      <c r="D22" s="107"/>
      <c r="E22" s="107"/>
      <c r="F22" s="107"/>
      <c r="G22" s="107"/>
      <c r="H22" s="107"/>
      <c r="I22" s="107"/>
      <c r="J22" s="107"/>
      <c r="K22" s="107"/>
    </row>
    <row r="23" spans="1:11" ht="24">
      <c r="A23" s="13" t="s">
        <v>1007</v>
      </c>
      <c r="C23" s="17" t="s">
        <v>1008</v>
      </c>
      <c r="D23" s="106" t="s">
        <v>1009</v>
      </c>
      <c r="E23" s="106" t="s">
        <v>1009</v>
      </c>
      <c r="F23" s="106" t="s">
        <v>1009</v>
      </c>
      <c r="G23" s="106" t="s">
        <v>1009</v>
      </c>
      <c r="H23" s="106" t="s">
        <v>1009</v>
      </c>
      <c r="I23" s="106" t="s">
        <v>1009</v>
      </c>
      <c r="J23" s="106" t="s">
        <v>1009</v>
      </c>
      <c r="K23" s="106" t="s">
        <v>1009</v>
      </c>
    </row>
    <row r="24" spans="1:11">
      <c r="A24" s="13" t="s">
        <v>1010</v>
      </c>
      <c r="C24" s="21" t="s">
        <v>1011</v>
      </c>
      <c r="E24" s="24"/>
      <c r="F24" s="24"/>
      <c r="G24" s="24"/>
      <c r="H24" s="24"/>
      <c r="I24" s="24"/>
      <c r="J24" s="24"/>
      <c r="K24" s="24"/>
    </row>
    <row r="25" spans="1:11">
      <c r="A25" s="17" t="s">
        <v>1012</v>
      </c>
      <c r="C25" s="17" t="s">
        <v>1013</v>
      </c>
      <c r="D25" s="53">
        <v>20</v>
      </c>
      <c r="E25" s="53">
        <v>20</v>
      </c>
      <c r="F25" s="53">
        <v>20</v>
      </c>
      <c r="G25" s="53">
        <v>20</v>
      </c>
      <c r="H25" s="53">
        <v>20</v>
      </c>
      <c r="I25" s="53">
        <v>20</v>
      </c>
      <c r="J25" s="53">
        <v>20</v>
      </c>
      <c r="K25" s="53">
        <v>20</v>
      </c>
    </row>
    <row r="26" spans="1:11">
      <c r="A26" s="17" t="s">
        <v>1014</v>
      </c>
      <c r="C26" s="21" t="s">
        <v>1015</v>
      </c>
      <c r="E26" s="24"/>
      <c r="F26" s="24"/>
      <c r="G26" s="24"/>
      <c r="H26" s="24"/>
      <c r="I26" s="24"/>
      <c r="J26" s="24"/>
      <c r="K26" s="24"/>
    </row>
    <row r="27" spans="1:11" ht="36">
      <c r="A27" s="17" t="s">
        <v>1016</v>
      </c>
      <c r="C27" s="1" t="s">
        <v>1017</v>
      </c>
      <c r="D27" s="53">
        <v>15</v>
      </c>
      <c r="E27" s="53">
        <v>15</v>
      </c>
      <c r="F27" s="53">
        <v>15</v>
      </c>
      <c r="G27" s="53">
        <v>15</v>
      </c>
      <c r="H27" s="53">
        <v>15</v>
      </c>
      <c r="I27" s="53">
        <v>15</v>
      </c>
      <c r="J27" s="53">
        <v>15</v>
      </c>
      <c r="K27" s="53">
        <v>15</v>
      </c>
    </row>
    <row r="28" spans="1:11" ht="24">
      <c r="A28" s="17" t="s">
        <v>1018</v>
      </c>
      <c r="C28" s="1" t="s">
        <v>1019</v>
      </c>
      <c r="D28" s="106" t="s">
        <v>1020</v>
      </c>
      <c r="E28" s="106" t="s">
        <v>1020</v>
      </c>
      <c r="F28" s="106" t="s">
        <v>1020</v>
      </c>
      <c r="G28" s="106" t="s">
        <v>1020</v>
      </c>
      <c r="H28" s="106" t="s">
        <v>1020</v>
      </c>
      <c r="I28" s="106" t="s">
        <v>1020</v>
      </c>
      <c r="J28" s="106" t="s">
        <v>1020</v>
      </c>
      <c r="K28" s="106" t="s">
        <v>1020</v>
      </c>
    </row>
    <row r="29" spans="1:11">
      <c r="A29" s="13" t="s">
        <v>1021</v>
      </c>
      <c r="B29" s="13"/>
      <c r="C29" s="21" t="s">
        <v>312</v>
      </c>
      <c r="E29" s="24"/>
      <c r="F29" s="24"/>
      <c r="G29" s="24"/>
      <c r="H29" s="24"/>
      <c r="I29" s="24"/>
      <c r="J29" s="24"/>
      <c r="K29" s="24"/>
    </row>
    <row r="30" spans="1:11" ht="84">
      <c r="A30" s="17" t="s">
        <v>1022</v>
      </c>
      <c r="C30" s="17" t="s">
        <v>1023</v>
      </c>
      <c r="D30" s="53">
        <v>19800</v>
      </c>
      <c r="E30" s="53">
        <v>19800</v>
      </c>
      <c r="F30" s="53">
        <v>19800</v>
      </c>
      <c r="G30" s="53">
        <v>19800</v>
      </c>
      <c r="H30" s="53">
        <v>19800</v>
      </c>
      <c r="I30" s="53">
        <v>19800</v>
      </c>
      <c r="J30" s="53">
        <v>19800</v>
      </c>
      <c r="K30" s="53">
        <v>19800</v>
      </c>
    </row>
    <row r="31" spans="1:11">
      <c r="A31" s="17" t="s">
        <v>1024</v>
      </c>
      <c r="C31" s="21" t="s">
        <v>1025</v>
      </c>
      <c r="E31" s="24"/>
      <c r="F31" s="24"/>
      <c r="G31" s="24"/>
      <c r="H31" s="24"/>
      <c r="I31" s="24"/>
      <c r="J31" s="24"/>
      <c r="K31" s="24"/>
    </row>
    <row r="32" spans="1:11" ht="48">
      <c r="A32" s="17" t="s">
        <v>1026</v>
      </c>
      <c r="C32" s="13" t="s">
        <v>516</v>
      </c>
      <c r="E32" s="24"/>
      <c r="F32" s="24"/>
      <c r="G32" s="24"/>
      <c r="H32" s="24"/>
      <c r="I32" s="24"/>
      <c r="J32" s="24"/>
      <c r="K32" s="24"/>
    </row>
    <row r="33" spans="1:11">
      <c r="A33" s="17" t="s">
        <v>1027</v>
      </c>
      <c r="C33" s="21" t="s">
        <v>320</v>
      </c>
      <c r="E33" s="24"/>
      <c r="F33" s="24"/>
      <c r="G33" s="24"/>
      <c r="H33" s="24"/>
      <c r="I33" s="24"/>
      <c r="J33" s="24"/>
      <c r="K33" s="24"/>
    </row>
    <row r="34" spans="1:11" ht="48">
      <c r="A34" s="17" t="s">
        <v>1028</v>
      </c>
      <c r="C34" s="1" t="s">
        <v>1029</v>
      </c>
      <c r="D34" s="53">
        <v>16</v>
      </c>
      <c r="E34" s="53">
        <v>16</v>
      </c>
      <c r="F34" s="53">
        <v>16</v>
      </c>
      <c r="G34" s="53">
        <v>16</v>
      </c>
      <c r="H34" s="53">
        <v>16</v>
      </c>
      <c r="I34" s="53">
        <v>16</v>
      </c>
      <c r="J34" s="53">
        <v>16</v>
      </c>
      <c r="K34" s="53">
        <v>16</v>
      </c>
    </row>
    <row r="35" spans="1:11" ht="24">
      <c r="A35" s="17" t="s">
        <v>1030</v>
      </c>
      <c r="C35" s="1" t="s">
        <v>1031</v>
      </c>
      <c r="D35" s="53">
        <v>8</v>
      </c>
      <c r="E35" s="53">
        <v>8</v>
      </c>
      <c r="F35" s="53">
        <v>8</v>
      </c>
      <c r="G35" s="53">
        <v>8</v>
      </c>
      <c r="H35" s="53">
        <v>8</v>
      </c>
      <c r="I35" s="53">
        <v>8</v>
      </c>
      <c r="J35" s="53">
        <v>8</v>
      </c>
      <c r="K35" s="53">
        <v>8</v>
      </c>
    </row>
    <row r="36" spans="1:11" ht="60">
      <c r="A36" s="17" t="s">
        <v>1032</v>
      </c>
      <c r="C36" s="1" t="s">
        <v>1033</v>
      </c>
      <c r="D36" s="53">
        <v>8</v>
      </c>
      <c r="E36" s="53">
        <v>8</v>
      </c>
      <c r="F36" s="53">
        <v>8</v>
      </c>
      <c r="G36" s="53">
        <v>8</v>
      </c>
      <c r="H36" s="53">
        <v>8</v>
      </c>
      <c r="I36" s="53">
        <v>8</v>
      </c>
      <c r="J36" s="53">
        <v>8</v>
      </c>
      <c r="K36" s="53">
        <v>8</v>
      </c>
    </row>
    <row r="37" spans="1:11" ht="36">
      <c r="A37" s="17" t="s">
        <v>1034</v>
      </c>
      <c r="C37" s="1" t="s">
        <v>1035</v>
      </c>
      <c r="D37" s="53">
        <v>30</v>
      </c>
      <c r="E37" s="53">
        <v>30</v>
      </c>
      <c r="F37" s="53">
        <v>30</v>
      </c>
      <c r="G37" s="53">
        <v>30</v>
      </c>
      <c r="H37" s="53">
        <v>30</v>
      </c>
      <c r="I37" s="53">
        <v>30</v>
      </c>
      <c r="J37" s="53">
        <v>30</v>
      </c>
      <c r="K37" s="53">
        <v>30</v>
      </c>
    </row>
    <row r="38" spans="1:11" ht="36">
      <c r="A38" s="17" t="s">
        <v>1036</v>
      </c>
      <c r="C38" s="1" t="s">
        <v>1037</v>
      </c>
      <c r="D38" s="53">
        <v>10</v>
      </c>
      <c r="E38" s="53">
        <v>10</v>
      </c>
      <c r="F38" s="53">
        <v>10</v>
      </c>
      <c r="G38" s="53">
        <v>10</v>
      </c>
      <c r="H38" s="53">
        <v>10</v>
      </c>
      <c r="I38" s="53">
        <v>10</v>
      </c>
      <c r="J38" s="53">
        <v>10</v>
      </c>
      <c r="K38" s="53">
        <v>10</v>
      </c>
    </row>
    <row r="39" spans="1:11" s="26" customFormat="1">
      <c r="A39" s="17" t="s">
        <v>1038</v>
      </c>
      <c r="B39" s="17"/>
      <c r="C39" s="21" t="s">
        <v>1039</v>
      </c>
      <c r="D39" s="24"/>
      <c r="E39" s="24"/>
      <c r="F39" s="24"/>
      <c r="G39" s="24"/>
      <c r="H39" s="24"/>
      <c r="I39" s="24"/>
      <c r="J39" s="24"/>
      <c r="K39" s="24"/>
    </row>
    <row r="40" spans="1:11">
      <c r="A40" s="17" t="s">
        <v>1040</v>
      </c>
      <c r="C40" s="21" t="s">
        <v>479</v>
      </c>
      <c r="E40" s="24"/>
      <c r="F40" s="24"/>
      <c r="G40" s="24"/>
      <c r="H40" s="24"/>
      <c r="I40" s="24"/>
      <c r="J40" s="24"/>
      <c r="K40" s="24"/>
    </row>
    <row r="41" spans="1:11" ht="24">
      <c r="A41" s="17" t="s">
        <v>1041</v>
      </c>
      <c r="C41" s="17" t="s">
        <v>1042</v>
      </c>
      <c r="D41" s="106" t="s">
        <v>1009</v>
      </c>
      <c r="E41" s="106" t="s">
        <v>1009</v>
      </c>
      <c r="F41" s="106" t="s">
        <v>1009</v>
      </c>
      <c r="G41" s="106" t="s">
        <v>1009</v>
      </c>
      <c r="H41" s="106" t="s">
        <v>1009</v>
      </c>
      <c r="I41" s="106" t="s">
        <v>1009</v>
      </c>
      <c r="J41" s="106" t="s">
        <v>1009</v>
      </c>
      <c r="K41" s="106" t="s">
        <v>1009</v>
      </c>
    </row>
    <row r="42" spans="1:11" ht="24">
      <c r="A42" s="17" t="s">
        <v>1043</v>
      </c>
      <c r="C42" s="1" t="s">
        <v>1044</v>
      </c>
      <c r="D42" s="106" t="s">
        <v>1045</v>
      </c>
      <c r="E42" s="106" t="s">
        <v>1045</v>
      </c>
      <c r="F42" s="106" t="s">
        <v>1045</v>
      </c>
      <c r="G42" s="106" t="s">
        <v>1045</v>
      </c>
      <c r="H42" s="106" t="s">
        <v>1045</v>
      </c>
      <c r="I42" s="106" t="s">
        <v>1045</v>
      </c>
      <c r="J42" s="106" t="s">
        <v>1045</v>
      </c>
      <c r="K42" s="106" t="s">
        <v>1045</v>
      </c>
    </row>
    <row r="43" spans="1:11">
      <c r="A43" s="17" t="s">
        <v>1046</v>
      </c>
      <c r="C43" s="21" t="s">
        <v>530</v>
      </c>
      <c r="D43" s="107"/>
      <c r="E43" s="107"/>
      <c r="F43" s="107"/>
      <c r="G43" s="107"/>
      <c r="H43" s="107"/>
      <c r="I43" s="107"/>
      <c r="J43" s="107"/>
      <c r="K43" s="107"/>
    </row>
    <row r="44" spans="1:11" ht="36">
      <c r="A44" s="27" t="s">
        <v>1047</v>
      </c>
      <c r="B44" s="27"/>
      <c r="C44" s="27" t="s">
        <v>1048</v>
      </c>
      <c r="D44" s="106" t="s">
        <v>1049</v>
      </c>
      <c r="E44" s="106" t="s">
        <v>1049</v>
      </c>
      <c r="F44" s="106" t="s">
        <v>1049</v>
      </c>
      <c r="G44" s="106" t="s">
        <v>1049</v>
      </c>
      <c r="H44" s="106" t="s">
        <v>1049</v>
      </c>
      <c r="I44" s="106" t="s">
        <v>1049</v>
      </c>
      <c r="J44" s="106" t="s">
        <v>1049</v>
      </c>
      <c r="K44" s="106" t="s">
        <v>1049</v>
      </c>
    </row>
    <row r="45" spans="1:11">
      <c r="A45" s="28"/>
      <c r="B45" s="82"/>
      <c r="C45" s="82"/>
      <c r="D45" s="84">
        <f t="shared" ref="D45:K45" si="0">SUM(D3:D44)</f>
        <v>20177</v>
      </c>
      <c r="E45" s="84">
        <f t="shared" si="0"/>
        <v>20177</v>
      </c>
      <c r="F45" s="84">
        <f t="shared" si="0"/>
        <v>20177</v>
      </c>
      <c r="G45" s="84">
        <f t="shared" si="0"/>
        <v>20177</v>
      </c>
      <c r="H45" s="84">
        <f t="shared" si="0"/>
        <v>20177</v>
      </c>
      <c r="I45" s="84">
        <f t="shared" si="0"/>
        <v>20177</v>
      </c>
      <c r="J45" s="84">
        <f t="shared" si="0"/>
        <v>20177</v>
      </c>
      <c r="K45" s="84">
        <f t="shared" si="0"/>
        <v>20177</v>
      </c>
    </row>
    <row r="46" spans="1:11" s="163" customFormat="1" ht="15">
      <c r="A46" s="162"/>
      <c r="D46" s="545" t="s">
        <v>385</v>
      </c>
      <c r="E46" s="545"/>
      <c r="F46" s="545" t="s">
        <v>385</v>
      </c>
      <c r="G46" s="545"/>
      <c r="H46" s="545"/>
      <c r="I46" s="545"/>
      <c r="J46" s="545"/>
      <c r="K46" s="545"/>
    </row>
    <row r="47" spans="1:11" s="164" customFormat="1" ht="30">
      <c r="A47" s="150"/>
      <c r="D47" s="154" t="s">
        <v>189</v>
      </c>
      <c r="E47" s="158" t="s">
        <v>190</v>
      </c>
      <c r="F47" s="158" t="s">
        <v>191</v>
      </c>
      <c r="G47" s="158" t="s">
        <v>192</v>
      </c>
      <c r="H47" s="158" t="s">
        <v>193</v>
      </c>
      <c r="I47" s="159" t="s">
        <v>194</v>
      </c>
      <c r="J47" s="158" t="s">
        <v>251</v>
      </c>
      <c r="K47" s="165" t="s">
        <v>252</v>
      </c>
    </row>
    <row r="48" spans="1:11" s="164" customFormat="1" ht="15">
      <c r="A48" s="150"/>
      <c r="C48" s="184" t="s">
        <v>386</v>
      </c>
      <c r="D48" s="298">
        <f>SUM(D49:D55)</f>
        <v>270165.42224744137</v>
      </c>
      <c r="E48" s="298">
        <f t="shared" ref="E48:K48" si="1">SUM(E49:E55)</f>
        <v>215745.12659077629</v>
      </c>
      <c r="F48" s="298">
        <f t="shared" si="1"/>
        <v>222706.76031350277</v>
      </c>
      <c r="G48" s="298">
        <f t="shared" si="1"/>
        <v>230450.29188119341</v>
      </c>
      <c r="H48" s="298">
        <f t="shared" si="1"/>
        <v>238463.56375142132</v>
      </c>
      <c r="I48" s="298">
        <f t="shared" si="1"/>
        <v>247948.29827972394</v>
      </c>
      <c r="J48" s="298">
        <f t="shared" si="1"/>
        <v>259050.55454590445</v>
      </c>
      <c r="K48" s="298">
        <f t="shared" si="1"/>
        <v>270650.46606933902</v>
      </c>
    </row>
    <row r="49" spans="1:11" s="164" customFormat="1" ht="15">
      <c r="A49" s="150"/>
      <c r="C49" s="184" t="s">
        <v>387</v>
      </c>
      <c r="D49" s="298">
        <v>269947.01224744139</v>
      </c>
      <c r="E49" s="299">
        <v>261660.7665907763</v>
      </c>
      <c r="F49" s="298">
        <v>270103.99031350279</v>
      </c>
      <c r="G49" s="298">
        <v>279495.51188119344</v>
      </c>
      <c r="H49" s="298">
        <v>289214.18375142134</v>
      </c>
      <c r="I49" s="300">
        <v>300717.48827972391</v>
      </c>
      <c r="J49" s="298">
        <v>314182.55454590445</v>
      </c>
      <c r="K49" s="301">
        <v>328251.196069339</v>
      </c>
    </row>
    <row r="50" spans="1:11" ht="15">
      <c r="C50" s="17" t="s">
        <v>1050</v>
      </c>
      <c r="D50" s="302">
        <v>218.41</v>
      </c>
      <c r="E50" s="302">
        <v>225.46</v>
      </c>
      <c r="F50" s="302">
        <v>232.74</v>
      </c>
      <c r="G50" s="302">
        <v>240.85</v>
      </c>
      <c r="H50" s="302">
        <v>249.23</v>
      </c>
      <c r="I50" s="302">
        <v>259.14999999999998</v>
      </c>
      <c r="J50" s="302">
        <v>270.76</v>
      </c>
      <c r="K50" s="302">
        <v>282.89</v>
      </c>
    </row>
    <row r="51" spans="1:11" ht="15">
      <c r="C51" s="17" t="s">
        <v>388</v>
      </c>
      <c r="D51" s="303">
        <v>0</v>
      </c>
      <c r="E51" s="303">
        <v>-46141.1</v>
      </c>
      <c r="F51" s="303">
        <v>-47629.97</v>
      </c>
      <c r="G51" s="303">
        <v>-49286.07</v>
      </c>
      <c r="H51" s="303">
        <v>-50999.85</v>
      </c>
      <c r="I51" s="303">
        <v>-53028.34</v>
      </c>
      <c r="J51" s="303">
        <v>-55402.76</v>
      </c>
      <c r="K51" s="303">
        <v>-57883.62</v>
      </c>
    </row>
    <row r="52" spans="1:11" ht="15">
      <c r="D52" s="303"/>
      <c r="E52" s="303"/>
      <c r="F52" s="303"/>
      <c r="G52" s="303"/>
      <c r="H52" s="303"/>
      <c r="I52" s="303"/>
      <c r="J52" s="303"/>
      <c r="K52" s="303"/>
    </row>
    <row r="53" spans="1:11" ht="15">
      <c r="D53" s="303"/>
      <c r="E53" s="303"/>
      <c r="F53" s="303"/>
      <c r="G53" s="303"/>
      <c r="H53" s="303"/>
      <c r="I53" s="303"/>
      <c r="J53" s="303"/>
      <c r="K53" s="303"/>
    </row>
    <row r="54" spans="1:11" ht="15">
      <c r="D54" s="303"/>
      <c r="E54" s="303"/>
      <c r="F54" s="303"/>
      <c r="G54" s="303"/>
      <c r="H54" s="303"/>
      <c r="I54" s="303"/>
      <c r="J54" s="303"/>
      <c r="K54" s="303"/>
    </row>
    <row r="55" spans="1:11" ht="15">
      <c r="D55" s="303"/>
      <c r="E55" s="303"/>
      <c r="F55" s="303"/>
      <c r="G55" s="303"/>
      <c r="H55" s="303"/>
      <c r="I55" s="303"/>
      <c r="J55" s="303"/>
      <c r="K55" s="303"/>
    </row>
  </sheetData>
  <mergeCells count="2">
    <mergeCell ref="D46:E46"/>
    <mergeCell ref="F46:K46"/>
  </mergeCells>
  <phoneticPr fontId="0" type="noConversion"/>
  <printOptions horizontalCentered="1"/>
  <pageMargins left="0.25" right="0.25" top="1" bottom="1" header="0.5" footer="0.5"/>
  <pageSetup paperSize="9" fitToWidth="2" fitToHeight="2" orientation="landscape" r:id="rId1"/>
  <headerFooter alignWithMargins="0">
    <oddHeader>&amp;C&amp;"Calibri"&amp;10&amp;K737373Serco Business&amp;1#_x000D_&amp;"Calibri"&amp;11&amp;K000000&amp;"Calibri"&amp;11&amp;K000000&amp;"Arial,Bold"RESTRICTED - CONTRACTS</oddHeader>
    <oddFooter>&amp;L&amp;8PTC/CB/00642&amp;C&amp;8 2-(11)-&amp;P
&amp;"Arial,Bold"&amp;10RESTRICTED - CONTRACTS&amp;R&amp;8Pricing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BE138"/>
  <sheetViews>
    <sheetView topLeftCell="A97" zoomScale="75" workbookViewId="0">
      <selection activeCell="C98" sqref="C98"/>
    </sheetView>
  </sheetViews>
  <sheetFormatPr defaultColWidth="9.140625" defaultRowHeight="12" outlineLevelCol="1"/>
  <cols>
    <col min="1" max="1" width="9.28515625" style="13" customWidth="1"/>
    <col min="2" max="2" width="1.7109375" style="54" customWidth="1"/>
    <col min="3" max="3" width="20.7109375" style="54" customWidth="1"/>
    <col min="4" max="4" width="13.85546875" style="85" hidden="1" customWidth="1" outlineLevel="1"/>
    <col min="5" max="6" width="12.7109375" style="86" hidden="1" customWidth="1" outlineLevel="1"/>
    <col min="7" max="7" width="14" style="86" hidden="1" customWidth="1" outlineLevel="1"/>
    <col min="8" max="8" width="14" style="85" customWidth="1" collapsed="1"/>
    <col min="9" max="9" width="13.85546875" style="101" hidden="1" customWidth="1" outlineLevel="1" collapsed="1"/>
    <col min="10" max="11" width="12.7109375" style="86" hidden="1" customWidth="1" outlineLevel="1"/>
    <col min="12" max="12" width="14.7109375" style="86" hidden="1" customWidth="1" outlineLevel="1"/>
    <col min="13" max="13" width="14.7109375" style="54" customWidth="1" collapsed="1"/>
    <col min="14" max="14" width="13.85546875" style="101" hidden="1" customWidth="1" outlineLevel="1" collapsed="1"/>
    <col min="15" max="16" width="12.7109375" style="86" hidden="1" customWidth="1" outlineLevel="1"/>
    <col min="17" max="17" width="14.7109375" style="86" hidden="1" customWidth="1" outlineLevel="1"/>
    <col min="18" max="18" width="14.7109375" style="54" customWidth="1" collapsed="1"/>
    <col min="19" max="19" width="13.85546875" style="54" hidden="1" customWidth="1" outlineLevel="1" collapsed="1"/>
    <col min="20" max="21" width="12.7109375" style="54" hidden="1" customWidth="1" outlineLevel="1"/>
    <col min="22" max="22" width="14.7109375" style="54" hidden="1" customWidth="1" outlineLevel="1"/>
    <col min="23" max="23" width="15.28515625" style="54" customWidth="1" collapsed="1"/>
    <col min="24" max="24" width="13.85546875" style="54" hidden="1" customWidth="1" outlineLevel="1" collapsed="1"/>
    <col min="25" max="26" width="12.7109375" style="54" hidden="1" customWidth="1" outlineLevel="1"/>
    <col min="27" max="27" width="14.7109375" style="54" hidden="1" customWidth="1" outlineLevel="1"/>
    <col min="28" max="28" width="15.140625" style="54" customWidth="1" collapsed="1"/>
    <col min="29" max="29" width="13.85546875" style="54" hidden="1" customWidth="1" outlineLevel="1" collapsed="1"/>
    <col min="30" max="31" width="12.7109375" style="54" hidden="1" customWidth="1" outlineLevel="1"/>
    <col min="32" max="32" width="14.7109375" style="54" hidden="1" customWidth="1" outlineLevel="1"/>
    <col min="33" max="33" width="14.85546875" style="54" customWidth="1" collapsed="1"/>
    <col min="34" max="34" width="13.85546875" style="54" hidden="1" customWidth="1" outlineLevel="1" collapsed="1"/>
    <col min="35" max="36" width="12.7109375" style="54" hidden="1" customWidth="1" outlineLevel="1"/>
    <col min="37" max="37" width="14.7109375" style="54" hidden="1" customWidth="1" outlineLevel="1"/>
    <col min="38" max="38" width="15.28515625" style="54" customWidth="1" collapsed="1"/>
    <col min="39" max="39" width="13.85546875" style="54" hidden="1" customWidth="1" outlineLevel="1" collapsed="1"/>
    <col min="40" max="41" width="12.7109375" style="54" hidden="1" customWidth="1" outlineLevel="1"/>
    <col min="42" max="42" width="14.7109375" style="54" hidden="1" customWidth="1" outlineLevel="1"/>
    <col min="43" max="43" width="15.42578125" style="54" customWidth="1" collapsed="1"/>
    <col min="44" max="44" width="10.85546875" style="54" bestFit="1" customWidth="1" collapsed="1"/>
    <col min="45" max="57" width="9.140625" style="54" collapsed="1"/>
    <col min="58" max="16384" width="9.140625" style="54"/>
  </cols>
  <sheetData>
    <row r="1" spans="1:43" ht="24">
      <c r="C1" s="21" t="s">
        <v>1051</v>
      </c>
      <c r="D1" s="340" t="s">
        <v>189</v>
      </c>
      <c r="E1" s="340"/>
      <c r="F1" s="340"/>
      <c r="G1" s="340"/>
      <c r="H1" s="340"/>
      <c r="I1" s="340" t="s">
        <v>1052</v>
      </c>
      <c r="J1" s="340"/>
      <c r="K1" s="340"/>
      <c r="L1" s="340"/>
      <c r="M1" s="340"/>
      <c r="N1" s="340" t="s">
        <v>1053</v>
      </c>
      <c r="O1" s="340"/>
      <c r="P1" s="340"/>
      <c r="Q1" s="340"/>
      <c r="R1" s="340"/>
      <c r="S1" s="340" t="s">
        <v>432</v>
      </c>
      <c r="T1" s="340"/>
      <c r="U1" s="340"/>
      <c r="V1" s="340"/>
      <c r="W1" s="340"/>
      <c r="X1" s="340" t="s">
        <v>433</v>
      </c>
      <c r="Y1" s="340"/>
      <c r="Z1" s="340"/>
      <c r="AA1" s="340"/>
      <c r="AB1" s="340"/>
      <c r="AC1" s="340" t="s">
        <v>194</v>
      </c>
      <c r="AD1" s="340"/>
      <c r="AE1" s="340"/>
      <c r="AF1" s="340"/>
      <c r="AG1" s="340"/>
      <c r="AH1" s="340" t="s">
        <v>251</v>
      </c>
      <c r="AI1" s="340"/>
      <c r="AJ1" s="340"/>
      <c r="AK1" s="340"/>
      <c r="AL1" s="340"/>
      <c r="AM1" s="340" t="s">
        <v>252</v>
      </c>
      <c r="AN1" s="340"/>
      <c r="AO1" s="340"/>
      <c r="AP1" s="340"/>
      <c r="AQ1" s="340"/>
    </row>
    <row r="2" spans="1:43" ht="24">
      <c r="A2" s="18" t="s">
        <v>253</v>
      </c>
      <c r="B2" s="49"/>
      <c r="C2" s="49" t="s">
        <v>490</v>
      </c>
      <c r="D2" s="19" t="s">
        <v>434</v>
      </c>
      <c r="E2" s="19" t="s">
        <v>435</v>
      </c>
      <c r="F2" s="19" t="s">
        <v>436</v>
      </c>
      <c r="G2" s="19" t="s">
        <v>437</v>
      </c>
      <c r="H2" s="19" t="s">
        <v>254</v>
      </c>
      <c r="I2" s="19" t="s">
        <v>434</v>
      </c>
      <c r="J2" s="19" t="s">
        <v>435</v>
      </c>
      <c r="K2" s="19" t="s">
        <v>436</v>
      </c>
      <c r="L2" s="19" t="s">
        <v>437</v>
      </c>
      <c r="M2" s="19" t="s">
        <v>254</v>
      </c>
      <c r="N2" s="19" t="s">
        <v>434</v>
      </c>
      <c r="O2" s="19" t="s">
        <v>435</v>
      </c>
      <c r="P2" s="19" t="s">
        <v>436</v>
      </c>
      <c r="Q2" s="19" t="s">
        <v>437</v>
      </c>
      <c r="R2" s="19" t="s">
        <v>254</v>
      </c>
      <c r="S2" s="19" t="s">
        <v>434</v>
      </c>
      <c r="T2" s="19" t="s">
        <v>435</v>
      </c>
      <c r="U2" s="19" t="s">
        <v>436</v>
      </c>
      <c r="V2" s="19" t="s">
        <v>437</v>
      </c>
      <c r="W2" s="19" t="s">
        <v>254</v>
      </c>
      <c r="X2" s="19" t="s">
        <v>434</v>
      </c>
      <c r="Y2" s="19" t="s">
        <v>435</v>
      </c>
      <c r="Z2" s="19" t="s">
        <v>436</v>
      </c>
      <c r="AA2" s="19" t="s">
        <v>437</v>
      </c>
      <c r="AB2" s="19" t="s">
        <v>254</v>
      </c>
      <c r="AC2" s="19" t="s">
        <v>434</v>
      </c>
      <c r="AD2" s="19" t="s">
        <v>435</v>
      </c>
      <c r="AE2" s="19" t="s">
        <v>436</v>
      </c>
      <c r="AF2" s="19" t="s">
        <v>437</v>
      </c>
      <c r="AG2" s="19" t="s">
        <v>254</v>
      </c>
      <c r="AH2" s="19" t="s">
        <v>434</v>
      </c>
      <c r="AI2" s="19" t="s">
        <v>435</v>
      </c>
      <c r="AJ2" s="19" t="s">
        <v>436</v>
      </c>
      <c r="AK2" s="19" t="s">
        <v>437</v>
      </c>
      <c r="AL2" s="19" t="s">
        <v>254</v>
      </c>
      <c r="AM2" s="19" t="s">
        <v>434</v>
      </c>
      <c r="AN2" s="19" t="s">
        <v>435</v>
      </c>
      <c r="AO2" s="19" t="s">
        <v>436</v>
      </c>
      <c r="AP2" s="19" t="s">
        <v>437</v>
      </c>
      <c r="AQ2" s="19" t="s">
        <v>254</v>
      </c>
    </row>
    <row r="3" spans="1:43">
      <c r="B3" s="13"/>
      <c r="C3" s="21"/>
      <c r="I3" s="54"/>
      <c r="J3" s="87"/>
      <c r="K3" s="87"/>
      <c r="L3" s="87"/>
      <c r="N3" s="54"/>
      <c r="O3" s="87"/>
      <c r="P3" s="87"/>
      <c r="Q3" s="87"/>
      <c r="T3" s="87"/>
      <c r="U3" s="87"/>
      <c r="V3" s="87"/>
      <c r="Y3" s="87"/>
      <c r="Z3" s="87"/>
      <c r="AA3" s="87"/>
      <c r="AD3" s="87"/>
      <c r="AE3" s="87"/>
      <c r="AF3" s="87"/>
      <c r="AI3" s="87"/>
      <c r="AJ3" s="87"/>
      <c r="AK3" s="87"/>
      <c r="AN3" s="87"/>
      <c r="AO3" s="87"/>
      <c r="AP3" s="87"/>
    </row>
    <row r="4" spans="1:43">
      <c r="A4" s="108" t="s">
        <v>1054</v>
      </c>
      <c r="B4" s="110"/>
      <c r="C4" s="114" t="s">
        <v>256</v>
      </c>
      <c r="I4" s="54"/>
      <c r="J4" s="87"/>
      <c r="K4" s="87"/>
      <c r="L4" s="87"/>
      <c r="N4" s="54"/>
      <c r="O4" s="87"/>
      <c r="P4" s="87"/>
      <c r="Q4" s="87"/>
      <c r="T4" s="87"/>
      <c r="U4" s="87"/>
      <c r="V4" s="87"/>
      <c r="Y4" s="87"/>
      <c r="Z4" s="87"/>
      <c r="AA4" s="87"/>
      <c r="AD4" s="87"/>
      <c r="AE4" s="87"/>
      <c r="AF4" s="87"/>
      <c r="AI4" s="87"/>
      <c r="AJ4" s="87"/>
      <c r="AK4" s="87"/>
      <c r="AN4" s="87"/>
      <c r="AO4" s="87"/>
      <c r="AP4" s="87"/>
    </row>
    <row r="5" spans="1:43">
      <c r="A5" s="108" t="s">
        <v>1055</v>
      </c>
      <c r="B5" s="108"/>
      <c r="C5" s="109" t="s">
        <v>1056</v>
      </c>
      <c r="I5" s="54"/>
      <c r="J5" s="87"/>
      <c r="K5" s="87"/>
      <c r="L5" s="87"/>
      <c r="N5" s="54"/>
      <c r="O5" s="87"/>
      <c r="P5" s="87"/>
      <c r="Q5" s="87"/>
      <c r="T5" s="87"/>
      <c r="U5" s="87"/>
      <c r="V5" s="87"/>
      <c r="Y5" s="87"/>
      <c r="Z5" s="87"/>
      <c r="AA5" s="87"/>
      <c r="AD5" s="87"/>
      <c r="AE5" s="87"/>
      <c r="AF5" s="87"/>
      <c r="AI5" s="87"/>
      <c r="AJ5" s="87"/>
      <c r="AK5" s="87"/>
      <c r="AN5" s="87"/>
      <c r="AO5" s="87"/>
      <c r="AP5" s="87"/>
    </row>
    <row r="6" spans="1:43" ht="108">
      <c r="A6" s="110" t="s">
        <v>1057</v>
      </c>
      <c r="B6" s="108"/>
      <c r="C6" s="108" t="s">
        <v>1058</v>
      </c>
      <c r="H6" s="90">
        <v>6840</v>
      </c>
      <c r="I6" s="85"/>
      <c r="M6" s="90">
        <v>6840</v>
      </c>
      <c r="N6" s="85"/>
      <c r="R6" s="90">
        <v>6840</v>
      </c>
      <c r="S6" s="85"/>
      <c r="T6" s="86"/>
      <c r="U6" s="86"/>
      <c r="V6" s="86"/>
      <c r="W6" s="90">
        <v>6840</v>
      </c>
      <c r="X6" s="85"/>
      <c r="Y6" s="86"/>
      <c r="Z6" s="86"/>
      <c r="AA6" s="86"/>
      <c r="AB6" s="90">
        <v>6840</v>
      </c>
      <c r="AC6" s="85"/>
      <c r="AD6" s="86"/>
      <c r="AE6" s="86"/>
      <c r="AF6" s="86"/>
      <c r="AG6" s="90">
        <v>6840</v>
      </c>
      <c r="AH6" s="85"/>
      <c r="AI6" s="86"/>
      <c r="AJ6" s="86"/>
      <c r="AK6" s="86"/>
      <c r="AL6" s="90">
        <v>6840</v>
      </c>
      <c r="AM6" s="85"/>
      <c r="AN6" s="86"/>
      <c r="AO6" s="86"/>
      <c r="AP6" s="86"/>
      <c r="AQ6" s="90">
        <v>6840</v>
      </c>
    </row>
    <row r="7" spans="1:43" ht="24">
      <c r="A7" s="110"/>
      <c r="B7" s="108"/>
      <c r="C7" s="108" t="s">
        <v>302</v>
      </c>
      <c r="H7" s="90"/>
      <c r="I7" s="85"/>
      <c r="M7" s="90"/>
      <c r="N7" s="85"/>
      <c r="R7" s="90"/>
      <c r="S7" s="85"/>
      <c r="T7" s="86"/>
      <c r="U7" s="86"/>
      <c r="V7" s="86"/>
      <c r="W7" s="90"/>
      <c r="X7" s="85"/>
      <c r="Y7" s="86"/>
      <c r="Z7" s="86"/>
      <c r="AA7" s="86"/>
      <c r="AB7" s="90"/>
      <c r="AC7" s="85"/>
      <c r="AD7" s="86"/>
      <c r="AE7" s="86"/>
      <c r="AF7" s="86"/>
      <c r="AG7" s="90"/>
      <c r="AH7" s="85"/>
      <c r="AI7" s="86"/>
      <c r="AJ7" s="86"/>
      <c r="AK7" s="86"/>
      <c r="AL7" s="90"/>
      <c r="AM7" s="85"/>
      <c r="AN7" s="86"/>
      <c r="AO7" s="86"/>
      <c r="AP7" s="86"/>
      <c r="AQ7" s="90"/>
    </row>
    <row r="8" spans="1:43" ht="24">
      <c r="A8" s="110"/>
      <c r="B8" s="108"/>
      <c r="C8" s="108" t="s">
        <v>302</v>
      </c>
      <c r="H8" s="90"/>
      <c r="I8" s="85"/>
      <c r="M8" s="90"/>
      <c r="N8" s="85"/>
      <c r="R8" s="90"/>
      <c r="S8" s="85"/>
      <c r="T8" s="86"/>
      <c r="U8" s="86"/>
      <c r="V8" s="86"/>
      <c r="W8" s="90"/>
      <c r="X8" s="85"/>
      <c r="Y8" s="86"/>
      <c r="Z8" s="86"/>
      <c r="AA8" s="86"/>
      <c r="AB8" s="90"/>
      <c r="AC8" s="85"/>
      <c r="AD8" s="86"/>
      <c r="AE8" s="86"/>
      <c r="AF8" s="86"/>
      <c r="AG8" s="90"/>
      <c r="AH8" s="85"/>
      <c r="AI8" s="86"/>
      <c r="AJ8" s="86"/>
      <c r="AK8" s="86"/>
      <c r="AL8" s="90"/>
      <c r="AM8" s="85"/>
      <c r="AN8" s="86"/>
      <c r="AO8" s="86"/>
      <c r="AP8" s="86"/>
      <c r="AQ8" s="90"/>
    </row>
    <row r="9" spans="1:43" ht="24">
      <c r="A9" s="110"/>
      <c r="B9" s="108"/>
      <c r="C9" s="108" t="s">
        <v>302</v>
      </c>
      <c r="H9" s="90"/>
      <c r="I9" s="85"/>
      <c r="M9" s="90"/>
      <c r="N9" s="85"/>
      <c r="R9" s="90"/>
      <c r="S9" s="85"/>
      <c r="T9" s="86"/>
      <c r="U9" s="86"/>
      <c r="V9" s="86"/>
      <c r="W9" s="90"/>
      <c r="X9" s="85"/>
      <c r="Y9" s="86"/>
      <c r="Z9" s="86"/>
      <c r="AA9" s="86"/>
      <c r="AB9" s="90"/>
      <c r="AC9" s="85"/>
      <c r="AD9" s="86"/>
      <c r="AE9" s="86"/>
      <c r="AF9" s="86"/>
      <c r="AG9" s="90"/>
      <c r="AH9" s="85"/>
      <c r="AI9" s="86"/>
      <c r="AJ9" s="86"/>
      <c r="AK9" s="86"/>
      <c r="AL9" s="90"/>
      <c r="AM9" s="85"/>
      <c r="AN9" s="86"/>
      <c r="AO9" s="86"/>
      <c r="AP9" s="86"/>
      <c r="AQ9" s="90"/>
    </row>
    <row r="10" spans="1:43" ht="24">
      <c r="A10" s="110"/>
      <c r="B10" s="108"/>
      <c r="C10" s="108" t="s">
        <v>302</v>
      </c>
      <c r="H10" s="90"/>
      <c r="I10" s="85"/>
      <c r="M10" s="90"/>
      <c r="N10" s="85"/>
      <c r="R10" s="90"/>
      <c r="S10" s="85"/>
      <c r="T10" s="86"/>
      <c r="U10" s="86"/>
      <c r="V10" s="86"/>
      <c r="W10" s="90"/>
      <c r="X10" s="85"/>
      <c r="Y10" s="86"/>
      <c r="Z10" s="86"/>
      <c r="AA10" s="86"/>
      <c r="AB10" s="90"/>
      <c r="AC10" s="85"/>
      <c r="AD10" s="86"/>
      <c r="AE10" s="86"/>
      <c r="AF10" s="86"/>
      <c r="AG10" s="90"/>
      <c r="AH10" s="85"/>
      <c r="AI10" s="86"/>
      <c r="AJ10" s="86"/>
      <c r="AK10" s="86"/>
      <c r="AL10" s="90"/>
      <c r="AM10" s="85"/>
      <c r="AN10" s="86"/>
      <c r="AO10" s="86"/>
      <c r="AP10" s="86"/>
      <c r="AQ10" s="90"/>
    </row>
    <row r="11" spans="1:43" ht="24">
      <c r="A11" s="110"/>
      <c r="B11" s="108"/>
      <c r="C11" s="108" t="s">
        <v>302</v>
      </c>
      <c r="H11" s="90"/>
      <c r="I11" s="85"/>
      <c r="M11" s="90"/>
      <c r="N11" s="85"/>
      <c r="R11" s="90"/>
      <c r="S11" s="85"/>
      <c r="T11" s="86"/>
      <c r="U11" s="86"/>
      <c r="V11" s="86"/>
      <c r="W11" s="90"/>
      <c r="X11" s="85"/>
      <c r="Y11" s="86"/>
      <c r="Z11" s="86"/>
      <c r="AA11" s="86"/>
      <c r="AB11" s="90"/>
      <c r="AC11" s="85"/>
      <c r="AD11" s="86"/>
      <c r="AE11" s="86"/>
      <c r="AF11" s="86"/>
      <c r="AG11" s="90"/>
      <c r="AH11" s="85"/>
      <c r="AI11" s="86"/>
      <c r="AJ11" s="86"/>
      <c r="AK11" s="86"/>
      <c r="AL11" s="90"/>
      <c r="AM11" s="85"/>
      <c r="AN11" s="86"/>
      <c r="AO11" s="86"/>
      <c r="AP11" s="86"/>
      <c r="AQ11" s="90"/>
    </row>
    <row r="12" spans="1:43" ht="48">
      <c r="A12" s="108" t="s">
        <v>1059</v>
      </c>
      <c r="B12" s="108"/>
      <c r="C12" s="108" t="s">
        <v>1060</v>
      </c>
      <c r="H12" s="90">
        <v>191</v>
      </c>
      <c r="I12" s="85"/>
      <c r="M12" s="90">
        <v>191</v>
      </c>
      <c r="N12" s="85"/>
      <c r="R12" s="90">
        <v>191</v>
      </c>
      <c r="S12" s="85"/>
      <c r="T12" s="86"/>
      <c r="U12" s="86"/>
      <c r="V12" s="86"/>
      <c r="W12" s="90">
        <v>191</v>
      </c>
      <c r="X12" s="85"/>
      <c r="Y12" s="86"/>
      <c r="Z12" s="86"/>
      <c r="AA12" s="86"/>
      <c r="AB12" s="90">
        <v>191</v>
      </c>
      <c r="AC12" s="85"/>
      <c r="AD12" s="86"/>
      <c r="AE12" s="86"/>
      <c r="AF12" s="86"/>
      <c r="AG12" s="90">
        <v>191</v>
      </c>
      <c r="AH12" s="85"/>
      <c r="AI12" s="86"/>
      <c r="AJ12" s="86"/>
      <c r="AK12" s="86"/>
      <c r="AL12" s="90">
        <v>191</v>
      </c>
      <c r="AM12" s="85"/>
      <c r="AN12" s="86"/>
      <c r="AO12" s="86"/>
      <c r="AP12" s="86"/>
      <c r="AQ12" s="90">
        <v>191</v>
      </c>
    </row>
    <row r="13" spans="1:43">
      <c r="A13" s="108" t="s">
        <v>1061</v>
      </c>
      <c r="B13" s="108"/>
      <c r="C13" s="109" t="s">
        <v>1062</v>
      </c>
      <c r="I13" s="85"/>
      <c r="M13" s="85"/>
      <c r="N13" s="85"/>
      <c r="R13" s="85"/>
      <c r="S13" s="85"/>
      <c r="T13" s="86"/>
      <c r="U13" s="86"/>
      <c r="V13" s="86"/>
      <c r="W13" s="85"/>
      <c r="X13" s="85"/>
      <c r="Y13" s="86"/>
      <c r="Z13" s="86"/>
      <c r="AA13" s="86"/>
      <c r="AB13" s="85"/>
      <c r="AC13" s="85"/>
      <c r="AD13" s="86"/>
      <c r="AE13" s="86"/>
      <c r="AF13" s="86"/>
      <c r="AG13" s="85"/>
      <c r="AH13" s="85"/>
      <c r="AI13" s="86"/>
      <c r="AJ13" s="86"/>
      <c r="AK13" s="86"/>
      <c r="AL13" s="85"/>
      <c r="AM13" s="85"/>
      <c r="AN13" s="86"/>
      <c r="AO13" s="86"/>
      <c r="AP13" s="86"/>
      <c r="AQ13" s="85"/>
    </row>
    <row r="14" spans="1:43" ht="60">
      <c r="A14" s="108" t="s">
        <v>1063</v>
      </c>
      <c r="B14" s="108"/>
      <c r="C14" s="108" t="s">
        <v>1064</v>
      </c>
      <c r="D14" s="90">
        <v>750</v>
      </c>
      <c r="E14" s="91">
        <v>45.427128284989408</v>
      </c>
      <c r="F14" s="91">
        <f>SUM(D14)*E14</f>
        <v>34070.346213742057</v>
      </c>
      <c r="H14" s="90">
        <v>3531</v>
      </c>
      <c r="I14" s="90">
        <v>750</v>
      </c>
      <c r="J14" s="91">
        <v>46.869333034463267</v>
      </c>
      <c r="K14" s="91">
        <f>SUM(I14)*J14</f>
        <v>35151.999775847449</v>
      </c>
      <c r="M14" s="90">
        <v>3531</v>
      </c>
      <c r="N14" s="90">
        <v>750</v>
      </c>
      <c r="O14" s="91">
        <v>48.357640457599793</v>
      </c>
      <c r="P14" s="91">
        <f>SUM(N14)*O14</f>
        <v>36268.230343199844</v>
      </c>
      <c r="R14" s="90">
        <v>3531</v>
      </c>
      <c r="S14" s="90">
        <v>750</v>
      </c>
      <c r="T14" s="91">
        <v>50.014425690371361</v>
      </c>
      <c r="U14" s="91">
        <f>SUM(S14)*T14</f>
        <v>37510.819267778519</v>
      </c>
      <c r="V14" s="86"/>
      <c r="W14" s="90">
        <v>3531</v>
      </c>
      <c r="X14" s="90">
        <v>750</v>
      </c>
      <c r="Y14" s="91">
        <v>51.72830510170882</v>
      </c>
      <c r="Z14" s="91">
        <f>SUM(X14)*Y14</f>
        <v>38796.228826281615</v>
      </c>
      <c r="AA14" s="86"/>
      <c r="AB14" s="90">
        <v>3531</v>
      </c>
      <c r="AC14" s="90">
        <v>750</v>
      </c>
      <c r="AD14" s="91">
        <v>53.759896180756009</v>
      </c>
      <c r="AE14" s="91">
        <f>SUM(AC14)*AD14</f>
        <v>40319.922135567009</v>
      </c>
      <c r="AF14" s="86"/>
      <c r="AG14" s="90">
        <v>3531</v>
      </c>
      <c r="AH14" s="90">
        <v>750</v>
      </c>
      <c r="AI14" s="91">
        <v>56.140424150118236</v>
      </c>
      <c r="AJ14" s="91">
        <f>SUM(AH14)*AI14</f>
        <v>42105.318112588677</v>
      </c>
      <c r="AK14" s="86"/>
      <c r="AL14" s="90">
        <v>3531</v>
      </c>
      <c r="AM14" s="90">
        <v>750</v>
      </c>
      <c r="AN14" s="91">
        <v>58.626722520544746</v>
      </c>
      <c r="AO14" s="91">
        <f>SUM(AM14)*AN14</f>
        <v>43970.04189040856</v>
      </c>
      <c r="AP14" s="86"/>
      <c r="AQ14" s="90">
        <v>3531</v>
      </c>
    </row>
    <row r="15" spans="1:43" ht="24">
      <c r="A15" s="108"/>
      <c r="B15" s="108"/>
      <c r="C15" s="108" t="s">
        <v>302</v>
      </c>
      <c r="D15" s="257"/>
      <c r="E15" s="258"/>
      <c r="F15" s="258"/>
      <c r="H15" s="90"/>
      <c r="I15" s="257"/>
      <c r="J15" s="258"/>
      <c r="K15" s="258"/>
      <c r="M15" s="90"/>
      <c r="N15" s="257"/>
      <c r="O15" s="258"/>
      <c r="P15" s="258"/>
      <c r="R15" s="90"/>
      <c r="S15" s="257"/>
      <c r="T15" s="258"/>
      <c r="U15" s="258"/>
      <c r="V15" s="86"/>
      <c r="W15" s="90"/>
      <c r="X15" s="257"/>
      <c r="Y15" s="258"/>
      <c r="Z15" s="258"/>
      <c r="AA15" s="86"/>
      <c r="AB15" s="90"/>
      <c r="AC15" s="257"/>
      <c r="AD15" s="258"/>
      <c r="AE15" s="258"/>
      <c r="AF15" s="86"/>
      <c r="AG15" s="90"/>
      <c r="AH15" s="257"/>
      <c r="AI15" s="258"/>
      <c r="AJ15" s="258"/>
      <c r="AK15" s="86"/>
      <c r="AL15" s="90"/>
      <c r="AM15" s="257"/>
      <c r="AN15" s="258"/>
      <c r="AO15" s="258"/>
      <c r="AP15" s="86"/>
      <c r="AQ15" s="90"/>
    </row>
    <row r="16" spans="1:43" ht="36">
      <c r="A16" s="108" t="s">
        <v>1065</v>
      </c>
      <c r="B16" s="108"/>
      <c r="C16" s="108" t="s">
        <v>1066</v>
      </c>
      <c r="H16" s="90">
        <v>46</v>
      </c>
      <c r="I16" s="85"/>
      <c r="M16" s="90">
        <v>46</v>
      </c>
      <c r="N16" s="85"/>
      <c r="R16" s="90">
        <v>46</v>
      </c>
      <c r="S16" s="85"/>
      <c r="T16" s="86"/>
      <c r="U16" s="86"/>
      <c r="V16" s="86"/>
      <c r="W16" s="90">
        <v>46</v>
      </c>
      <c r="X16" s="85"/>
      <c r="Y16" s="86"/>
      <c r="Z16" s="86"/>
      <c r="AA16" s="86"/>
      <c r="AB16" s="90">
        <v>46</v>
      </c>
      <c r="AC16" s="85"/>
      <c r="AD16" s="86"/>
      <c r="AE16" s="86"/>
      <c r="AF16" s="86"/>
      <c r="AG16" s="90">
        <v>46</v>
      </c>
      <c r="AH16" s="85"/>
      <c r="AI16" s="86"/>
      <c r="AJ16" s="86"/>
      <c r="AK16" s="86"/>
      <c r="AL16" s="90">
        <v>46</v>
      </c>
      <c r="AM16" s="85"/>
      <c r="AN16" s="86"/>
      <c r="AO16" s="86"/>
      <c r="AP16" s="86"/>
      <c r="AQ16" s="90">
        <v>46</v>
      </c>
    </row>
    <row r="17" spans="1:43" ht="96">
      <c r="A17" s="108" t="s">
        <v>1067</v>
      </c>
      <c r="B17" s="108"/>
      <c r="C17" s="108" t="s">
        <v>1068</v>
      </c>
      <c r="H17" s="90">
        <v>9400</v>
      </c>
      <c r="I17" s="85"/>
      <c r="M17" s="90">
        <v>9400</v>
      </c>
      <c r="N17" s="85"/>
      <c r="R17" s="90">
        <v>9400</v>
      </c>
      <c r="S17" s="85"/>
      <c r="T17" s="86"/>
      <c r="U17" s="86"/>
      <c r="V17" s="86"/>
      <c r="W17" s="90">
        <v>9400</v>
      </c>
      <c r="X17" s="85"/>
      <c r="Y17" s="86"/>
      <c r="Z17" s="86"/>
      <c r="AA17" s="86"/>
      <c r="AB17" s="90">
        <v>9400</v>
      </c>
      <c r="AC17" s="85"/>
      <c r="AD17" s="86"/>
      <c r="AE17" s="86"/>
      <c r="AF17" s="86"/>
      <c r="AG17" s="90">
        <v>9400</v>
      </c>
      <c r="AH17" s="85"/>
      <c r="AI17" s="86"/>
      <c r="AJ17" s="86"/>
      <c r="AK17" s="86"/>
      <c r="AL17" s="90">
        <v>9400</v>
      </c>
      <c r="AM17" s="85"/>
      <c r="AN17" s="86"/>
      <c r="AO17" s="86"/>
      <c r="AP17" s="86"/>
      <c r="AQ17" s="90">
        <v>9400</v>
      </c>
    </row>
    <row r="18" spans="1:43" ht="24">
      <c r="A18" s="108"/>
      <c r="B18" s="108"/>
      <c r="C18" s="108" t="s">
        <v>302</v>
      </c>
      <c r="H18" s="90"/>
      <c r="I18" s="85"/>
      <c r="M18" s="90"/>
      <c r="N18" s="85"/>
      <c r="R18" s="90"/>
      <c r="S18" s="85"/>
      <c r="T18" s="86"/>
      <c r="U18" s="86"/>
      <c r="V18" s="86"/>
      <c r="W18" s="90"/>
      <c r="X18" s="85"/>
      <c r="Y18" s="86"/>
      <c r="Z18" s="86"/>
      <c r="AA18" s="86"/>
      <c r="AB18" s="90"/>
      <c r="AC18" s="85"/>
      <c r="AD18" s="86"/>
      <c r="AE18" s="86"/>
      <c r="AF18" s="86"/>
      <c r="AG18" s="90"/>
      <c r="AH18" s="85"/>
      <c r="AI18" s="86"/>
      <c r="AJ18" s="86"/>
      <c r="AK18" s="86"/>
      <c r="AL18" s="90"/>
      <c r="AM18" s="85"/>
      <c r="AN18" s="86"/>
      <c r="AO18" s="86"/>
      <c r="AP18" s="86"/>
      <c r="AQ18" s="90"/>
    </row>
    <row r="19" spans="1:43" ht="48">
      <c r="A19" s="108" t="s">
        <v>1069</v>
      </c>
      <c r="B19" s="108"/>
      <c r="C19" s="108" t="s">
        <v>1070</v>
      </c>
      <c r="D19" s="90">
        <v>1000</v>
      </c>
      <c r="E19" s="91">
        <v>14.473384117987278</v>
      </c>
      <c r="F19" s="91">
        <f>SUM(D19)*E19</f>
        <v>14473.384117987278</v>
      </c>
      <c r="H19" s="90">
        <v>2400</v>
      </c>
      <c r="I19" s="90">
        <v>1600</v>
      </c>
      <c r="J19" s="91">
        <v>14.932880108686254</v>
      </c>
      <c r="K19" s="91">
        <f>SUM(I19)*J19</f>
        <v>23892.608173898006</v>
      </c>
      <c r="M19" s="90">
        <v>2400</v>
      </c>
      <c r="N19" s="90">
        <v>1600</v>
      </c>
      <c r="O19" s="91">
        <v>15.4070647167374</v>
      </c>
      <c r="P19" s="91">
        <f>SUM(N19)*O19</f>
        <v>24651.30354677984</v>
      </c>
      <c r="R19" s="90">
        <v>2400</v>
      </c>
      <c r="S19" s="90">
        <v>1600</v>
      </c>
      <c r="T19" s="91">
        <v>15.934927471443721</v>
      </c>
      <c r="U19" s="91">
        <f>SUM(S19)*T19</f>
        <v>25495.883954309953</v>
      </c>
      <c r="V19" s="86"/>
      <c r="W19" s="90">
        <v>2400</v>
      </c>
      <c r="X19" s="90">
        <v>1600</v>
      </c>
      <c r="Y19" s="91">
        <v>16.480980809805274</v>
      </c>
      <c r="Z19" s="91">
        <f>SUM(X19)*Y19</f>
        <v>26369.569295688438</v>
      </c>
      <c r="AA19" s="86"/>
      <c r="AB19" s="90">
        <v>2400</v>
      </c>
      <c r="AC19" s="90">
        <v>1600</v>
      </c>
      <c r="AD19" s="91">
        <v>17.128259190980035</v>
      </c>
      <c r="AE19" s="91">
        <f>SUM(AC19)*AD19</f>
        <v>27405.214705568058</v>
      </c>
      <c r="AF19" s="86"/>
      <c r="AG19" s="90">
        <v>2400</v>
      </c>
      <c r="AH19" s="90">
        <v>1600</v>
      </c>
      <c r="AI19" s="91">
        <v>17.886711177820168</v>
      </c>
      <c r="AJ19" s="91">
        <f>SUM(AH19)*AI19</f>
        <v>28618.737884512269</v>
      </c>
      <c r="AK19" s="86"/>
      <c r="AL19" s="90">
        <v>2400</v>
      </c>
      <c r="AM19" s="90">
        <v>1600</v>
      </c>
      <c r="AN19" s="91">
        <v>18.678862315381714</v>
      </c>
      <c r="AO19" s="91">
        <f>SUM(AM19)*AN19</f>
        <v>29886.179704610742</v>
      </c>
      <c r="AP19" s="86"/>
      <c r="AQ19" s="90">
        <v>2400</v>
      </c>
    </row>
    <row r="20" spans="1:43" ht="72">
      <c r="A20" s="108" t="s">
        <v>1071</v>
      </c>
      <c r="B20" s="108"/>
      <c r="C20" s="108" t="s">
        <v>1072</v>
      </c>
      <c r="H20" s="90">
        <v>2100</v>
      </c>
      <c r="I20" s="85"/>
      <c r="M20" s="90">
        <v>2100</v>
      </c>
      <c r="N20" s="85"/>
      <c r="R20" s="90">
        <v>2100</v>
      </c>
      <c r="S20" s="85"/>
      <c r="T20" s="86"/>
      <c r="U20" s="86"/>
      <c r="V20" s="86"/>
      <c r="W20" s="90">
        <v>2100</v>
      </c>
      <c r="X20" s="85"/>
      <c r="Y20" s="86"/>
      <c r="Z20" s="86"/>
      <c r="AA20" s="86"/>
      <c r="AB20" s="90">
        <v>2100</v>
      </c>
      <c r="AC20" s="85"/>
      <c r="AD20" s="86"/>
      <c r="AE20" s="86"/>
      <c r="AF20" s="86"/>
      <c r="AG20" s="90">
        <v>2100</v>
      </c>
      <c r="AH20" s="85"/>
      <c r="AI20" s="86"/>
      <c r="AJ20" s="86"/>
      <c r="AK20" s="86"/>
      <c r="AL20" s="90">
        <v>2100</v>
      </c>
      <c r="AM20" s="85"/>
      <c r="AN20" s="86"/>
      <c r="AO20" s="86"/>
      <c r="AP20" s="86"/>
      <c r="AQ20" s="90">
        <v>2100</v>
      </c>
    </row>
    <row r="21" spans="1:43" ht="72">
      <c r="A21" s="108" t="s">
        <v>1073</v>
      </c>
      <c r="B21" s="108"/>
      <c r="C21" s="108" t="s">
        <v>1074</v>
      </c>
      <c r="H21" s="90">
        <v>2600</v>
      </c>
      <c r="I21" s="85"/>
      <c r="M21" s="90">
        <v>2600</v>
      </c>
      <c r="N21" s="85"/>
      <c r="R21" s="90">
        <v>2600</v>
      </c>
      <c r="S21" s="85"/>
      <c r="T21" s="86"/>
      <c r="U21" s="86"/>
      <c r="V21" s="86"/>
      <c r="W21" s="90">
        <v>2600</v>
      </c>
      <c r="X21" s="85"/>
      <c r="Y21" s="86"/>
      <c r="Z21" s="86"/>
      <c r="AA21" s="86"/>
      <c r="AB21" s="90">
        <v>2600</v>
      </c>
      <c r="AC21" s="85"/>
      <c r="AD21" s="86"/>
      <c r="AE21" s="86"/>
      <c r="AF21" s="86"/>
      <c r="AG21" s="90">
        <v>2600</v>
      </c>
      <c r="AH21" s="85"/>
      <c r="AI21" s="86"/>
      <c r="AJ21" s="86"/>
      <c r="AK21" s="86"/>
      <c r="AL21" s="90">
        <v>2600</v>
      </c>
      <c r="AM21" s="85"/>
      <c r="AN21" s="86"/>
      <c r="AO21" s="86"/>
      <c r="AP21" s="86"/>
      <c r="AQ21" s="90">
        <v>2600</v>
      </c>
    </row>
    <row r="22" spans="1:43" ht="36">
      <c r="A22" s="108" t="s">
        <v>1075</v>
      </c>
      <c r="B22" s="108"/>
      <c r="C22" s="108" t="s">
        <v>1076</v>
      </c>
      <c r="D22" s="90">
        <v>880</v>
      </c>
      <c r="E22" s="91">
        <v>72.366920589936399</v>
      </c>
      <c r="F22" s="91">
        <f>SUM(D22)*E22</f>
        <v>63682.890119144031</v>
      </c>
      <c r="H22" s="90">
        <v>5775</v>
      </c>
      <c r="I22" s="90">
        <v>770</v>
      </c>
      <c r="J22" s="91">
        <v>74.66440054343127</v>
      </c>
      <c r="K22" s="91">
        <f>SUM(I22)*J22</f>
        <v>57491.588418442079</v>
      </c>
      <c r="M22" s="90">
        <v>5775</v>
      </c>
      <c r="N22" s="90">
        <v>770</v>
      </c>
      <c r="O22" s="91">
        <v>77.035323583687003</v>
      </c>
      <c r="P22" s="91">
        <f>SUM(N22)*O22</f>
        <v>59317.199159438991</v>
      </c>
      <c r="R22" s="90">
        <v>5775</v>
      </c>
      <c r="S22" s="90">
        <v>770</v>
      </c>
      <c r="T22" s="91">
        <v>79.6746373572186</v>
      </c>
      <c r="U22" s="91">
        <f>SUM(S22)*T22</f>
        <v>61349.470765058322</v>
      </c>
      <c r="V22" s="86"/>
      <c r="W22" s="90">
        <v>5775</v>
      </c>
      <c r="X22" s="90">
        <v>770</v>
      </c>
      <c r="Y22" s="91">
        <v>82.404904049026371</v>
      </c>
      <c r="Z22" s="91">
        <f>SUM(X22)*Y22</f>
        <v>63451.776117750305</v>
      </c>
      <c r="AA22" s="86"/>
      <c r="AB22" s="90">
        <v>5775</v>
      </c>
      <c r="AC22" s="90">
        <v>770</v>
      </c>
      <c r="AD22" s="91">
        <v>85.641295954900187</v>
      </c>
      <c r="AE22" s="91">
        <f>SUM(AC22)*AD22</f>
        <v>65943.797885273147</v>
      </c>
      <c r="AF22" s="86"/>
      <c r="AG22" s="90">
        <v>5775</v>
      </c>
      <c r="AH22" s="90">
        <v>770</v>
      </c>
      <c r="AI22" s="91">
        <v>89.43355588910083</v>
      </c>
      <c r="AJ22" s="91">
        <f>SUM(AH22)*AI22</f>
        <v>68863.838034607645</v>
      </c>
      <c r="AK22" s="86"/>
      <c r="AL22" s="90">
        <v>5775</v>
      </c>
      <c r="AM22" s="90">
        <v>770</v>
      </c>
      <c r="AN22" s="91">
        <v>93.394311576908564</v>
      </c>
      <c r="AO22" s="91">
        <f>SUM(AM22)*AN22</f>
        <v>71913.619914219598</v>
      </c>
      <c r="AP22" s="86"/>
      <c r="AQ22" s="90">
        <v>5775</v>
      </c>
    </row>
    <row r="23" spans="1:43" ht="60">
      <c r="A23" s="108" t="s">
        <v>1077</v>
      </c>
      <c r="B23" s="108"/>
      <c r="C23" s="112" t="s">
        <v>1078</v>
      </c>
      <c r="H23" s="90">
        <v>72</v>
      </c>
      <c r="I23" s="85"/>
      <c r="M23" s="90">
        <v>72</v>
      </c>
      <c r="N23" s="85"/>
      <c r="R23" s="90">
        <v>72</v>
      </c>
      <c r="S23" s="85"/>
      <c r="T23" s="86"/>
      <c r="U23" s="86"/>
      <c r="V23" s="86"/>
      <c r="W23" s="90">
        <v>72</v>
      </c>
      <c r="X23" s="85"/>
      <c r="Y23" s="86"/>
      <c r="Z23" s="86"/>
      <c r="AA23" s="86"/>
      <c r="AB23" s="90">
        <v>72</v>
      </c>
      <c r="AC23" s="85"/>
      <c r="AD23" s="86"/>
      <c r="AE23" s="86"/>
      <c r="AF23" s="86"/>
      <c r="AG23" s="90">
        <v>72</v>
      </c>
      <c r="AH23" s="85"/>
      <c r="AI23" s="86"/>
      <c r="AJ23" s="86"/>
      <c r="AK23" s="86"/>
      <c r="AL23" s="90">
        <v>72</v>
      </c>
      <c r="AM23" s="85"/>
      <c r="AN23" s="86"/>
      <c r="AO23" s="86"/>
      <c r="AP23" s="86"/>
      <c r="AQ23" s="90">
        <v>72</v>
      </c>
    </row>
    <row r="24" spans="1:43" ht="48">
      <c r="A24" s="110" t="s">
        <v>1079</v>
      </c>
      <c r="B24" s="110"/>
      <c r="C24" s="112" t="s">
        <v>1080</v>
      </c>
      <c r="H24" s="90">
        <v>49</v>
      </c>
      <c r="I24" s="85"/>
      <c r="M24" s="90">
        <v>49</v>
      </c>
      <c r="N24" s="85"/>
      <c r="R24" s="90">
        <v>49</v>
      </c>
      <c r="S24" s="85"/>
      <c r="T24" s="86"/>
      <c r="U24" s="86"/>
      <c r="V24" s="86"/>
      <c r="W24" s="90">
        <v>49</v>
      </c>
      <c r="X24" s="85"/>
      <c r="Y24" s="86"/>
      <c r="Z24" s="86"/>
      <c r="AA24" s="86"/>
      <c r="AB24" s="90">
        <v>49</v>
      </c>
      <c r="AC24" s="85"/>
      <c r="AD24" s="86"/>
      <c r="AE24" s="86"/>
      <c r="AF24" s="86"/>
      <c r="AG24" s="90">
        <v>49</v>
      </c>
      <c r="AH24" s="85"/>
      <c r="AI24" s="86"/>
      <c r="AJ24" s="86"/>
      <c r="AK24" s="86"/>
      <c r="AL24" s="90">
        <v>49</v>
      </c>
      <c r="AM24" s="85"/>
      <c r="AN24" s="86"/>
      <c r="AO24" s="86"/>
      <c r="AP24" s="86"/>
      <c r="AQ24" s="90">
        <v>49</v>
      </c>
    </row>
    <row r="25" spans="1:43" ht="36">
      <c r="A25" s="113" t="s">
        <v>1081</v>
      </c>
      <c r="B25" s="110"/>
      <c r="C25" s="108" t="s">
        <v>1082</v>
      </c>
      <c r="D25" s="90">
        <v>270</v>
      </c>
      <c r="H25" s="90">
        <v>1021</v>
      </c>
      <c r="I25" s="85"/>
      <c r="M25" s="90">
        <v>1021</v>
      </c>
      <c r="N25" s="85"/>
      <c r="R25" s="90">
        <v>1021</v>
      </c>
      <c r="S25" s="85"/>
      <c r="T25" s="86"/>
      <c r="U25" s="86"/>
      <c r="V25" s="86"/>
      <c r="W25" s="90">
        <v>1021</v>
      </c>
      <c r="X25" s="85"/>
      <c r="Y25" s="86"/>
      <c r="Z25" s="86"/>
      <c r="AA25" s="86"/>
      <c r="AB25" s="90">
        <v>1021</v>
      </c>
      <c r="AC25" s="85"/>
      <c r="AD25" s="86"/>
      <c r="AE25" s="86"/>
      <c r="AF25" s="86"/>
      <c r="AG25" s="90">
        <v>1021</v>
      </c>
      <c r="AH25" s="85"/>
      <c r="AI25" s="86"/>
      <c r="AJ25" s="86"/>
      <c r="AK25" s="86"/>
      <c r="AL25" s="90">
        <v>1021</v>
      </c>
      <c r="AM25" s="85"/>
      <c r="AN25" s="86"/>
      <c r="AO25" s="86"/>
      <c r="AP25" s="86"/>
      <c r="AQ25" s="90">
        <v>1021</v>
      </c>
    </row>
    <row r="26" spans="1:43" ht="96">
      <c r="A26" s="110" t="s">
        <v>1083</v>
      </c>
      <c r="B26" s="110"/>
      <c r="C26" s="108" t="s">
        <v>1084</v>
      </c>
      <c r="H26" s="90">
        <v>2800</v>
      </c>
      <c r="I26" s="85"/>
      <c r="M26" s="90">
        <v>2800</v>
      </c>
      <c r="N26" s="85"/>
      <c r="R26" s="90">
        <v>2800</v>
      </c>
      <c r="S26" s="85"/>
      <c r="T26" s="86"/>
      <c r="U26" s="86"/>
      <c r="V26" s="86"/>
      <c r="W26" s="90">
        <v>2800</v>
      </c>
      <c r="X26" s="85"/>
      <c r="Y26" s="86"/>
      <c r="Z26" s="86"/>
      <c r="AA26" s="86"/>
      <c r="AB26" s="90">
        <v>2800</v>
      </c>
      <c r="AC26" s="85"/>
      <c r="AD26" s="86"/>
      <c r="AE26" s="86"/>
      <c r="AF26" s="86"/>
      <c r="AG26" s="90">
        <v>2800</v>
      </c>
      <c r="AH26" s="85"/>
      <c r="AI26" s="86"/>
      <c r="AJ26" s="86"/>
      <c r="AK26" s="86"/>
      <c r="AL26" s="90">
        <v>2800</v>
      </c>
      <c r="AM26" s="85"/>
      <c r="AN26" s="86"/>
      <c r="AO26" s="86"/>
      <c r="AP26" s="86"/>
      <c r="AQ26" s="90">
        <v>2800</v>
      </c>
    </row>
    <row r="27" spans="1:43" ht="48">
      <c r="A27" s="108" t="s">
        <v>1085</v>
      </c>
      <c r="B27" s="108"/>
      <c r="C27" s="108" t="s">
        <v>1086</v>
      </c>
      <c r="H27" s="90">
        <v>1000</v>
      </c>
      <c r="I27" s="85"/>
      <c r="M27" s="90">
        <v>1000</v>
      </c>
      <c r="N27" s="85"/>
      <c r="R27" s="90">
        <v>1000</v>
      </c>
      <c r="S27" s="85"/>
      <c r="T27" s="86"/>
      <c r="U27" s="86"/>
      <c r="V27" s="86"/>
      <c r="W27" s="90">
        <v>1000</v>
      </c>
      <c r="X27" s="85"/>
      <c r="Y27" s="86"/>
      <c r="Z27" s="86"/>
      <c r="AA27" s="86"/>
      <c r="AB27" s="90">
        <v>1000</v>
      </c>
      <c r="AC27" s="85"/>
      <c r="AD27" s="86"/>
      <c r="AE27" s="86"/>
      <c r="AF27" s="86"/>
      <c r="AG27" s="90">
        <v>1000</v>
      </c>
      <c r="AH27" s="85"/>
      <c r="AI27" s="86"/>
      <c r="AJ27" s="86"/>
      <c r="AK27" s="86"/>
      <c r="AL27" s="90">
        <v>1000</v>
      </c>
      <c r="AM27" s="85"/>
      <c r="AN27" s="86"/>
      <c r="AO27" s="86"/>
      <c r="AP27" s="86"/>
      <c r="AQ27" s="90">
        <v>1000</v>
      </c>
    </row>
    <row r="28" spans="1:43" ht="60">
      <c r="A28" s="108" t="s">
        <v>1087</v>
      </c>
      <c r="B28" s="108"/>
      <c r="C28" s="108" t="s">
        <v>1088</v>
      </c>
      <c r="H28" s="90">
        <v>281</v>
      </c>
      <c r="I28" s="85"/>
      <c r="M28" s="90">
        <v>281</v>
      </c>
      <c r="N28" s="85"/>
      <c r="R28" s="90">
        <v>281</v>
      </c>
      <c r="S28" s="85"/>
      <c r="T28" s="86"/>
      <c r="U28" s="86"/>
      <c r="V28" s="86"/>
      <c r="W28" s="90">
        <v>281</v>
      </c>
      <c r="X28" s="85"/>
      <c r="Y28" s="86"/>
      <c r="Z28" s="86"/>
      <c r="AA28" s="86"/>
      <c r="AB28" s="90">
        <v>281</v>
      </c>
      <c r="AC28" s="85"/>
      <c r="AD28" s="86"/>
      <c r="AE28" s="86"/>
      <c r="AF28" s="86"/>
      <c r="AG28" s="90">
        <v>281</v>
      </c>
      <c r="AH28" s="85"/>
      <c r="AI28" s="86"/>
      <c r="AJ28" s="86"/>
      <c r="AK28" s="86"/>
      <c r="AL28" s="90">
        <v>281</v>
      </c>
      <c r="AM28" s="85"/>
      <c r="AN28" s="86"/>
      <c r="AO28" s="86"/>
      <c r="AP28" s="86"/>
      <c r="AQ28" s="90">
        <v>281</v>
      </c>
    </row>
    <row r="29" spans="1:43" ht="48">
      <c r="A29" s="108" t="s">
        <v>1089</v>
      </c>
      <c r="B29" s="108"/>
      <c r="C29" s="108" t="s">
        <v>1090</v>
      </c>
      <c r="H29" s="90">
        <v>350</v>
      </c>
      <c r="I29" s="85"/>
      <c r="M29" s="90">
        <v>350</v>
      </c>
      <c r="N29" s="85"/>
      <c r="R29" s="90">
        <v>350</v>
      </c>
      <c r="S29" s="85"/>
      <c r="T29" s="86"/>
      <c r="U29" s="86"/>
      <c r="V29" s="86"/>
      <c r="W29" s="90">
        <v>350</v>
      </c>
      <c r="X29" s="85"/>
      <c r="Y29" s="86"/>
      <c r="Z29" s="86"/>
      <c r="AA29" s="86"/>
      <c r="AB29" s="90">
        <v>350</v>
      </c>
      <c r="AC29" s="85"/>
      <c r="AD29" s="86"/>
      <c r="AE29" s="86"/>
      <c r="AF29" s="86"/>
      <c r="AG29" s="90">
        <v>350</v>
      </c>
      <c r="AH29" s="85"/>
      <c r="AI29" s="86"/>
      <c r="AJ29" s="86"/>
      <c r="AK29" s="86"/>
      <c r="AL29" s="90">
        <v>350</v>
      </c>
      <c r="AM29" s="85"/>
      <c r="AN29" s="86"/>
      <c r="AO29" s="86"/>
      <c r="AP29" s="86"/>
      <c r="AQ29" s="90">
        <v>350</v>
      </c>
    </row>
    <row r="30" spans="1:43" ht="60">
      <c r="A30" s="108" t="s">
        <v>1091</v>
      </c>
      <c r="B30" s="108"/>
      <c r="C30" s="108" t="s">
        <v>1092</v>
      </c>
      <c r="D30" s="90">
        <v>30</v>
      </c>
      <c r="E30" s="91">
        <v>1714.6135718442265</v>
      </c>
      <c r="F30" s="91">
        <f>SUM(D30)*E30</f>
        <v>51438.407155326793</v>
      </c>
      <c r="G30" s="133"/>
      <c r="H30" s="90">
        <v>5331</v>
      </c>
      <c r="I30" s="90">
        <v>30</v>
      </c>
      <c r="J30" s="91">
        <v>1769.0485302090317</v>
      </c>
      <c r="K30" s="91">
        <f>SUM(I30)*J30</f>
        <v>53071.455906270952</v>
      </c>
      <c r="L30" s="133"/>
      <c r="M30" s="90">
        <v>5331</v>
      </c>
      <c r="N30" s="90">
        <v>30</v>
      </c>
      <c r="O30" s="91">
        <v>1825.2236001094907</v>
      </c>
      <c r="P30" s="91">
        <f>SUM(N30)*O30</f>
        <v>54756.708003284723</v>
      </c>
      <c r="Q30" s="133"/>
      <c r="R30" s="90">
        <v>5331</v>
      </c>
      <c r="S30" s="90">
        <v>30</v>
      </c>
      <c r="T30" s="91">
        <v>1887.7577411170328</v>
      </c>
      <c r="U30" s="91">
        <f>SUM(S30)*T30</f>
        <v>56632.732233510986</v>
      </c>
      <c r="V30" s="133"/>
      <c r="W30" s="90">
        <v>5331</v>
      </c>
      <c r="X30" s="90">
        <v>30</v>
      </c>
      <c r="Y30" s="91">
        <v>1952.4468599349316</v>
      </c>
      <c r="Z30" s="91">
        <f>SUM(X30)*Y30</f>
        <v>58573.405798047948</v>
      </c>
      <c r="AA30" s="133"/>
      <c r="AB30" s="90">
        <v>5331</v>
      </c>
      <c r="AC30" s="90">
        <v>30</v>
      </c>
      <c r="AD30" s="91">
        <v>2029.1277721581018</v>
      </c>
      <c r="AE30" s="91">
        <f>SUM(AC30)*AD30</f>
        <v>60873.833164743053</v>
      </c>
      <c r="AF30" s="133"/>
      <c r="AG30" s="90">
        <v>5331</v>
      </c>
      <c r="AH30" s="90">
        <v>30</v>
      </c>
      <c r="AI30" s="91">
        <v>2118.9790508657625</v>
      </c>
      <c r="AJ30" s="91">
        <f>SUM(AH30)*AI30</f>
        <v>63569.371525972878</v>
      </c>
      <c r="AK30" s="133"/>
      <c r="AL30" s="90">
        <v>5331</v>
      </c>
      <c r="AM30" s="90">
        <v>30</v>
      </c>
      <c r="AN30" s="91">
        <v>2212.8225556288871</v>
      </c>
      <c r="AO30" s="91">
        <f>SUM(AM30)*AN30</f>
        <v>66384.67666886661</v>
      </c>
      <c r="AP30" s="133"/>
      <c r="AQ30" s="90">
        <v>5331</v>
      </c>
    </row>
    <row r="31" spans="1:43" ht="72">
      <c r="A31" s="108" t="s">
        <v>1093</v>
      </c>
      <c r="B31" s="108"/>
      <c r="C31" s="108" t="s">
        <v>1094</v>
      </c>
      <c r="H31" s="90">
        <v>460</v>
      </c>
      <c r="I31" s="85"/>
      <c r="M31" s="90">
        <v>460</v>
      </c>
      <c r="N31" s="85"/>
      <c r="R31" s="90">
        <v>460</v>
      </c>
      <c r="S31" s="85"/>
      <c r="T31" s="86"/>
      <c r="U31" s="86"/>
      <c r="V31" s="86"/>
      <c r="W31" s="90">
        <v>460</v>
      </c>
      <c r="X31" s="85"/>
      <c r="Y31" s="86"/>
      <c r="Z31" s="86"/>
      <c r="AA31" s="86"/>
      <c r="AB31" s="90">
        <v>460</v>
      </c>
      <c r="AC31" s="85"/>
      <c r="AD31" s="86"/>
      <c r="AE31" s="86"/>
      <c r="AF31" s="86"/>
      <c r="AG31" s="90">
        <v>460</v>
      </c>
      <c r="AH31" s="85"/>
      <c r="AI31" s="86"/>
      <c r="AJ31" s="86"/>
      <c r="AK31" s="86"/>
      <c r="AL31" s="90">
        <v>460</v>
      </c>
      <c r="AM31" s="85"/>
      <c r="AN31" s="86"/>
      <c r="AO31" s="86"/>
      <c r="AP31" s="86"/>
      <c r="AQ31" s="90">
        <v>460</v>
      </c>
    </row>
    <row r="32" spans="1:43" ht="36">
      <c r="A32" s="108" t="s">
        <v>1095</v>
      </c>
      <c r="B32" s="108"/>
      <c r="C32" s="108" t="s">
        <v>1096</v>
      </c>
      <c r="H32" s="90">
        <v>508</v>
      </c>
      <c r="I32" s="85"/>
      <c r="M32" s="90">
        <v>508</v>
      </c>
      <c r="N32" s="85"/>
      <c r="R32" s="90">
        <v>508</v>
      </c>
      <c r="S32" s="85"/>
      <c r="T32" s="86"/>
      <c r="U32" s="86"/>
      <c r="V32" s="86"/>
      <c r="W32" s="90">
        <v>508</v>
      </c>
      <c r="X32" s="85"/>
      <c r="Y32" s="86"/>
      <c r="Z32" s="86"/>
      <c r="AA32" s="86"/>
      <c r="AB32" s="90">
        <v>508</v>
      </c>
      <c r="AC32" s="85"/>
      <c r="AD32" s="86"/>
      <c r="AE32" s="86"/>
      <c r="AF32" s="86"/>
      <c r="AG32" s="90">
        <v>508</v>
      </c>
      <c r="AH32" s="85"/>
      <c r="AI32" s="86"/>
      <c r="AJ32" s="86"/>
      <c r="AK32" s="86"/>
      <c r="AL32" s="90">
        <v>508</v>
      </c>
      <c r="AM32" s="85"/>
      <c r="AN32" s="86"/>
      <c r="AO32" s="86"/>
      <c r="AP32" s="86"/>
      <c r="AQ32" s="90">
        <v>508</v>
      </c>
    </row>
    <row r="33" spans="1:43" ht="84">
      <c r="A33" s="108" t="s">
        <v>1097</v>
      </c>
      <c r="B33" s="108"/>
      <c r="C33" s="108" t="s">
        <v>1098</v>
      </c>
      <c r="H33" s="90">
        <v>2211</v>
      </c>
      <c r="I33" s="85"/>
      <c r="M33" s="90">
        <v>2211</v>
      </c>
      <c r="N33" s="85"/>
      <c r="R33" s="90">
        <v>2211</v>
      </c>
      <c r="S33" s="85"/>
      <c r="T33" s="86"/>
      <c r="U33" s="86"/>
      <c r="V33" s="86"/>
      <c r="W33" s="90">
        <v>2211</v>
      </c>
      <c r="X33" s="85"/>
      <c r="Y33" s="86"/>
      <c r="Z33" s="86"/>
      <c r="AA33" s="86"/>
      <c r="AB33" s="90">
        <v>2211</v>
      </c>
      <c r="AC33" s="85"/>
      <c r="AD33" s="86"/>
      <c r="AE33" s="86"/>
      <c r="AF33" s="86"/>
      <c r="AG33" s="90">
        <v>2211</v>
      </c>
      <c r="AH33" s="85"/>
      <c r="AI33" s="86"/>
      <c r="AJ33" s="86"/>
      <c r="AK33" s="86"/>
      <c r="AL33" s="90">
        <v>2211</v>
      </c>
      <c r="AM33" s="85"/>
      <c r="AN33" s="86"/>
      <c r="AO33" s="86"/>
      <c r="AP33" s="86"/>
      <c r="AQ33" s="90">
        <v>2211</v>
      </c>
    </row>
    <row r="34" spans="1:43" ht="48">
      <c r="A34" s="108" t="s">
        <v>1099</v>
      </c>
      <c r="B34" s="108"/>
      <c r="C34" s="108" t="s">
        <v>1100</v>
      </c>
      <c r="D34" s="90">
        <v>2376</v>
      </c>
      <c r="E34" s="91">
        <v>9.6489227453248532</v>
      </c>
      <c r="F34" s="91">
        <f>SUM(D34)*E34</f>
        <v>22925.840442891851</v>
      </c>
      <c r="H34" s="90">
        <v>2376</v>
      </c>
      <c r="I34" s="90">
        <v>2376</v>
      </c>
      <c r="J34" s="91">
        <v>9.9552534057908364</v>
      </c>
      <c r="K34" s="91">
        <f>SUM(I34)*J34</f>
        <v>23653.682092159026</v>
      </c>
      <c r="M34" s="90">
        <v>2376</v>
      </c>
      <c r="N34" s="90">
        <v>2376</v>
      </c>
      <c r="O34" s="91">
        <v>10.271376477824932</v>
      </c>
      <c r="P34" s="91">
        <f>SUM(N34)*O34</f>
        <v>24404.790511312036</v>
      </c>
      <c r="R34" s="90">
        <v>2376</v>
      </c>
      <c r="S34" s="90">
        <v>2376</v>
      </c>
      <c r="T34" s="91">
        <v>10.623284980962479</v>
      </c>
      <c r="U34" s="91">
        <f>SUM(S34)*T34</f>
        <v>25240.925114766851</v>
      </c>
      <c r="V34" s="86"/>
      <c r="W34" s="90">
        <v>2376</v>
      </c>
      <c r="X34" s="90">
        <v>2376</v>
      </c>
      <c r="Y34" s="91">
        <v>10.987320539870183</v>
      </c>
      <c r="Z34" s="91">
        <f>SUM(X34)*Y34</f>
        <v>26105.873602731554</v>
      </c>
      <c r="AA34" s="86"/>
      <c r="AB34" s="90">
        <v>2376</v>
      </c>
      <c r="AC34" s="90">
        <v>2376</v>
      </c>
      <c r="AD34" s="91">
        <v>11.418839460653357</v>
      </c>
      <c r="AE34" s="91">
        <f>SUM(AC34)*AD34</f>
        <v>27131.162558512377</v>
      </c>
      <c r="AF34" s="86"/>
      <c r="AG34" s="90">
        <v>2376</v>
      </c>
      <c r="AH34" s="90">
        <v>2376</v>
      </c>
      <c r="AI34" s="91">
        <v>11.924474118546778</v>
      </c>
      <c r="AJ34" s="91">
        <f>SUM(AH34)*AI34</f>
        <v>28332.550505667143</v>
      </c>
      <c r="AK34" s="86"/>
      <c r="AL34" s="90">
        <v>2376</v>
      </c>
      <c r="AM34" s="90">
        <v>2376</v>
      </c>
      <c r="AN34" s="91">
        <v>12.452574876921142</v>
      </c>
      <c r="AO34" s="91">
        <f>SUM(AM34)*AN34</f>
        <v>29587.317907564633</v>
      </c>
      <c r="AP34" s="86"/>
      <c r="AQ34" s="90">
        <v>2376</v>
      </c>
    </row>
    <row r="35" spans="1:43" ht="48">
      <c r="A35" s="108" t="s">
        <v>1101</v>
      </c>
      <c r="B35" s="110"/>
      <c r="C35" s="108" t="s">
        <v>1102</v>
      </c>
      <c r="H35" s="90">
        <v>61</v>
      </c>
      <c r="I35" s="85"/>
      <c r="M35" s="90">
        <v>61</v>
      </c>
      <c r="N35" s="85"/>
      <c r="R35" s="90">
        <v>61</v>
      </c>
      <c r="S35" s="85"/>
      <c r="T35" s="86"/>
      <c r="U35" s="86"/>
      <c r="V35" s="86"/>
      <c r="W35" s="90">
        <v>61</v>
      </c>
      <c r="X35" s="85"/>
      <c r="Y35" s="86"/>
      <c r="Z35" s="86"/>
      <c r="AA35" s="86"/>
      <c r="AB35" s="90">
        <v>61</v>
      </c>
      <c r="AC35" s="85"/>
      <c r="AD35" s="86"/>
      <c r="AE35" s="86"/>
      <c r="AF35" s="86"/>
      <c r="AG35" s="90">
        <v>61</v>
      </c>
      <c r="AH35" s="85"/>
      <c r="AI35" s="86"/>
      <c r="AJ35" s="86"/>
      <c r="AK35" s="86"/>
      <c r="AL35" s="90">
        <v>61</v>
      </c>
      <c r="AM35" s="85"/>
      <c r="AN35" s="86"/>
      <c r="AO35" s="86"/>
      <c r="AP35" s="86"/>
      <c r="AQ35" s="90">
        <v>61</v>
      </c>
    </row>
    <row r="36" spans="1:43" ht="36">
      <c r="A36" s="108" t="s">
        <v>1103</v>
      </c>
      <c r="B36" s="110"/>
      <c r="C36" s="108" t="s">
        <v>1104</v>
      </c>
      <c r="H36" s="90">
        <v>161</v>
      </c>
      <c r="I36" s="85"/>
      <c r="M36" s="90">
        <v>161</v>
      </c>
      <c r="N36" s="85"/>
      <c r="R36" s="90">
        <v>161</v>
      </c>
      <c r="S36" s="85"/>
      <c r="T36" s="86"/>
      <c r="U36" s="86"/>
      <c r="V36" s="86"/>
      <c r="W36" s="90">
        <v>161</v>
      </c>
      <c r="X36" s="85"/>
      <c r="Y36" s="86"/>
      <c r="Z36" s="86"/>
      <c r="AA36" s="86"/>
      <c r="AB36" s="90">
        <v>161</v>
      </c>
      <c r="AC36" s="85"/>
      <c r="AD36" s="86"/>
      <c r="AE36" s="86"/>
      <c r="AF36" s="86"/>
      <c r="AG36" s="90">
        <v>161</v>
      </c>
      <c r="AH36" s="85"/>
      <c r="AI36" s="86"/>
      <c r="AJ36" s="86"/>
      <c r="AK36" s="86"/>
      <c r="AL36" s="90">
        <v>161</v>
      </c>
      <c r="AM36" s="85"/>
      <c r="AN36" s="86"/>
      <c r="AO36" s="86"/>
      <c r="AP36" s="86"/>
      <c r="AQ36" s="90">
        <v>161</v>
      </c>
    </row>
    <row r="37" spans="1:43" ht="48">
      <c r="A37" s="108" t="s">
        <v>1105</v>
      </c>
      <c r="B37" s="110"/>
      <c r="C37" s="108" t="s">
        <v>1106</v>
      </c>
      <c r="H37" s="90">
        <v>633</v>
      </c>
      <c r="I37" s="85"/>
      <c r="M37" s="90">
        <v>633</v>
      </c>
      <c r="N37" s="85"/>
      <c r="R37" s="90">
        <v>633</v>
      </c>
      <c r="S37" s="85"/>
      <c r="T37" s="86"/>
      <c r="U37" s="86"/>
      <c r="V37" s="86"/>
      <c r="W37" s="90">
        <v>633</v>
      </c>
      <c r="X37" s="85"/>
      <c r="Y37" s="86"/>
      <c r="Z37" s="86"/>
      <c r="AA37" s="86"/>
      <c r="AB37" s="90">
        <v>633</v>
      </c>
      <c r="AC37" s="85"/>
      <c r="AD37" s="86"/>
      <c r="AE37" s="86"/>
      <c r="AF37" s="86"/>
      <c r="AG37" s="90">
        <v>633</v>
      </c>
      <c r="AH37" s="85"/>
      <c r="AI37" s="86"/>
      <c r="AJ37" s="86"/>
      <c r="AK37" s="86"/>
      <c r="AL37" s="90">
        <v>633</v>
      </c>
      <c r="AM37" s="85"/>
      <c r="AN37" s="86"/>
      <c r="AO37" s="86"/>
      <c r="AP37" s="86"/>
      <c r="AQ37" s="90">
        <v>633</v>
      </c>
    </row>
    <row r="38" spans="1:43" ht="36">
      <c r="A38" s="108" t="s">
        <v>1107</v>
      </c>
      <c r="B38" s="110"/>
      <c r="C38" s="108" t="s">
        <v>1108</v>
      </c>
      <c r="H38" s="90">
        <v>191</v>
      </c>
      <c r="I38" s="85"/>
      <c r="M38" s="90">
        <v>191</v>
      </c>
      <c r="N38" s="85"/>
      <c r="R38" s="90">
        <v>191</v>
      </c>
      <c r="S38" s="85"/>
      <c r="T38" s="86"/>
      <c r="U38" s="86"/>
      <c r="V38" s="86"/>
      <c r="W38" s="90">
        <v>191</v>
      </c>
      <c r="X38" s="85"/>
      <c r="Y38" s="86"/>
      <c r="Z38" s="86"/>
      <c r="AA38" s="86"/>
      <c r="AB38" s="90">
        <v>191</v>
      </c>
      <c r="AC38" s="85"/>
      <c r="AD38" s="86"/>
      <c r="AE38" s="86"/>
      <c r="AF38" s="86"/>
      <c r="AG38" s="90">
        <v>191</v>
      </c>
      <c r="AH38" s="85"/>
      <c r="AI38" s="86"/>
      <c r="AJ38" s="86"/>
      <c r="AK38" s="86"/>
      <c r="AL38" s="90">
        <v>191</v>
      </c>
      <c r="AM38" s="85"/>
      <c r="AN38" s="86"/>
      <c r="AO38" s="86"/>
      <c r="AP38" s="86"/>
      <c r="AQ38" s="90">
        <v>191</v>
      </c>
    </row>
    <row r="39" spans="1:43" ht="72">
      <c r="A39" s="108" t="s">
        <v>1109</v>
      </c>
      <c r="B39" s="110"/>
      <c r="C39" s="108" t="s">
        <v>1110</v>
      </c>
      <c r="H39" s="90">
        <v>310</v>
      </c>
      <c r="I39" s="85"/>
      <c r="M39" s="90">
        <v>310</v>
      </c>
      <c r="N39" s="85"/>
      <c r="R39" s="90">
        <v>310</v>
      </c>
      <c r="S39" s="85"/>
      <c r="T39" s="86"/>
      <c r="U39" s="86"/>
      <c r="V39" s="86"/>
      <c r="W39" s="90">
        <v>310</v>
      </c>
      <c r="X39" s="85"/>
      <c r="Y39" s="86"/>
      <c r="Z39" s="86"/>
      <c r="AA39" s="86"/>
      <c r="AB39" s="90">
        <v>310</v>
      </c>
      <c r="AC39" s="85"/>
      <c r="AD39" s="86"/>
      <c r="AE39" s="86"/>
      <c r="AF39" s="86"/>
      <c r="AG39" s="90">
        <v>310</v>
      </c>
      <c r="AH39" s="85"/>
      <c r="AI39" s="86"/>
      <c r="AJ39" s="86"/>
      <c r="AK39" s="86"/>
      <c r="AL39" s="90">
        <v>310</v>
      </c>
      <c r="AM39" s="85"/>
      <c r="AN39" s="86"/>
      <c r="AO39" s="86"/>
      <c r="AP39" s="86"/>
      <c r="AQ39" s="90">
        <v>310</v>
      </c>
    </row>
    <row r="40" spans="1:43" ht="96">
      <c r="A40" s="108" t="s">
        <v>1111</v>
      </c>
      <c r="B40" s="110"/>
      <c r="C40" s="108" t="s">
        <v>1112</v>
      </c>
      <c r="H40" s="90">
        <v>215</v>
      </c>
      <c r="I40" s="85"/>
      <c r="M40" s="90">
        <v>215</v>
      </c>
      <c r="N40" s="85"/>
      <c r="R40" s="90">
        <v>215</v>
      </c>
      <c r="S40" s="85"/>
      <c r="T40" s="86"/>
      <c r="U40" s="86"/>
      <c r="V40" s="86"/>
      <c r="W40" s="90">
        <v>215</v>
      </c>
      <c r="X40" s="85"/>
      <c r="Y40" s="86"/>
      <c r="Z40" s="86"/>
      <c r="AA40" s="86"/>
      <c r="AB40" s="90">
        <v>215</v>
      </c>
      <c r="AC40" s="85"/>
      <c r="AD40" s="86"/>
      <c r="AE40" s="86"/>
      <c r="AF40" s="86"/>
      <c r="AG40" s="90">
        <v>215</v>
      </c>
      <c r="AH40" s="85"/>
      <c r="AI40" s="86"/>
      <c r="AJ40" s="86"/>
      <c r="AK40" s="86"/>
      <c r="AL40" s="90">
        <v>215</v>
      </c>
      <c r="AM40" s="85"/>
      <c r="AN40" s="86"/>
      <c r="AO40" s="86"/>
      <c r="AP40" s="86"/>
      <c r="AQ40" s="90">
        <v>215</v>
      </c>
    </row>
    <row r="41" spans="1:43" ht="132">
      <c r="A41" s="108" t="s">
        <v>1113</v>
      </c>
      <c r="B41" s="108"/>
      <c r="C41" s="108" t="s">
        <v>1114</v>
      </c>
      <c r="D41" s="90">
        <v>150</v>
      </c>
      <c r="E41" s="91">
        <v>57.893536471949119</v>
      </c>
      <c r="F41" s="91">
        <f>SUM(D41)*E41</f>
        <v>8684.0304707923679</v>
      </c>
      <c r="H41" s="90">
        <v>900</v>
      </c>
      <c r="I41" s="90">
        <v>150</v>
      </c>
      <c r="J41" s="91">
        <v>59.731520434745022</v>
      </c>
      <c r="K41" s="91">
        <f>SUM(I41)*J41</f>
        <v>8959.7280652117533</v>
      </c>
      <c r="M41" s="90">
        <v>900</v>
      </c>
      <c r="N41" s="90">
        <v>150</v>
      </c>
      <c r="O41" s="91">
        <v>61.628258866949594</v>
      </c>
      <c r="P41" s="91">
        <f>SUM(N41)*O41</f>
        <v>9244.2388300424391</v>
      </c>
      <c r="R41" s="90">
        <v>900</v>
      </c>
      <c r="S41" s="90">
        <v>150</v>
      </c>
      <c r="T41" s="91">
        <v>63.739709885774879</v>
      </c>
      <c r="U41" s="91">
        <f>SUM(S41)*T41</f>
        <v>9560.9564828662315</v>
      </c>
      <c r="V41" s="86"/>
      <c r="W41" s="90">
        <v>900</v>
      </c>
      <c r="X41" s="90">
        <v>150</v>
      </c>
      <c r="Y41" s="91">
        <v>65.923923239221082</v>
      </c>
      <c r="Z41" s="91">
        <f>SUM(X41)*Y41</f>
        <v>9888.5884858831632</v>
      </c>
      <c r="AA41" s="86"/>
      <c r="AB41" s="90">
        <v>900</v>
      </c>
      <c r="AC41" s="90">
        <v>150</v>
      </c>
      <c r="AD41" s="91">
        <v>68.513036763920141</v>
      </c>
      <c r="AE41" s="91">
        <f>SUM(AC41)*AD41</f>
        <v>10276.95551458802</v>
      </c>
      <c r="AF41" s="86"/>
      <c r="AG41" s="90">
        <v>900</v>
      </c>
      <c r="AH41" s="90">
        <v>150</v>
      </c>
      <c r="AI41" s="91">
        <v>71.54684471128067</v>
      </c>
      <c r="AJ41" s="91">
        <f>SUM(AH41)*AI41</f>
        <v>10732.026706692101</v>
      </c>
      <c r="AK41" s="86"/>
      <c r="AL41" s="90">
        <v>900</v>
      </c>
      <c r="AM41" s="90">
        <v>150</v>
      </c>
      <c r="AN41" s="91">
        <v>74.715449261526857</v>
      </c>
      <c r="AO41" s="91">
        <f>SUM(AM41)*AN41</f>
        <v>11207.317389229029</v>
      </c>
      <c r="AP41" s="86"/>
      <c r="AQ41" s="90">
        <v>900</v>
      </c>
    </row>
    <row r="42" spans="1:43" ht="24">
      <c r="A42" s="108"/>
      <c r="B42" s="108"/>
      <c r="C42" s="108" t="s">
        <v>302</v>
      </c>
      <c r="D42" s="257"/>
      <c r="E42" s="258"/>
      <c r="F42" s="258"/>
      <c r="H42" s="90"/>
      <c r="I42" s="257"/>
      <c r="J42" s="258"/>
      <c r="K42" s="258"/>
      <c r="M42" s="90"/>
      <c r="N42" s="257"/>
      <c r="O42" s="258"/>
      <c r="P42" s="258"/>
      <c r="R42" s="90"/>
      <c r="S42" s="257"/>
      <c r="T42" s="258"/>
      <c r="U42" s="258"/>
      <c r="V42" s="86"/>
      <c r="W42" s="90"/>
      <c r="X42" s="257"/>
      <c r="Y42" s="258"/>
      <c r="Z42" s="258"/>
      <c r="AA42" s="86"/>
      <c r="AB42" s="90"/>
      <c r="AC42" s="257"/>
      <c r="AD42" s="258"/>
      <c r="AE42" s="258"/>
      <c r="AF42" s="86"/>
      <c r="AG42" s="90"/>
      <c r="AH42" s="257"/>
      <c r="AI42" s="258"/>
      <c r="AJ42" s="258"/>
      <c r="AK42" s="86"/>
      <c r="AL42" s="90"/>
      <c r="AM42" s="257"/>
      <c r="AN42" s="258"/>
      <c r="AO42" s="258"/>
      <c r="AP42" s="86"/>
      <c r="AQ42" s="90"/>
    </row>
    <row r="43" spans="1:43" ht="36">
      <c r="A43" s="108" t="s">
        <v>1115</v>
      </c>
      <c r="B43" s="108"/>
      <c r="C43" s="108" t="s">
        <v>1116</v>
      </c>
      <c r="H43" s="90">
        <v>46</v>
      </c>
      <c r="I43" s="85"/>
      <c r="M43" s="90">
        <v>46</v>
      </c>
      <c r="N43" s="85"/>
      <c r="R43" s="90">
        <v>46</v>
      </c>
      <c r="S43" s="85"/>
      <c r="T43" s="86"/>
      <c r="U43" s="86"/>
      <c r="V43" s="86"/>
      <c r="W43" s="90">
        <v>46</v>
      </c>
      <c r="X43" s="85"/>
      <c r="Y43" s="86"/>
      <c r="Z43" s="86"/>
      <c r="AA43" s="86"/>
      <c r="AB43" s="90">
        <v>46</v>
      </c>
      <c r="AC43" s="85"/>
      <c r="AD43" s="86"/>
      <c r="AE43" s="86"/>
      <c r="AF43" s="86"/>
      <c r="AG43" s="90">
        <v>46</v>
      </c>
      <c r="AH43" s="85"/>
      <c r="AI43" s="86"/>
      <c r="AJ43" s="86"/>
      <c r="AK43" s="86"/>
      <c r="AL43" s="90">
        <v>46</v>
      </c>
      <c r="AM43" s="85"/>
      <c r="AN43" s="86"/>
      <c r="AO43" s="86"/>
      <c r="AP43" s="86"/>
      <c r="AQ43" s="90">
        <v>46</v>
      </c>
    </row>
    <row r="44" spans="1:43" ht="60">
      <c r="A44" s="108" t="s">
        <v>1117</v>
      </c>
      <c r="B44" s="108"/>
      <c r="C44" s="112" t="s">
        <v>1118</v>
      </c>
      <c r="H44" s="90">
        <v>915</v>
      </c>
      <c r="I44" s="85"/>
      <c r="M44" s="90">
        <v>915</v>
      </c>
      <c r="N44" s="85"/>
      <c r="R44" s="90">
        <v>915</v>
      </c>
      <c r="S44" s="85"/>
      <c r="T44" s="86"/>
      <c r="U44" s="86"/>
      <c r="V44" s="86"/>
      <c r="W44" s="90">
        <v>915</v>
      </c>
      <c r="X44" s="85"/>
      <c r="Y44" s="86"/>
      <c r="Z44" s="86"/>
      <c r="AA44" s="86"/>
      <c r="AB44" s="90">
        <v>915</v>
      </c>
      <c r="AC44" s="85"/>
      <c r="AD44" s="86"/>
      <c r="AE44" s="86"/>
      <c r="AF44" s="86"/>
      <c r="AG44" s="90">
        <v>915</v>
      </c>
      <c r="AH44" s="85"/>
      <c r="AI44" s="86"/>
      <c r="AJ44" s="86"/>
      <c r="AK44" s="86"/>
      <c r="AL44" s="90">
        <v>915</v>
      </c>
      <c r="AM44" s="85"/>
      <c r="AN44" s="86"/>
      <c r="AO44" s="86"/>
      <c r="AP44" s="86"/>
      <c r="AQ44" s="90">
        <v>915</v>
      </c>
    </row>
    <row r="45" spans="1:43" ht="36">
      <c r="A45" s="110" t="s">
        <v>1119</v>
      </c>
      <c r="B45" s="108"/>
      <c r="C45" s="108" t="s">
        <v>1120</v>
      </c>
      <c r="H45" s="90">
        <v>575</v>
      </c>
      <c r="I45" s="85"/>
      <c r="M45" s="90">
        <v>575</v>
      </c>
      <c r="N45" s="85"/>
      <c r="R45" s="90">
        <v>575</v>
      </c>
      <c r="S45" s="85"/>
      <c r="T45" s="86"/>
      <c r="U45" s="86"/>
      <c r="V45" s="86"/>
      <c r="W45" s="90">
        <v>575</v>
      </c>
      <c r="X45" s="85"/>
      <c r="Y45" s="86"/>
      <c r="Z45" s="86"/>
      <c r="AA45" s="86"/>
      <c r="AB45" s="90">
        <v>575</v>
      </c>
      <c r="AC45" s="85"/>
      <c r="AD45" s="86"/>
      <c r="AE45" s="86"/>
      <c r="AF45" s="86"/>
      <c r="AG45" s="90">
        <v>575</v>
      </c>
      <c r="AH45" s="85"/>
      <c r="AI45" s="86"/>
      <c r="AJ45" s="86"/>
      <c r="AK45" s="86"/>
      <c r="AL45" s="90">
        <v>575</v>
      </c>
      <c r="AM45" s="85"/>
      <c r="AN45" s="86"/>
      <c r="AO45" s="86"/>
      <c r="AP45" s="86"/>
      <c r="AQ45" s="90">
        <v>575</v>
      </c>
    </row>
    <row r="46" spans="1:43" ht="36">
      <c r="A46" s="108" t="s">
        <v>1121</v>
      </c>
      <c r="B46" s="110"/>
      <c r="C46" s="108" t="s">
        <v>1122</v>
      </c>
      <c r="H46" s="90">
        <v>95</v>
      </c>
      <c r="I46" s="85"/>
      <c r="M46" s="90">
        <v>95</v>
      </c>
      <c r="N46" s="85"/>
      <c r="R46" s="90">
        <v>95</v>
      </c>
      <c r="S46" s="85"/>
      <c r="T46" s="86"/>
      <c r="U46" s="86"/>
      <c r="V46" s="86"/>
      <c r="W46" s="90">
        <v>95</v>
      </c>
      <c r="X46" s="85"/>
      <c r="Y46" s="86"/>
      <c r="Z46" s="86"/>
      <c r="AA46" s="86"/>
      <c r="AB46" s="90">
        <v>95</v>
      </c>
      <c r="AC46" s="85"/>
      <c r="AD46" s="86"/>
      <c r="AE46" s="86"/>
      <c r="AF46" s="86"/>
      <c r="AG46" s="90">
        <v>95</v>
      </c>
      <c r="AH46" s="85"/>
      <c r="AI46" s="86"/>
      <c r="AJ46" s="86"/>
      <c r="AK46" s="86"/>
      <c r="AL46" s="90">
        <v>95</v>
      </c>
      <c r="AM46" s="85"/>
      <c r="AN46" s="86"/>
      <c r="AO46" s="86"/>
      <c r="AP46" s="86"/>
      <c r="AQ46" s="90">
        <v>95</v>
      </c>
    </row>
    <row r="47" spans="1:43" ht="24">
      <c r="A47" s="108"/>
      <c r="B47" s="110"/>
      <c r="C47" s="108" t="s">
        <v>302</v>
      </c>
      <c r="H47" s="90"/>
      <c r="I47" s="85"/>
      <c r="M47" s="90"/>
      <c r="N47" s="85"/>
      <c r="R47" s="90"/>
      <c r="S47" s="85"/>
      <c r="T47" s="86"/>
      <c r="U47" s="86"/>
      <c r="V47" s="86"/>
      <c r="W47" s="90"/>
      <c r="X47" s="85"/>
      <c r="Y47" s="86"/>
      <c r="Z47" s="86"/>
      <c r="AA47" s="86"/>
      <c r="AB47" s="90"/>
      <c r="AC47" s="85"/>
      <c r="AD47" s="86"/>
      <c r="AE47" s="86"/>
      <c r="AF47" s="86"/>
      <c r="AG47" s="90"/>
      <c r="AH47" s="85"/>
      <c r="AI47" s="86"/>
      <c r="AJ47" s="86"/>
      <c r="AK47" s="86"/>
      <c r="AL47" s="90"/>
      <c r="AM47" s="85"/>
      <c r="AN47" s="86"/>
      <c r="AO47" s="86"/>
      <c r="AP47" s="86"/>
      <c r="AQ47" s="90"/>
    </row>
    <row r="48" spans="1:43" ht="108">
      <c r="A48" s="108" t="s">
        <v>1123</v>
      </c>
      <c r="B48" s="108"/>
      <c r="C48" s="108" t="s">
        <v>1124</v>
      </c>
      <c r="H48" s="90">
        <v>1967</v>
      </c>
      <c r="I48" s="85"/>
      <c r="M48" s="90">
        <v>1967</v>
      </c>
      <c r="N48" s="85"/>
      <c r="R48" s="90">
        <v>1967</v>
      </c>
      <c r="S48" s="85"/>
      <c r="T48" s="86"/>
      <c r="U48" s="86"/>
      <c r="V48" s="86"/>
      <c r="W48" s="90">
        <v>1967</v>
      </c>
      <c r="X48" s="85"/>
      <c r="Y48" s="86"/>
      <c r="Z48" s="86"/>
      <c r="AA48" s="86"/>
      <c r="AB48" s="90">
        <v>1967</v>
      </c>
      <c r="AC48" s="85"/>
      <c r="AD48" s="86"/>
      <c r="AE48" s="86"/>
      <c r="AF48" s="86"/>
      <c r="AG48" s="90">
        <v>1967</v>
      </c>
      <c r="AH48" s="85"/>
      <c r="AI48" s="86"/>
      <c r="AJ48" s="86"/>
      <c r="AK48" s="86"/>
      <c r="AL48" s="90">
        <v>1967</v>
      </c>
      <c r="AM48" s="85"/>
      <c r="AN48" s="86"/>
      <c r="AO48" s="86"/>
      <c r="AP48" s="86"/>
      <c r="AQ48" s="90">
        <v>1967</v>
      </c>
    </row>
    <row r="49" spans="1:43" ht="36">
      <c r="A49" s="108" t="s">
        <v>1125</v>
      </c>
      <c r="B49" s="108"/>
      <c r="C49" s="108" t="s">
        <v>1126</v>
      </c>
      <c r="H49" s="90">
        <v>1044</v>
      </c>
      <c r="I49" s="85"/>
      <c r="M49" s="90">
        <v>1044</v>
      </c>
      <c r="N49" s="85"/>
      <c r="R49" s="90">
        <v>1044</v>
      </c>
      <c r="S49" s="85"/>
      <c r="T49" s="86"/>
      <c r="U49" s="86"/>
      <c r="V49" s="86"/>
      <c r="W49" s="90">
        <v>1044</v>
      </c>
      <c r="X49" s="85"/>
      <c r="Y49" s="86"/>
      <c r="Z49" s="86"/>
      <c r="AA49" s="86"/>
      <c r="AB49" s="90">
        <v>1044</v>
      </c>
      <c r="AC49" s="85"/>
      <c r="AD49" s="86"/>
      <c r="AE49" s="86"/>
      <c r="AF49" s="86"/>
      <c r="AG49" s="90">
        <v>1044</v>
      </c>
      <c r="AH49" s="85"/>
      <c r="AI49" s="86"/>
      <c r="AJ49" s="86"/>
      <c r="AK49" s="86"/>
      <c r="AL49" s="90">
        <v>1044</v>
      </c>
      <c r="AM49" s="85"/>
      <c r="AN49" s="86"/>
      <c r="AO49" s="86"/>
      <c r="AP49" s="86"/>
      <c r="AQ49" s="90">
        <v>1044</v>
      </c>
    </row>
    <row r="50" spans="1:43" ht="36">
      <c r="A50" s="108" t="s">
        <v>1127</v>
      </c>
      <c r="B50" s="108"/>
      <c r="C50" s="108" t="s">
        <v>1128</v>
      </c>
      <c r="H50" s="90">
        <v>134</v>
      </c>
      <c r="I50" s="85"/>
      <c r="M50" s="90">
        <v>134</v>
      </c>
      <c r="N50" s="85"/>
      <c r="R50" s="90">
        <v>134</v>
      </c>
      <c r="S50" s="85"/>
      <c r="T50" s="86"/>
      <c r="U50" s="86"/>
      <c r="V50" s="86"/>
      <c r="W50" s="90">
        <v>134</v>
      </c>
      <c r="X50" s="85"/>
      <c r="Y50" s="86"/>
      <c r="Z50" s="86"/>
      <c r="AA50" s="86"/>
      <c r="AB50" s="90">
        <v>134</v>
      </c>
      <c r="AC50" s="85"/>
      <c r="AD50" s="86"/>
      <c r="AE50" s="86"/>
      <c r="AF50" s="86"/>
      <c r="AG50" s="90">
        <v>134</v>
      </c>
      <c r="AH50" s="85"/>
      <c r="AI50" s="86"/>
      <c r="AJ50" s="86"/>
      <c r="AK50" s="86"/>
      <c r="AL50" s="90">
        <v>134</v>
      </c>
      <c r="AM50" s="85"/>
      <c r="AN50" s="86"/>
      <c r="AO50" s="86"/>
      <c r="AP50" s="86"/>
      <c r="AQ50" s="90">
        <v>134</v>
      </c>
    </row>
    <row r="51" spans="1:43" ht="48">
      <c r="A51" s="108" t="s">
        <v>1129</v>
      </c>
      <c r="B51" s="108"/>
      <c r="C51" s="108" t="s">
        <v>1130</v>
      </c>
      <c r="H51" s="90">
        <v>191</v>
      </c>
      <c r="I51" s="85"/>
      <c r="M51" s="90">
        <v>191</v>
      </c>
      <c r="N51" s="85"/>
      <c r="R51" s="90">
        <v>191</v>
      </c>
      <c r="S51" s="85"/>
      <c r="T51" s="86"/>
      <c r="U51" s="86"/>
      <c r="V51" s="86"/>
      <c r="W51" s="90">
        <v>191</v>
      </c>
      <c r="X51" s="85"/>
      <c r="Y51" s="86"/>
      <c r="Z51" s="86"/>
      <c r="AA51" s="86"/>
      <c r="AB51" s="90">
        <v>191</v>
      </c>
      <c r="AC51" s="85"/>
      <c r="AD51" s="86"/>
      <c r="AE51" s="86"/>
      <c r="AF51" s="86"/>
      <c r="AG51" s="90">
        <v>191</v>
      </c>
      <c r="AH51" s="85"/>
      <c r="AI51" s="86"/>
      <c r="AJ51" s="86"/>
      <c r="AK51" s="86"/>
      <c r="AL51" s="90">
        <v>191</v>
      </c>
      <c r="AM51" s="85"/>
      <c r="AN51" s="86"/>
      <c r="AO51" s="86"/>
      <c r="AP51" s="86"/>
      <c r="AQ51" s="90">
        <v>191</v>
      </c>
    </row>
    <row r="52" spans="1:43" ht="36">
      <c r="A52" s="108" t="s">
        <v>1131</v>
      </c>
      <c r="B52" s="108"/>
      <c r="C52" s="108" t="s">
        <v>1132</v>
      </c>
      <c r="H52" s="90">
        <v>138</v>
      </c>
      <c r="I52" s="85"/>
      <c r="M52" s="90">
        <v>138</v>
      </c>
      <c r="N52" s="85"/>
      <c r="R52" s="90">
        <v>138</v>
      </c>
      <c r="S52" s="85"/>
      <c r="T52" s="86"/>
      <c r="U52" s="86"/>
      <c r="V52" s="86"/>
      <c r="W52" s="90">
        <v>138</v>
      </c>
      <c r="X52" s="85"/>
      <c r="Y52" s="86"/>
      <c r="Z52" s="86"/>
      <c r="AA52" s="86"/>
      <c r="AB52" s="90">
        <v>138</v>
      </c>
      <c r="AC52" s="85"/>
      <c r="AD52" s="86"/>
      <c r="AE52" s="86"/>
      <c r="AF52" s="86"/>
      <c r="AG52" s="90">
        <v>138</v>
      </c>
      <c r="AH52" s="85"/>
      <c r="AI52" s="86"/>
      <c r="AJ52" s="86"/>
      <c r="AK52" s="86"/>
      <c r="AL52" s="90">
        <v>138</v>
      </c>
      <c r="AM52" s="85"/>
      <c r="AN52" s="86"/>
      <c r="AO52" s="86"/>
      <c r="AP52" s="86"/>
      <c r="AQ52" s="90">
        <v>138</v>
      </c>
    </row>
    <row r="53" spans="1:43" ht="36">
      <c r="A53" s="108" t="s">
        <v>1133</v>
      </c>
      <c r="B53" s="110"/>
      <c r="C53" s="108" t="s">
        <v>1134</v>
      </c>
      <c r="H53" s="90">
        <v>11</v>
      </c>
      <c r="I53" s="85"/>
      <c r="M53" s="90">
        <v>11</v>
      </c>
      <c r="N53" s="85"/>
      <c r="R53" s="90">
        <v>11</v>
      </c>
      <c r="S53" s="85"/>
      <c r="T53" s="86"/>
      <c r="U53" s="86"/>
      <c r="V53" s="86"/>
      <c r="W53" s="90">
        <v>11</v>
      </c>
      <c r="X53" s="85"/>
      <c r="Y53" s="86"/>
      <c r="Z53" s="86"/>
      <c r="AA53" s="86"/>
      <c r="AB53" s="90">
        <v>11</v>
      </c>
      <c r="AC53" s="85"/>
      <c r="AD53" s="86"/>
      <c r="AE53" s="86"/>
      <c r="AF53" s="86"/>
      <c r="AG53" s="90">
        <v>11</v>
      </c>
      <c r="AH53" s="85"/>
      <c r="AI53" s="86"/>
      <c r="AJ53" s="86"/>
      <c r="AK53" s="86"/>
      <c r="AL53" s="90">
        <v>11</v>
      </c>
      <c r="AM53" s="85"/>
      <c r="AN53" s="86"/>
      <c r="AO53" s="86"/>
      <c r="AP53" s="86"/>
      <c r="AQ53" s="90">
        <v>11</v>
      </c>
    </row>
    <row r="54" spans="1:43" ht="120">
      <c r="A54" s="108" t="s">
        <v>1135</v>
      </c>
      <c r="B54" s="110"/>
      <c r="C54" s="108" t="s">
        <v>1136</v>
      </c>
      <c r="H54" s="90">
        <v>4607</v>
      </c>
      <c r="I54" s="85"/>
      <c r="M54" s="90">
        <v>4607</v>
      </c>
      <c r="N54" s="85"/>
      <c r="R54" s="90">
        <v>4607</v>
      </c>
      <c r="S54" s="85"/>
      <c r="T54" s="86"/>
      <c r="U54" s="86"/>
      <c r="V54" s="86"/>
      <c r="W54" s="90">
        <v>4607</v>
      </c>
      <c r="X54" s="85"/>
      <c r="Y54" s="86"/>
      <c r="Z54" s="86"/>
      <c r="AA54" s="86"/>
      <c r="AB54" s="90">
        <v>4607</v>
      </c>
      <c r="AC54" s="85"/>
      <c r="AD54" s="86"/>
      <c r="AE54" s="86"/>
      <c r="AF54" s="86"/>
      <c r="AG54" s="90">
        <v>4607</v>
      </c>
      <c r="AH54" s="85"/>
      <c r="AI54" s="86"/>
      <c r="AJ54" s="86"/>
      <c r="AK54" s="86"/>
      <c r="AL54" s="90">
        <v>4607</v>
      </c>
      <c r="AM54" s="85"/>
      <c r="AN54" s="86"/>
      <c r="AO54" s="86"/>
      <c r="AP54" s="86"/>
      <c r="AQ54" s="90">
        <v>4607</v>
      </c>
    </row>
    <row r="55" spans="1:43" ht="84">
      <c r="A55" s="110" t="s">
        <v>1137</v>
      </c>
      <c r="B55" s="110"/>
      <c r="C55" s="13" t="s">
        <v>1138</v>
      </c>
      <c r="H55" s="90">
        <v>1799</v>
      </c>
      <c r="I55" s="85"/>
      <c r="M55" s="90">
        <v>1799</v>
      </c>
      <c r="N55" s="85"/>
      <c r="R55" s="90">
        <v>1799</v>
      </c>
      <c r="S55" s="85"/>
      <c r="T55" s="86"/>
      <c r="U55" s="86"/>
      <c r="V55" s="86"/>
      <c r="W55" s="90">
        <v>1799</v>
      </c>
      <c r="X55" s="85"/>
      <c r="Y55" s="86"/>
      <c r="Z55" s="86"/>
      <c r="AA55" s="86"/>
      <c r="AB55" s="90">
        <v>1799</v>
      </c>
      <c r="AC55" s="85"/>
      <c r="AD55" s="86"/>
      <c r="AE55" s="86"/>
      <c r="AF55" s="86"/>
      <c r="AG55" s="90">
        <v>1799</v>
      </c>
      <c r="AH55" s="85"/>
      <c r="AI55" s="86"/>
      <c r="AJ55" s="86"/>
      <c r="AK55" s="86"/>
      <c r="AL55" s="90">
        <v>1799</v>
      </c>
      <c r="AM55" s="85"/>
      <c r="AN55" s="86"/>
      <c r="AO55" s="86"/>
      <c r="AP55" s="86"/>
      <c r="AQ55" s="90">
        <v>1799</v>
      </c>
    </row>
    <row r="56" spans="1:43" ht="60">
      <c r="A56" s="108" t="s">
        <v>1139</v>
      </c>
      <c r="B56" s="108"/>
      <c r="C56" s="108" t="s">
        <v>1140</v>
      </c>
      <c r="H56" s="90">
        <v>2</v>
      </c>
      <c r="I56" s="85"/>
      <c r="M56" s="90">
        <v>2</v>
      </c>
      <c r="N56" s="85"/>
      <c r="R56" s="90">
        <v>2</v>
      </c>
      <c r="S56" s="85"/>
      <c r="T56" s="86"/>
      <c r="U56" s="86"/>
      <c r="V56" s="86"/>
      <c r="W56" s="90">
        <v>2</v>
      </c>
      <c r="X56" s="85"/>
      <c r="Y56" s="86"/>
      <c r="Z56" s="86"/>
      <c r="AA56" s="86"/>
      <c r="AB56" s="90">
        <v>2</v>
      </c>
      <c r="AC56" s="85"/>
      <c r="AD56" s="86"/>
      <c r="AE56" s="86"/>
      <c r="AF56" s="86"/>
      <c r="AG56" s="90">
        <v>2</v>
      </c>
      <c r="AH56" s="85"/>
      <c r="AI56" s="86"/>
      <c r="AJ56" s="86"/>
      <c r="AK56" s="86"/>
      <c r="AL56" s="90">
        <v>2</v>
      </c>
      <c r="AM56" s="85"/>
      <c r="AN56" s="86"/>
      <c r="AO56" s="86"/>
      <c r="AP56" s="86"/>
      <c r="AQ56" s="90">
        <v>2</v>
      </c>
    </row>
    <row r="57" spans="1:43" ht="72">
      <c r="A57" s="108" t="s">
        <v>1141</v>
      </c>
      <c r="B57" s="110"/>
      <c r="C57" s="108" t="s">
        <v>1142</v>
      </c>
      <c r="H57" s="90">
        <v>47</v>
      </c>
      <c r="I57" s="85"/>
      <c r="M57" s="90">
        <v>47</v>
      </c>
      <c r="N57" s="85"/>
      <c r="R57" s="90">
        <v>47</v>
      </c>
      <c r="S57" s="85"/>
      <c r="T57" s="86"/>
      <c r="U57" s="86"/>
      <c r="V57" s="86"/>
      <c r="W57" s="90">
        <v>47</v>
      </c>
      <c r="X57" s="85"/>
      <c r="Y57" s="86"/>
      <c r="Z57" s="86"/>
      <c r="AA57" s="86"/>
      <c r="AB57" s="90">
        <v>47</v>
      </c>
      <c r="AC57" s="85"/>
      <c r="AD57" s="86"/>
      <c r="AE57" s="86"/>
      <c r="AF57" s="86"/>
      <c r="AG57" s="90">
        <v>47</v>
      </c>
      <c r="AH57" s="85"/>
      <c r="AI57" s="86"/>
      <c r="AJ57" s="86"/>
      <c r="AK57" s="86"/>
      <c r="AL57" s="90">
        <v>47</v>
      </c>
      <c r="AM57" s="85"/>
      <c r="AN57" s="86"/>
      <c r="AO57" s="86"/>
      <c r="AP57" s="86"/>
      <c r="AQ57" s="90">
        <v>47</v>
      </c>
    </row>
    <row r="58" spans="1:43" ht="36">
      <c r="A58" s="108" t="s">
        <v>1143</v>
      </c>
      <c r="B58" s="110"/>
      <c r="C58" s="108" t="s">
        <v>1144</v>
      </c>
      <c r="H58" s="90">
        <v>47</v>
      </c>
      <c r="I58" s="85"/>
      <c r="M58" s="90">
        <v>47</v>
      </c>
      <c r="N58" s="85"/>
      <c r="R58" s="90">
        <v>47</v>
      </c>
      <c r="S58" s="85"/>
      <c r="T58" s="86"/>
      <c r="U58" s="86"/>
      <c r="V58" s="86"/>
      <c r="W58" s="90">
        <v>47</v>
      </c>
      <c r="X58" s="85"/>
      <c r="Y58" s="86"/>
      <c r="Z58" s="86"/>
      <c r="AA58" s="86"/>
      <c r="AB58" s="90">
        <v>47</v>
      </c>
      <c r="AC58" s="85"/>
      <c r="AD58" s="86"/>
      <c r="AE58" s="86"/>
      <c r="AF58" s="86"/>
      <c r="AG58" s="90">
        <v>47</v>
      </c>
      <c r="AH58" s="85"/>
      <c r="AI58" s="86"/>
      <c r="AJ58" s="86"/>
      <c r="AK58" s="86"/>
      <c r="AL58" s="90">
        <v>47</v>
      </c>
      <c r="AM58" s="85"/>
      <c r="AN58" s="86"/>
      <c r="AO58" s="86"/>
      <c r="AP58" s="86"/>
      <c r="AQ58" s="90">
        <v>47</v>
      </c>
    </row>
    <row r="59" spans="1:43" ht="48">
      <c r="A59" s="108" t="s">
        <v>1145</v>
      </c>
      <c r="B59" s="110"/>
      <c r="C59" s="108" t="s">
        <v>1146</v>
      </c>
      <c r="H59" s="90">
        <v>4</v>
      </c>
      <c r="I59" s="85"/>
      <c r="M59" s="90">
        <v>4</v>
      </c>
      <c r="N59" s="85"/>
      <c r="R59" s="90">
        <v>4</v>
      </c>
      <c r="S59" s="85"/>
      <c r="T59" s="86"/>
      <c r="U59" s="86"/>
      <c r="V59" s="86"/>
      <c r="W59" s="90">
        <v>4</v>
      </c>
      <c r="X59" s="85"/>
      <c r="Y59" s="86"/>
      <c r="Z59" s="86"/>
      <c r="AA59" s="86"/>
      <c r="AB59" s="90">
        <v>4</v>
      </c>
      <c r="AC59" s="85"/>
      <c r="AD59" s="86"/>
      <c r="AE59" s="86"/>
      <c r="AF59" s="86"/>
      <c r="AG59" s="90">
        <v>4</v>
      </c>
      <c r="AH59" s="85"/>
      <c r="AI59" s="86"/>
      <c r="AJ59" s="86"/>
      <c r="AK59" s="86"/>
      <c r="AL59" s="90">
        <v>4</v>
      </c>
      <c r="AM59" s="85"/>
      <c r="AN59" s="86"/>
      <c r="AO59" s="86"/>
      <c r="AP59" s="86"/>
      <c r="AQ59" s="90">
        <v>4</v>
      </c>
    </row>
    <row r="60" spans="1:43">
      <c r="A60" s="108" t="s">
        <v>1147</v>
      </c>
      <c r="B60" s="110"/>
      <c r="C60" s="111" t="s">
        <v>1148</v>
      </c>
      <c r="I60" s="85"/>
      <c r="M60" s="85"/>
      <c r="N60" s="85"/>
      <c r="R60" s="85"/>
      <c r="S60" s="85"/>
      <c r="T60" s="86"/>
      <c r="U60" s="86"/>
      <c r="V60" s="86"/>
      <c r="W60" s="85"/>
      <c r="X60" s="85"/>
      <c r="Y60" s="86"/>
      <c r="Z60" s="86"/>
      <c r="AA60" s="86"/>
      <c r="AB60" s="85"/>
      <c r="AC60" s="85"/>
      <c r="AD60" s="86"/>
      <c r="AE60" s="86"/>
      <c r="AF60" s="86"/>
      <c r="AG60" s="85"/>
      <c r="AH60" s="85"/>
      <c r="AI60" s="86"/>
      <c r="AJ60" s="86"/>
      <c r="AK60" s="86"/>
      <c r="AL60" s="85"/>
      <c r="AM60" s="85"/>
      <c r="AN60" s="86"/>
      <c r="AO60" s="86"/>
      <c r="AP60" s="86"/>
      <c r="AQ60" s="85"/>
    </row>
    <row r="61" spans="1:43" ht="48">
      <c r="A61" s="108" t="s">
        <v>1149</v>
      </c>
      <c r="B61" s="110"/>
      <c r="C61" s="108" t="s">
        <v>1150</v>
      </c>
      <c r="H61" s="90">
        <v>598</v>
      </c>
      <c r="I61" s="85"/>
      <c r="M61" s="90">
        <v>598</v>
      </c>
      <c r="N61" s="85"/>
      <c r="R61" s="90">
        <v>598</v>
      </c>
      <c r="S61" s="85"/>
      <c r="T61" s="86"/>
      <c r="U61" s="86"/>
      <c r="V61" s="86"/>
      <c r="W61" s="90">
        <v>598</v>
      </c>
      <c r="X61" s="85"/>
      <c r="Y61" s="86"/>
      <c r="Z61" s="86"/>
      <c r="AA61" s="86"/>
      <c r="AB61" s="90">
        <v>598</v>
      </c>
      <c r="AC61" s="85"/>
      <c r="AD61" s="86"/>
      <c r="AE61" s="86"/>
      <c r="AF61" s="86"/>
      <c r="AG61" s="90">
        <v>598</v>
      </c>
      <c r="AH61" s="85"/>
      <c r="AI61" s="86"/>
      <c r="AJ61" s="86"/>
      <c r="AK61" s="86"/>
      <c r="AL61" s="90">
        <v>598</v>
      </c>
      <c r="AM61" s="85"/>
      <c r="AN61" s="86"/>
      <c r="AO61" s="86"/>
      <c r="AP61" s="86"/>
      <c r="AQ61" s="90">
        <v>598</v>
      </c>
    </row>
    <row r="62" spans="1:43" ht="24">
      <c r="A62" s="108"/>
      <c r="B62" s="110"/>
      <c r="C62" s="108" t="s">
        <v>302</v>
      </c>
      <c r="H62" s="90"/>
      <c r="I62" s="85"/>
      <c r="M62" s="90"/>
      <c r="N62" s="85"/>
      <c r="R62" s="90"/>
      <c r="S62" s="85"/>
      <c r="T62" s="86"/>
      <c r="U62" s="86"/>
      <c r="V62" s="86"/>
      <c r="W62" s="90"/>
      <c r="X62" s="85"/>
      <c r="Y62" s="86"/>
      <c r="Z62" s="86"/>
      <c r="AA62" s="86"/>
      <c r="AB62" s="90"/>
      <c r="AC62" s="85"/>
      <c r="AD62" s="86"/>
      <c r="AE62" s="86"/>
      <c r="AF62" s="86"/>
      <c r="AG62" s="90"/>
      <c r="AH62" s="85"/>
      <c r="AI62" s="86"/>
      <c r="AJ62" s="86"/>
      <c r="AK62" s="86"/>
      <c r="AL62" s="90"/>
      <c r="AM62" s="85"/>
      <c r="AN62" s="86"/>
      <c r="AO62" s="86"/>
      <c r="AP62" s="86"/>
      <c r="AQ62" s="90"/>
    </row>
    <row r="63" spans="1:43" ht="24">
      <c r="A63" s="108"/>
      <c r="B63" s="110"/>
      <c r="C63" s="108" t="s">
        <v>302</v>
      </c>
      <c r="H63" s="90"/>
      <c r="I63" s="85"/>
      <c r="M63" s="90"/>
      <c r="N63" s="85"/>
      <c r="R63" s="90"/>
      <c r="S63" s="85"/>
      <c r="T63" s="86"/>
      <c r="U63" s="86"/>
      <c r="V63" s="86"/>
      <c r="W63" s="90"/>
      <c r="X63" s="85"/>
      <c r="Y63" s="86"/>
      <c r="Z63" s="86"/>
      <c r="AA63" s="86"/>
      <c r="AB63" s="90"/>
      <c r="AC63" s="85"/>
      <c r="AD63" s="86"/>
      <c r="AE63" s="86"/>
      <c r="AF63" s="86"/>
      <c r="AG63" s="90"/>
      <c r="AH63" s="85"/>
      <c r="AI63" s="86"/>
      <c r="AJ63" s="86"/>
      <c r="AK63" s="86"/>
      <c r="AL63" s="90"/>
      <c r="AM63" s="85"/>
      <c r="AN63" s="86"/>
      <c r="AO63" s="86"/>
      <c r="AP63" s="86"/>
      <c r="AQ63" s="90"/>
    </row>
    <row r="64" spans="1:43" ht="24">
      <c r="A64" s="108" t="s">
        <v>1151</v>
      </c>
      <c r="B64" s="110"/>
      <c r="C64" s="108" t="s">
        <v>1152</v>
      </c>
      <c r="H64" s="90">
        <v>732</v>
      </c>
      <c r="I64" s="85"/>
      <c r="M64" s="90">
        <v>732</v>
      </c>
      <c r="N64" s="85"/>
      <c r="R64" s="90">
        <v>732</v>
      </c>
      <c r="S64" s="85"/>
      <c r="T64" s="86"/>
      <c r="U64" s="86"/>
      <c r="V64" s="86"/>
      <c r="W64" s="90">
        <v>732</v>
      </c>
      <c r="X64" s="85"/>
      <c r="Y64" s="86"/>
      <c r="Z64" s="86"/>
      <c r="AA64" s="86"/>
      <c r="AB64" s="90">
        <v>732</v>
      </c>
      <c r="AC64" s="85"/>
      <c r="AD64" s="86"/>
      <c r="AE64" s="86"/>
      <c r="AF64" s="86"/>
      <c r="AG64" s="90">
        <v>732</v>
      </c>
      <c r="AH64" s="85"/>
      <c r="AI64" s="86"/>
      <c r="AJ64" s="86"/>
      <c r="AK64" s="86"/>
      <c r="AL64" s="90">
        <v>732</v>
      </c>
      <c r="AM64" s="85"/>
      <c r="AN64" s="86"/>
      <c r="AO64" s="86"/>
      <c r="AP64" s="86"/>
      <c r="AQ64" s="90">
        <v>732</v>
      </c>
    </row>
    <row r="65" spans="1:43" ht="72">
      <c r="A65" s="108" t="s">
        <v>1153</v>
      </c>
      <c r="B65" s="108"/>
      <c r="C65" s="108" t="s">
        <v>1154</v>
      </c>
      <c r="H65" s="90">
        <v>46</v>
      </c>
      <c r="I65" s="85"/>
      <c r="M65" s="90">
        <v>46</v>
      </c>
      <c r="N65" s="85"/>
      <c r="R65" s="90">
        <v>46</v>
      </c>
      <c r="S65" s="85"/>
      <c r="T65" s="86"/>
      <c r="U65" s="86"/>
      <c r="V65" s="86"/>
      <c r="W65" s="90">
        <v>46</v>
      </c>
      <c r="X65" s="85"/>
      <c r="Y65" s="86"/>
      <c r="Z65" s="86"/>
      <c r="AA65" s="86"/>
      <c r="AB65" s="90">
        <v>46</v>
      </c>
      <c r="AC65" s="85"/>
      <c r="AD65" s="86"/>
      <c r="AE65" s="86"/>
      <c r="AF65" s="86"/>
      <c r="AG65" s="90">
        <v>46</v>
      </c>
      <c r="AH65" s="85"/>
      <c r="AI65" s="86"/>
      <c r="AJ65" s="86"/>
      <c r="AK65" s="86"/>
      <c r="AL65" s="90">
        <v>46</v>
      </c>
      <c r="AM65" s="85"/>
      <c r="AN65" s="86"/>
      <c r="AO65" s="86"/>
      <c r="AP65" s="86"/>
      <c r="AQ65" s="90">
        <v>46</v>
      </c>
    </row>
    <row r="66" spans="1:43" ht="48">
      <c r="A66" s="108" t="s">
        <v>1155</v>
      </c>
      <c r="B66" s="108"/>
      <c r="C66" s="108" t="s">
        <v>1156</v>
      </c>
      <c r="H66" s="90">
        <v>49</v>
      </c>
      <c r="I66" s="85"/>
      <c r="M66" s="90">
        <v>49</v>
      </c>
      <c r="N66" s="85"/>
      <c r="R66" s="90">
        <v>49</v>
      </c>
      <c r="S66" s="85"/>
      <c r="T66" s="86"/>
      <c r="U66" s="86"/>
      <c r="V66" s="86"/>
      <c r="W66" s="90">
        <v>49</v>
      </c>
      <c r="X66" s="85"/>
      <c r="Y66" s="86"/>
      <c r="Z66" s="86"/>
      <c r="AA66" s="86"/>
      <c r="AB66" s="90">
        <v>49</v>
      </c>
      <c r="AC66" s="85"/>
      <c r="AD66" s="86"/>
      <c r="AE66" s="86"/>
      <c r="AF66" s="86"/>
      <c r="AG66" s="90">
        <v>49</v>
      </c>
      <c r="AH66" s="85"/>
      <c r="AI66" s="86"/>
      <c r="AJ66" s="86"/>
      <c r="AK66" s="86"/>
      <c r="AL66" s="90">
        <v>49</v>
      </c>
      <c r="AM66" s="85"/>
      <c r="AN66" s="86"/>
      <c r="AO66" s="86"/>
      <c r="AP66" s="86"/>
      <c r="AQ66" s="90">
        <v>49</v>
      </c>
    </row>
    <row r="67" spans="1:43" ht="48">
      <c r="A67" s="108" t="s">
        <v>1157</v>
      </c>
      <c r="B67" s="108"/>
      <c r="C67" s="108" t="s">
        <v>1158</v>
      </c>
      <c r="H67" s="90">
        <v>359</v>
      </c>
      <c r="I67" s="85"/>
      <c r="M67" s="90">
        <v>359</v>
      </c>
      <c r="N67" s="85"/>
      <c r="R67" s="90">
        <v>359</v>
      </c>
      <c r="S67" s="85"/>
      <c r="T67" s="86"/>
      <c r="U67" s="86"/>
      <c r="V67" s="86"/>
      <c r="W67" s="90">
        <v>359</v>
      </c>
      <c r="X67" s="85"/>
      <c r="Y67" s="86"/>
      <c r="Z67" s="86"/>
      <c r="AA67" s="86"/>
      <c r="AB67" s="90">
        <v>359</v>
      </c>
      <c r="AC67" s="85"/>
      <c r="AD67" s="86"/>
      <c r="AE67" s="86"/>
      <c r="AF67" s="86"/>
      <c r="AG67" s="90">
        <v>359</v>
      </c>
      <c r="AH67" s="85"/>
      <c r="AI67" s="86"/>
      <c r="AJ67" s="86"/>
      <c r="AK67" s="86"/>
      <c r="AL67" s="90">
        <v>359</v>
      </c>
      <c r="AM67" s="85"/>
      <c r="AN67" s="86"/>
      <c r="AO67" s="86"/>
      <c r="AP67" s="86"/>
      <c r="AQ67" s="90">
        <v>359</v>
      </c>
    </row>
    <row r="68" spans="1:43" ht="36">
      <c r="A68" s="108" t="s">
        <v>1159</v>
      </c>
      <c r="B68" s="108"/>
      <c r="C68" s="108" t="s">
        <v>1160</v>
      </c>
      <c r="H68" s="90">
        <v>143</v>
      </c>
      <c r="I68" s="85"/>
      <c r="M68" s="90">
        <v>143</v>
      </c>
      <c r="N68" s="85"/>
      <c r="R68" s="90">
        <v>143</v>
      </c>
      <c r="S68" s="85"/>
      <c r="T68" s="86"/>
      <c r="U68" s="86"/>
      <c r="V68" s="86"/>
      <c r="W68" s="90">
        <v>143</v>
      </c>
      <c r="X68" s="85"/>
      <c r="Y68" s="86"/>
      <c r="Z68" s="86"/>
      <c r="AA68" s="86"/>
      <c r="AB68" s="90">
        <v>143</v>
      </c>
      <c r="AC68" s="85"/>
      <c r="AD68" s="86"/>
      <c r="AE68" s="86"/>
      <c r="AF68" s="86"/>
      <c r="AG68" s="90">
        <v>143</v>
      </c>
      <c r="AH68" s="85"/>
      <c r="AI68" s="86"/>
      <c r="AJ68" s="86"/>
      <c r="AK68" s="86"/>
      <c r="AL68" s="90">
        <v>143</v>
      </c>
      <c r="AM68" s="85"/>
      <c r="AN68" s="86"/>
      <c r="AO68" s="86"/>
      <c r="AP68" s="86"/>
      <c r="AQ68" s="90">
        <v>143</v>
      </c>
    </row>
    <row r="69" spans="1:43" ht="60">
      <c r="A69" s="108" t="s">
        <v>1161</v>
      </c>
      <c r="B69" s="110"/>
      <c r="C69" s="108" t="s">
        <v>1162</v>
      </c>
      <c r="H69" s="90">
        <v>76</v>
      </c>
      <c r="I69" s="85"/>
      <c r="M69" s="90">
        <v>76</v>
      </c>
      <c r="N69" s="85"/>
      <c r="R69" s="90">
        <v>76</v>
      </c>
      <c r="S69" s="85"/>
      <c r="T69" s="86"/>
      <c r="U69" s="86"/>
      <c r="V69" s="86"/>
      <c r="W69" s="90">
        <v>76</v>
      </c>
      <c r="X69" s="85"/>
      <c r="Y69" s="86"/>
      <c r="Z69" s="86"/>
      <c r="AA69" s="86"/>
      <c r="AB69" s="90">
        <v>76</v>
      </c>
      <c r="AC69" s="85"/>
      <c r="AD69" s="86"/>
      <c r="AE69" s="86"/>
      <c r="AF69" s="86"/>
      <c r="AG69" s="90">
        <v>76</v>
      </c>
      <c r="AH69" s="85"/>
      <c r="AI69" s="86"/>
      <c r="AJ69" s="86"/>
      <c r="AK69" s="86"/>
      <c r="AL69" s="90">
        <v>76</v>
      </c>
      <c r="AM69" s="85"/>
      <c r="AN69" s="86"/>
      <c r="AO69" s="86"/>
      <c r="AP69" s="86"/>
      <c r="AQ69" s="90">
        <v>76</v>
      </c>
    </row>
    <row r="70" spans="1:43" ht="48">
      <c r="A70" s="108" t="s">
        <v>1163</v>
      </c>
      <c r="B70" s="110"/>
      <c r="C70" s="108" t="s">
        <v>1164</v>
      </c>
      <c r="H70" s="90">
        <v>1697</v>
      </c>
      <c r="I70" s="85"/>
      <c r="M70" s="90">
        <v>1697</v>
      </c>
      <c r="N70" s="85"/>
      <c r="R70" s="90">
        <v>1697</v>
      </c>
      <c r="S70" s="85"/>
      <c r="T70" s="86"/>
      <c r="U70" s="86"/>
      <c r="V70" s="86"/>
      <c r="W70" s="90">
        <v>1697</v>
      </c>
      <c r="X70" s="85"/>
      <c r="Y70" s="86"/>
      <c r="Z70" s="86"/>
      <c r="AA70" s="86"/>
      <c r="AB70" s="90">
        <v>1697</v>
      </c>
      <c r="AC70" s="85"/>
      <c r="AD70" s="86"/>
      <c r="AE70" s="86"/>
      <c r="AF70" s="86"/>
      <c r="AG70" s="90">
        <v>1697</v>
      </c>
      <c r="AH70" s="85"/>
      <c r="AI70" s="86"/>
      <c r="AJ70" s="86"/>
      <c r="AK70" s="86"/>
      <c r="AL70" s="90">
        <v>1697</v>
      </c>
      <c r="AM70" s="85"/>
      <c r="AN70" s="86"/>
      <c r="AO70" s="86"/>
      <c r="AP70" s="86"/>
      <c r="AQ70" s="90">
        <v>1697</v>
      </c>
    </row>
    <row r="71" spans="1:43" ht="48">
      <c r="A71" s="108" t="s">
        <v>1165</v>
      </c>
      <c r="B71" s="110"/>
      <c r="C71" s="108" t="s">
        <v>1166</v>
      </c>
      <c r="H71" s="90">
        <v>69</v>
      </c>
      <c r="I71" s="85"/>
      <c r="M71" s="90">
        <v>69</v>
      </c>
      <c r="N71" s="85"/>
      <c r="R71" s="90">
        <v>69</v>
      </c>
      <c r="S71" s="85"/>
      <c r="T71" s="86"/>
      <c r="U71" s="86"/>
      <c r="V71" s="86"/>
      <c r="W71" s="90">
        <v>69</v>
      </c>
      <c r="X71" s="85"/>
      <c r="Y71" s="86"/>
      <c r="Z71" s="86"/>
      <c r="AA71" s="86"/>
      <c r="AB71" s="90">
        <v>69</v>
      </c>
      <c r="AC71" s="85"/>
      <c r="AD71" s="86"/>
      <c r="AE71" s="86"/>
      <c r="AF71" s="86"/>
      <c r="AG71" s="90">
        <v>69</v>
      </c>
      <c r="AH71" s="85"/>
      <c r="AI71" s="86"/>
      <c r="AJ71" s="86"/>
      <c r="AK71" s="86"/>
      <c r="AL71" s="90">
        <v>69</v>
      </c>
      <c r="AM71" s="85"/>
      <c r="AN71" s="86"/>
      <c r="AO71" s="86"/>
      <c r="AP71" s="86"/>
      <c r="AQ71" s="90">
        <v>69</v>
      </c>
    </row>
    <row r="72" spans="1:43">
      <c r="A72" s="108" t="s">
        <v>1167</v>
      </c>
      <c r="B72" s="110"/>
      <c r="C72" s="111" t="s">
        <v>1168</v>
      </c>
      <c r="I72" s="85"/>
      <c r="M72" s="85"/>
      <c r="N72" s="85"/>
      <c r="R72" s="85"/>
      <c r="S72" s="85"/>
      <c r="T72" s="86"/>
      <c r="U72" s="86"/>
      <c r="V72" s="86"/>
      <c r="W72" s="85"/>
      <c r="X72" s="85"/>
      <c r="Y72" s="86"/>
      <c r="Z72" s="86"/>
      <c r="AA72" s="86"/>
      <c r="AB72" s="85"/>
      <c r="AC72" s="85"/>
      <c r="AD72" s="86"/>
      <c r="AE72" s="86"/>
      <c r="AF72" s="86"/>
      <c r="AG72" s="85"/>
      <c r="AH72" s="85"/>
      <c r="AI72" s="86"/>
      <c r="AJ72" s="86"/>
      <c r="AK72" s="86"/>
      <c r="AL72" s="85"/>
      <c r="AM72" s="85"/>
      <c r="AN72" s="86"/>
      <c r="AO72" s="86"/>
      <c r="AP72" s="86"/>
      <c r="AQ72" s="85"/>
    </row>
    <row r="73" spans="1:43" ht="48">
      <c r="A73" s="108" t="s">
        <v>1169</v>
      </c>
      <c r="B73" s="110"/>
      <c r="C73" s="108" t="s">
        <v>1170</v>
      </c>
      <c r="H73" s="90">
        <v>959</v>
      </c>
      <c r="I73" s="85"/>
      <c r="M73" s="90">
        <v>959</v>
      </c>
      <c r="N73" s="85"/>
      <c r="R73" s="90">
        <v>959</v>
      </c>
      <c r="S73" s="85"/>
      <c r="T73" s="86"/>
      <c r="U73" s="86"/>
      <c r="V73" s="86"/>
      <c r="W73" s="90">
        <v>959</v>
      </c>
      <c r="X73" s="85"/>
      <c r="Y73" s="86"/>
      <c r="Z73" s="86"/>
      <c r="AA73" s="86"/>
      <c r="AB73" s="90">
        <v>959</v>
      </c>
      <c r="AC73" s="85"/>
      <c r="AD73" s="86"/>
      <c r="AE73" s="86"/>
      <c r="AF73" s="86"/>
      <c r="AG73" s="90">
        <v>959</v>
      </c>
      <c r="AH73" s="85"/>
      <c r="AI73" s="86"/>
      <c r="AJ73" s="86"/>
      <c r="AK73" s="86"/>
      <c r="AL73" s="90">
        <v>959</v>
      </c>
      <c r="AM73" s="85"/>
      <c r="AN73" s="86"/>
      <c r="AO73" s="86"/>
      <c r="AP73" s="86"/>
      <c r="AQ73" s="90">
        <v>959</v>
      </c>
    </row>
    <row r="74" spans="1:43" ht="24">
      <c r="A74" s="108" t="s">
        <v>1171</v>
      </c>
      <c r="B74" s="110"/>
      <c r="C74" s="108" t="s">
        <v>1172</v>
      </c>
      <c r="H74" s="90">
        <v>599</v>
      </c>
      <c r="I74" s="85"/>
      <c r="M74" s="90">
        <v>599</v>
      </c>
      <c r="N74" s="85"/>
      <c r="R74" s="90">
        <v>599</v>
      </c>
      <c r="S74" s="85"/>
      <c r="T74" s="86"/>
      <c r="U74" s="86"/>
      <c r="V74" s="86"/>
      <c r="W74" s="90">
        <v>599</v>
      </c>
      <c r="X74" s="85"/>
      <c r="Y74" s="86"/>
      <c r="Z74" s="86"/>
      <c r="AA74" s="86"/>
      <c r="AB74" s="90">
        <v>599</v>
      </c>
      <c r="AC74" s="85"/>
      <c r="AD74" s="86"/>
      <c r="AE74" s="86"/>
      <c r="AF74" s="86"/>
      <c r="AG74" s="90">
        <v>599</v>
      </c>
      <c r="AH74" s="85"/>
      <c r="AI74" s="86"/>
      <c r="AJ74" s="86"/>
      <c r="AK74" s="86"/>
      <c r="AL74" s="90">
        <v>599</v>
      </c>
      <c r="AM74" s="85"/>
      <c r="AN74" s="86"/>
      <c r="AO74" s="86"/>
      <c r="AP74" s="86"/>
      <c r="AQ74" s="90">
        <v>599</v>
      </c>
    </row>
    <row r="75" spans="1:43">
      <c r="A75" s="108" t="s">
        <v>1173</v>
      </c>
      <c r="B75" s="110"/>
      <c r="C75" s="111" t="s">
        <v>1174</v>
      </c>
      <c r="I75" s="85"/>
      <c r="M75" s="85"/>
      <c r="N75" s="85"/>
      <c r="R75" s="85"/>
      <c r="S75" s="85"/>
      <c r="T75" s="86"/>
      <c r="U75" s="86"/>
      <c r="V75" s="86"/>
      <c r="W75" s="85"/>
      <c r="X75" s="85"/>
      <c r="Y75" s="86"/>
      <c r="Z75" s="86"/>
      <c r="AA75" s="86"/>
      <c r="AB75" s="85"/>
      <c r="AC75" s="85"/>
      <c r="AD75" s="86"/>
      <c r="AE75" s="86"/>
      <c r="AF75" s="86"/>
      <c r="AG75" s="85"/>
      <c r="AH75" s="85"/>
      <c r="AI75" s="86"/>
      <c r="AJ75" s="86"/>
      <c r="AK75" s="86"/>
      <c r="AL75" s="85"/>
      <c r="AM75" s="85"/>
      <c r="AN75" s="86"/>
      <c r="AO75" s="86"/>
      <c r="AP75" s="86"/>
      <c r="AQ75" s="85"/>
    </row>
    <row r="76" spans="1:43" ht="24">
      <c r="A76" s="108" t="s">
        <v>1175</v>
      </c>
      <c r="B76" s="110"/>
      <c r="C76" s="108" t="s">
        <v>1176</v>
      </c>
      <c r="H76" s="90">
        <v>719</v>
      </c>
      <c r="I76" s="85"/>
      <c r="M76" s="90">
        <v>719</v>
      </c>
      <c r="N76" s="85"/>
      <c r="R76" s="90">
        <v>719</v>
      </c>
      <c r="S76" s="85"/>
      <c r="T76" s="86"/>
      <c r="U76" s="86"/>
      <c r="V76" s="86"/>
      <c r="W76" s="90">
        <v>719</v>
      </c>
      <c r="X76" s="85"/>
      <c r="Y76" s="86"/>
      <c r="Z76" s="86"/>
      <c r="AA76" s="86"/>
      <c r="AB76" s="90">
        <v>719</v>
      </c>
      <c r="AC76" s="85"/>
      <c r="AD76" s="86"/>
      <c r="AE76" s="86"/>
      <c r="AF76" s="86"/>
      <c r="AG76" s="90">
        <v>719</v>
      </c>
      <c r="AH76" s="85"/>
      <c r="AI76" s="86"/>
      <c r="AJ76" s="86"/>
      <c r="AK76" s="86"/>
      <c r="AL76" s="90">
        <v>719</v>
      </c>
      <c r="AM76" s="85"/>
      <c r="AN76" s="86"/>
      <c r="AO76" s="86"/>
      <c r="AP76" s="86"/>
      <c r="AQ76" s="90">
        <v>719</v>
      </c>
    </row>
    <row r="77" spans="1:43">
      <c r="A77" s="108" t="s">
        <v>1177</v>
      </c>
      <c r="B77" s="110"/>
      <c r="C77" s="111" t="s">
        <v>1178</v>
      </c>
      <c r="I77" s="85"/>
      <c r="M77" s="85"/>
      <c r="N77" s="85"/>
      <c r="R77" s="85"/>
      <c r="S77" s="85"/>
      <c r="T77" s="86"/>
      <c r="U77" s="86"/>
      <c r="V77" s="86"/>
      <c r="W77" s="85"/>
      <c r="X77" s="85"/>
      <c r="Y77" s="86"/>
      <c r="Z77" s="86"/>
      <c r="AA77" s="86"/>
      <c r="AB77" s="85"/>
      <c r="AC77" s="85"/>
      <c r="AD77" s="86"/>
      <c r="AE77" s="86"/>
      <c r="AF77" s="86"/>
      <c r="AG77" s="85"/>
      <c r="AH77" s="85"/>
      <c r="AI77" s="86"/>
      <c r="AJ77" s="86"/>
      <c r="AK77" s="86"/>
      <c r="AL77" s="85"/>
      <c r="AM77" s="85"/>
      <c r="AN77" s="86"/>
      <c r="AO77" s="86"/>
      <c r="AP77" s="86"/>
      <c r="AQ77" s="85"/>
    </row>
    <row r="78" spans="1:43" ht="36">
      <c r="A78" s="108" t="s">
        <v>1179</v>
      </c>
      <c r="B78" s="110"/>
      <c r="C78" s="108" t="s">
        <v>1180</v>
      </c>
      <c r="H78" s="90">
        <v>1051</v>
      </c>
      <c r="I78" s="85"/>
      <c r="M78" s="90">
        <v>1051</v>
      </c>
      <c r="N78" s="85"/>
      <c r="R78" s="90">
        <v>1051</v>
      </c>
      <c r="S78" s="85"/>
      <c r="T78" s="86"/>
      <c r="U78" s="86"/>
      <c r="V78" s="86"/>
      <c r="W78" s="90">
        <v>1051</v>
      </c>
      <c r="X78" s="85"/>
      <c r="Y78" s="86"/>
      <c r="Z78" s="86"/>
      <c r="AA78" s="86"/>
      <c r="AB78" s="90">
        <v>1051</v>
      </c>
      <c r="AC78" s="85"/>
      <c r="AD78" s="86"/>
      <c r="AE78" s="86"/>
      <c r="AF78" s="86"/>
      <c r="AG78" s="90">
        <v>1051</v>
      </c>
      <c r="AH78" s="85"/>
      <c r="AI78" s="86"/>
      <c r="AJ78" s="86"/>
      <c r="AK78" s="86"/>
      <c r="AL78" s="90">
        <v>1051</v>
      </c>
      <c r="AM78" s="85"/>
      <c r="AN78" s="86"/>
      <c r="AO78" s="86"/>
      <c r="AP78" s="86"/>
      <c r="AQ78" s="90">
        <v>1051</v>
      </c>
    </row>
    <row r="79" spans="1:43" ht="24">
      <c r="A79" s="108"/>
      <c r="B79" s="110"/>
      <c r="C79" s="108" t="s">
        <v>302</v>
      </c>
      <c r="H79" s="90"/>
      <c r="I79" s="85"/>
      <c r="M79" s="90"/>
      <c r="N79" s="85"/>
      <c r="R79" s="90"/>
      <c r="S79" s="85"/>
      <c r="T79" s="86"/>
      <c r="U79" s="86"/>
      <c r="V79" s="86"/>
      <c r="W79" s="90"/>
      <c r="X79" s="85"/>
      <c r="Y79" s="86"/>
      <c r="Z79" s="86"/>
      <c r="AA79" s="86"/>
      <c r="AB79" s="90"/>
      <c r="AC79" s="85"/>
      <c r="AD79" s="86"/>
      <c r="AE79" s="86"/>
      <c r="AF79" s="86"/>
      <c r="AG79" s="90"/>
      <c r="AH79" s="85"/>
      <c r="AI79" s="86"/>
      <c r="AJ79" s="86"/>
      <c r="AK79" s="86"/>
      <c r="AL79" s="90"/>
      <c r="AM79" s="85"/>
      <c r="AN79" s="86"/>
      <c r="AO79" s="86"/>
      <c r="AP79" s="86"/>
      <c r="AQ79" s="90"/>
    </row>
    <row r="80" spans="1:43" ht="48">
      <c r="A80" s="108" t="s">
        <v>1181</v>
      </c>
      <c r="B80" s="110"/>
      <c r="C80" s="108" t="s">
        <v>1182</v>
      </c>
      <c r="H80" s="90">
        <v>12</v>
      </c>
      <c r="I80" s="85"/>
      <c r="M80" s="90">
        <v>12</v>
      </c>
      <c r="N80" s="85"/>
      <c r="R80" s="90">
        <v>12</v>
      </c>
      <c r="S80" s="85"/>
      <c r="T80" s="86"/>
      <c r="U80" s="86"/>
      <c r="V80" s="86"/>
      <c r="W80" s="90">
        <v>12</v>
      </c>
      <c r="X80" s="85"/>
      <c r="Y80" s="86"/>
      <c r="Z80" s="86"/>
      <c r="AA80" s="86"/>
      <c r="AB80" s="90">
        <v>12</v>
      </c>
      <c r="AC80" s="85"/>
      <c r="AD80" s="86"/>
      <c r="AE80" s="86"/>
      <c r="AF80" s="86"/>
      <c r="AG80" s="90">
        <v>12</v>
      </c>
      <c r="AH80" s="85"/>
      <c r="AI80" s="86"/>
      <c r="AJ80" s="86"/>
      <c r="AK80" s="86"/>
      <c r="AL80" s="90">
        <v>12</v>
      </c>
      <c r="AM80" s="85"/>
      <c r="AN80" s="86"/>
      <c r="AO80" s="86"/>
      <c r="AP80" s="86"/>
      <c r="AQ80" s="90">
        <v>12</v>
      </c>
    </row>
    <row r="81" spans="1:43">
      <c r="A81" s="108" t="s">
        <v>1183</v>
      </c>
      <c r="B81" s="110"/>
      <c r="C81" s="109" t="s">
        <v>1184</v>
      </c>
      <c r="I81" s="85"/>
      <c r="M81" s="85"/>
      <c r="N81" s="85"/>
      <c r="R81" s="85"/>
      <c r="S81" s="85"/>
      <c r="T81" s="86"/>
      <c r="U81" s="86"/>
      <c r="V81" s="86"/>
      <c r="W81" s="85"/>
      <c r="X81" s="85"/>
      <c r="Y81" s="86"/>
      <c r="Z81" s="86"/>
      <c r="AA81" s="86"/>
      <c r="AB81" s="85"/>
      <c r="AC81" s="85"/>
      <c r="AD81" s="86"/>
      <c r="AE81" s="86"/>
      <c r="AF81" s="86"/>
      <c r="AG81" s="85"/>
      <c r="AH81" s="85"/>
      <c r="AI81" s="86"/>
      <c r="AJ81" s="86"/>
      <c r="AK81" s="86"/>
      <c r="AL81" s="85"/>
      <c r="AM81" s="85"/>
      <c r="AN81" s="86"/>
      <c r="AO81" s="86"/>
      <c r="AP81" s="86"/>
      <c r="AQ81" s="85"/>
    </row>
    <row r="82" spans="1:43" ht="84">
      <c r="A82" s="108" t="s">
        <v>1185</v>
      </c>
      <c r="B82" s="110"/>
      <c r="C82" s="112" t="s">
        <v>1186</v>
      </c>
      <c r="H82" s="90">
        <v>2879</v>
      </c>
      <c r="I82" s="85"/>
      <c r="M82" s="90">
        <v>2879</v>
      </c>
      <c r="N82" s="85"/>
      <c r="R82" s="90">
        <v>2879</v>
      </c>
      <c r="S82" s="85"/>
      <c r="T82" s="86"/>
      <c r="U82" s="86"/>
      <c r="V82" s="86"/>
      <c r="W82" s="90">
        <v>2879</v>
      </c>
      <c r="X82" s="85"/>
      <c r="Y82" s="86"/>
      <c r="Z82" s="86"/>
      <c r="AA82" s="86"/>
      <c r="AB82" s="90">
        <v>2879</v>
      </c>
      <c r="AC82" s="85"/>
      <c r="AD82" s="86"/>
      <c r="AE82" s="86"/>
      <c r="AF82" s="86"/>
      <c r="AG82" s="90">
        <v>2879</v>
      </c>
      <c r="AH82" s="85"/>
      <c r="AI82" s="86"/>
      <c r="AJ82" s="86"/>
      <c r="AK82" s="86"/>
      <c r="AL82" s="90">
        <v>2879</v>
      </c>
      <c r="AM82" s="85"/>
      <c r="AN82" s="86"/>
      <c r="AO82" s="86"/>
      <c r="AP82" s="86"/>
      <c r="AQ82" s="90">
        <v>2879</v>
      </c>
    </row>
    <row r="83" spans="1:43" ht="48">
      <c r="A83" s="108" t="s">
        <v>1187</v>
      </c>
      <c r="B83" s="110"/>
      <c r="C83" s="108" t="s">
        <v>1188</v>
      </c>
      <c r="H83" s="90">
        <v>95</v>
      </c>
      <c r="I83" s="85"/>
      <c r="M83" s="90">
        <v>95</v>
      </c>
      <c r="N83" s="85"/>
      <c r="R83" s="90">
        <v>95</v>
      </c>
      <c r="S83" s="85"/>
      <c r="T83" s="86"/>
      <c r="U83" s="86"/>
      <c r="V83" s="86"/>
      <c r="W83" s="90">
        <v>95</v>
      </c>
      <c r="X83" s="85"/>
      <c r="Y83" s="86"/>
      <c r="Z83" s="86"/>
      <c r="AA83" s="86"/>
      <c r="AB83" s="90">
        <v>95</v>
      </c>
      <c r="AC83" s="85"/>
      <c r="AD83" s="86"/>
      <c r="AE83" s="86"/>
      <c r="AF83" s="86"/>
      <c r="AG83" s="90">
        <v>95</v>
      </c>
      <c r="AH83" s="85"/>
      <c r="AI83" s="86"/>
      <c r="AJ83" s="86"/>
      <c r="AK83" s="86"/>
      <c r="AL83" s="90">
        <v>95</v>
      </c>
      <c r="AM83" s="85"/>
      <c r="AN83" s="86"/>
      <c r="AO83" s="86"/>
      <c r="AP83" s="86"/>
      <c r="AQ83" s="90">
        <v>95</v>
      </c>
    </row>
    <row r="84" spans="1:43" ht="60">
      <c r="A84" s="108" t="s">
        <v>1189</v>
      </c>
      <c r="B84" s="110"/>
      <c r="C84" s="112" t="s">
        <v>1190</v>
      </c>
      <c r="H84" s="90">
        <v>0</v>
      </c>
      <c r="I84" s="85"/>
      <c r="M84" s="90">
        <v>0</v>
      </c>
      <c r="N84" s="85"/>
      <c r="R84" s="90">
        <v>0</v>
      </c>
      <c r="S84" s="85"/>
      <c r="T84" s="86"/>
      <c r="U84" s="86"/>
      <c r="V84" s="86"/>
      <c r="W84" s="90">
        <v>0</v>
      </c>
      <c r="X84" s="85"/>
      <c r="Y84" s="86"/>
      <c r="Z84" s="86"/>
      <c r="AA84" s="86"/>
      <c r="AB84" s="90">
        <v>0</v>
      </c>
      <c r="AC84" s="85"/>
      <c r="AD84" s="86"/>
      <c r="AE84" s="86"/>
      <c r="AF84" s="86"/>
      <c r="AG84" s="90">
        <v>0</v>
      </c>
      <c r="AH84" s="85"/>
      <c r="AI84" s="86"/>
      <c r="AJ84" s="86"/>
      <c r="AK84" s="86"/>
      <c r="AL84" s="90">
        <v>0</v>
      </c>
      <c r="AM84" s="85"/>
      <c r="AN84" s="86"/>
      <c r="AO84" s="86"/>
      <c r="AP84" s="86"/>
      <c r="AQ84" s="90">
        <v>0</v>
      </c>
    </row>
    <row r="85" spans="1:43" ht="60">
      <c r="A85" s="108" t="s">
        <v>1191</v>
      </c>
      <c r="B85" s="110"/>
      <c r="C85" s="108" t="s">
        <v>1192</v>
      </c>
      <c r="H85" s="90">
        <v>15</v>
      </c>
      <c r="I85" s="85"/>
      <c r="M85" s="90">
        <v>15</v>
      </c>
      <c r="N85" s="85"/>
      <c r="R85" s="90">
        <v>15</v>
      </c>
      <c r="S85" s="85"/>
      <c r="T85" s="86"/>
      <c r="U85" s="86"/>
      <c r="V85" s="86"/>
      <c r="W85" s="90">
        <v>15</v>
      </c>
      <c r="X85" s="85"/>
      <c r="Y85" s="86"/>
      <c r="Z85" s="86"/>
      <c r="AA85" s="86"/>
      <c r="AB85" s="90">
        <v>15</v>
      </c>
      <c r="AC85" s="85"/>
      <c r="AD85" s="86"/>
      <c r="AE85" s="86"/>
      <c r="AF85" s="86"/>
      <c r="AG85" s="90">
        <v>15</v>
      </c>
      <c r="AH85" s="85"/>
      <c r="AI85" s="86"/>
      <c r="AJ85" s="86"/>
      <c r="AK85" s="86"/>
      <c r="AL85" s="90">
        <v>15</v>
      </c>
      <c r="AM85" s="85"/>
      <c r="AN85" s="86"/>
      <c r="AO85" s="86"/>
      <c r="AP85" s="86"/>
      <c r="AQ85" s="90">
        <v>15</v>
      </c>
    </row>
    <row r="86" spans="1:43">
      <c r="A86" s="108" t="s">
        <v>1193</v>
      </c>
      <c r="B86" s="110"/>
      <c r="C86" s="109" t="s">
        <v>1194</v>
      </c>
      <c r="I86" s="85"/>
      <c r="M86" s="85"/>
      <c r="N86" s="85"/>
      <c r="R86" s="85"/>
      <c r="S86" s="85"/>
      <c r="T86" s="86"/>
      <c r="U86" s="86"/>
      <c r="V86" s="86"/>
      <c r="W86" s="85"/>
      <c r="X86" s="85"/>
      <c r="Y86" s="86"/>
      <c r="Z86" s="86"/>
      <c r="AA86" s="86"/>
      <c r="AB86" s="85"/>
      <c r="AC86" s="85"/>
      <c r="AD86" s="86"/>
      <c r="AE86" s="86"/>
      <c r="AF86" s="86"/>
      <c r="AG86" s="85"/>
      <c r="AH86" s="85"/>
      <c r="AI86" s="86"/>
      <c r="AJ86" s="86"/>
      <c r="AK86" s="86"/>
      <c r="AL86" s="85"/>
      <c r="AM86" s="85"/>
      <c r="AN86" s="86"/>
      <c r="AO86" s="86"/>
      <c r="AP86" s="86"/>
      <c r="AQ86" s="85"/>
    </row>
    <row r="87" spans="1:43" ht="84">
      <c r="A87" s="108" t="s">
        <v>1195</v>
      </c>
      <c r="B87" s="110"/>
      <c r="C87" s="108" t="s">
        <v>1196</v>
      </c>
      <c r="H87" s="90">
        <v>11350</v>
      </c>
      <c r="I87" s="85"/>
      <c r="M87" s="90">
        <v>11350</v>
      </c>
      <c r="N87" s="85"/>
      <c r="R87" s="90">
        <v>11350</v>
      </c>
      <c r="S87" s="85"/>
      <c r="T87" s="86"/>
      <c r="U87" s="86"/>
      <c r="V87" s="86"/>
      <c r="W87" s="90">
        <v>11350</v>
      </c>
      <c r="X87" s="85"/>
      <c r="Y87" s="86"/>
      <c r="Z87" s="86"/>
      <c r="AA87" s="86"/>
      <c r="AB87" s="90">
        <v>11350</v>
      </c>
      <c r="AC87" s="85"/>
      <c r="AD87" s="86"/>
      <c r="AE87" s="86"/>
      <c r="AF87" s="86"/>
      <c r="AG87" s="90">
        <v>11350</v>
      </c>
      <c r="AH87" s="85"/>
      <c r="AI87" s="86"/>
      <c r="AJ87" s="86"/>
      <c r="AK87" s="86"/>
      <c r="AL87" s="90">
        <v>11350</v>
      </c>
      <c r="AM87" s="85"/>
      <c r="AN87" s="86"/>
      <c r="AO87" s="86"/>
      <c r="AP87" s="86"/>
      <c r="AQ87" s="90">
        <v>11350</v>
      </c>
    </row>
    <row r="88" spans="1:43" ht="24">
      <c r="A88" s="108"/>
      <c r="B88" s="110"/>
      <c r="C88" s="108" t="s">
        <v>302</v>
      </c>
      <c r="H88" s="90"/>
      <c r="I88" s="85"/>
      <c r="M88" s="90"/>
      <c r="N88" s="85"/>
      <c r="R88" s="90"/>
      <c r="S88" s="85"/>
      <c r="T88" s="86"/>
      <c r="U88" s="86"/>
      <c r="V88" s="86"/>
      <c r="W88" s="90"/>
      <c r="X88" s="85"/>
      <c r="Y88" s="86"/>
      <c r="Z88" s="86"/>
      <c r="AA88" s="86"/>
      <c r="AB88" s="90"/>
      <c r="AC88" s="85"/>
      <c r="AD88" s="86"/>
      <c r="AE88" s="86"/>
      <c r="AF88" s="86"/>
      <c r="AG88" s="90"/>
      <c r="AH88" s="85"/>
      <c r="AI88" s="86"/>
      <c r="AJ88" s="86"/>
      <c r="AK88" s="86"/>
      <c r="AL88" s="90"/>
      <c r="AM88" s="85"/>
      <c r="AN88" s="86"/>
      <c r="AO88" s="86"/>
      <c r="AP88" s="86"/>
      <c r="AQ88" s="90"/>
    </row>
    <row r="89" spans="1:43" ht="24">
      <c r="A89" s="110" t="s">
        <v>1197</v>
      </c>
      <c r="B89" s="110"/>
      <c r="C89" s="108" t="s">
        <v>1198</v>
      </c>
      <c r="H89" s="90">
        <v>1600</v>
      </c>
      <c r="I89" s="85"/>
      <c r="M89" s="90">
        <v>1600</v>
      </c>
      <c r="N89" s="85"/>
      <c r="R89" s="90">
        <v>1600</v>
      </c>
      <c r="S89" s="85"/>
      <c r="T89" s="86"/>
      <c r="U89" s="86"/>
      <c r="V89" s="86"/>
      <c r="W89" s="90">
        <v>1600</v>
      </c>
      <c r="X89" s="85"/>
      <c r="Y89" s="86"/>
      <c r="Z89" s="86"/>
      <c r="AA89" s="86"/>
      <c r="AB89" s="90">
        <v>1600</v>
      </c>
      <c r="AC89" s="85"/>
      <c r="AD89" s="86"/>
      <c r="AE89" s="86"/>
      <c r="AF89" s="86"/>
      <c r="AG89" s="90">
        <v>1600</v>
      </c>
      <c r="AH89" s="85"/>
      <c r="AI89" s="86"/>
      <c r="AJ89" s="86"/>
      <c r="AK89" s="86"/>
      <c r="AL89" s="90">
        <v>1600</v>
      </c>
      <c r="AM89" s="85"/>
      <c r="AN89" s="86"/>
      <c r="AO89" s="86"/>
      <c r="AP89" s="86"/>
      <c r="AQ89" s="90">
        <v>1600</v>
      </c>
    </row>
    <row r="90" spans="1:43">
      <c r="A90" s="108" t="s">
        <v>1199</v>
      </c>
      <c r="B90" s="108"/>
      <c r="C90" s="114" t="s">
        <v>702</v>
      </c>
      <c r="I90" s="85"/>
      <c r="M90" s="85"/>
      <c r="N90" s="85"/>
      <c r="R90" s="85"/>
      <c r="S90" s="85"/>
      <c r="T90" s="86"/>
      <c r="U90" s="86"/>
      <c r="V90" s="86"/>
      <c r="W90" s="85"/>
      <c r="X90" s="85"/>
      <c r="Y90" s="86"/>
      <c r="Z90" s="86"/>
      <c r="AA90" s="86"/>
      <c r="AB90" s="85"/>
      <c r="AC90" s="85"/>
      <c r="AD90" s="86"/>
      <c r="AE90" s="86"/>
      <c r="AF90" s="86"/>
      <c r="AG90" s="85"/>
      <c r="AH90" s="85"/>
      <c r="AI90" s="86"/>
      <c r="AJ90" s="86"/>
      <c r="AK90" s="86"/>
      <c r="AL90" s="85"/>
      <c r="AM90" s="85"/>
      <c r="AN90" s="86"/>
      <c r="AO90" s="86"/>
      <c r="AP90" s="86"/>
      <c r="AQ90" s="85"/>
    </row>
    <row r="91" spans="1:43" ht="72">
      <c r="A91" s="108" t="s">
        <v>1200</v>
      </c>
      <c r="B91" s="108"/>
      <c r="C91" s="108" t="s">
        <v>1201</v>
      </c>
      <c r="H91" s="90">
        <v>8408</v>
      </c>
      <c r="I91" s="85"/>
      <c r="M91" s="90">
        <v>8408</v>
      </c>
      <c r="N91" s="85"/>
      <c r="R91" s="90">
        <v>8408</v>
      </c>
      <c r="S91" s="85"/>
      <c r="T91" s="86"/>
      <c r="U91" s="86"/>
      <c r="V91" s="86"/>
      <c r="W91" s="90">
        <v>8408</v>
      </c>
      <c r="X91" s="85"/>
      <c r="Y91" s="86"/>
      <c r="Z91" s="86"/>
      <c r="AA91" s="86"/>
      <c r="AB91" s="90">
        <v>8408</v>
      </c>
      <c r="AC91" s="85"/>
      <c r="AD91" s="86"/>
      <c r="AE91" s="86"/>
      <c r="AF91" s="86"/>
      <c r="AG91" s="90">
        <v>8408</v>
      </c>
      <c r="AH91" s="85"/>
      <c r="AI91" s="86"/>
      <c r="AJ91" s="86"/>
      <c r="AK91" s="86"/>
      <c r="AL91" s="90">
        <v>8408</v>
      </c>
      <c r="AM91" s="85"/>
      <c r="AN91" s="86"/>
      <c r="AO91" s="86"/>
      <c r="AP91" s="86"/>
      <c r="AQ91" s="90">
        <v>8408</v>
      </c>
    </row>
    <row r="92" spans="1:43">
      <c r="A92" s="108" t="s">
        <v>1202</v>
      </c>
      <c r="B92" s="108"/>
      <c r="C92" s="109" t="s">
        <v>410</v>
      </c>
      <c r="I92" s="85"/>
      <c r="M92" s="85"/>
      <c r="N92" s="85"/>
      <c r="R92" s="85"/>
      <c r="S92" s="85"/>
      <c r="T92" s="86"/>
      <c r="U92" s="86"/>
      <c r="V92" s="86"/>
      <c r="W92" s="85"/>
      <c r="X92" s="85"/>
      <c r="Y92" s="86"/>
      <c r="Z92" s="86"/>
      <c r="AA92" s="86"/>
      <c r="AB92" s="85"/>
      <c r="AC92" s="85"/>
      <c r="AD92" s="86"/>
      <c r="AE92" s="86"/>
      <c r="AF92" s="86"/>
      <c r="AG92" s="85"/>
      <c r="AH92" s="85"/>
      <c r="AI92" s="86"/>
      <c r="AJ92" s="86"/>
      <c r="AK92" s="86"/>
      <c r="AL92" s="85"/>
      <c r="AM92" s="85"/>
      <c r="AN92" s="86"/>
      <c r="AO92" s="86"/>
      <c r="AP92" s="86"/>
      <c r="AQ92" s="85"/>
    </row>
    <row r="93" spans="1:43" ht="84">
      <c r="A93" s="108" t="s">
        <v>1203</v>
      </c>
      <c r="B93" s="108"/>
      <c r="C93" s="13" t="s">
        <v>412</v>
      </c>
      <c r="I93" s="85"/>
      <c r="M93" s="85"/>
      <c r="N93" s="85"/>
      <c r="R93" s="85"/>
      <c r="S93" s="85"/>
      <c r="T93" s="86"/>
      <c r="U93" s="86"/>
      <c r="V93" s="86"/>
      <c r="W93" s="85"/>
      <c r="X93" s="85"/>
      <c r="Y93" s="86"/>
      <c r="Z93" s="86"/>
      <c r="AA93" s="86"/>
      <c r="AB93" s="85"/>
      <c r="AC93" s="85"/>
      <c r="AD93" s="86"/>
      <c r="AE93" s="86"/>
      <c r="AF93" s="86"/>
      <c r="AG93" s="85"/>
      <c r="AH93" s="85"/>
      <c r="AI93" s="86"/>
      <c r="AJ93" s="86"/>
      <c r="AK93" s="86"/>
      <c r="AL93" s="85"/>
      <c r="AM93" s="85"/>
      <c r="AN93" s="86"/>
      <c r="AO93" s="86"/>
      <c r="AP93" s="86"/>
      <c r="AQ93" s="85"/>
    </row>
    <row r="94" spans="1:43" ht="48">
      <c r="A94" s="108" t="s">
        <v>1204</v>
      </c>
      <c r="B94" s="110"/>
      <c r="C94" s="108" t="s">
        <v>1205</v>
      </c>
      <c r="G94" s="149">
        <v>9.6489227453248532</v>
      </c>
      <c r="H94" s="90">
        <v>9.65</v>
      </c>
      <c r="I94" s="85"/>
      <c r="L94" s="149">
        <v>9.9552534057908364</v>
      </c>
      <c r="M94" s="90">
        <v>9.9600000000000009</v>
      </c>
      <c r="N94" s="85"/>
      <c r="Q94" s="149">
        <v>10.271376477824933</v>
      </c>
      <c r="R94" s="90">
        <v>10.27</v>
      </c>
      <c r="S94" s="85"/>
      <c r="T94" s="86"/>
      <c r="U94" s="86"/>
      <c r="V94" s="149">
        <v>10.623284980962481</v>
      </c>
      <c r="W94" s="90">
        <v>10.62</v>
      </c>
      <c r="X94" s="85"/>
      <c r="Y94" s="86"/>
      <c r="Z94" s="86"/>
      <c r="AA94" s="149">
        <v>10.987320539870183</v>
      </c>
      <c r="AB94" s="90">
        <v>10.99</v>
      </c>
      <c r="AC94" s="85"/>
      <c r="AD94" s="86"/>
      <c r="AE94" s="86"/>
      <c r="AF94" s="149">
        <v>11.418839460653357</v>
      </c>
      <c r="AG94" s="90">
        <v>11.42</v>
      </c>
      <c r="AH94" s="85"/>
      <c r="AI94" s="86"/>
      <c r="AJ94" s="86"/>
      <c r="AK94" s="149">
        <v>11.924474118546778</v>
      </c>
      <c r="AL94" s="90">
        <v>11.92</v>
      </c>
      <c r="AM94" s="85"/>
      <c r="AN94" s="86"/>
      <c r="AO94" s="86"/>
      <c r="AP94" s="149">
        <v>12.452574876921142</v>
      </c>
      <c r="AQ94" s="90">
        <v>12.45</v>
      </c>
    </row>
    <row r="95" spans="1:43" ht="48">
      <c r="A95" s="108" t="s">
        <v>1206</v>
      </c>
      <c r="B95" s="110"/>
      <c r="C95" s="108" t="s">
        <v>1207</v>
      </c>
      <c r="G95" s="149">
        <v>9.6489227453248532</v>
      </c>
      <c r="H95" s="90">
        <v>9.65</v>
      </c>
      <c r="I95" s="85"/>
      <c r="L95" s="149">
        <v>9.9552534057908364</v>
      </c>
      <c r="M95" s="90">
        <v>9.9600000000000009</v>
      </c>
      <c r="N95" s="85"/>
      <c r="Q95" s="149">
        <v>10.271376477824933</v>
      </c>
      <c r="R95" s="90">
        <v>10.27</v>
      </c>
      <c r="S95" s="85"/>
      <c r="T95" s="86"/>
      <c r="U95" s="86"/>
      <c r="V95" s="149">
        <v>10.623284980962481</v>
      </c>
      <c r="W95" s="90">
        <v>10.62</v>
      </c>
      <c r="X95" s="85"/>
      <c r="Y95" s="86"/>
      <c r="Z95" s="86"/>
      <c r="AA95" s="149">
        <v>10.987320539870183</v>
      </c>
      <c r="AB95" s="90">
        <v>10.99</v>
      </c>
      <c r="AC95" s="85"/>
      <c r="AD95" s="86"/>
      <c r="AE95" s="86"/>
      <c r="AF95" s="149">
        <v>11.418839460653357</v>
      </c>
      <c r="AG95" s="90">
        <v>11.42</v>
      </c>
      <c r="AH95" s="85"/>
      <c r="AI95" s="86"/>
      <c r="AJ95" s="86"/>
      <c r="AK95" s="149">
        <v>11.924474118546778</v>
      </c>
      <c r="AL95" s="90">
        <v>11.92</v>
      </c>
      <c r="AM95" s="85"/>
      <c r="AN95" s="86"/>
      <c r="AO95" s="86"/>
      <c r="AP95" s="149">
        <v>12.452574876921142</v>
      </c>
      <c r="AQ95" s="90">
        <v>12.45</v>
      </c>
    </row>
    <row r="96" spans="1:43" ht="24">
      <c r="A96" s="108" t="s">
        <v>1208</v>
      </c>
      <c r="B96" s="110"/>
      <c r="C96" s="108" t="s">
        <v>1209</v>
      </c>
      <c r="G96" s="149">
        <v>9.6489227453248532</v>
      </c>
      <c r="H96" s="90">
        <v>9.65</v>
      </c>
      <c r="I96" s="85"/>
      <c r="L96" s="149">
        <v>9.9552534057908364</v>
      </c>
      <c r="M96" s="90">
        <v>9.9600000000000009</v>
      </c>
      <c r="N96" s="85"/>
      <c r="Q96" s="149">
        <v>10.271376477824933</v>
      </c>
      <c r="R96" s="90">
        <v>10.27</v>
      </c>
      <c r="S96" s="85"/>
      <c r="T96" s="86"/>
      <c r="U96" s="86"/>
      <c r="V96" s="149">
        <v>10.623284980962481</v>
      </c>
      <c r="W96" s="90">
        <v>10.62</v>
      </c>
      <c r="X96" s="85"/>
      <c r="Y96" s="86"/>
      <c r="Z96" s="86"/>
      <c r="AA96" s="149">
        <v>10.987320539870183</v>
      </c>
      <c r="AB96" s="90">
        <v>10.99</v>
      </c>
      <c r="AC96" s="85"/>
      <c r="AD96" s="86"/>
      <c r="AE96" s="86"/>
      <c r="AF96" s="149">
        <v>11.418839460653357</v>
      </c>
      <c r="AG96" s="90">
        <v>11.42</v>
      </c>
      <c r="AH96" s="85"/>
      <c r="AI96" s="86"/>
      <c r="AJ96" s="86"/>
      <c r="AK96" s="149">
        <v>11.924474118546778</v>
      </c>
      <c r="AL96" s="90">
        <v>11.92</v>
      </c>
      <c r="AM96" s="85"/>
      <c r="AN96" s="86"/>
      <c r="AO96" s="86"/>
      <c r="AP96" s="149">
        <v>12.452574876921142</v>
      </c>
      <c r="AQ96" s="90">
        <v>12.45</v>
      </c>
    </row>
    <row r="97" spans="1:43" ht="48">
      <c r="A97" s="108" t="s">
        <v>1210</v>
      </c>
      <c r="B97" s="110"/>
      <c r="C97" s="108" t="s">
        <v>1211</v>
      </c>
      <c r="G97" s="149">
        <v>9.6489227453248532</v>
      </c>
      <c r="H97" s="90">
        <v>9.65</v>
      </c>
      <c r="I97" s="85"/>
      <c r="L97" s="149">
        <v>9.9552534057908364</v>
      </c>
      <c r="M97" s="90">
        <v>9.9600000000000009</v>
      </c>
      <c r="N97" s="85"/>
      <c r="Q97" s="149">
        <v>10.271376477824933</v>
      </c>
      <c r="R97" s="90">
        <v>10.27</v>
      </c>
      <c r="S97" s="85"/>
      <c r="T97" s="86"/>
      <c r="U97" s="86"/>
      <c r="V97" s="149">
        <v>10.623284980962481</v>
      </c>
      <c r="W97" s="90">
        <v>10.62</v>
      </c>
      <c r="X97" s="85"/>
      <c r="Y97" s="86"/>
      <c r="Z97" s="86"/>
      <c r="AA97" s="149">
        <v>10.987320539870183</v>
      </c>
      <c r="AB97" s="90">
        <v>10.99</v>
      </c>
      <c r="AC97" s="85"/>
      <c r="AD97" s="86"/>
      <c r="AE97" s="86"/>
      <c r="AF97" s="149">
        <v>11.418839460653357</v>
      </c>
      <c r="AG97" s="90">
        <v>11.42</v>
      </c>
      <c r="AH97" s="85"/>
      <c r="AI97" s="86"/>
      <c r="AJ97" s="86"/>
      <c r="AK97" s="149">
        <v>11.924474118546778</v>
      </c>
      <c r="AL97" s="90">
        <v>11.92</v>
      </c>
      <c r="AM97" s="85"/>
      <c r="AN97" s="86"/>
      <c r="AO97" s="86"/>
      <c r="AP97" s="149">
        <v>12.452574876921142</v>
      </c>
      <c r="AQ97" s="90">
        <v>12.45</v>
      </c>
    </row>
    <row r="98" spans="1:43" ht="60">
      <c r="A98" s="108" t="s">
        <v>1212</v>
      </c>
      <c r="B98" s="110"/>
      <c r="C98" s="108" t="s">
        <v>1213</v>
      </c>
      <c r="G98" s="149">
        <v>9.6489227453248532</v>
      </c>
      <c r="H98" s="90">
        <v>9.65</v>
      </c>
      <c r="I98" s="85"/>
      <c r="L98" s="149">
        <v>9.9552534057908364</v>
      </c>
      <c r="M98" s="90">
        <v>9.9600000000000009</v>
      </c>
      <c r="N98" s="85"/>
      <c r="Q98" s="149">
        <v>10.271376477824933</v>
      </c>
      <c r="R98" s="90">
        <v>10.27</v>
      </c>
      <c r="S98" s="85"/>
      <c r="T98" s="86"/>
      <c r="U98" s="86"/>
      <c r="V98" s="149">
        <v>10.623284980962481</v>
      </c>
      <c r="W98" s="90">
        <v>10.62</v>
      </c>
      <c r="X98" s="85"/>
      <c r="Y98" s="86"/>
      <c r="Z98" s="86"/>
      <c r="AA98" s="149">
        <v>10.987320539870183</v>
      </c>
      <c r="AB98" s="90">
        <v>10.99</v>
      </c>
      <c r="AC98" s="85"/>
      <c r="AD98" s="86"/>
      <c r="AE98" s="86"/>
      <c r="AF98" s="149">
        <v>11.418839460653357</v>
      </c>
      <c r="AG98" s="90">
        <v>11.42</v>
      </c>
      <c r="AH98" s="85"/>
      <c r="AI98" s="86"/>
      <c r="AJ98" s="86"/>
      <c r="AK98" s="149">
        <v>11.924474118546778</v>
      </c>
      <c r="AL98" s="90">
        <v>11.92</v>
      </c>
      <c r="AM98" s="85"/>
      <c r="AN98" s="86"/>
      <c r="AO98" s="86"/>
      <c r="AP98" s="149">
        <v>12.452574876921142</v>
      </c>
      <c r="AQ98" s="90">
        <v>12.45</v>
      </c>
    </row>
    <row r="99" spans="1:43" ht="96">
      <c r="A99" s="108" t="s">
        <v>1214</v>
      </c>
      <c r="B99" s="110"/>
      <c r="C99" s="108" t="s">
        <v>1215</v>
      </c>
      <c r="G99" s="149">
        <v>9.6489227453248532</v>
      </c>
      <c r="H99" s="90">
        <v>9.65</v>
      </c>
      <c r="I99" s="85"/>
      <c r="L99" s="149">
        <v>9.9552534057908364</v>
      </c>
      <c r="M99" s="90">
        <v>9.9600000000000009</v>
      </c>
      <c r="N99" s="85"/>
      <c r="Q99" s="149">
        <v>10.271376477824933</v>
      </c>
      <c r="R99" s="90">
        <v>10.27</v>
      </c>
      <c r="S99" s="85"/>
      <c r="T99" s="86"/>
      <c r="U99" s="86"/>
      <c r="V99" s="149">
        <v>10.623284980962481</v>
      </c>
      <c r="W99" s="90">
        <v>10.62</v>
      </c>
      <c r="X99" s="85"/>
      <c r="Y99" s="86"/>
      <c r="Z99" s="86"/>
      <c r="AA99" s="149">
        <v>10.987320539870183</v>
      </c>
      <c r="AB99" s="90">
        <v>10.99</v>
      </c>
      <c r="AC99" s="85"/>
      <c r="AD99" s="86"/>
      <c r="AE99" s="86"/>
      <c r="AF99" s="149">
        <v>11.418839460653357</v>
      </c>
      <c r="AG99" s="90">
        <v>11.42</v>
      </c>
      <c r="AH99" s="85"/>
      <c r="AI99" s="86"/>
      <c r="AJ99" s="86"/>
      <c r="AK99" s="149">
        <v>11.924474118546778</v>
      </c>
      <c r="AL99" s="90">
        <v>11.92</v>
      </c>
      <c r="AM99" s="85"/>
      <c r="AN99" s="86"/>
      <c r="AO99" s="86"/>
      <c r="AP99" s="149">
        <v>12.452574876921142</v>
      </c>
      <c r="AQ99" s="90">
        <v>12.45</v>
      </c>
    </row>
    <row r="100" spans="1:43" ht="48">
      <c r="A100" s="108" t="s">
        <v>1216</v>
      </c>
      <c r="B100" s="110"/>
      <c r="C100" s="108" t="s">
        <v>1217</v>
      </c>
      <c r="G100" s="321"/>
      <c r="H100" s="90">
        <v>9.65</v>
      </c>
      <c r="I100" s="85"/>
      <c r="L100" s="149">
        <v>9.9552534057908364</v>
      </c>
      <c r="M100" s="90">
        <v>9.9600000000000009</v>
      </c>
      <c r="N100" s="85"/>
      <c r="Q100" s="149">
        <v>10.271376477824933</v>
      </c>
      <c r="R100" s="90">
        <v>10.27</v>
      </c>
      <c r="S100" s="85"/>
      <c r="T100" s="86"/>
      <c r="U100" s="86"/>
      <c r="V100" s="149">
        <v>10.623284980962481</v>
      </c>
      <c r="W100" s="90">
        <v>10.62</v>
      </c>
      <c r="X100" s="85"/>
      <c r="Y100" s="86"/>
      <c r="Z100" s="86"/>
      <c r="AA100" s="149">
        <v>10.987320539870183</v>
      </c>
      <c r="AB100" s="90">
        <v>10.99</v>
      </c>
      <c r="AC100" s="85"/>
      <c r="AD100" s="86"/>
      <c r="AE100" s="86"/>
      <c r="AF100" s="149">
        <v>11.418839460653357</v>
      </c>
      <c r="AG100" s="90">
        <v>11.42</v>
      </c>
      <c r="AH100" s="85"/>
      <c r="AI100" s="86"/>
      <c r="AJ100" s="86"/>
      <c r="AK100" s="149">
        <v>11.924474118546778</v>
      </c>
      <c r="AL100" s="90">
        <v>11.92</v>
      </c>
      <c r="AM100" s="85"/>
      <c r="AN100" s="86"/>
      <c r="AO100" s="86"/>
      <c r="AP100" s="149">
        <v>12.452574876921142</v>
      </c>
      <c r="AQ100" s="90">
        <v>12.45</v>
      </c>
    </row>
    <row r="101" spans="1:43">
      <c r="A101" s="110" t="s">
        <v>1218</v>
      </c>
      <c r="B101" s="108"/>
      <c r="C101" s="114" t="s">
        <v>320</v>
      </c>
      <c r="I101" s="85"/>
      <c r="M101" s="85"/>
      <c r="N101" s="85"/>
      <c r="R101" s="85"/>
      <c r="S101" s="85"/>
      <c r="T101" s="86"/>
      <c r="U101" s="86"/>
      <c r="V101" s="86"/>
      <c r="W101" s="85"/>
      <c r="X101" s="85"/>
      <c r="Y101" s="86"/>
      <c r="Z101" s="86"/>
      <c r="AA101" s="86"/>
      <c r="AB101" s="85"/>
      <c r="AC101" s="85"/>
      <c r="AD101" s="86"/>
      <c r="AE101" s="86"/>
      <c r="AF101" s="86"/>
      <c r="AG101" s="85"/>
      <c r="AH101" s="85"/>
      <c r="AI101" s="86"/>
      <c r="AJ101" s="86"/>
      <c r="AK101" s="86"/>
      <c r="AL101" s="85"/>
      <c r="AM101" s="85"/>
      <c r="AN101" s="86"/>
      <c r="AO101" s="86"/>
      <c r="AP101" s="86"/>
      <c r="AQ101" s="85"/>
    </row>
    <row r="102" spans="1:43" ht="120">
      <c r="A102" s="110" t="s">
        <v>1219</v>
      </c>
      <c r="B102" s="108"/>
      <c r="C102" s="112" t="s">
        <v>1220</v>
      </c>
      <c r="H102" s="90">
        <v>0</v>
      </c>
      <c r="I102" s="85"/>
      <c r="M102" s="90">
        <v>0</v>
      </c>
      <c r="N102" s="85"/>
      <c r="R102" s="90">
        <v>0</v>
      </c>
      <c r="S102" s="85"/>
      <c r="T102" s="86"/>
      <c r="U102" s="86"/>
      <c r="V102" s="86"/>
      <c r="W102" s="90">
        <v>0</v>
      </c>
      <c r="X102" s="85"/>
      <c r="Y102" s="86"/>
      <c r="Z102" s="86"/>
      <c r="AA102" s="86"/>
      <c r="AB102" s="90">
        <v>0</v>
      </c>
      <c r="AC102" s="85"/>
      <c r="AD102" s="86"/>
      <c r="AE102" s="86"/>
      <c r="AF102" s="86"/>
      <c r="AG102" s="90">
        <v>0</v>
      </c>
      <c r="AH102" s="85"/>
      <c r="AI102" s="86"/>
      <c r="AJ102" s="86"/>
      <c r="AK102" s="86"/>
      <c r="AL102" s="90">
        <v>0</v>
      </c>
      <c r="AM102" s="85"/>
      <c r="AN102" s="86"/>
      <c r="AO102" s="86"/>
      <c r="AP102" s="86"/>
      <c r="AQ102" s="90">
        <v>0</v>
      </c>
    </row>
    <row r="103" spans="1:43">
      <c r="A103" s="108" t="s">
        <v>1221</v>
      </c>
      <c r="B103" s="108"/>
      <c r="C103" s="109" t="s">
        <v>429</v>
      </c>
      <c r="I103" s="85"/>
      <c r="M103" s="85"/>
      <c r="N103" s="85"/>
      <c r="R103" s="85"/>
      <c r="S103" s="85"/>
      <c r="T103" s="86"/>
      <c r="U103" s="86"/>
      <c r="V103" s="86"/>
      <c r="W103" s="85"/>
      <c r="X103" s="85"/>
      <c r="Y103" s="86"/>
      <c r="Z103" s="86"/>
      <c r="AA103" s="86"/>
      <c r="AB103" s="85"/>
      <c r="AC103" s="85"/>
      <c r="AD103" s="86"/>
      <c r="AE103" s="86"/>
      <c r="AF103" s="86"/>
      <c r="AG103" s="85"/>
      <c r="AH103" s="85"/>
      <c r="AI103" s="86"/>
      <c r="AJ103" s="86"/>
      <c r="AK103" s="86"/>
      <c r="AL103" s="85"/>
      <c r="AM103" s="85"/>
      <c r="AN103" s="86"/>
      <c r="AO103" s="86"/>
      <c r="AP103" s="86"/>
      <c r="AQ103" s="85"/>
    </row>
    <row r="104" spans="1:43">
      <c r="A104" s="108" t="s">
        <v>1222</v>
      </c>
      <c r="B104" s="108"/>
      <c r="C104" s="109" t="s">
        <v>479</v>
      </c>
      <c r="I104" s="85"/>
      <c r="M104" s="85"/>
      <c r="N104" s="85"/>
      <c r="R104" s="85"/>
      <c r="S104" s="85"/>
      <c r="T104" s="86"/>
      <c r="U104" s="86"/>
      <c r="V104" s="86"/>
      <c r="W104" s="85"/>
      <c r="X104" s="85"/>
      <c r="Y104" s="86"/>
      <c r="Z104" s="86"/>
      <c r="AA104" s="86"/>
      <c r="AB104" s="85"/>
      <c r="AC104" s="85"/>
      <c r="AD104" s="86"/>
      <c r="AE104" s="86"/>
      <c r="AF104" s="86"/>
      <c r="AG104" s="85"/>
      <c r="AH104" s="85"/>
      <c r="AI104" s="86"/>
      <c r="AJ104" s="86"/>
      <c r="AK104" s="86"/>
      <c r="AL104" s="85"/>
      <c r="AM104" s="85"/>
      <c r="AN104" s="86"/>
      <c r="AO104" s="86"/>
      <c r="AP104" s="86"/>
      <c r="AQ104" s="85"/>
    </row>
    <row r="105" spans="1:43" ht="48">
      <c r="A105" s="108" t="s">
        <v>1223</v>
      </c>
      <c r="B105" s="108"/>
      <c r="C105" s="108" t="s">
        <v>1224</v>
      </c>
      <c r="H105" s="90">
        <v>24</v>
      </c>
      <c r="I105" s="85"/>
      <c r="M105" s="90">
        <v>24</v>
      </c>
      <c r="N105" s="85"/>
      <c r="R105" s="90">
        <v>24</v>
      </c>
      <c r="S105" s="85"/>
      <c r="T105" s="86"/>
      <c r="U105" s="86"/>
      <c r="V105" s="86"/>
      <c r="W105" s="90">
        <v>24</v>
      </c>
      <c r="X105" s="85"/>
      <c r="Y105" s="86"/>
      <c r="Z105" s="86"/>
      <c r="AA105" s="86"/>
      <c r="AB105" s="90">
        <v>24</v>
      </c>
      <c r="AC105" s="85"/>
      <c r="AD105" s="86"/>
      <c r="AE105" s="86"/>
      <c r="AF105" s="86"/>
      <c r="AG105" s="90">
        <v>24</v>
      </c>
      <c r="AH105" s="85"/>
      <c r="AI105" s="86"/>
      <c r="AJ105" s="86"/>
      <c r="AK105" s="86"/>
      <c r="AL105" s="90">
        <v>24</v>
      </c>
      <c r="AM105" s="85"/>
      <c r="AN105" s="86"/>
      <c r="AO105" s="86"/>
      <c r="AP105" s="86"/>
      <c r="AQ105" s="90">
        <v>24</v>
      </c>
    </row>
    <row r="106" spans="1:43" ht="36">
      <c r="A106" s="108" t="s">
        <v>1225</v>
      </c>
      <c r="B106" s="108"/>
      <c r="C106" s="108" t="s">
        <v>1226</v>
      </c>
      <c r="H106" s="90">
        <v>0</v>
      </c>
      <c r="I106" s="85"/>
      <c r="M106" s="90">
        <v>0</v>
      </c>
      <c r="N106" s="85"/>
      <c r="R106" s="90">
        <v>0</v>
      </c>
      <c r="S106" s="85"/>
      <c r="T106" s="86"/>
      <c r="U106" s="86"/>
      <c r="V106" s="86"/>
      <c r="W106" s="90">
        <v>0</v>
      </c>
      <c r="X106" s="85"/>
      <c r="Y106" s="86"/>
      <c r="Z106" s="86"/>
      <c r="AA106" s="86"/>
      <c r="AB106" s="90">
        <v>0</v>
      </c>
      <c r="AC106" s="85"/>
      <c r="AD106" s="86"/>
      <c r="AE106" s="86"/>
      <c r="AF106" s="86"/>
      <c r="AG106" s="90">
        <v>0</v>
      </c>
      <c r="AH106" s="85"/>
      <c r="AI106" s="86"/>
      <c r="AJ106" s="86"/>
      <c r="AK106" s="86"/>
      <c r="AL106" s="90">
        <v>0</v>
      </c>
      <c r="AM106" s="85"/>
      <c r="AN106" s="86"/>
      <c r="AO106" s="86"/>
      <c r="AP106" s="86"/>
      <c r="AQ106" s="90">
        <v>0</v>
      </c>
    </row>
    <row r="107" spans="1:43" ht="72">
      <c r="A107" s="108" t="s">
        <v>1227</v>
      </c>
      <c r="B107" s="108"/>
      <c r="C107" s="108" t="s">
        <v>1228</v>
      </c>
      <c r="H107" s="90">
        <v>0</v>
      </c>
      <c r="I107" s="85"/>
      <c r="M107" s="90">
        <v>0</v>
      </c>
      <c r="N107" s="85"/>
      <c r="R107" s="90">
        <v>0</v>
      </c>
      <c r="S107" s="85"/>
      <c r="T107" s="86"/>
      <c r="U107" s="86"/>
      <c r="V107" s="86"/>
      <c r="W107" s="90">
        <v>0</v>
      </c>
      <c r="X107" s="85"/>
      <c r="Y107" s="86"/>
      <c r="Z107" s="86"/>
      <c r="AA107" s="86"/>
      <c r="AB107" s="90">
        <v>0</v>
      </c>
      <c r="AC107" s="85"/>
      <c r="AD107" s="86"/>
      <c r="AE107" s="86"/>
      <c r="AF107" s="86"/>
      <c r="AG107" s="90">
        <v>0</v>
      </c>
      <c r="AH107" s="85"/>
      <c r="AI107" s="86"/>
      <c r="AJ107" s="86"/>
      <c r="AK107" s="86"/>
      <c r="AL107" s="90">
        <v>0</v>
      </c>
      <c r="AM107" s="85"/>
      <c r="AN107" s="86"/>
      <c r="AO107" s="86"/>
      <c r="AP107" s="86"/>
      <c r="AQ107" s="90">
        <v>0</v>
      </c>
    </row>
    <row r="108" spans="1:43" ht="36">
      <c r="A108" s="108" t="s">
        <v>1229</v>
      </c>
      <c r="B108" s="108"/>
      <c r="C108" s="108" t="s">
        <v>1230</v>
      </c>
      <c r="H108" s="90">
        <v>12</v>
      </c>
      <c r="I108" s="85"/>
      <c r="M108" s="90">
        <v>12</v>
      </c>
      <c r="N108" s="85"/>
      <c r="R108" s="90">
        <v>12</v>
      </c>
      <c r="S108" s="85"/>
      <c r="T108" s="86"/>
      <c r="U108" s="86"/>
      <c r="V108" s="86"/>
      <c r="W108" s="90">
        <v>12</v>
      </c>
      <c r="X108" s="85"/>
      <c r="Y108" s="86"/>
      <c r="Z108" s="86"/>
      <c r="AA108" s="86"/>
      <c r="AB108" s="90">
        <v>12</v>
      </c>
      <c r="AC108" s="85"/>
      <c r="AD108" s="86"/>
      <c r="AE108" s="86"/>
      <c r="AF108" s="86"/>
      <c r="AG108" s="90">
        <v>12</v>
      </c>
      <c r="AH108" s="85"/>
      <c r="AI108" s="86"/>
      <c r="AJ108" s="86"/>
      <c r="AK108" s="86"/>
      <c r="AL108" s="90">
        <v>12</v>
      </c>
      <c r="AM108" s="85"/>
      <c r="AN108" s="86"/>
      <c r="AO108" s="86"/>
      <c r="AP108" s="86"/>
      <c r="AQ108" s="90">
        <v>12</v>
      </c>
    </row>
    <row r="109" spans="1:43" ht="24">
      <c r="A109" s="110" t="s">
        <v>1231</v>
      </c>
      <c r="B109" s="108"/>
      <c r="C109" s="108" t="s">
        <v>1232</v>
      </c>
      <c r="H109" s="90">
        <v>12</v>
      </c>
      <c r="I109" s="85"/>
      <c r="M109" s="90">
        <v>12</v>
      </c>
      <c r="N109" s="85"/>
      <c r="R109" s="90">
        <v>12</v>
      </c>
      <c r="S109" s="85"/>
      <c r="T109" s="86"/>
      <c r="U109" s="86"/>
      <c r="V109" s="86"/>
      <c r="W109" s="90">
        <v>12</v>
      </c>
      <c r="X109" s="85"/>
      <c r="Y109" s="86"/>
      <c r="Z109" s="86"/>
      <c r="AA109" s="86"/>
      <c r="AB109" s="90">
        <v>12</v>
      </c>
      <c r="AC109" s="85"/>
      <c r="AD109" s="86"/>
      <c r="AE109" s="86"/>
      <c r="AF109" s="86"/>
      <c r="AG109" s="90">
        <v>12</v>
      </c>
      <c r="AH109" s="85"/>
      <c r="AI109" s="86"/>
      <c r="AJ109" s="86"/>
      <c r="AK109" s="86"/>
      <c r="AL109" s="90">
        <v>12</v>
      </c>
      <c r="AM109" s="85"/>
      <c r="AN109" s="86"/>
      <c r="AO109" s="86"/>
      <c r="AP109" s="86"/>
      <c r="AQ109" s="90">
        <v>12</v>
      </c>
    </row>
    <row r="110" spans="1:43">
      <c r="A110" s="110" t="s">
        <v>1233</v>
      </c>
      <c r="B110" s="108"/>
      <c r="C110" s="109" t="s">
        <v>530</v>
      </c>
      <c r="I110" s="85"/>
      <c r="M110" s="85"/>
      <c r="N110" s="85"/>
      <c r="R110" s="85"/>
      <c r="S110" s="85"/>
      <c r="T110" s="86"/>
      <c r="U110" s="86"/>
      <c r="V110" s="86"/>
      <c r="W110" s="85"/>
      <c r="X110" s="85"/>
      <c r="Y110" s="86"/>
      <c r="Z110" s="86"/>
      <c r="AA110" s="86"/>
      <c r="AB110" s="85"/>
      <c r="AC110" s="85"/>
      <c r="AD110" s="86"/>
      <c r="AE110" s="86"/>
      <c r="AF110" s="86"/>
      <c r="AG110" s="85"/>
      <c r="AH110" s="85"/>
      <c r="AI110" s="86"/>
      <c r="AJ110" s="86"/>
      <c r="AK110" s="86"/>
      <c r="AL110" s="85"/>
      <c r="AM110" s="85"/>
      <c r="AN110" s="86"/>
      <c r="AO110" s="86"/>
      <c r="AP110" s="86"/>
      <c r="AQ110" s="85"/>
    </row>
    <row r="111" spans="1:43" ht="48">
      <c r="A111" s="110" t="s">
        <v>1234</v>
      </c>
      <c r="B111" s="108"/>
      <c r="C111" s="108" t="s">
        <v>1235</v>
      </c>
      <c r="H111" s="90">
        <v>12</v>
      </c>
      <c r="I111" s="85"/>
      <c r="M111" s="90">
        <v>12</v>
      </c>
      <c r="N111" s="85"/>
      <c r="R111" s="90">
        <v>12</v>
      </c>
      <c r="S111" s="85"/>
      <c r="T111" s="86"/>
      <c r="U111" s="86"/>
      <c r="V111" s="86"/>
      <c r="W111" s="90">
        <v>12</v>
      </c>
      <c r="X111" s="85"/>
      <c r="Y111" s="86"/>
      <c r="Z111" s="86"/>
      <c r="AA111" s="86"/>
      <c r="AB111" s="90">
        <v>12</v>
      </c>
      <c r="AC111" s="85"/>
      <c r="AD111" s="86"/>
      <c r="AE111" s="86"/>
      <c r="AF111" s="86"/>
      <c r="AG111" s="90">
        <v>12</v>
      </c>
      <c r="AH111" s="85"/>
      <c r="AI111" s="86"/>
      <c r="AJ111" s="86"/>
      <c r="AK111" s="86"/>
      <c r="AL111" s="90">
        <v>12</v>
      </c>
      <c r="AM111" s="85"/>
      <c r="AN111" s="86"/>
      <c r="AO111" s="86"/>
      <c r="AP111" s="86"/>
      <c r="AQ111" s="90">
        <v>12</v>
      </c>
    </row>
    <row r="112" spans="1:43" ht="60">
      <c r="A112" s="115" t="s">
        <v>1236</v>
      </c>
      <c r="B112" s="116"/>
      <c r="C112" s="116" t="s">
        <v>1237</v>
      </c>
      <c r="D112" s="94"/>
      <c r="E112" s="95"/>
      <c r="F112" s="95"/>
      <c r="G112" s="95"/>
      <c r="H112" s="90">
        <v>12</v>
      </c>
      <c r="I112" s="94"/>
      <c r="J112" s="95"/>
      <c r="K112" s="95"/>
      <c r="L112" s="95"/>
      <c r="M112" s="90">
        <v>12</v>
      </c>
      <c r="N112" s="94"/>
      <c r="O112" s="95"/>
      <c r="P112" s="95"/>
      <c r="Q112" s="95"/>
      <c r="R112" s="90">
        <v>12</v>
      </c>
      <c r="S112" s="94"/>
      <c r="T112" s="95"/>
      <c r="U112" s="95"/>
      <c r="V112" s="95"/>
      <c r="W112" s="90">
        <v>12</v>
      </c>
      <c r="X112" s="94"/>
      <c r="Y112" s="95"/>
      <c r="Z112" s="95"/>
      <c r="AA112" s="95"/>
      <c r="AB112" s="90">
        <v>12</v>
      </c>
      <c r="AC112" s="94"/>
      <c r="AD112" s="95"/>
      <c r="AE112" s="95"/>
      <c r="AF112" s="95"/>
      <c r="AG112" s="90">
        <v>12</v>
      </c>
      <c r="AH112" s="94"/>
      <c r="AI112" s="95"/>
      <c r="AJ112" s="95"/>
      <c r="AK112" s="95"/>
      <c r="AL112" s="90">
        <v>12</v>
      </c>
      <c r="AM112" s="94"/>
      <c r="AN112" s="95"/>
      <c r="AO112" s="95"/>
      <c r="AP112" s="95"/>
      <c r="AQ112" s="90">
        <v>12</v>
      </c>
    </row>
    <row r="113" spans="1:46">
      <c r="A113" s="28"/>
      <c r="B113" s="96"/>
      <c r="C113" s="96"/>
      <c r="D113" s="97"/>
      <c r="E113" s="98"/>
      <c r="F113" s="98"/>
      <c r="G113" s="98"/>
      <c r="H113" s="99">
        <f t="shared" ref="H113:AQ113" si="0">SUM(H3:H112)</f>
        <v>95030.549999999959</v>
      </c>
      <c r="I113" s="99">
        <f t="shared" si="0"/>
        <v>5676</v>
      </c>
      <c r="J113" s="99">
        <f t="shared" si="0"/>
        <v>1975.2019177361485</v>
      </c>
      <c r="K113" s="99">
        <f t="shared" si="0"/>
        <v>202221.06243182928</v>
      </c>
      <c r="L113" s="99">
        <f t="shared" si="0"/>
        <v>69.686773840535849</v>
      </c>
      <c r="M113" s="99">
        <f t="shared" si="0"/>
        <v>95032.720000000045</v>
      </c>
      <c r="N113" s="99">
        <f t="shared" si="0"/>
        <v>5676</v>
      </c>
      <c r="O113" s="99">
        <f t="shared" si="0"/>
        <v>2037.9232642122895</v>
      </c>
      <c r="P113" s="99">
        <f t="shared" si="0"/>
        <v>208642.47039405789</v>
      </c>
      <c r="Q113" s="99">
        <f t="shared" si="0"/>
        <v>71.899635344774524</v>
      </c>
      <c r="R113" s="99">
        <f t="shared" si="0"/>
        <v>95034.890000000029</v>
      </c>
      <c r="S113" s="99">
        <f t="shared" si="0"/>
        <v>5676</v>
      </c>
      <c r="T113" s="99">
        <f t="shared" si="0"/>
        <v>2107.744726502804</v>
      </c>
      <c r="U113" s="99">
        <f t="shared" si="0"/>
        <v>215790.78781829085</v>
      </c>
      <c r="V113" s="99">
        <f t="shared" si="0"/>
        <v>74.362994866737367</v>
      </c>
      <c r="W113" s="99">
        <f t="shared" si="0"/>
        <v>95037.339999999967</v>
      </c>
      <c r="X113" s="99">
        <f t="shared" si="0"/>
        <v>5676</v>
      </c>
      <c r="Y113" s="99">
        <f t="shared" si="0"/>
        <v>2179.9722936745634</v>
      </c>
      <c r="Z113" s="99">
        <f t="shared" si="0"/>
        <v>223185.44212638304</v>
      </c>
      <c r="AA113" s="99">
        <f t="shared" si="0"/>
        <v>76.911243779091279</v>
      </c>
      <c r="AB113" s="99">
        <f t="shared" si="0"/>
        <v>95039.930000000037</v>
      </c>
      <c r="AC113" s="99">
        <f t="shared" si="0"/>
        <v>5676</v>
      </c>
      <c r="AD113" s="99">
        <f t="shared" si="0"/>
        <v>2265.589099709312</v>
      </c>
      <c r="AE113" s="99">
        <f t="shared" si="0"/>
        <v>231950.88596425168</v>
      </c>
      <c r="AF113" s="99">
        <f t="shared" si="0"/>
        <v>79.9318762245735</v>
      </c>
      <c r="AG113" s="99">
        <f t="shared" si="0"/>
        <v>95042.939999999988</v>
      </c>
      <c r="AH113" s="99">
        <f t="shared" si="0"/>
        <v>5676</v>
      </c>
      <c r="AI113" s="99">
        <f t="shared" si="0"/>
        <v>2365.9110609126292</v>
      </c>
      <c r="AJ113" s="99">
        <f t="shared" si="0"/>
        <v>242221.8427700407</v>
      </c>
      <c r="AK113" s="99">
        <f t="shared" si="0"/>
        <v>83.471318829827453</v>
      </c>
      <c r="AL113" s="99">
        <f t="shared" si="0"/>
        <v>95046.439999999988</v>
      </c>
      <c r="AM113" s="99">
        <f t="shared" si="0"/>
        <v>5676</v>
      </c>
      <c r="AN113" s="99">
        <f t="shared" si="0"/>
        <v>2470.6904761801702</v>
      </c>
      <c r="AO113" s="99">
        <f t="shared" si="0"/>
        <v>252949.15347489918</v>
      </c>
      <c r="AP113" s="99">
        <f t="shared" si="0"/>
        <v>87.168024138448004</v>
      </c>
      <c r="AQ113" s="99">
        <f t="shared" si="0"/>
        <v>95050.14999999998</v>
      </c>
    </row>
    <row r="114" spans="1:46" s="163" customFormat="1" ht="15">
      <c r="A114" s="162"/>
      <c r="D114" s="342"/>
      <c r="E114" s="342"/>
      <c r="F114" s="342"/>
      <c r="G114" s="342"/>
      <c r="H114" s="168" t="s">
        <v>385</v>
      </c>
      <c r="I114" s="342"/>
      <c r="J114" s="342"/>
      <c r="K114" s="342"/>
      <c r="L114" s="342"/>
      <c r="M114" s="168" t="s">
        <v>385</v>
      </c>
      <c r="N114" s="170"/>
      <c r="O114" s="342"/>
      <c r="P114" s="342"/>
      <c r="Q114" s="342"/>
      <c r="R114" s="168" t="s">
        <v>385</v>
      </c>
      <c r="S114" s="342"/>
      <c r="T114" s="342"/>
      <c r="U114" s="342"/>
      <c r="V114" s="342"/>
      <c r="W114" s="168" t="s">
        <v>385</v>
      </c>
      <c r="X114" s="342"/>
      <c r="Y114" s="342"/>
      <c r="Z114" s="342"/>
      <c r="AA114" s="342"/>
      <c r="AB114" s="168" t="s">
        <v>385</v>
      </c>
      <c r="AC114" s="342"/>
      <c r="AD114" s="342"/>
      <c r="AE114" s="342"/>
      <c r="AF114" s="342"/>
      <c r="AG114" s="168" t="s">
        <v>385</v>
      </c>
      <c r="AH114" s="342"/>
      <c r="AI114" s="342"/>
      <c r="AJ114" s="342"/>
      <c r="AK114" s="342"/>
      <c r="AL114" s="168" t="s">
        <v>385</v>
      </c>
      <c r="AM114" s="342"/>
      <c r="AN114" s="342"/>
      <c r="AO114" s="342"/>
      <c r="AP114" s="342"/>
      <c r="AQ114" s="168" t="s">
        <v>385</v>
      </c>
    </row>
    <row r="115" spans="1:46" s="151" customFormat="1" ht="30">
      <c r="A115" s="150"/>
      <c r="D115" s="152"/>
      <c r="E115" s="153"/>
      <c r="F115" s="153"/>
      <c r="G115" s="153"/>
      <c r="H115" s="154" t="s">
        <v>189</v>
      </c>
      <c r="I115" s="155"/>
      <c r="J115" s="153"/>
      <c r="K115" s="153"/>
      <c r="L115" s="153"/>
      <c r="M115" s="154" t="s">
        <v>1052</v>
      </c>
      <c r="N115" s="155"/>
      <c r="O115" s="153"/>
      <c r="P115" s="153"/>
      <c r="Q115" s="153"/>
      <c r="R115" s="154" t="s">
        <v>1053</v>
      </c>
      <c r="S115" s="156"/>
      <c r="T115" s="153"/>
      <c r="U115" s="153"/>
      <c r="V115" s="153"/>
      <c r="W115" s="154" t="s">
        <v>432</v>
      </c>
      <c r="X115" s="156"/>
      <c r="Y115" s="153"/>
      <c r="Z115" s="153"/>
      <c r="AA115" s="153"/>
      <c r="AB115" s="154" t="s">
        <v>433</v>
      </c>
      <c r="AC115" s="156"/>
      <c r="AD115" s="153"/>
      <c r="AE115" s="153"/>
      <c r="AF115" s="153"/>
      <c r="AG115" s="154" t="s">
        <v>194</v>
      </c>
      <c r="AH115" s="156"/>
      <c r="AI115" s="153"/>
      <c r="AJ115" s="153"/>
      <c r="AK115" s="153"/>
      <c r="AL115" s="154" t="s">
        <v>251</v>
      </c>
      <c r="AM115" s="156"/>
      <c r="AN115" s="153"/>
      <c r="AO115" s="153"/>
      <c r="AP115" s="153"/>
      <c r="AQ115" s="154" t="s">
        <v>252</v>
      </c>
    </row>
    <row r="116" spans="1:46" s="151" customFormat="1" ht="15">
      <c r="A116" s="150"/>
      <c r="C116" s="184" t="s">
        <v>386</v>
      </c>
      <c r="D116" s="152"/>
      <c r="E116" s="153"/>
      <c r="F116" s="153"/>
      <c r="G116" s="153"/>
      <c r="H116" s="157">
        <f>SUM(H117:H138)</f>
        <v>918732.16066428402</v>
      </c>
      <c r="I116" s="157">
        <f>SUM(I117:I128)</f>
        <v>0</v>
      </c>
      <c r="J116" s="157">
        <f>SUM(J117:J128)</f>
        <v>0</v>
      </c>
      <c r="K116" s="157">
        <f>SUM(K117:K128)</f>
        <v>0</v>
      </c>
      <c r="L116" s="157">
        <f>SUM(L117:L128)</f>
        <v>0</v>
      </c>
      <c r="M116" s="157">
        <f>SUM(M117:M138)</f>
        <v>937311.36917411478</v>
      </c>
      <c r="N116" s="157">
        <f>SUM(N117:N128)</f>
        <v>0</v>
      </c>
      <c r="O116" s="157">
        <f>SUM(O117:O128)</f>
        <v>0</v>
      </c>
      <c r="P116" s="157">
        <f>SUM(P117:P128)</f>
        <v>0</v>
      </c>
      <c r="Q116" s="157">
        <f>SUM(Q117:Q128)</f>
        <v>0</v>
      </c>
      <c r="R116" s="157">
        <f t="shared" ref="R116:AQ116" si="1">SUM(R117:R138)</f>
        <v>972081.04446368897</v>
      </c>
      <c r="S116" s="157">
        <f t="shared" si="1"/>
        <v>0</v>
      </c>
      <c r="T116" s="157">
        <f t="shared" si="1"/>
        <v>0</v>
      </c>
      <c r="U116" s="157">
        <f t="shared" si="1"/>
        <v>0</v>
      </c>
      <c r="V116" s="157">
        <f t="shared" si="1"/>
        <v>0</v>
      </c>
      <c r="W116" s="157">
        <f t="shared" si="1"/>
        <v>1015972.70164714</v>
      </c>
      <c r="X116" s="157">
        <f t="shared" si="1"/>
        <v>0</v>
      </c>
      <c r="Y116" s="157">
        <f t="shared" si="1"/>
        <v>0</v>
      </c>
      <c r="Z116" s="157">
        <f t="shared" si="1"/>
        <v>0</v>
      </c>
      <c r="AA116" s="157">
        <f t="shared" si="1"/>
        <v>0</v>
      </c>
      <c r="AB116" s="157">
        <f t="shared" si="1"/>
        <v>1051150.38042769</v>
      </c>
      <c r="AC116" s="157">
        <f t="shared" si="1"/>
        <v>0</v>
      </c>
      <c r="AD116" s="157">
        <f t="shared" si="1"/>
        <v>0</v>
      </c>
      <c r="AE116" s="157">
        <f t="shared" si="1"/>
        <v>0</v>
      </c>
      <c r="AF116" s="157">
        <f t="shared" si="1"/>
        <v>0</v>
      </c>
      <c r="AG116" s="157">
        <f t="shared" si="1"/>
        <v>1092327.2017020201</v>
      </c>
      <c r="AH116" s="157">
        <f t="shared" si="1"/>
        <v>0</v>
      </c>
      <c r="AI116" s="157">
        <f t="shared" si="1"/>
        <v>0</v>
      </c>
      <c r="AJ116" s="157">
        <f t="shared" si="1"/>
        <v>0</v>
      </c>
      <c r="AK116" s="157">
        <f t="shared" si="1"/>
        <v>0</v>
      </c>
      <c r="AL116" s="157">
        <f t="shared" si="1"/>
        <v>1140508.05571956</v>
      </c>
      <c r="AM116" s="157">
        <f t="shared" si="1"/>
        <v>0</v>
      </c>
      <c r="AN116" s="157">
        <f t="shared" si="1"/>
        <v>0</v>
      </c>
      <c r="AO116" s="157">
        <f t="shared" si="1"/>
        <v>0</v>
      </c>
      <c r="AP116" s="157">
        <f t="shared" si="1"/>
        <v>0</v>
      </c>
      <c r="AQ116" s="157">
        <f t="shared" si="1"/>
        <v>1190823.1880370595</v>
      </c>
    </row>
    <row r="117" spans="1:46" s="151" customFormat="1" ht="15">
      <c r="A117" s="150"/>
      <c r="C117" s="184" t="s">
        <v>387</v>
      </c>
      <c r="D117" s="152"/>
      <c r="E117" s="153"/>
      <c r="F117" s="153"/>
      <c r="G117" s="153"/>
      <c r="H117" s="157">
        <v>916290.65066428401</v>
      </c>
      <c r="I117" s="155"/>
      <c r="J117" s="153"/>
      <c r="K117" s="153"/>
      <c r="L117" s="153"/>
      <c r="M117" s="157">
        <v>945380.729174115</v>
      </c>
      <c r="N117" s="155"/>
      <c r="O117" s="153"/>
      <c r="P117" s="153"/>
      <c r="Q117" s="153"/>
      <c r="R117" s="157">
        <v>975400.72446368902</v>
      </c>
      <c r="S117" s="156"/>
      <c r="T117" s="153"/>
      <c r="U117" s="153"/>
      <c r="V117" s="153"/>
      <c r="W117" s="157">
        <v>1008819.01164714</v>
      </c>
      <c r="X117" s="156"/>
      <c r="Y117" s="153"/>
      <c r="Z117" s="153"/>
      <c r="AA117" s="153"/>
      <c r="AB117" s="157">
        <v>1043388.92042769</v>
      </c>
      <c r="AC117" s="156"/>
      <c r="AD117" s="153"/>
      <c r="AE117" s="153"/>
      <c r="AF117" s="153"/>
      <c r="AG117" s="157">
        <v>1084367.2517020199</v>
      </c>
      <c r="AH117" s="156"/>
      <c r="AI117" s="153"/>
      <c r="AJ117" s="153"/>
      <c r="AK117" s="153"/>
      <c r="AL117" s="157">
        <v>1132383.83571956</v>
      </c>
      <c r="AM117" s="156"/>
      <c r="AN117" s="153"/>
      <c r="AO117" s="153"/>
      <c r="AP117" s="153"/>
      <c r="AQ117" s="157">
        <v>1182533.8680370599</v>
      </c>
    </row>
    <row r="118" spans="1:46" s="151" customFormat="1" ht="15">
      <c r="A118" s="150"/>
      <c r="C118" s="151" t="s">
        <v>1238</v>
      </c>
      <c r="D118" s="152"/>
      <c r="E118" s="153"/>
      <c r="F118" s="153"/>
      <c r="G118" s="153"/>
      <c r="H118" s="157">
        <v>965.5</v>
      </c>
      <c r="I118" s="155"/>
      <c r="J118" s="153"/>
      <c r="K118" s="153"/>
      <c r="L118" s="153"/>
      <c r="M118" s="157">
        <v>996.15</v>
      </c>
      <c r="N118" s="155"/>
      <c r="O118" s="153"/>
      <c r="P118" s="153"/>
      <c r="Q118" s="153"/>
      <c r="R118" s="157">
        <v>1027.79</v>
      </c>
      <c r="S118" s="156"/>
      <c r="T118" s="153"/>
      <c r="U118" s="153"/>
      <c r="V118" s="153"/>
      <c r="W118" s="157">
        <v>1063</v>
      </c>
      <c r="X118" s="156"/>
      <c r="Y118" s="153"/>
      <c r="Z118" s="153"/>
      <c r="AA118" s="153"/>
      <c r="AB118" s="157">
        <v>1099.42</v>
      </c>
      <c r="AC118" s="156"/>
      <c r="AD118" s="153"/>
      <c r="AE118" s="153"/>
      <c r="AF118" s="153"/>
      <c r="AG118" s="157">
        <v>1142.5999999999999</v>
      </c>
      <c r="AH118" s="156"/>
      <c r="AI118" s="153"/>
      <c r="AJ118" s="153"/>
      <c r="AK118" s="153"/>
      <c r="AL118" s="157">
        <v>1193.2</v>
      </c>
      <c r="AM118" s="156"/>
      <c r="AN118" s="153"/>
      <c r="AO118" s="153"/>
      <c r="AP118" s="153"/>
      <c r="AQ118" s="157">
        <v>1246.04</v>
      </c>
    </row>
    <row r="119" spans="1:46" s="151" customFormat="1" ht="15">
      <c r="A119" s="150"/>
      <c r="C119" s="151" t="s">
        <v>1239</v>
      </c>
      <c r="D119" s="152"/>
      <c r="E119" s="153"/>
      <c r="F119" s="153"/>
      <c r="G119" s="153"/>
      <c r="H119" s="157">
        <v>2644.77</v>
      </c>
      <c r="I119" s="155"/>
      <c r="J119" s="153"/>
      <c r="K119" s="153"/>
      <c r="L119" s="153"/>
      <c r="M119" s="157">
        <v>2728.61</v>
      </c>
      <c r="N119" s="155"/>
      <c r="O119" s="153"/>
      <c r="P119" s="153"/>
      <c r="Q119" s="153"/>
      <c r="R119" s="157">
        <v>2815.38</v>
      </c>
      <c r="S119" s="156"/>
      <c r="T119" s="153"/>
      <c r="U119" s="153"/>
      <c r="V119" s="153"/>
      <c r="W119" s="157">
        <v>2911.95</v>
      </c>
      <c r="X119" s="156"/>
      <c r="Y119" s="153"/>
      <c r="Z119" s="153"/>
      <c r="AA119" s="153"/>
      <c r="AB119" s="157">
        <v>3011.83</v>
      </c>
      <c r="AC119" s="156"/>
      <c r="AD119" s="153"/>
      <c r="AE119" s="153"/>
      <c r="AF119" s="153"/>
      <c r="AG119" s="157">
        <v>3130.19</v>
      </c>
      <c r="AH119" s="156"/>
      <c r="AI119" s="153"/>
      <c r="AJ119" s="153"/>
      <c r="AK119" s="153"/>
      <c r="AL119" s="157">
        <v>3268.86</v>
      </c>
      <c r="AM119" s="156"/>
      <c r="AN119" s="153"/>
      <c r="AO119" s="153"/>
      <c r="AP119" s="153"/>
      <c r="AQ119" s="157">
        <v>3413.67</v>
      </c>
    </row>
    <row r="120" spans="1:46" ht="15">
      <c r="C120" s="151" t="s">
        <v>1240</v>
      </c>
      <c r="H120" s="157">
        <v>439.39</v>
      </c>
      <c r="I120" s="155"/>
      <c r="J120" s="153"/>
      <c r="K120" s="153"/>
      <c r="L120" s="153"/>
      <c r="M120" s="157">
        <v>453.32</v>
      </c>
      <c r="N120" s="155"/>
      <c r="O120" s="153"/>
      <c r="P120" s="153"/>
      <c r="Q120" s="153"/>
      <c r="R120" s="157">
        <v>467.73</v>
      </c>
      <c r="S120" s="156"/>
      <c r="T120" s="153"/>
      <c r="U120" s="153"/>
      <c r="V120" s="153"/>
      <c r="W120" s="157">
        <v>483.78</v>
      </c>
      <c r="X120" s="156"/>
      <c r="Y120" s="153"/>
      <c r="Z120" s="153"/>
      <c r="AA120" s="153"/>
      <c r="AB120" s="157">
        <v>500.37</v>
      </c>
      <c r="AC120" s="156"/>
      <c r="AD120" s="153"/>
      <c r="AE120" s="153"/>
      <c r="AF120" s="153"/>
      <c r="AG120" s="157">
        <v>520.04</v>
      </c>
      <c r="AH120" s="156"/>
      <c r="AI120" s="153"/>
      <c r="AJ120" s="153"/>
      <c r="AK120" s="153"/>
      <c r="AL120" s="157">
        <v>543.08000000000004</v>
      </c>
      <c r="AM120" s="156"/>
      <c r="AN120" s="153"/>
      <c r="AO120" s="153"/>
      <c r="AP120" s="153"/>
      <c r="AQ120" s="157">
        <v>567.13</v>
      </c>
    </row>
    <row r="121" spans="1:46" ht="15">
      <c r="C121" s="151" t="s">
        <v>1241</v>
      </c>
      <c r="H121" s="261">
        <v>-1608.15</v>
      </c>
      <c r="I121" s="155"/>
      <c r="J121" s="153"/>
      <c r="K121" s="153"/>
      <c r="L121" s="153"/>
      <c r="M121" s="261">
        <v>-3981.92</v>
      </c>
      <c r="N121" s="155"/>
      <c r="O121" s="153"/>
      <c r="P121" s="153"/>
      <c r="Q121" s="153"/>
      <c r="R121" s="261">
        <v>-4108.54</v>
      </c>
      <c r="S121" s="156"/>
      <c r="T121" s="153"/>
      <c r="U121" s="153"/>
      <c r="V121" s="153"/>
      <c r="W121" s="261">
        <v>-4249.46</v>
      </c>
      <c r="X121" s="156"/>
      <c r="Y121" s="153"/>
      <c r="Z121" s="153"/>
      <c r="AA121" s="153"/>
      <c r="AB121" s="261">
        <v>-4395.22</v>
      </c>
      <c r="AC121" s="156"/>
      <c r="AD121" s="153"/>
      <c r="AE121" s="153"/>
      <c r="AF121" s="153"/>
      <c r="AG121" s="261">
        <v>-4567.96</v>
      </c>
      <c r="AH121" s="156"/>
      <c r="AI121" s="153"/>
      <c r="AJ121" s="153"/>
      <c r="AK121" s="153"/>
      <c r="AL121" s="261">
        <v>-4770.32</v>
      </c>
      <c r="AM121" s="156"/>
      <c r="AN121" s="153"/>
      <c r="AO121" s="153"/>
      <c r="AP121" s="153"/>
      <c r="AQ121" s="261">
        <v>-4981.6499999999996</v>
      </c>
    </row>
    <row r="122" spans="1:46" ht="15">
      <c r="C122" s="151" t="s">
        <v>1242</v>
      </c>
      <c r="H122" s="262">
        <v>0</v>
      </c>
      <c r="I122" s="262"/>
      <c r="J122" s="262"/>
      <c r="K122" s="262"/>
      <c r="L122" s="262"/>
      <c r="M122" s="262">
        <v>17997.7</v>
      </c>
      <c r="N122" s="262"/>
      <c r="O122" s="262"/>
      <c r="P122" s="262"/>
      <c r="Q122" s="262"/>
      <c r="R122" s="262">
        <v>18570.03</v>
      </c>
      <c r="S122" s="262"/>
      <c r="T122" s="262"/>
      <c r="U122" s="262"/>
      <c r="V122" s="262"/>
      <c r="W122" s="262">
        <v>19206.98</v>
      </c>
      <c r="X122" s="262"/>
      <c r="Y122" s="262"/>
      <c r="Z122" s="262"/>
      <c r="AA122" s="262"/>
      <c r="AB122" s="262">
        <v>19865.78</v>
      </c>
      <c r="AC122" s="262"/>
      <c r="AD122" s="262"/>
      <c r="AE122" s="262"/>
      <c r="AF122" s="262"/>
      <c r="AG122" s="262">
        <v>20646.5</v>
      </c>
      <c r="AH122" s="262"/>
      <c r="AI122" s="262"/>
      <c r="AJ122" s="262"/>
      <c r="AK122" s="262"/>
      <c r="AL122" s="262">
        <v>21561.14</v>
      </c>
      <c r="AM122" s="262"/>
      <c r="AN122" s="262"/>
      <c r="AO122" s="262"/>
      <c r="AP122" s="262"/>
      <c r="AQ122" s="262">
        <v>22516.3</v>
      </c>
    </row>
    <row r="123" spans="1:46" ht="15">
      <c r="C123" s="151" t="s">
        <v>1243</v>
      </c>
      <c r="H123" s="262">
        <v>0</v>
      </c>
      <c r="I123" s="262"/>
      <c r="J123" s="262"/>
      <c r="K123" s="262"/>
      <c r="L123" s="262"/>
      <c r="M123" s="262">
        <v>2060.46</v>
      </c>
      <c r="N123" s="262"/>
      <c r="O123" s="262"/>
      <c r="P123" s="262"/>
      <c r="Q123" s="262"/>
      <c r="R123" s="262">
        <v>3679.51</v>
      </c>
      <c r="S123" s="262"/>
      <c r="T123" s="262"/>
      <c r="U123" s="262"/>
      <c r="V123" s="262"/>
      <c r="W123" s="262">
        <v>3803.7</v>
      </c>
      <c r="X123" s="262"/>
      <c r="Y123" s="262"/>
      <c r="Z123" s="262"/>
      <c r="AA123" s="262"/>
      <c r="AB123" s="262">
        <v>3932.08</v>
      </c>
      <c r="AC123" s="262"/>
      <c r="AD123" s="262"/>
      <c r="AE123" s="262"/>
      <c r="AF123" s="262"/>
      <c r="AG123" s="262">
        <v>4079.8</v>
      </c>
      <c r="AH123" s="262"/>
      <c r="AI123" s="262"/>
      <c r="AJ123" s="262"/>
      <c r="AK123" s="262"/>
      <c r="AL123" s="262">
        <v>4248.67</v>
      </c>
      <c r="AM123" s="262"/>
      <c r="AN123" s="262"/>
      <c r="AO123" s="262"/>
      <c r="AP123" s="262"/>
      <c r="AQ123" s="262">
        <v>4424.6400000000003</v>
      </c>
    </row>
    <row r="124" spans="1:46" ht="15">
      <c r="C124" s="151" t="s">
        <v>388</v>
      </c>
      <c r="H124" s="262">
        <v>0</v>
      </c>
      <c r="I124" s="262"/>
      <c r="J124" s="262"/>
      <c r="K124" s="262"/>
      <c r="L124" s="262"/>
      <c r="M124" s="262">
        <v>-48571.68</v>
      </c>
      <c r="N124" s="262"/>
      <c r="O124" s="262"/>
      <c r="P124" s="262"/>
      <c r="Q124" s="262"/>
      <c r="R124" s="262">
        <v>-50114.05</v>
      </c>
      <c r="S124" s="262"/>
      <c r="T124" s="262"/>
      <c r="U124" s="262"/>
      <c r="V124" s="262"/>
      <c r="W124" s="262">
        <v>-51831.01</v>
      </c>
      <c r="X124" s="262"/>
      <c r="Y124" s="262"/>
      <c r="Z124" s="262"/>
      <c r="AA124" s="262"/>
      <c r="AB124" s="262">
        <v>-53607.14</v>
      </c>
      <c r="AC124" s="262"/>
      <c r="AD124" s="262"/>
      <c r="AE124" s="262"/>
      <c r="AF124" s="262"/>
      <c r="AG124" s="262">
        <v>-55712.52</v>
      </c>
      <c r="AH124" s="262"/>
      <c r="AI124" s="262"/>
      <c r="AJ124" s="262"/>
      <c r="AK124" s="262"/>
      <c r="AL124" s="262">
        <v>-58179.51</v>
      </c>
      <c r="AM124" s="262"/>
      <c r="AN124" s="262"/>
      <c r="AO124" s="262"/>
      <c r="AP124" s="262"/>
      <c r="AQ124" s="262">
        <v>-60756.11</v>
      </c>
    </row>
    <row r="125" spans="1:46" ht="15">
      <c r="C125" s="151" t="s">
        <v>737</v>
      </c>
      <c r="H125" s="262">
        <v>0</v>
      </c>
      <c r="I125" s="262"/>
      <c r="J125" s="262"/>
      <c r="K125" s="262"/>
      <c r="L125" s="262"/>
      <c r="M125" s="262">
        <v>20248</v>
      </c>
      <c r="N125" s="262"/>
      <c r="O125" s="262"/>
      <c r="P125" s="262"/>
      <c r="Q125" s="262"/>
      <c r="R125" s="262">
        <v>20897.96</v>
      </c>
      <c r="S125" s="262"/>
      <c r="T125" s="262"/>
      <c r="U125" s="262"/>
      <c r="V125" s="262"/>
      <c r="W125" s="262">
        <v>21614.76</v>
      </c>
      <c r="X125" s="262"/>
      <c r="Y125" s="262"/>
      <c r="Z125" s="262"/>
      <c r="AA125" s="262"/>
      <c r="AB125" s="262">
        <v>22356.15</v>
      </c>
      <c r="AC125" s="262"/>
      <c r="AD125" s="262"/>
      <c r="AE125" s="262"/>
      <c r="AF125" s="262"/>
      <c r="AG125" s="262">
        <v>23234.74</v>
      </c>
      <c r="AH125" s="262"/>
      <c r="AI125" s="262"/>
      <c r="AJ125" s="262"/>
      <c r="AK125" s="262"/>
      <c r="AL125" s="262">
        <v>24264.04</v>
      </c>
      <c r="AM125" s="262"/>
      <c r="AN125" s="262"/>
      <c r="AO125" s="262"/>
      <c r="AP125" s="262"/>
      <c r="AQ125" s="262">
        <v>25338.94</v>
      </c>
      <c r="AR125" s="87">
        <f>SUM(H125:AQ125)</f>
        <v>157954.59</v>
      </c>
      <c r="AS125" s="54" t="s">
        <v>738</v>
      </c>
    </row>
    <row r="126" spans="1:46" ht="15">
      <c r="C126" s="151" t="s">
        <v>1244</v>
      </c>
      <c r="H126" s="262">
        <v>0</v>
      </c>
      <c r="I126" s="262"/>
      <c r="J126" s="262"/>
      <c r="K126" s="262"/>
      <c r="L126" s="262"/>
      <c r="M126" s="262">
        <v>0</v>
      </c>
      <c r="N126" s="262"/>
      <c r="O126" s="262"/>
      <c r="P126" s="262"/>
      <c r="Q126" s="262"/>
      <c r="R126" s="262">
        <v>753.37</v>
      </c>
      <c r="S126" s="262"/>
      <c r="T126" s="262"/>
      <c r="U126" s="262"/>
      <c r="V126" s="262"/>
      <c r="W126" s="262">
        <v>779.21</v>
      </c>
      <c r="X126" s="262"/>
      <c r="Y126" s="262"/>
      <c r="Z126" s="262"/>
      <c r="AA126" s="262"/>
      <c r="AB126" s="262">
        <v>805.94</v>
      </c>
      <c r="AC126" s="262"/>
      <c r="AD126" s="262"/>
      <c r="AE126" s="262"/>
      <c r="AF126" s="262"/>
      <c r="AG126" s="262">
        <v>837.61</v>
      </c>
      <c r="AH126" s="262"/>
      <c r="AI126" s="262"/>
      <c r="AJ126" s="262"/>
      <c r="AK126" s="262"/>
      <c r="AL126" s="262">
        <v>874.72</v>
      </c>
      <c r="AM126" s="262"/>
      <c r="AN126" s="262"/>
      <c r="AO126" s="262"/>
      <c r="AP126" s="262"/>
      <c r="AQ126" s="262">
        <v>913.47</v>
      </c>
      <c r="AR126" s="87">
        <f>SUM(H126:AQ126)</f>
        <v>4964.3200000000006</v>
      </c>
      <c r="AS126" s="54" t="s">
        <v>1245</v>
      </c>
      <c r="AT126" s="54" t="s">
        <v>1246</v>
      </c>
    </row>
    <row r="127" spans="1:46" ht="15">
      <c r="C127" s="151" t="s">
        <v>1247</v>
      </c>
      <c r="H127" s="262"/>
      <c r="I127" s="262"/>
      <c r="J127" s="262"/>
      <c r="K127" s="262"/>
      <c r="L127" s="262"/>
      <c r="M127" s="262"/>
      <c r="N127" s="262"/>
      <c r="O127" s="262"/>
      <c r="P127" s="262"/>
      <c r="Q127" s="262"/>
      <c r="R127" s="262">
        <v>2260.44</v>
      </c>
      <c r="S127" s="262"/>
      <c r="T127" s="262"/>
      <c r="U127" s="262"/>
      <c r="V127" s="262"/>
      <c r="W127" s="262">
        <v>2337.9699999999998</v>
      </c>
      <c r="X127" s="262"/>
      <c r="Y127" s="262"/>
      <c r="Z127" s="262"/>
      <c r="AA127" s="262"/>
      <c r="AB127" s="262">
        <v>2418.17</v>
      </c>
      <c r="AC127" s="262"/>
      <c r="AD127" s="262"/>
      <c r="AE127" s="262"/>
      <c r="AF127" s="262"/>
      <c r="AG127" s="262">
        <v>2513.1999999999998</v>
      </c>
      <c r="AH127" s="262"/>
      <c r="AI127" s="262"/>
      <c r="AJ127" s="262"/>
      <c r="AK127" s="262"/>
      <c r="AL127" s="262">
        <v>2624.53</v>
      </c>
      <c r="AM127" s="262"/>
      <c r="AN127" s="262"/>
      <c r="AO127" s="262"/>
      <c r="AP127" s="262"/>
      <c r="AQ127" s="262">
        <v>2740.8</v>
      </c>
    </row>
    <row r="128" spans="1:46" ht="15">
      <c r="C128" s="151" t="s">
        <v>1248</v>
      </c>
      <c r="H128" s="262"/>
      <c r="I128" s="262"/>
      <c r="J128" s="262"/>
      <c r="K128" s="262"/>
      <c r="L128" s="262"/>
      <c r="M128" s="262"/>
      <c r="N128" s="262"/>
      <c r="O128" s="262"/>
      <c r="P128" s="262"/>
      <c r="Q128" s="262"/>
      <c r="R128" s="262">
        <v>-1758.12</v>
      </c>
      <c r="S128" s="262"/>
      <c r="T128" s="262"/>
      <c r="U128" s="262"/>
      <c r="V128" s="262"/>
      <c r="W128" s="262">
        <v>-2337.9699999999998</v>
      </c>
      <c r="X128" s="262"/>
      <c r="Y128" s="262"/>
      <c r="Z128" s="262"/>
      <c r="AA128" s="262"/>
      <c r="AB128" s="262">
        <v>-2418.17</v>
      </c>
      <c r="AC128" s="262"/>
      <c r="AD128" s="262"/>
      <c r="AE128" s="262"/>
      <c r="AF128" s="262"/>
      <c r="AG128" s="262">
        <v>-2513.1999999999998</v>
      </c>
      <c r="AH128" s="262"/>
      <c r="AI128" s="262"/>
      <c r="AJ128" s="262"/>
      <c r="AK128" s="262"/>
      <c r="AL128" s="262">
        <v>-2624.53</v>
      </c>
      <c r="AM128" s="262"/>
      <c r="AN128" s="262"/>
      <c r="AO128" s="262"/>
      <c r="AP128" s="262"/>
      <c r="AQ128" s="262">
        <v>-2740.8</v>
      </c>
      <c r="AR128" s="87">
        <f>SUM(R128:AQ128)</f>
        <v>-14392.79</v>
      </c>
      <c r="AS128" s="54" t="s">
        <v>1249</v>
      </c>
    </row>
    <row r="129" spans="3:45" ht="15">
      <c r="C129" s="151" t="s">
        <v>739</v>
      </c>
      <c r="H129" s="262"/>
      <c r="I129" s="262"/>
      <c r="J129" s="262"/>
      <c r="K129" s="262"/>
      <c r="L129" s="262"/>
      <c r="M129" s="262"/>
      <c r="N129" s="262"/>
      <c r="O129" s="262"/>
      <c r="P129" s="262"/>
      <c r="Q129" s="262"/>
      <c r="R129" s="262">
        <v>323.56</v>
      </c>
      <c r="S129" s="262"/>
      <c r="T129" s="262"/>
      <c r="U129" s="262"/>
      <c r="V129" s="262"/>
      <c r="W129" s="262">
        <v>667.89</v>
      </c>
      <c r="X129" s="262"/>
      <c r="Y129" s="262"/>
      <c r="Z129" s="262"/>
      <c r="AA129" s="262"/>
      <c r="AB129" s="262">
        <v>689.33</v>
      </c>
      <c r="AC129" s="262"/>
      <c r="AD129" s="262"/>
      <c r="AE129" s="262"/>
      <c r="AF129" s="262"/>
      <c r="AG129" s="262">
        <v>711.46</v>
      </c>
      <c r="AH129" s="262"/>
      <c r="AI129" s="262"/>
      <c r="AJ129" s="262"/>
      <c r="AK129" s="262"/>
      <c r="AL129" s="262">
        <v>734.3</v>
      </c>
      <c r="AM129" s="262"/>
      <c r="AN129" s="262"/>
      <c r="AO129" s="262"/>
      <c r="AP129" s="262"/>
      <c r="AQ129" s="262">
        <v>757.87</v>
      </c>
      <c r="AR129" s="87">
        <f>SUM(R129:AQ129)</f>
        <v>3884.41</v>
      </c>
      <c r="AS129" s="54" t="s">
        <v>1250</v>
      </c>
    </row>
    <row r="130" spans="3:45" ht="15">
      <c r="C130" s="151" t="s">
        <v>739</v>
      </c>
      <c r="H130" s="262"/>
      <c r="I130" s="262"/>
      <c r="J130" s="262"/>
      <c r="K130" s="262"/>
      <c r="L130" s="262"/>
      <c r="M130" s="262"/>
      <c r="N130" s="262"/>
      <c r="O130" s="262"/>
      <c r="P130" s="262"/>
      <c r="Q130" s="262"/>
      <c r="R130" s="262">
        <v>1865.26</v>
      </c>
      <c r="S130" s="262"/>
      <c r="T130" s="262"/>
      <c r="U130" s="262"/>
      <c r="V130" s="262"/>
      <c r="W130" s="262">
        <v>12513.38</v>
      </c>
      <c r="X130" s="262"/>
      <c r="Y130" s="262"/>
      <c r="Z130" s="262"/>
      <c r="AA130" s="262"/>
      <c r="AB130" s="262">
        <v>12915.06</v>
      </c>
      <c r="AC130" s="262"/>
      <c r="AD130" s="262"/>
      <c r="AE130" s="262"/>
      <c r="AF130" s="262"/>
      <c r="AG130" s="262">
        <v>13329.64</v>
      </c>
      <c r="AH130" s="262"/>
      <c r="AI130" s="262"/>
      <c r="AJ130" s="262"/>
      <c r="AK130" s="262"/>
      <c r="AL130" s="262">
        <v>13757.52</v>
      </c>
      <c r="AM130" s="262"/>
      <c r="AN130" s="262"/>
      <c r="AO130" s="262"/>
      <c r="AP130" s="262"/>
      <c r="AQ130" s="262">
        <v>14199.13</v>
      </c>
      <c r="AR130" s="87">
        <f>SUM(R130:AQ130)</f>
        <v>68579.990000000005</v>
      </c>
      <c r="AS130" s="54" t="s">
        <v>1251</v>
      </c>
    </row>
    <row r="131" spans="3:45" ht="15">
      <c r="C131" s="54" t="s">
        <v>1252</v>
      </c>
      <c r="H131" s="262"/>
      <c r="I131" s="262"/>
      <c r="J131" s="262"/>
      <c r="K131" s="262"/>
      <c r="L131" s="262"/>
      <c r="M131" s="262"/>
      <c r="N131" s="262"/>
      <c r="O131" s="262"/>
      <c r="P131" s="262"/>
      <c r="Q131" s="262"/>
      <c r="R131" s="262"/>
      <c r="S131" s="262"/>
      <c r="T131" s="262"/>
      <c r="U131" s="262"/>
      <c r="V131" s="262"/>
      <c r="W131" s="262">
        <v>189.51</v>
      </c>
      <c r="X131" s="262"/>
      <c r="Y131" s="262"/>
      <c r="Z131" s="262"/>
      <c r="AA131" s="262"/>
      <c r="AB131" s="262">
        <v>587.86</v>
      </c>
      <c r="AC131" s="262"/>
      <c r="AD131" s="262"/>
      <c r="AE131" s="262"/>
      <c r="AF131" s="262"/>
      <c r="AG131" s="262">
        <v>607.85</v>
      </c>
      <c r="AH131" s="262"/>
      <c r="AI131" s="262"/>
      <c r="AJ131" s="262"/>
      <c r="AK131" s="262"/>
      <c r="AL131" s="262">
        <v>628.52</v>
      </c>
      <c r="AM131" s="262"/>
      <c r="AN131" s="262"/>
      <c r="AO131" s="262"/>
      <c r="AP131" s="262"/>
      <c r="AQ131" s="262">
        <v>649.89</v>
      </c>
      <c r="AR131" s="87">
        <f>SUM(R131:AQ131)</f>
        <v>2663.63</v>
      </c>
      <c r="AS131" s="54" t="s">
        <v>1253</v>
      </c>
    </row>
    <row r="132" spans="3:45" ht="15">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row>
    <row r="133" spans="3:45" ht="15">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row>
    <row r="134" spans="3:45" ht="15">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row>
    <row r="135" spans="3:45" ht="15">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row>
    <row r="136" spans="3:45" ht="15">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row>
    <row r="137" spans="3:45" ht="15">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row>
    <row r="138" spans="3:45" ht="15">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row>
  </sheetData>
  <phoneticPr fontId="0" type="noConversion"/>
  <printOptions horizontalCentered="1"/>
  <pageMargins left="0.5" right="0.5" top="1" bottom="1" header="0.5" footer="0.5"/>
  <pageSetup paperSize="9" fitToWidth="5" fitToHeight="12" orientation="landscape" r:id="rId1"/>
  <headerFooter alignWithMargins="0">
    <oddHeader>&amp;C&amp;"Calibri"&amp;10&amp;K737373Serco Business&amp;1#_x000D_&amp;"Calibri"&amp;11&amp;K000000&amp;"Calibri"&amp;11&amp;K000000&amp;"Arial,Bold"RESTRICTED - CONTRACTS</oddHeader>
    <oddFooter>&amp;L&amp;8PTC/CB/00642&amp;C&amp;8 2-(12)-&amp;P
&amp;"Arial,Bold"&amp;10RESTRICTED - CONTRACTS&amp;R&amp;8Pricing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O37"/>
  <sheetViews>
    <sheetView topLeftCell="A11" zoomScale="75" workbookViewId="0">
      <selection activeCell="D18" sqref="D18"/>
    </sheetView>
  </sheetViews>
  <sheetFormatPr defaultColWidth="9.140625" defaultRowHeight="12"/>
  <cols>
    <col min="1" max="1" width="8.7109375" style="13" customWidth="1"/>
    <col min="2" max="2" width="2.7109375" style="17" customWidth="1"/>
    <col min="3" max="3" width="30.7109375" style="17" customWidth="1"/>
    <col min="4" max="4" width="15" style="24" customWidth="1" collapsed="1"/>
    <col min="5" max="5" width="14.42578125" style="17" customWidth="1" collapsed="1"/>
    <col min="6" max="7" width="14.5703125" style="17" customWidth="1" collapsed="1"/>
    <col min="8" max="8" width="15.140625" style="17" customWidth="1" collapsed="1"/>
    <col min="9" max="9" width="14" style="17" customWidth="1" collapsed="1"/>
    <col min="10" max="10" width="13.85546875" style="17" customWidth="1" collapsed="1"/>
    <col min="11" max="11" width="14.7109375" style="17" customWidth="1" collapsed="1"/>
    <col min="12" max="12" width="9.140625" style="17" collapsed="1"/>
    <col min="13" max="16384" width="9.140625" style="17"/>
  </cols>
  <sheetData>
    <row r="1" spans="1:15" s="54" customFormat="1" ht="25.5" customHeight="1">
      <c r="A1" s="13"/>
      <c r="C1" s="21" t="s">
        <v>1254</v>
      </c>
      <c r="D1" s="340" t="s">
        <v>189</v>
      </c>
      <c r="E1" s="340" t="s">
        <v>1052</v>
      </c>
      <c r="F1" s="340" t="s">
        <v>1053</v>
      </c>
      <c r="G1" s="340" t="s">
        <v>432</v>
      </c>
      <c r="H1" s="340" t="s">
        <v>433</v>
      </c>
      <c r="I1" s="340" t="s">
        <v>194</v>
      </c>
      <c r="J1" s="340" t="s">
        <v>251</v>
      </c>
      <c r="K1" s="340" t="s">
        <v>252</v>
      </c>
      <c r="L1" s="117"/>
      <c r="M1" s="117"/>
      <c r="N1" s="117"/>
      <c r="O1" s="117"/>
    </row>
    <row r="2" spans="1:15" ht="24">
      <c r="A2" s="18" t="s">
        <v>253</v>
      </c>
      <c r="B2" s="49"/>
      <c r="C2" s="49" t="s">
        <v>490</v>
      </c>
      <c r="D2" s="19" t="s">
        <v>254</v>
      </c>
      <c r="E2" s="19" t="s">
        <v>254</v>
      </c>
      <c r="F2" s="19" t="s">
        <v>254</v>
      </c>
      <c r="G2" s="19" t="s">
        <v>254</v>
      </c>
      <c r="H2" s="19" t="s">
        <v>254</v>
      </c>
      <c r="I2" s="19" t="s">
        <v>254</v>
      </c>
      <c r="J2" s="19" t="s">
        <v>254</v>
      </c>
      <c r="K2" s="19" t="s">
        <v>254</v>
      </c>
    </row>
    <row r="3" spans="1:15">
      <c r="B3" s="13"/>
      <c r="C3" s="21"/>
    </row>
    <row r="4" spans="1:15">
      <c r="A4" s="351" t="s">
        <v>1255</v>
      </c>
      <c r="B4" s="352"/>
      <c r="C4" s="353" t="s">
        <v>256</v>
      </c>
    </row>
    <row r="5" spans="1:15">
      <c r="A5" s="13" t="s">
        <v>1256</v>
      </c>
      <c r="B5" s="13"/>
      <c r="C5" s="21" t="s">
        <v>1257</v>
      </c>
    </row>
    <row r="6" spans="1:15" ht="84">
      <c r="A6" s="13" t="s">
        <v>1258</v>
      </c>
      <c r="B6" s="13"/>
      <c r="C6" s="128" t="s">
        <v>1259</v>
      </c>
      <c r="D6" s="53">
        <v>4455</v>
      </c>
      <c r="E6" s="53">
        <v>4455</v>
      </c>
      <c r="F6" s="53">
        <v>4455</v>
      </c>
      <c r="G6" s="53">
        <v>4455</v>
      </c>
      <c r="H6" s="53">
        <v>4455</v>
      </c>
      <c r="I6" s="53">
        <v>4455</v>
      </c>
      <c r="J6" s="53">
        <v>4455</v>
      </c>
      <c r="K6" s="118">
        <v>4455</v>
      </c>
    </row>
    <row r="7" spans="1:15" ht="48">
      <c r="A7" s="54" t="s">
        <v>1260</v>
      </c>
      <c r="B7" s="13"/>
      <c r="C7" s="13" t="s">
        <v>1261</v>
      </c>
      <c r="D7" s="53">
        <v>45</v>
      </c>
      <c r="E7" s="53">
        <v>45</v>
      </c>
      <c r="F7" s="53">
        <v>45</v>
      </c>
      <c r="G7" s="53">
        <v>45</v>
      </c>
      <c r="H7" s="53">
        <v>45</v>
      </c>
      <c r="I7" s="53">
        <v>45</v>
      </c>
      <c r="J7" s="53">
        <v>45</v>
      </c>
      <c r="K7" s="118">
        <v>45</v>
      </c>
    </row>
    <row r="8" spans="1:15" ht="36">
      <c r="A8" s="54" t="s">
        <v>1262</v>
      </c>
      <c r="B8" s="13"/>
      <c r="C8" s="13" t="s">
        <v>1263</v>
      </c>
      <c r="D8" s="53">
        <v>45</v>
      </c>
      <c r="E8" s="53">
        <v>45</v>
      </c>
      <c r="F8" s="53">
        <v>45</v>
      </c>
      <c r="G8" s="53">
        <v>45</v>
      </c>
      <c r="H8" s="53">
        <v>45</v>
      </c>
      <c r="I8" s="53">
        <v>45</v>
      </c>
      <c r="J8" s="53">
        <v>45</v>
      </c>
      <c r="K8" s="118">
        <v>45</v>
      </c>
    </row>
    <row r="9" spans="1:15" ht="36">
      <c r="A9" s="13" t="s">
        <v>1264</v>
      </c>
      <c r="B9" s="13"/>
      <c r="C9" s="13" t="s">
        <v>1265</v>
      </c>
      <c r="D9" s="53">
        <v>440</v>
      </c>
      <c r="E9" s="53">
        <v>440</v>
      </c>
      <c r="F9" s="53">
        <v>440</v>
      </c>
      <c r="G9" s="53">
        <v>440</v>
      </c>
      <c r="H9" s="53">
        <v>440</v>
      </c>
      <c r="I9" s="53">
        <v>440</v>
      </c>
      <c r="J9" s="53">
        <v>440</v>
      </c>
      <c r="K9" s="118">
        <v>440</v>
      </c>
    </row>
    <row r="10" spans="1:15" ht="36">
      <c r="A10" s="13" t="s">
        <v>1266</v>
      </c>
      <c r="B10" s="13"/>
      <c r="C10" s="13" t="s">
        <v>1267</v>
      </c>
      <c r="D10" s="53">
        <v>18</v>
      </c>
      <c r="E10" s="53">
        <v>18</v>
      </c>
      <c r="F10" s="53">
        <v>18</v>
      </c>
      <c r="G10" s="53">
        <v>18</v>
      </c>
      <c r="H10" s="53">
        <v>18</v>
      </c>
      <c r="I10" s="53">
        <v>18</v>
      </c>
      <c r="J10" s="53">
        <v>18</v>
      </c>
      <c r="K10" s="118">
        <v>18</v>
      </c>
    </row>
    <row r="11" spans="1:15" ht="36">
      <c r="A11" s="13" t="s">
        <v>1268</v>
      </c>
      <c r="B11" s="13"/>
      <c r="C11" s="13" t="s">
        <v>1269</v>
      </c>
      <c r="D11" s="53">
        <v>18</v>
      </c>
      <c r="E11" s="53">
        <v>18</v>
      </c>
      <c r="F11" s="53">
        <v>18</v>
      </c>
      <c r="G11" s="53">
        <v>18</v>
      </c>
      <c r="H11" s="53">
        <v>18</v>
      </c>
      <c r="I11" s="53">
        <v>18</v>
      </c>
      <c r="J11" s="53">
        <v>18</v>
      </c>
      <c r="K11" s="118">
        <v>18</v>
      </c>
    </row>
    <row r="12" spans="1:15" ht="24">
      <c r="A12" s="13" t="s">
        <v>1270</v>
      </c>
      <c r="B12" s="13"/>
      <c r="C12" s="13" t="s">
        <v>1271</v>
      </c>
      <c r="D12" s="53">
        <v>18</v>
      </c>
      <c r="E12" s="53">
        <v>18</v>
      </c>
      <c r="F12" s="53">
        <v>18</v>
      </c>
      <c r="G12" s="53">
        <v>18</v>
      </c>
      <c r="H12" s="53">
        <v>18</v>
      </c>
      <c r="I12" s="53">
        <v>18</v>
      </c>
      <c r="J12" s="53">
        <v>18</v>
      </c>
      <c r="K12" s="118">
        <v>18</v>
      </c>
    </row>
    <row r="13" spans="1:15" ht="36">
      <c r="A13" s="354" t="s">
        <v>1272</v>
      </c>
      <c r="B13" s="128"/>
      <c r="C13" s="128" t="s">
        <v>1273</v>
      </c>
      <c r="D13" s="53"/>
      <c r="E13" s="53"/>
      <c r="F13" s="53"/>
      <c r="G13" s="53"/>
      <c r="H13" s="53"/>
      <c r="I13" s="53"/>
      <c r="J13" s="53"/>
      <c r="K13" s="53"/>
    </row>
    <row r="14" spans="1:15">
      <c r="A14" s="13" t="s">
        <v>1274</v>
      </c>
      <c r="B14" s="13"/>
      <c r="C14" s="52" t="s">
        <v>312</v>
      </c>
      <c r="E14" s="24"/>
      <c r="F14" s="24"/>
      <c r="G14" s="24"/>
      <c r="H14" s="24"/>
      <c r="I14" s="24"/>
      <c r="J14" s="24"/>
      <c r="K14" s="24"/>
    </row>
    <row r="15" spans="1:15">
      <c r="A15" s="13" t="s">
        <v>1275</v>
      </c>
      <c r="B15" s="13"/>
      <c r="C15" s="13" t="s">
        <v>1276</v>
      </c>
      <c r="E15" s="24"/>
      <c r="F15" s="24"/>
      <c r="G15" s="24"/>
      <c r="H15" s="24"/>
      <c r="I15" s="24"/>
      <c r="J15" s="24"/>
      <c r="K15" s="24"/>
    </row>
    <row r="16" spans="1:15">
      <c r="A16" s="13" t="s">
        <v>1277</v>
      </c>
      <c r="B16" s="13"/>
      <c r="C16" s="52" t="s">
        <v>410</v>
      </c>
      <c r="E16" s="24"/>
      <c r="F16" s="24"/>
      <c r="G16" s="24"/>
      <c r="H16" s="24"/>
      <c r="I16" s="24"/>
      <c r="J16" s="24"/>
      <c r="K16" s="24"/>
    </row>
    <row r="17" spans="1:11" ht="48">
      <c r="A17" s="13" t="s">
        <v>1278</v>
      </c>
      <c r="B17" s="13"/>
      <c r="C17" s="13" t="s">
        <v>516</v>
      </c>
      <c r="E17" s="24"/>
      <c r="F17" s="24"/>
      <c r="G17" s="24"/>
      <c r="H17" s="24"/>
      <c r="I17" s="24"/>
      <c r="J17" s="24"/>
      <c r="K17" s="24"/>
    </row>
    <row r="18" spans="1:11" ht="84">
      <c r="A18" s="128" t="s">
        <v>1279</v>
      </c>
      <c r="B18" s="128"/>
      <c r="C18" s="128" t="s">
        <v>1280</v>
      </c>
      <c r="D18" s="323">
        <v>11.04</v>
      </c>
      <c r="E18" s="323">
        <v>11.4</v>
      </c>
      <c r="F18" s="323">
        <v>11.76</v>
      </c>
      <c r="G18" s="323">
        <v>20.02</v>
      </c>
      <c r="H18" s="323">
        <v>20.82</v>
      </c>
      <c r="I18" s="323">
        <v>21.65</v>
      </c>
      <c r="J18" s="323">
        <v>22.52</v>
      </c>
      <c r="K18" s="323">
        <v>23.42</v>
      </c>
    </row>
    <row r="19" spans="1:11">
      <c r="A19" s="13" t="s">
        <v>1281</v>
      </c>
      <c r="B19" s="13"/>
      <c r="C19" s="52" t="s">
        <v>320</v>
      </c>
      <c r="E19" s="24"/>
      <c r="F19" s="24"/>
      <c r="G19" s="24"/>
      <c r="H19" s="24"/>
      <c r="I19" s="24"/>
      <c r="J19" s="24"/>
      <c r="K19" s="24"/>
    </row>
    <row r="20" spans="1:11" ht="24">
      <c r="A20" s="13" t="s">
        <v>1282</v>
      </c>
      <c r="B20" s="13"/>
      <c r="C20" s="17" t="s">
        <v>1283</v>
      </c>
      <c r="D20" s="53">
        <v>265</v>
      </c>
      <c r="E20" s="53">
        <v>265</v>
      </c>
      <c r="F20" s="53">
        <v>265</v>
      </c>
      <c r="G20" s="53">
        <v>265</v>
      </c>
      <c r="H20" s="53">
        <v>265</v>
      </c>
      <c r="I20" s="53">
        <v>265</v>
      </c>
      <c r="J20" s="53">
        <v>265</v>
      </c>
      <c r="K20" s="118">
        <v>265</v>
      </c>
    </row>
    <row r="21" spans="1:11" ht="24">
      <c r="A21" s="54" t="s">
        <v>1284</v>
      </c>
      <c r="B21" s="13"/>
      <c r="C21" s="17" t="s">
        <v>1285</v>
      </c>
      <c r="D21" s="53">
        <v>265</v>
      </c>
      <c r="E21" s="53">
        <v>265</v>
      </c>
      <c r="F21" s="53">
        <v>265</v>
      </c>
      <c r="G21" s="53">
        <v>265</v>
      </c>
      <c r="H21" s="53">
        <v>265</v>
      </c>
      <c r="I21" s="53">
        <v>265</v>
      </c>
      <c r="J21" s="53">
        <v>265</v>
      </c>
      <c r="K21" s="118">
        <v>265</v>
      </c>
    </row>
    <row r="22" spans="1:11" ht="24">
      <c r="A22" s="54" t="s">
        <v>1286</v>
      </c>
      <c r="B22" s="13"/>
      <c r="C22" s="17" t="s">
        <v>1287</v>
      </c>
      <c r="D22" s="53">
        <v>45</v>
      </c>
      <c r="E22" s="53">
        <v>45</v>
      </c>
      <c r="F22" s="53">
        <v>45</v>
      </c>
      <c r="G22" s="53">
        <v>45</v>
      </c>
      <c r="H22" s="53">
        <v>45</v>
      </c>
      <c r="I22" s="53">
        <v>45</v>
      </c>
      <c r="J22" s="53">
        <v>45</v>
      </c>
      <c r="K22" s="118">
        <v>45</v>
      </c>
    </row>
    <row r="23" spans="1:11">
      <c r="A23" s="54" t="s">
        <v>1288</v>
      </c>
      <c r="B23" s="13"/>
      <c r="C23" s="21" t="s">
        <v>429</v>
      </c>
      <c r="E23" s="24"/>
      <c r="F23" s="24"/>
      <c r="G23" s="24"/>
      <c r="H23" s="24"/>
      <c r="I23" s="24"/>
      <c r="J23" s="24"/>
      <c r="K23" s="24"/>
    </row>
    <row r="24" spans="1:11">
      <c r="A24" s="54" t="s">
        <v>1289</v>
      </c>
      <c r="B24" s="13"/>
      <c r="C24" s="21" t="s">
        <v>479</v>
      </c>
      <c r="E24" s="24"/>
      <c r="F24" s="24"/>
      <c r="G24" s="24"/>
      <c r="H24" s="24"/>
      <c r="I24" s="24"/>
      <c r="J24" s="24"/>
      <c r="K24" s="24"/>
    </row>
    <row r="25" spans="1:11" ht="24" customHeight="1">
      <c r="A25" s="54" t="s">
        <v>1290</v>
      </c>
      <c r="B25" s="13"/>
      <c r="C25" s="13" t="s">
        <v>1291</v>
      </c>
      <c r="D25" s="119">
        <v>45</v>
      </c>
      <c r="E25" s="53">
        <v>45</v>
      </c>
      <c r="F25" s="120">
        <v>45</v>
      </c>
      <c r="G25" s="53">
        <v>45</v>
      </c>
      <c r="H25" s="120">
        <v>45</v>
      </c>
      <c r="I25" s="53">
        <v>45</v>
      </c>
      <c r="J25" s="120">
        <v>45</v>
      </c>
      <c r="K25" s="53">
        <v>45</v>
      </c>
    </row>
    <row r="26" spans="1:11">
      <c r="A26" s="13" t="s">
        <v>1292</v>
      </c>
      <c r="B26" s="13"/>
      <c r="C26" s="13" t="s">
        <v>604</v>
      </c>
      <c r="D26" s="119">
        <v>45</v>
      </c>
      <c r="E26" s="53">
        <v>45</v>
      </c>
      <c r="F26" s="120">
        <v>45</v>
      </c>
      <c r="G26" s="53">
        <v>45</v>
      </c>
      <c r="H26" s="120">
        <v>45</v>
      </c>
      <c r="I26" s="53">
        <v>45</v>
      </c>
      <c r="J26" s="120">
        <v>45</v>
      </c>
      <c r="K26" s="53">
        <v>45</v>
      </c>
    </row>
    <row r="27" spans="1:11">
      <c r="A27" s="13" t="s">
        <v>1293</v>
      </c>
      <c r="B27" s="13"/>
      <c r="C27" s="21" t="s">
        <v>530</v>
      </c>
    </row>
    <row r="28" spans="1:11" ht="36">
      <c r="A28" s="56" t="s">
        <v>1294</v>
      </c>
      <c r="B28" s="56"/>
      <c r="C28" s="56" t="s">
        <v>1295</v>
      </c>
      <c r="D28" s="53"/>
      <c r="E28" s="53"/>
      <c r="F28" s="119"/>
      <c r="G28" s="53"/>
      <c r="H28" s="120"/>
      <c r="I28" s="53"/>
      <c r="J28" s="120"/>
      <c r="K28" s="53"/>
    </row>
    <row r="29" spans="1:11">
      <c r="A29" s="28"/>
      <c r="B29" s="82"/>
      <c r="C29" s="82"/>
      <c r="D29" s="84">
        <f t="shared" ref="D29:K29" si="0">SUM(D3:D28)</f>
        <v>5715.04</v>
      </c>
      <c r="E29" s="84">
        <f t="shared" si="0"/>
        <v>5715.4</v>
      </c>
      <c r="F29" s="84">
        <f t="shared" si="0"/>
        <v>5715.76</v>
      </c>
      <c r="G29" s="84">
        <f t="shared" si="0"/>
        <v>5724.02</v>
      </c>
      <c r="H29" s="84">
        <f t="shared" si="0"/>
        <v>5724.82</v>
      </c>
      <c r="I29" s="84">
        <f t="shared" si="0"/>
        <v>5725.65</v>
      </c>
      <c r="J29" s="84">
        <f t="shared" si="0"/>
        <v>5726.52</v>
      </c>
      <c r="K29" s="84">
        <f t="shared" si="0"/>
        <v>5727.42</v>
      </c>
    </row>
    <row r="30" spans="1:11" s="163" customFormat="1" ht="15">
      <c r="A30" s="162"/>
      <c r="D30" s="342" t="s">
        <v>385</v>
      </c>
      <c r="E30" s="342"/>
      <c r="F30" s="342" t="s">
        <v>385</v>
      </c>
      <c r="G30" s="342"/>
      <c r="H30" s="342"/>
      <c r="I30" s="342"/>
      <c r="J30" s="342"/>
      <c r="K30" s="342"/>
    </row>
    <row r="31" spans="1:11" s="164" customFormat="1" ht="30">
      <c r="A31" s="150"/>
      <c r="D31" s="154" t="s">
        <v>189</v>
      </c>
      <c r="E31" s="158" t="s">
        <v>1052</v>
      </c>
      <c r="F31" s="158" t="s">
        <v>1053</v>
      </c>
      <c r="G31" s="158" t="s">
        <v>432</v>
      </c>
      <c r="H31" s="158" t="s">
        <v>433</v>
      </c>
      <c r="I31" s="158" t="s">
        <v>194</v>
      </c>
      <c r="J31" s="158" t="s">
        <v>251</v>
      </c>
      <c r="K31" s="158" t="s">
        <v>252</v>
      </c>
    </row>
    <row r="32" spans="1:11" s="164" customFormat="1" ht="15">
      <c r="A32" s="150"/>
      <c r="C32" s="184" t="s">
        <v>386</v>
      </c>
      <c r="D32" s="166">
        <f>SUM(D33:D37)</f>
        <v>94952.531598164351</v>
      </c>
      <c r="E32" s="166">
        <f t="shared" ref="E32:K32" si="1">SUM(E33:E37)</f>
        <v>97997.263757704699</v>
      </c>
      <c r="F32" s="166">
        <f t="shared" si="1"/>
        <v>101139.9154356636</v>
      </c>
      <c r="G32" s="166">
        <f t="shared" si="1"/>
        <v>104636.49165406407</v>
      </c>
      <c r="H32" s="166">
        <f t="shared" si="1"/>
        <v>108254.24748081237</v>
      </c>
      <c r="I32" s="166">
        <f t="shared" si="1"/>
        <v>112538.65939812231</v>
      </c>
      <c r="J32" s="166">
        <f t="shared" si="1"/>
        <v>117555.65233365761</v>
      </c>
      <c r="K32" s="166">
        <f t="shared" si="1"/>
        <v>122796.63001648369</v>
      </c>
    </row>
    <row r="33" spans="1:11" s="164" customFormat="1" ht="15">
      <c r="A33" s="150"/>
      <c r="C33" s="184" t="s">
        <v>387</v>
      </c>
      <c r="D33" s="166">
        <v>66471.111598164352</v>
      </c>
      <c r="E33" s="166">
        <v>68601.593757704701</v>
      </c>
      <c r="F33" s="166">
        <v>70800.645435663595</v>
      </c>
      <c r="G33" s="166">
        <v>73247.481654064075</v>
      </c>
      <c r="H33" s="167">
        <v>75779.177480812374</v>
      </c>
      <c r="I33" s="166">
        <v>78777.579398122311</v>
      </c>
      <c r="J33" s="166">
        <v>82288.822333657605</v>
      </c>
      <c r="K33" s="167">
        <v>85956.890016483681</v>
      </c>
    </row>
    <row r="34" spans="1:11" ht="15">
      <c r="C34" s="17" t="s">
        <v>1296</v>
      </c>
      <c r="D34" s="166">
        <v>28481.42</v>
      </c>
      <c r="E34" s="166">
        <v>29395.67</v>
      </c>
      <c r="F34" s="166">
        <v>30339.27</v>
      </c>
      <c r="G34" s="166">
        <v>31389.01</v>
      </c>
      <c r="H34" s="167">
        <v>32475.07</v>
      </c>
      <c r="I34" s="166">
        <v>33761.08</v>
      </c>
      <c r="J34" s="166">
        <v>35266.83</v>
      </c>
      <c r="K34" s="167">
        <v>36839.74</v>
      </c>
    </row>
    <row r="35" spans="1:11" ht="15">
      <c r="D35" s="166"/>
      <c r="E35" s="166"/>
      <c r="F35" s="166"/>
      <c r="G35" s="166"/>
      <c r="H35" s="167"/>
      <c r="I35" s="166"/>
      <c r="J35" s="166"/>
      <c r="K35" s="167"/>
    </row>
    <row r="36" spans="1:11" ht="15">
      <c r="D36" s="166"/>
      <c r="E36" s="166"/>
      <c r="F36" s="166"/>
      <c r="G36" s="166"/>
      <c r="H36" s="167"/>
      <c r="I36" s="166"/>
      <c r="J36" s="166"/>
      <c r="K36" s="167"/>
    </row>
    <row r="37" spans="1:11" ht="15">
      <c r="D37" s="166"/>
      <c r="E37" s="166"/>
      <c r="F37" s="166"/>
      <c r="G37" s="166"/>
      <c r="H37" s="167"/>
      <c r="I37" s="166"/>
      <c r="J37" s="166"/>
      <c r="K37" s="167"/>
    </row>
  </sheetData>
  <phoneticPr fontId="0" type="noConversion"/>
  <printOptions horizontalCentered="1"/>
  <pageMargins left="0.25" right="0.25" top="1" bottom="1" header="0.5" footer="0.5"/>
  <pageSetup paperSize="9" fitToWidth="2" fitToHeight="2" orientation="landscape" r:id="rId1"/>
  <headerFooter alignWithMargins="0">
    <oddHeader>&amp;C&amp;"Calibri"&amp;10&amp;K737373Serco Business&amp;1#_x000D_&amp;"Calibri"&amp;11&amp;K000000&amp;"Calibri"&amp;11&amp;K000000&amp;"Arial,Bold"RESTRICTED - CONTRACTS</oddHeader>
    <oddFooter>&amp;L&amp;8PTC/CB/00642&amp;C&amp;8 2-(13)-&amp;P
&amp;"Arial,Bold"&amp;10RESTRICTED - CONTRACTS&amp;R&amp;8Pricing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dimension ref="A1:AK81"/>
  <sheetViews>
    <sheetView topLeftCell="A56" zoomScale="75" workbookViewId="0">
      <selection activeCell="A57" sqref="A57"/>
    </sheetView>
  </sheetViews>
  <sheetFormatPr defaultColWidth="9.140625" defaultRowHeight="12"/>
  <cols>
    <col min="1" max="1" width="8.7109375" style="13" customWidth="1"/>
    <col min="2" max="2" width="1.7109375" style="54" customWidth="1"/>
    <col min="3" max="3" width="30.7109375" style="54" customWidth="1"/>
    <col min="4" max="4" width="12.7109375" style="85" customWidth="1"/>
    <col min="5" max="5" width="14.7109375" style="86" customWidth="1"/>
    <col min="6" max="6" width="12.7109375" style="86" customWidth="1"/>
    <col min="7" max="7" width="14.7109375" style="85" customWidth="1" collapsed="1"/>
    <col min="8" max="8" width="14.7109375" style="101" hidden="1" customWidth="1" collapsed="1"/>
    <col min="9" max="10" width="14.7109375" style="86" hidden="1" customWidth="1"/>
    <col min="11" max="11" width="18.7109375" style="54" customWidth="1" collapsed="1"/>
    <col min="12" max="12" width="14.7109375" style="101" hidden="1" customWidth="1" collapsed="1"/>
    <col min="13" max="14" width="14.7109375" style="86" hidden="1" customWidth="1"/>
    <col min="15" max="15" width="18.7109375" style="54" customWidth="1" collapsed="1"/>
    <col min="16" max="16" width="14.7109375" style="54" hidden="1" customWidth="1" collapsed="1"/>
    <col min="17" max="18" width="14.7109375" style="54" hidden="1" customWidth="1"/>
    <col min="19" max="19" width="18.7109375" style="54" customWidth="1" collapsed="1"/>
    <col min="20" max="20" width="14.7109375" style="54" hidden="1" customWidth="1" collapsed="1"/>
    <col min="21" max="22" width="14.7109375" style="54" hidden="1" customWidth="1"/>
    <col min="23" max="23" width="18.7109375" style="54" customWidth="1" collapsed="1"/>
    <col min="24" max="24" width="14.7109375" style="54" hidden="1" customWidth="1" collapsed="1"/>
    <col min="25" max="26" width="14.7109375" style="54" hidden="1" customWidth="1"/>
    <col min="27" max="27" width="18.7109375" style="54" customWidth="1" collapsed="1"/>
    <col min="28" max="28" width="14.7109375" style="54" hidden="1" customWidth="1" collapsed="1"/>
    <col min="29" max="30" width="14.7109375" style="54" hidden="1" customWidth="1"/>
    <col min="31" max="31" width="18.7109375" style="54" customWidth="1" collapsed="1"/>
    <col min="32" max="32" width="14.7109375" style="54" hidden="1" customWidth="1" collapsed="1"/>
    <col min="33" max="34" width="14.7109375" style="54" hidden="1" customWidth="1"/>
    <col min="35" max="35" width="20.7109375" style="54" customWidth="1" collapsed="1"/>
    <col min="36" max="36" width="12.85546875" style="54" bestFit="1" customWidth="1" collapsed="1"/>
    <col min="37" max="37" width="10.7109375" style="54" bestFit="1" customWidth="1"/>
    <col min="38" max="16384" width="9.140625" style="54"/>
  </cols>
  <sheetData>
    <row r="1" spans="1:35">
      <c r="C1" s="21" t="s">
        <v>1297</v>
      </c>
      <c r="D1" s="543" t="s">
        <v>189</v>
      </c>
      <c r="E1" s="543"/>
      <c r="F1" s="543"/>
      <c r="G1" s="543"/>
      <c r="H1" s="543" t="s">
        <v>190</v>
      </c>
      <c r="I1" s="543"/>
      <c r="J1" s="543"/>
      <c r="K1" s="543"/>
      <c r="L1" s="543" t="s">
        <v>191</v>
      </c>
      <c r="M1" s="543"/>
      <c r="N1" s="543"/>
      <c r="O1" s="543"/>
      <c r="P1" s="543" t="s">
        <v>432</v>
      </c>
      <c r="Q1" s="543"/>
      <c r="R1" s="543"/>
      <c r="S1" s="543"/>
      <c r="T1" s="543" t="s">
        <v>433</v>
      </c>
      <c r="U1" s="543"/>
      <c r="V1" s="543"/>
      <c r="W1" s="543"/>
      <c r="X1" s="543" t="s">
        <v>194</v>
      </c>
      <c r="Y1" s="543"/>
      <c r="Z1" s="543"/>
      <c r="AA1" s="543"/>
      <c r="AB1" s="543" t="s">
        <v>251</v>
      </c>
      <c r="AC1" s="543"/>
      <c r="AD1" s="543"/>
      <c r="AE1" s="543"/>
      <c r="AF1" s="543" t="s">
        <v>252</v>
      </c>
      <c r="AG1" s="543"/>
      <c r="AH1" s="543"/>
      <c r="AI1" s="543"/>
    </row>
    <row r="2" spans="1:35" ht="36">
      <c r="A2" s="18" t="s">
        <v>253</v>
      </c>
      <c r="B2" s="49"/>
      <c r="C2" s="49" t="s">
        <v>490</v>
      </c>
      <c r="D2" s="19" t="s">
        <v>434</v>
      </c>
      <c r="E2" s="19" t="s">
        <v>435</v>
      </c>
      <c r="F2" s="19" t="s">
        <v>436</v>
      </c>
      <c r="G2" s="19" t="s">
        <v>254</v>
      </c>
      <c r="H2" s="19" t="s">
        <v>434</v>
      </c>
      <c r="I2" s="19" t="s">
        <v>435</v>
      </c>
      <c r="J2" s="19" t="s">
        <v>436</v>
      </c>
      <c r="K2" s="19" t="s">
        <v>254</v>
      </c>
      <c r="L2" s="19" t="s">
        <v>434</v>
      </c>
      <c r="M2" s="19" t="s">
        <v>435</v>
      </c>
      <c r="N2" s="19" t="s">
        <v>436</v>
      </c>
      <c r="O2" s="19" t="s">
        <v>254</v>
      </c>
      <c r="P2" s="19" t="s">
        <v>434</v>
      </c>
      <c r="Q2" s="19" t="s">
        <v>435</v>
      </c>
      <c r="R2" s="19" t="s">
        <v>436</v>
      </c>
      <c r="S2" s="19" t="s">
        <v>254</v>
      </c>
      <c r="T2" s="19" t="s">
        <v>434</v>
      </c>
      <c r="U2" s="19" t="s">
        <v>435</v>
      </c>
      <c r="V2" s="19" t="s">
        <v>436</v>
      </c>
      <c r="W2" s="19" t="s">
        <v>254</v>
      </c>
      <c r="X2" s="19" t="s">
        <v>434</v>
      </c>
      <c r="Y2" s="19" t="s">
        <v>435</v>
      </c>
      <c r="Z2" s="19" t="s">
        <v>436</v>
      </c>
      <c r="AA2" s="19" t="s">
        <v>254</v>
      </c>
      <c r="AB2" s="19" t="s">
        <v>434</v>
      </c>
      <c r="AC2" s="19" t="s">
        <v>435</v>
      </c>
      <c r="AD2" s="19" t="s">
        <v>436</v>
      </c>
      <c r="AE2" s="19" t="s">
        <v>254</v>
      </c>
      <c r="AF2" s="19" t="s">
        <v>434</v>
      </c>
      <c r="AG2" s="19" t="s">
        <v>435</v>
      </c>
      <c r="AH2" s="19" t="s">
        <v>436</v>
      </c>
      <c r="AI2" s="19" t="s">
        <v>254</v>
      </c>
    </row>
    <row r="3" spans="1:35">
      <c r="B3" s="13"/>
      <c r="C3" s="21"/>
      <c r="H3" s="54"/>
      <c r="I3" s="87"/>
      <c r="J3" s="87"/>
      <c r="L3" s="54"/>
      <c r="M3" s="87"/>
      <c r="N3" s="87"/>
      <c r="Q3" s="87"/>
      <c r="R3" s="87"/>
      <c r="U3" s="87"/>
      <c r="V3" s="87"/>
      <c r="Y3" s="87"/>
      <c r="Z3" s="87"/>
      <c r="AC3" s="87"/>
      <c r="AD3" s="87"/>
      <c r="AG3" s="87"/>
      <c r="AH3" s="87"/>
    </row>
    <row r="4" spans="1:35">
      <c r="A4" s="54" t="s">
        <v>1298</v>
      </c>
      <c r="C4" s="21" t="s">
        <v>256</v>
      </c>
      <c r="H4" s="54"/>
      <c r="I4" s="54"/>
      <c r="J4" s="54"/>
      <c r="L4" s="54"/>
      <c r="M4" s="54"/>
      <c r="N4" s="54"/>
    </row>
    <row r="5" spans="1:35">
      <c r="A5" s="13" t="s">
        <v>1299</v>
      </c>
      <c r="B5" s="13"/>
      <c r="C5" s="21" t="s">
        <v>1300</v>
      </c>
      <c r="H5" s="54"/>
      <c r="I5" s="54"/>
      <c r="J5" s="54"/>
      <c r="L5" s="54"/>
      <c r="M5" s="54"/>
      <c r="N5" s="54"/>
    </row>
    <row r="6" spans="1:35" ht="36">
      <c r="A6" s="13" t="s">
        <v>1301</v>
      </c>
      <c r="B6" s="13"/>
      <c r="C6" s="13" t="s">
        <v>1302</v>
      </c>
      <c r="G6" s="90">
        <v>1560</v>
      </c>
      <c r="H6" s="85"/>
      <c r="K6" s="90">
        <v>1560</v>
      </c>
      <c r="L6" s="85"/>
      <c r="O6" s="90">
        <v>1560</v>
      </c>
      <c r="P6" s="85"/>
      <c r="Q6" s="86"/>
      <c r="R6" s="86"/>
      <c r="S6" s="90">
        <v>1560</v>
      </c>
      <c r="T6" s="85"/>
      <c r="U6" s="86"/>
      <c r="V6" s="86"/>
      <c r="W6" s="90">
        <v>1560</v>
      </c>
      <c r="X6" s="85"/>
      <c r="Y6" s="86"/>
      <c r="Z6" s="86"/>
      <c r="AA6" s="90">
        <v>1560</v>
      </c>
      <c r="AB6" s="85"/>
      <c r="AC6" s="86"/>
      <c r="AD6" s="86"/>
      <c r="AE6" s="90">
        <v>1560</v>
      </c>
      <c r="AF6" s="85"/>
      <c r="AG6" s="86"/>
      <c r="AH6" s="86"/>
      <c r="AI6" s="90">
        <v>1560</v>
      </c>
    </row>
    <row r="7" spans="1:35" ht="25.5">
      <c r="A7" s="13" t="s">
        <v>1303</v>
      </c>
      <c r="B7" s="13"/>
      <c r="C7" s="355" t="s">
        <v>1304</v>
      </c>
      <c r="G7" s="90">
        <v>300</v>
      </c>
      <c r="H7" s="85"/>
      <c r="K7" s="90">
        <v>300</v>
      </c>
      <c r="L7" s="85"/>
      <c r="O7" s="90">
        <v>300</v>
      </c>
      <c r="P7" s="85"/>
      <c r="Q7" s="86"/>
      <c r="R7" s="86"/>
      <c r="S7" s="90">
        <v>300</v>
      </c>
      <c r="T7" s="85"/>
      <c r="U7" s="86"/>
      <c r="V7" s="86"/>
      <c r="W7" s="90">
        <v>300</v>
      </c>
      <c r="X7" s="85"/>
      <c r="Y7" s="86"/>
      <c r="Z7" s="86"/>
      <c r="AA7" s="90">
        <v>300</v>
      </c>
      <c r="AB7" s="85"/>
      <c r="AC7" s="86"/>
      <c r="AD7" s="86"/>
      <c r="AE7" s="90">
        <v>300</v>
      </c>
      <c r="AF7" s="85"/>
      <c r="AG7" s="86"/>
      <c r="AH7" s="86"/>
      <c r="AI7" s="90">
        <v>300</v>
      </c>
    </row>
    <row r="8" spans="1:35">
      <c r="A8" s="13" t="s">
        <v>1305</v>
      </c>
      <c r="B8" s="13"/>
      <c r="C8" s="21" t="s">
        <v>1306</v>
      </c>
      <c r="H8" s="85"/>
      <c r="K8" s="85"/>
      <c r="L8" s="85"/>
      <c r="O8" s="85"/>
      <c r="P8" s="85"/>
      <c r="Q8" s="86"/>
      <c r="R8" s="86"/>
      <c r="S8" s="85"/>
      <c r="T8" s="85"/>
      <c r="U8" s="86"/>
      <c r="V8" s="86"/>
      <c r="W8" s="85"/>
      <c r="X8" s="85"/>
      <c r="Y8" s="86"/>
      <c r="Z8" s="86"/>
      <c r="AA8" s="85"/>
      <c r="AB8" s="85"/>
      <c r="AC8" s="86"/>
      <c r="AD8" s="86"/>
      <c r="AE8" s="85"/>
      <c r="AF8" s="85"/>
      <c r="AG8" s="86"/>
      <c r="AH8" s="86"/>
      <c r="AI8" s="85"/>
    </row>
    <row r="9" spans="1:35" ht="48">
      <c r="A9" s="13" t="s">
        <v>1307</v>
      </c>
      <c r="B9" s="13"/>
      <c r="C9" s="13" t="s">
        <v>1308</v>
      </c>
      <c r="D9" s="90">
        <v>348000</v>
      </c>
      <c r="E9" s="91">
        <v>6.8497222303106634E-2</v>
      </c>
      <c r="F9" s="91">
        <f>SUM(D9)*E9</f>
        <v>23837.03336148111</v>
      </c>
      <c r="G9" s="90">
        <v>2800</v>
      </c>
      <c r="H9" s="90">
        <v>348000</v>
      </c>
      <c r="I9" s="91">
        <v>7.0707774438453455E-2</v>
      </c>
      <c r="J9" s="91">
        <f>SUM(H9)*I9</f>
        <v>24606.305504581804</v>
      </c>
      <c r="K9" s="90">
        <v>2800</v>
      </c>
      <c r="L9" s="90">
        <v>348000</v>
      </c>
      <c r="M9" s="91">
        <v>7.298981834743519E-2</v>
      </c>
      <c r="N9" s="91">
        <f>SUM(L9)*M9</f>
        <v>25400.456784907445</v>
      </c>
      <c r="O9" s="90">
        <v>2800</v>
      </c>
      <c r="P9" s="90">
        <v>348000</v>
      </c>
      <c r="Q9" s="91">
        <v>7.552814415722138E-2</v>
      </c>
      <c r="R9" s="91">
        <f>SUM(P9)*Q9</f>
        <v>26283.79416671304</v>
      </c>
      <c r="S9" s="90">
        <v>2800</v>
      </c>
      <c r="T9" s="90">
        <v>348000</v>
      </c>
      <c r="U9" s="91">
        <v>7.8154903424540761E-2</v>
      </c>
      <c r="V9" s="91">
        <f>SUM(T9)*U9</f>
        <v>27197.906391740184</v>
      </c>
      <c r="W9" s="90">
        <v>2800</v>
      </c>
      <c r="X9" s="90">
        <v>348000</v>
      </c>
      <c r="Y9" s="91">
        <v>8.1263955638884403E-2</v>
      </c>
      <c r="Z9" s="91">
        <f>SUM(X9)*Y9</f>
        <v>28279.856562331774</v>
      </c>
      <c r="AA9" s="90">
        <v>2800</v>
      </c>
      <c r="AB9" s="90">
        <v>348000</v>
      </c>
      <c r="AC9" s="91">
        <v>8.4903175402317108E-2</v>
      </c>
      <c r="AD9" s="91">
        <f>SUM(AB9)*AC9</f>
        <v>29546.305040006355</v>
      </c>
      <c r="AE9" s="90">
        <v>2800</v>
      </c>
      <c r="AF9" s="90">
        <v>348000</v>
      </c>
      <c r="AG9" s="91">
        <v>8.8705542016693173E-2</v>
      </c>
      <c r="AH9" s="91">
        <f>SUM(AF9)*AG9</f>
        <v>30869.528621809222</v>
      </c>
      <c r="AI9" s="90">
        <v>2800</v>
      </c>
    </row>
    <row r="10" spans="1:35" ht="24">
      <c r="A10" s="13" t="s">
        <v>1309</v>
      </c>
      <c r="B10" s="13"/>
      <c r="C10" s="13" t="s">
        <v>1310</v>
      </c>
      <c r="D10" s="90">
        <v>20000</v>
      </c>
      <c r="E10" s="91">
        <v>0.44086349967025018</v>
      </c>
      <c r="F10" s="91">
        <f>SUM(D10)*E10</f>
        <v>8817.2699934050033</v>
      </c>
      <c r="G10" s="90">
        <v>1450</v>
      </c>
      <c r="H10" s="90">
        <v>28000</v>
      </c>
      <c r="I10" s="91">
        <v>0.45509110945974007</v>
      </c>
      <c r="J10" s="91">
        <f>SUM(H10)*I10</f>
        <v>12742.551064872721</v>
      </c>
      <c r="K10" s="90">
        <v>1450</v>
      </c>
      <c r="L10" s="90">
        <v>28000</v>
      </c>
      <c r="M10" s="91">
        <v>0.46977885635351785</v>
      </c>
      <c r="N10" s="91">
        <f>SUM(L10)*M10</f>
        <v>13153.807977898499</v>
      </c>
      <c r="O10" s="90">
        <v>1450</v>
      </c>
      <c r="P10" s="90">
        <v>28000</v>
      </c>
      <c r="Q10" s="91">
        <v>0.48611609109354487</v>
      </c>
      <c r="R10" s="91">
        <f>SUM(P10)*Q10</f>
        <v>13611.250550619256</v>
      </c>
      <c r="S10" s="90">
        <v>1450</v>
      </c>
      <c r="T10" s="90">
        <v>28000</v>
      </c>
      <c r="U10" s="91">
        <v>0.50302250341866417</v>
      </c>
      <c r="V10" s="91">
        <f>SUM(T10)*U10</f>
        <v>14084.630095722598</v>
      </c>
      <c r="W10" s="90">
        <v>1450</v>
      </c>
      <c r="X10" s="90">
        <v>28000</v>
      </c>
      <c r="Y10" s="91">
        <v>0.52303306142067696</v>
      </c>
      <c r="Z10" s="91">
        <f>SUM(X10)*Y10</f>
        <v>14644.925719778956</v>
      </c>
      <c r="AA10" s="90">
        <v>1450</v>
      </c>
      <c r="AB10" s="90">
        <v>28000</v>
      </c>
      <c r="AC10" s="91">
        <v>0.54645589678583195</v>
      </c>
      <c r="AD10" s="91">
        <f>SUM(AB10)*AC10</f>
        <v>15300.765110003294</v>
      </c>
      <c r="AE10" s="90">
        <v>1450</v>
      </c>
      <c r="AF10" s="90">
        <v>28000</v>
      </c>
      <c r="AG10" s="91">
        <v>0.57092878190846152</v>
      </c>
      <c r="AH10" s="91">
        <f>SUM(AF10)*AG10</f>
        <v>15986.005893436923</v>
      </c>
      <c r="AI10" s="90">
        <v>1450</v>
      </c>
    </row>
    <row r="11" spans="1:35" ht="36">
      <c r="A11" s="13" t="s">
        <v>1311</v>
      </c>
      <c r="B11" s="13"/>
      <c r="C11" s="13" t="s">
        <v>1312</v>
      </c>
      <c r="G11" s="90">
        <v>1910</v>
      </c>
      <c r="H11" s="85"/>
      <c r="K11" s="90">
        <v>1910</v>
      </c>
      <c r="L11" s="85"/>
      <c r="O11" s="90">
        <v>1910</v>
      </c>
      <c r="P11" s="85"/>
      <c r="Q11" s="86"/>
      <c r="R11" s="86"/>
      <c r="S11" s="90">
        <v>1910</v>
      </c>
      <c r="T11" s="85"/>
      <c r="U11" s="86"/>
      <c r="V11" s="86"/>
      <c r="W11" s="90">
        <v>1910</v>
      </c>
      <c r="X11" s="85"/>
      <c r="Y11" s="86"/>
      <c r="Z11" s="86"/>
      <c r="AA11" s="90">
        <v>1910</v>
      </c>
      <c r="AB11" s="85"/>
      <c r="AC11" s="86"/>
      <c r="AD11" s="86"/>
      <c r="AE11" s="90">
        <v>1910</v>
      </c>
      <c r="AF11" s="85"/>
      <c r="AG11" s="86"/>
      <c r="AH11" s="86"/>
      <c r="AI11" s="90">
        <v>1910</v>
      </c>
    </row>
    <row r="12" spans="1:35" ht="48">
      <c r="A12" s="13" t="s">
        <v>1313</v>
      </c>
      <c r="B12" s="13"/>
      <c r="C12" s="13" t="s">
        <v>1314</v>
      </c>
      <c r="G12" s="90">
        <v>350</v>
      </c>
      <c r="H12" s="85"/>
      <c r="K12" s="90">
        <v>350</v>
      </c>
      <c r="L12" s="85"/>
      <c r="O12" s="90">
        <v>350</v>
      </c>
      <c r="P12" s="85"/>
      <c r="Q12" s="86"/>
      <c r="R12" s="86"/>
      <c r="S12" s="90">
        <v>350</v>
      </c>
      <c r="T12" s="85"/>
      <c r="U12" s="86"/>
      <c r="V12" s="86"/>
      <c r="W12" s="90">
        <v>350</v>
      </c>
      <c r="X12" s="85"/>
      <c r="Y12" s="86"/>
      <c r="Z12" s="86"/>
      <c r="AA12" s="90">
        <v>350</v>
      </c>
      <c r="AB12" s="85"/>
      <c r="AC12" s="86"/>
      <c r="AD12" s="86"/>
      <c r="AE12" s="90">
        <v>350</v>
      </c>
      <c r="AF12" s="85"/>
      <c r="AG12" s="86"/>
      <c r="AH12" s="86"/>
      <c r="AI12" s="90">
        <v>350</v>
      </c>
    </row>
    <row r="13" spans="1:35" ht="72">
      <c r="A13" s="13" t="s">
        <v>1315</v>
      </c>
      <c r="B13" s="13"/>
      <c r="C13" s="13" t="s">
        <v>1316</v>
      </c>
      <c r="G13" s="90">
        <v>1910</v>
      </c>
      <c r="H13" s="85"/>
      <c r="K13" s="90">
        <v>1910</v>
      </c>
      <c r="L13" s="85"/>
      <c r="O13" s="90">
        <v>1910</v>
      </c>
      <c r="P13" s="85"/>
      <c r="Q13" s="86"/>
      <c r="R13" s="86"/>
      <c r="S13" s="90">
        <v>1910</v>
      </c>
      <c r="T13" s="85"/>
      <c r="U13" s="86"/>
      <c r="V13" s="86"/>
      <c r="W13" s="90">
        <v>1910</v>
      </c>
      <c r="X13" s="85"/>
      <c r="Y13" s="86"/>
      <c r="Z13" s="86"/>
      <c r="AA13" s="90">
        <v>1910</v>
      </c>
      <c r="AB13" s="85"/>
      <c r="AC13" s="86"/>
      <c r="AD13" s="86"/>
      <c r="AE13" s="90">
        <v>1910</v>
      </c>
      <c r="AF13" s="85"/>
      <c r="AG13" s="86"/>
      <c r="AH13" s="86"/>
      <c r="AI13" s="90">
        <v>1910</v>
      </c>
    </row>
    <row r="14" spans="1:35" ht="60">
      <c r="A14" s="13" t="s">
        <v>1317</v>
      </c>
      <c r="B14" s="13"/>
      <c r="C14" s="13" t="s">
        <v>1318</v>
      </c>
      <c r="G14" s="90">
        <v>800</v>
      </c>
      <c r="H14" s="85"/>
      <c r="K14" s="90">
        <v>800</v>
      </c>
      <c r="L14" s="85"/>
      <c r="O14" s="90">
        <v>800</v>
      </c>
      <c r="P14" s="85"/>
      <c r="Q14" s="86"/>
      <c r="R14" s="86"/>
      <c r="S14" s="90">
        <v>800</v>
      </c>
      <c r="T14" s="85"/>
      <c r="U14" s="86"/>
      <c r="V14" s="86"/>
      <c r="W14" s="90">
        <v>800</v>
      </c>
      <c r="X14" s="85"/>
      <c r="Y14" s="86"/>
      <c r="Z14" s="86"/>
      <c r="AA14" s="90">
        <v>800</v>
      </c>
      <c r="AB14" s="85"/>
      <c r="AC14" s="86"/>
      <c r="AD14" s="86"/>
      <c r="AE14" s="90">
        <v>800</v>
      </c>
      <c r="AF14" s="85"/>
      <c r="AG14" s="86"/>
      <c r="AH14" s="86"/>
      <c r="AI14" s="90">
        <v>800</v>
      </c>
    </row>
    <row r="15" spans="1:35" ht="24">
      <c r="A15" s="13" t="s">
        <v>1319</v>
      </c>
      <c r="B15" s="13"/>
      <c r="C15" s="13" t="s">
        <v>1320</v>
      </c>
      <c r="D15" s="90">
        <v>1100</v>
      </c>
      <c r="E15" s="91">
        <v>3.1924598251983634</v>
      </c>
      <c r="F15" s="91">
        <f>SUM(D15)*E15</f>
        <v>3511.7058077181996</v>
      </c>
      <c r="G15" s="90">
        <v>600</v>
      </c>
      <c r="H15" s="90">
        <v>1600</v>
      </c>
      <c r="I15" s="91">
        <v>3.2954873443636346</v>
      </c>
      <c r="J15" s="91">
        <f>SUM(H15)*I15</f>
        <v>5272.7797509818156</v>
      </c>
      <c r="K15" s="90">
        <v>600</v>
      </c>
      <c r="L15" s="90">
        <v>1600</v>
      </c>
      <c r="M15" s="91">
        <v>3.4018468908358188</v>
      </c>
      <c r="N15" s="91">
        <f>SUM(L15)*M15</f>
        <v>5442.95502533731</v>
      </c>
      <c r="O15" s="90">
        <v>600</v>
      </c>
      <c r="P15" s="90">
        <v>1600</v>
      </c>
      <c r="Q15" s="91">
        <v>3.5201510044704971</v>
      </c>
      <c r="R15" s="91">
        <f>SUM(P15)*Q15</f>
        <v>5632.241607152795</v>
      </c>
      <c r="S15" s="90">
        <v>600</v>
      </c>
      <c r="T15" s="90">
        <v>1600</v>
      </c>
      <c r="U15" s="91">
        <v>3.642576748893775</v>
      </c>
      <c r="V15" s="91">
        <f>SUM(T15)*U15</f>
        <v>5828.1227982300397</v>
      </c>
      <c r="W15" s="90">
        <v>600</v>
      </c>
      <c r="X15" s="90">
        <v>1600</v>
      </c>
      <c r="Y15" s="91">
        <v>3.7874807895980052</v>
      </c>
      <c r="Z15" s="91">
        <f>SUM(X15)*Y15</f>
        <v>6059.9692633568084</v>
      </c>
      <c r="AA15" s="90">
        <v>600</v>
      </c>
      <c r="AB15" s="90">
        <v>1600</v>
      </c>
      <c r="AC15" s="91">
        <v>3.957094425000852</v>
      </c>
      <c r="AD15" s="91">
        <f>SUM(AB15)*AC15</f>
        <v>6331.3510800013628</v>
      </c>
      <c r="AE15" s="90">
        <v>600</v>
      </c>
      <c r="AF15" s="90">
        <v>1600</v>
      </c>
      <c r="AG15" s="91">
        <v>4.1343118689923077</v>
      </c>
      <c r="AH15" s="91">
        <f>SUM(AF15)*AG15</f>
        <v>6614.8989903876927</v>
      </c>
      <c r="AI15" s="90">
        <v>600</v>
      </c>
    </row>
    <row r="16" spans="1:35" ht="36">
      <c r="A16" s="13" t="s">
        <v>1321</v>
      </c>
      <c r="B16" s="13"/>
      <c r="C16" s="13" t="s">
        <v>1322</v>
      </c>
      <c r="G16" s="90">
        <v>200</v>
      </c>
      <c r="H16" s="85"/>
      <c r="K16" s="90">
        <v>200</v>
      </c>
      <c r="L16" s="85"/>
      <c r="O16" s="90">
        <v>200</v>
      </c>
      <c r="P16" s="85"/>
      <c r="Q16" s="86"/>
      <c r="R16" s="86"/>
      <c r="S16" s="90">
        <v>200</v>
      </c>
      <c r="T16" s="85"/>
      <c r="U16" s="86"/>
      <c r="V16" s="86"/>
      <c r="W16" s="90">
        <v>200</v>
      </c>
      <c r="X16" s="85"/>
      <c r="Y16" s="86"/>
      <c r="Z16" s="86"/>
      <c r="AA16" s="90">
        <v>200</v>
      </c>
      <c r="AB16" s="85"/>
      <c r="AC16" s="86"/>
      <c r="AD16" s="86"/>
      <c r="AE16" s="90">
        <v>200</v>
      </c>
      <c r="AF16" s="85"/>
      <c r="AG16" s="86"/>
      <c r="AH16" s="86"/>
      <c r="AI16" s="90">
        <v>200</v>
      </c>
    </row>
    <row r="17" spans="1:35">
      <c r="A17" s="13" t="s">
        <v>1323</v>
      </c>
      <c r="B17" s="13"/>
      <c r="C17" s="13" t="s">
        <v>1324</v>
      </c>
      <c r="G17" s="90">
        <v>150</v>
      </c>
      <c r="H17" s="85"/>
      <c r="K17" s="90">
        <v>150</v>
      </c>
      <c r="L17" s="85"/>
      <c r="O17" s="90">
        <v>150</v>
      </c>
      <c r="P17" s="85"/>
      <c r="Q17" s="86"/>
      <c r="R17" s="86"/>
      <c r="S17" s="90">
        <v>150</v>
      </c>
      <c r="T17" s="85"/>
      <c r="U17" s="86"/>
      <c r="V17" s="86"/>
      <c r="W17" s="90">
        <v>150</v>
      </c>
      <c r="X17" s="85"/>
      <c r="Y17" s="86"/>
      <c r="Z17" s="86"/>
      <c r="AA17" s="90">
        <v>150</v>
      </c>
      <c r="AB17" s="85"/>
      <c r="AC17" s="86"/>
      <c r="AD17" s="86"/>
      <c r="AE17" s="90">
        <v>150</v>
      </c>
      <c r="AF17" s="85"/>
      <c r="AG17" s="86"/>
      <c r="AH17" s="86"/>
      <c r="AI17" s="90">
        <v>150</v>
      </c>
    </row>
    <row r="18" spans="1:35" ht="24">
      <c r="A18" s="13" t="s">
        <v>1325</v>
      </c>
      <c r="B18" s="13"/>
      <c r="C18" s="13" t="s">
        <v>1326</v>
      </c>
      <c r="G18" s="90">
        <v>400</v>
      </c>
      <c r="H18" s="85"/>
      <c r="K18" s="90">
        <v>400</v>
      </c>
      <c r="L18" s="85"/>
      <c r="O18" s="90">
        <v>400</v>
      </c>
      <c r="P18" s="85"/>
      <c r="Q18" s="86"/>
      <c r="R18" s="86"/>
      <c r="S18" s="90">
        <v>400</v>
      </c>
      <c r="T18" s="85"/>
      <c r="U18" s="86"/>
      <c r="V18" s="86"/>
      <c r="W18" s="90">
        <v>400</v>
      </c>
      <c r="X18" s="85"/>
      <c r="Y18" s="86"/>
      <c r="Z18" s="86"/>
      <c r="AA18" s="90">
        <v>400</v>
      </c>
      <c r="AB18" s="85"/>
      <c r="AC18" s="86"/>
      <c r="AD18" s="86"/>
      <c r="AE18" s="90">
        <v>400</v>
      </c>
      <c r="AF18" s="85"/>
      <c r="AG18" s="86"/>
      <c r="AH18" s="86"/>
      <c r="AI18" s="90">
        <v>400</v>
      </c>
    </row>
    <row r="19" spans="1:35">
      <c r="A19" s="13" t="s">
        <v>1327</v>
      </c>
      <c r="B19" s="13"/>
      <c r="C19" s="21" t="s">
        <v>1328</v>
      </c>
      <c r="H19" s="85"/>
      <c r="K19" s="85"/>
      <c r="L19" s="85"/>
      <c r="O19" s="85"/>
      <c r="P19" s="85"/>
      <c r="Q19" s="86"/>
      <c r="R19" s="86"/>
      <c r="S19" s="85"/>
      <c r="T19" s="85"/>
      <c r="U19" s="86"/>
      <c r="V19" s="86"/>
      <c r="W19" s="85"/>
      <c r="X19" s="85"/>
      <c r="Y19" s="86"/>
      <c r="Z19" s="86"/>
      <c r="AA19" s="85"/>
      <c r="AB19" s="85"/>
      <c r="AC19" s="86"/>
      <c r="AD19" s="86"/>
      <c r="AE19" s="85"/>
      <c r="AF19" s="85"/>
      <c r="AG19" s="86"/>
      <c r="AH19" s="86"/>
      <c r="AI19" s="85"/>
    </row>
    <row r="20" spans="1:35" ht="36">
      <c r="A20" s="13" t="s">
        <v>1329</v>
      </c>
      <c r="B20" s="13"/>
      <c r="C20" s="13" t="s">
        <v>1330</v>
      </c>
      <c r="G20" s="90">
        <v>4548</v>
      </c>
      <c r="H20" s="85"/>
      <c r="K20" s="90">
        <v>4548</v>
      </c>
      <c r="L20" s="85"/>
      <c r="O20" s="90">
        <v>4548</v>
      </c>
      <c r="P20" s="85"/>
      <c r="Q20" s="86"/>
      <c r="R20" s="86"/>
      <c r="S20" s="90">
        <v>4548</v>
      </c>
      <c r="T20" s="85"/>
      <c r="U20" s="86"/>
      <c r="V20" s="86"/>
      <c r="W20" s="90">
        <v>4548</v>
      </c>
      <c r="X20" s="85"/>
      <c r="Y20" s="86"/>
      <c r="Z20" s="86"/>
      <c r="AA20" s="90">
        <v>4548</v>
      </c>
      <c r="AB20" s="85"/>
      <c r="AC20" s="86"/>
      <c r="AD20" s="86"/>
      <c r="AE20" s="90">
        <v>4548</v>
      </c>
      <c r="AF20" s="85"/>
      <c r="AG20" s="86"/>
      <c r="AH20" s="86"/>
      <c r="AI20" s="90">
        <v>4548</v>
      </c>
    </row>
    <row r="21" spans="1:35" ht="24">
      <c r="A21" s="13" t="s">
        <v>1331</v>
      </c>
      <c r="B21" s="13"/>
      <c r="C21" s="13" t="s">
        <v>1332</v>
      </c>
      <c r="G21" s="90">
        <v>2712</v>
      </c>
      <c r="H21" s="85"/>
      <c r="K21" s="90">
        <v>2712</v>
      </c>
      <c r="L21" s="85"/>
      <c r="O21" s="90">
        <v>2712</v>
      </c>
      <c r="P21" s="85"/>
      <c r="Q21" s="86"/>
      <c r="R21" s="86"/>
      <c r="S21" s="90">
        <v>2712</v>
      </c>
      <c r="T21" s="85"/>
      <c r="U21" s="86"/>
      <c r="V21" s="86"/>
      <c r="W21" s="90">
        <v>2712</v>
      </c>
      <c r="X21" s="85"/>
      <c r="Y21" s="86"/>
      <c r="Z21" s="86"/>
      <c r="AA21" s="90">
        <v>2712</v>
      </c>
      <c r="AB21" s="85"/>
      <c r="AC21" s="86"/>
      <c r="AD21" s="86"/>
      <c r="AE21" s="90">
        <v>2712</v>
      </c>
      <c r="AF21" s="85"/>
      <c r="AG21" s="86"/>
      <c r="AH21" s="86"/>
      <c r="AI21" s="90">
        <v>2712</v>
      </c>
    </row>
    <row r="22" spans="1:35" ht="48">
      <c r="A22" s="13" t="s">
        <v>1333</v>
      </c>
      <c r="B22" s="13"/>
      <c r="C22" s="13" t="s">
        <v>1334</v>
      </c>
      <c r="G22" s="90">
        <v>420</v>
      </c>
      <c r="H22" s="85"/>
      <c r="K22" s="90">
        <v>420</v>
      </c>
      <c r="L22" s="85"/>
      <c r="O22" s="90">
        <v>420</v>
      </c>
      <c r="P22" s="85"/>
      <c r="Q22" s="86"/>
      <c r="R22" s="86"/>
      <c r="S22" s="90">
        <v>420</v>
      </c>
      <c r="T22" s="85"/>
      <c r="U22" s="86"/>
      <c r="V22" s="86"/>
      <c r="W22" s="90">
        <v>420</v>
      </c>
      <c r="X22" s="85"/>
      <c r="Y22" s="86"/>
      <c r="Z22" s="86"/>
      <c r="AA22" s="90">
        <v>420</v>
      </c>
      <c r="AB22" s="85"/>
      <c r="AC22" s="86"/>
      <c r="AD22" s="86"/>
      <c r="AE22" s="90">
        <v>420</v>
      </c>
      <c r="AF22" s="85"/>
      <c r="AG22" s="86"/>
      <c r="AH22" s="86"/>
      <c r="AI22" s="90">
        <v>420</v>
      </c>
    </row>
    <row r="23" spans="1:35" ht="24">
      <c r="A23" s="13" t="s">
        <v>1335</v>
      </c>
      <c r="B23" s="13"/>
      <c r="C23" s="13" t="s">
        <v>1336</v>
      </c>
      <c r="G23" s="90">
        <v>420</v>
      </c>
      <c r="H23" s="85"/>
      <c r="K23" s="90">
        <v>420</v>
      </c>
      <c r="L23" s="85"/>
      <c r="O23" s="90">
        <v>420</v>
      </c>
      <c r="P23" s="85"/>
      <c r="Q23" s="86"/>
      <c r="R23" s="86"/>
      <c r="S23" s="90">
        <v>420</v>
      </c>
      <c r="T23" s="85"/>
      <c r="U23" s="86"/>
      <c r="V23" s="86"/>
      <c r="W23" s="90">
        <v>420</v>
      </c>
      <c r="X23" s="85"/>
      <c r="Y23" s="86"/>
      <c r="Z23" s="86"/>
      <c r="AA23" s="90">
        <v>420</v>
      </c>
      <c r="AB23" s="85"/>
      <c r="AC23" s="86"/>
      <c r="AD23" s="86"/>
      <c r="AE23" s="90">
        <v>420</v>
      </c>
      <c r="AF23" s="85"/>
      <c r="AG23" s="86"/>
      <c r="AH23" s="86"/>
      <c r="AI23" s="90">
        <v>420</v>
      </c>
    </row>
    <row r="24" spans="1:35" ht="36">
      <c r="A24" s="13" t="s">
        <v>1337</v>
      </c>
      <c r="B24" s="13"/>
      <c r="C24" s="13" t="s">
        <v>1338</v>
      </c>
      <c r="G24" s="90">
        <v>3004</v>
      </c>
      <c r="H24" s="85"/>
      <c r="K24" s="90">
        <v>3004</v>
      </c>
      <c r="L24" s="85"/>
      <c r="O24" s="90">
        <v>3004</v>
      </c>
      <c r="P24" s="85"/>
      <c r="Q24" s="86"/>
      <c r="R24" s="86"/>
      <c r="S24" s="90">
        <v>3004</v>
      </c>
      <c r="T24" s="85"/>
      <c r="U24" s="86"/>
      <c r="V24" s="86"/>
      <c r="W24" s="90">
        <v>3004</v>
      </c>
      <c r="X24" s="85"/>
      <c r="Y24" s="86"/>
      <c r="Z24" s="86"/>
      <c r="AA24" s="90">
        <v>3004</v>
      </c>
      <c r="AB24" s="85"/>
      <c r="AC24" s="86"/>
      <c r="AD24" s="86"/>
      <c r="AE24" s="90">
        <v>3004</v>
      </c>
      <c r="AF24" s="85"/>
      <c r="AG24" s="86"/>
      <c r="AH24" s="86"/>
      <c r="AI24" s="90">
        <v>3004</v>
      </c>
    </row>
    <row r="25" spans="1:35">
      <c r="A25" s="13" t="s">
        <v>1339</v>
      </c>
      <c r="B25" s="13"/>
      <c r="C25" s="13" t="s">
        <v>1340</v>
      </c>
      <c r="G25" s="90">
        <v>125</v>
      </c>
      <c r="H25" s="85"/>
      <c r="K25" s="90">
        <v>125</v>
      </c>
      <c r="L25" s="85"/>
      <c r="O25" s="90">
        <v>125</v>
      </c>
      <c r="P25" s="85"/>
      <c r="Q25" s="86"/>
      <c r="R25" s="86"/>
      <c r="S25" s="90">
        <v>125</v>
      </c>
      <c r="T25" s="85"/>
      <c r="U25" s="86"/>
      <c r="V25" s="86"/>
      <c r="W25" s="90">
        <v>125</v>
      </c>
      <c r="X25" s="85"/>
      <c r="Y25" s="86"/>
      <c r="Z25" s="86"/>
      <c r="AA25" s="90">
        <v>125</v>
      </c>
      <c r="AB25" s="85"/>
      <c r="AC25" s="86"/>
      <c r="AD25" s="86"/>
      <c r="AE25" s="90">
        <v>125</v>
      </c>
      <c r="AF25" s="85"/>
      <c r="AG25" s="86"/>
      <c r="AH25" s="86"/>
      <c r="AI25" s="90">
        <v>125</v>
      </c>
    </row>
    <row r="26" spans="1:35" ht="24">
      <c r="A26" s="13" t="s">
        <v>1341</v>
      </c>
      <c r="B26" s="13"/>
      <c r="C26" s="13" t="s">
        <v>1342</v>
      </c>
      <c r="G26" s="90">
        <v>1543</v>
      </c>
      <c r="H26" s="85"/>
      <c r="K26" s="90">
        <v>1543</v>
      </c>
      <c r="L26" s="85"/>
      <c r="O26" s="90">
        <v>1543</v>
      </c>
      <c r="P26" s="85"/>
      <c r="Q26" s="86"/>
      <c r="R26" s="86"/>
      <c r="S26" s="90">
        <v>1543</v>
      </c>
      <c r="T26" s="85"/>
      <c r="U26" s="86"/>
      <c r="V26" s="86"/>
      <c r="W26" s="90">
        <v>1543</v>
      </c>
      <c r="X26" s="85"/>
      <c r="Y26" s="86"/>
      <c r="Z26" s="86"/>
      <c r="AA26" s="90">
        <v>1543</v>
      </c>
      <c r="AB26" s="85"/>
      <c r="AC26" s="86"/>
      <c r="AD26" s="86"/>
      <c r="AE26" s="90">
        <v>1543</v>
      </c>
      <c r="AF26" s="85"/>
      <c r="AG26" s="86"/>
      <c r="AH26" s="86"/>
      <c r="AI26" s="90">
        <v>1543</v>
      </c>
    </row>
    <row r="27" spans="1:35">
      <c r="A27" s="13" t="s">
        <v>1343</v>
      </c>
      <c r="B27" s="13"/>
      <c r="C27" s="13" t="s">
        <v>1344</v>
      </c>
      <c r="G27" s="90">
        <v>4673</v>
      </c>
      <c r="H27" s="85"/>
      <c r="K27" s="90">
        <v>4673</v>
      </c>
      <c r="L27" s="85"/>
      <c r="O27" s="90">
        <v>4673</v>
      </c>
      <c r="P27" s="85"/>
      <c r="Q27" s="86"/>
      <c r="R27" s="86"/>
      <c r="S27" s="90">
        <v>4673</v>
      </c>
      <c r="T27" s="85"/>
      <c r="U27" s="86"/>
      <c r="V27" s="86"/>
      <c r="W27" s="90">
        <v>4673</v>
      </c>
      <c r="X27" s="85"/>
      <c r="Y27" s="86"/>
      <c r="Z27" s="86"/>
      <c r="AA27" s="90">
        <v>4673</v>
      </c>
      <c r="AB27" s="85"/>
      <c r="AC27" s="86"/>
      <c r="AD27" s="86"/>
      <c r="AE27" s="90">
        <v>4673</v>
      </c>
      <c r="AF27" s="85"/>
      <c r="AG27" s="86"/>
      <c r="AH27" s="86"/>
      <c r="AI27" s="90">
        <v>4673</v>
      </c>
    </row>
    <row r="28" spans="1:35" ht="24">
      <c r="A28" s="13" t="s">
        <v>1345</v>
      </c>
      <c r="B28" s="13"/>
      <c r="C28" s="13" t="s">
        <v>1346</v>
      </c>
      <c r="G28" s="90">
        <v>295</v>
      </c>
      <c r="H28" s="85"/>
      <c r="K28" s="90">
        <v>295</v>
      </c>
      <c r="L28" s="85"/>
      <c r="O28" s="90">
        <v>295</v>
      </c>
      <c r="P28" s="85"/>
      <c r="Q28" s="86"/>
      <c r="R28" s="86"/>
      <c r="S28" s="90">
        <v>295</v>
      </c>
      <c r="T28" s="85"/>
      <c r="U28" s="86"/>
      <c r="V28" s="86"/>
      <c r="W28" s="90">
        <v>295</v>
      </c>
      <c r="X28" s="85"/>
      <c r="Y28" s="86"/>
      <c r="Z28" s="86"/>
      <c r="AA28" s="90">
        <v>295</v>
      </c>
      <c r="AB28" s="85"/>
      <c r="AC28" s="86"/>
      <c r="AD28" s="86"/>
      <c r="AE28" s="90">
        <v>295</v>
      </c>
      <c r="AF28" s="85"/>
      <c r="AG28" s="86"/>
      <c r="AH28" s="86"/>
      <c r="AI28" s="90">
        <v>295</v>
      </c>
    </row>
    <row r="29" spans="1:35" ht="36">
      <c r="A29" s="128" t="s">
        <v>1347</v>
      </c>
      <c r="B29" s="128"/>
      <c r="C29" s="128" t="s">
        <v>1348</v>
      </c>
      <c r="G29" s="257"/>
      <c r="H29" s="85"/>
      <c r="K29" s="257"/>
      <c r="L29" s="85"/>
      <c r="O29" s="257"/>
      <c r="P29" s="85"/>
      <c r="Q29" s="86"/>
      <c r="R29" s="86"/>
      <c r="S29" s="257"/>
      <c r="T29" s="85"/>
      <c r="U29" s="86"/>
      <c r="V29" s="86"/>
      <c r="W29" s="257"/>
      <c r="X29" s="85"/>
      <c r="Y29" s="86"/>
      <c r="Z29" s="86"/>
      <c r="AA29" s="257"/>
      <c r="AB29" s="85"/>
      <c r="AC29" s="86"/>
      <c r="AD29" s="86"/>
      <c r="AE29" s="257"/>
      <c r="AF29" s="85"/>
      <c r="AG29" s="86"/>
      <c r="AH29" s="86"/>
      <c r="AI29" s="257"/>
    </row>
    <row r="30" spans="1:35">
      <c r="A30" s="13" t="s">
        <v>1349</v>
      </c>
      <c r="B30" s="13"/>
      <c r="C30" s="21" t="s">
        <v>1350</v>
      </c>
      <c r="H30" s="85"/>
      <c r="K30" s="85"/>
      <c r="L30" s="85"/>
      <c r="O30" s="85"/>
      <c r="P30" s="85"/>
      <c r="Q30" s="86"/>
      <c r="R30" s="86"/>
      <c r="S30" s="85"/>
      <c r="T30" s="85"/>
      <c r="U30" s="86"/>
      <c r="V30" s="86"/>
      <c r="W30" s="85"/>
      <c r="X30" s="85"/>
      <c r="Y30" s="86"/>
      <c r="Z30" s="86"/>
      <c r="AA30" s="85"/>
      <c r="AB30" s="85"/>
      <c r="AC30" s="86"/>
      <c r="AD30" s="86"/>
      <c r="AE30" s="85"/>
      <c r="AF30" s="85"/>
      <c r="AG30" s="86"/>
      <c r="AH30" s="86"/>
      <c r="AI30" s="85"/>
    </row>
    <row r="31" spans="1:35" ht="24">
      <c r="A31" s="13" t="s">
        <v>1351</v>
      </c>
      <c r="B31" s="13"/>
      <c r="C31" s="13" t="s">
        <v>1352</v>
      </c>
      <c r="G31" s="90">
        <v>200</v>
      </c>
      <c r="H31" s="85"/>
      <c r="K31" s="90">
        <v>200</v>
      </c>
      <c r="L31" s="85"/>
      <c r="O31" s="90">
        <v>200</v>
      </c>
      <c r="P31" s="85"/>
      <c r="Q31" s="86"/>
      <c r="R31" s="86"/>
      <c r="S31" s="90">
        <v>200</v>
      </c>
      <c r="T31" s="85"/>
      <c r="U31" s="86"/>
      <c r="V31" s="86"/>
      <c r="W31" s="90">
        <v>200</v>
      </c>
      <c r="X31" s="85"/>
      <c r="Y31" s="86"/>
      <c r="Z31" s="86"/>
      <c r="AA31" s="90">
        <v>200</v>
      </c>
      <c r="AB31" s="85"/>
      <c r="AC31" s="86"/>
      <c r="AD31" s="86"/>
      <c r="AE31" s="90">
        <v>200</v>
      </c>
      <c r="AF31" s="85"/>
      <c r="AG31" s="86"/>
      <c r="AH31" s="86"/>
      <c r="AI31" s="90">
        <v>200</v>
      </c>
    </row>
    <row r="32" spans="1:35" ht="36">
      <c r="A32" s="13" t="s">
        <v>1353</v>
      </c>
      <c r="B32" s="13"/>
      <c r="C32" s="13" t="s">
        <v>1354</v>
      </c>
      <c r="G32" s="90">
        <v>10500</v>
      </c>
      <c r="H32" s="85"/>
      <c r="K32" s="90">
        <v>10500</v>
      </c>
      <c r="L32" s="85"/>
      <c r="O32" s="90">
        <v>10500</v>
      </c>
      <c r="P32" s="85"/>
      <c r="Q32" s="86"/>
      <c r="R32" s="86"/>
      <c r="S32" s="90">
        <v>10500</v>
      </c>
      <c r="T32" s="85"/>
      <c r="U32" s="86"/>
      <c r="V32" s="86"/>
      <c r="W32" s="90">
        <v>10500</v>
      </c>
      <c r="X32" s="85"/>
      <c r="Y32" s="86"/>
      <c r="Z32" s="86"/>
      <c r="AA32" s="90">
        <v>10500</v>
      </c>
      <c r="AB32" s="85"/>
      <c r="AC32" s="86"/>
      <c r="AD32" s="86"/>
      <c r="AE32" s="90">
        <v>10500</v>
      </c>
      <c r="AF32" s="85"/>
      <c r="AG32" s="86"/>
      <c r="AH32" s="86"/>
      <c r="AI32" s="90">
        <v>10500</v>
      </c>
    </row>
    <row r="33" spans="1:35" ht="24">
      <c r="A33" s="13" t="s">
        <v>1355</v>
      </c>
      <c r="B33" s="13"/>
      <c r="C33" s="13" t="s">
        <v>1356</v>
      </c>
      <c r="G33" s="90">
        <v>150</v>
      </c>
      <c r="H33" s="85"/>
      <c r="K33" s="90">
        <v>150</v>
      </c>
      <c r="L33" s="85"/>
      <c r="O33" s="90">
        <v>150</v>
      </c>
      <c r="P33" s="85"/>
      <c r="Q33" s="86"/>
      <c r="R33" s="86"/>
      <c r="S33" s="90">
        <v>150</v>
      </c>
      <c r="T33" s="85"/>
      <c r="U33" s="86"/>
      <c r="V33" s="86"/>
      <c r="W33" s="90">
        <v>150</v>
      </c>
      <c r="X33" s="85"/>
      <c r="Y33" s="86"/>
      <c r="Z33" s="86"/>
      <c r="AA33" s="90">
        <v>150</v>
      </c>
      <c r="AB33" s="85"/>
      <c r="AC33" s="86"/>
      <c r="AD33" s="86"/>
      <c r="AE33" s="90">
        <v>150</v>
      </c>
      <c r="AF33" s="85"/>
      <c r="AG33" s="86"/>
      <c r="AH33" s="86"/>
      <c r="AI33" s="90">
        <v>150</v>
      </c>
    </row>
    <row r="34" spans="1:35" ht="36">
      <c r="A34" s="13" t="s">
        <v>1357</v>
      </c>
      <c r="B34" s="13"/>
      <c r="C34" s="13" t="s">
        <v>1358</v>
      </c>
      <c r="G34" s="90">
        <v>6400</v>
      </c>
      <c r="H34" s="85"/>
      <c r="K34" s="90">
        <v>6400</v>
      </c>
      <c r="L34" s="85"/>
      <c r="O34" s="90">
        <v>6400</v>
      </c>
      <c r="P34" s="85"/>
      <c r="Q34" s="86"/>
      <c r="R34" s="86"/>
      <c r="S34" s="90">
        <v>6400</v>
      </c>
      <c r="T34" s="85"/>
      <c r="U34" s="86"/>
      <c r="V34" s="86"/>
      <c r="W34" s="90">
        <v>6400</v>
      </c>
      <c r="X34" s="85"/>
      <c r="Y34" s="86"/>
      <c r="Z34" s="86"/>
      <c r="AA34" s="90">
        <v>6400</v>
      </c>
      <c r="AB34" s="85"/>
      <c r="AC34" s="86"/>
      <c r="AD34" s="86"/>
      <c r="AE34" s="90">
        <v>6400</v>
      </c>
      <c r="AF34" s="85"/>
      <c r="AG34" s="86"/>
      <c r="AH34" s="86"/>
      <c r="AI34" s="90">
        <v>6400</v>
      </c>
    </row>
    <row r="35" spans="1:35" ht="36">
      <c r="A35" s="13" t="s">
        <v>1359</v>
      </c>
      <c r="B35" s="13"/>
      <c r="C35" s="13" t="s">
        <v>1360</v>
      </c>
      <c r="G35" s="90">
        <v>250</v>
      </c>
      <c r="H35" s="85"/>
      <c r="K35" s="90">
        <v>250</v>
      </c>
      <c r="L35" s="85"/>
      <c r="O35" s="90">
        <v>250</v>
      </c>
      <c r="P35" s="85"/>
      <c r="Q35" s="86"/>
      <c r="R35" s="86"/>
      <c r="S35" s="90">
        <v>250</v>
      </c>
      <c r="T35" s="85"/>
      <c r="U35" s="86"/>
      <c r="V35" s="86"/>
      <c r="W35" s="90">
        <v>250</v>
      </c>
      <c r="X35" s="85"/>
      <c r="Y35" s="86"/>
      <c r="Z35" s="86"/>
      <c r="AA35" s="90">
        <v>250</v>
      </c>
      <c r="AB35" s="85"/>
      <c r="AC35" s="86"/>
      <c r="AD35" s="86"/>
      <c r="AE35" s="90">
        <v>250</v>
      </c>
      <c r="AF35" s="85"/>
      <c r="AG35" s="86"/>
      <c r="AH35" s="86"/>
      <c r="AI35" s="90">
        <v>250</v>
      </c>
    </row>
    <row r="36" spans="1:35" ht="24">
      <c r="A36" s="13" t="s">
        <v>1361</v>
      </c>
      <c r="B36" s="13"/>
      <c r="C36" s="13" t="s">
        <v>1362</v>
      </c>
      <c r="G36" s="90">
        <v>5350</v>
      </c>
      <c r="H36" s="85"/>
      <c r="K36" s="90">
        <v>5350</v>
      </c>
      <c r="L36" s="85"/>
      <c r="O36" s="90">
        <v>5350</v>
      </c>
      <c r="P36" s="85"/>
      <c r="Q36" s="86"/>
      <c r="R36" s="86"/>
      <c r="S36" s="90">
        <v>5350</v>
      </c>
      <c r="T36" s="85"/>
      <c r="U36" s="86"/>
      <c r="V36" s="86"/>
      <c r="W36" s="90">
        <v>5350</v>
      </c>
      <c r="X36" s="85"/>
      <c r="Y36" s="86"/>
      <c r="Z36" s="86"/>
      <c r="AA36" s="90">
        <v>5350</v>
      </c>
      <c r="AB36" s="85"/>
      <c r="AC36" s="86"/>
      <c r="AD36" s="86"/>
      <c r="AE36" s="90">
        <v>5350</v>
      </c>
      <c r="AF36" s="85"/>
      <c r="AG36" s="86"/>
      <c r="AH36" s="86"/>
      <c r="AI36" s="90">
        <v>5350</v>
      </c>
    </row>
    <row r="37" spans="1:35" ht="24">
      <c r="A37" s="13" t="s">
        <v>1363</v>
      </c>
      <c r="B37" s="13"/>
      <c r="C37" s="13" t="s">
        <v>1364</v>
      </c>
      <c r="G37" s="90">
        <v>3700</v>
      </c>
      <c r="H37" s="85"/>
      <c r="K37" s="90">
        <v>3700</v>
      </c>
      <c r="L37" s="85"/>
      <c r="O37" s="90">
        <v>3700</v>
      </c>
      <c r="P37" s="85"/>
      <c r="Q37" s="86"/>
      <c r="R37" s="86"/>
      <c r="S37" s="90">
        <v>3700</v>
      </c>
      <c r="T37" s="85"/>
      <c r="U37" s="86"/>
      <c r="V37" s="86"/>
      <c r="W37" s="90">
        <v>3700</v>
      </c>
      <c r="X37" s="85"/>
      <c r="Y37" s="86"/>
      <c r="Z37" s="86"/>
      <c r="AA37" s="90">
        <v>3700</v>
      </c>
      <c r="AB37" s="85"/>
      <c r="AC37" s="86"/>
      <c r="AD37" s="86"/>
      <c r="AE37" s="90">
        <v>3700</v>
      </c>
      <c r="AF37" s="85"/>
      <c r="AG37" s="86"/>
      <c r="AH37" s="86"/>
      <c r="AI37" s="90">
        <v>3700</v>
      </c>
    </row>
    <row r="38" spans="1:35" s="87" customFormat="1">
      <c r="A38" s="13" t="s">
        <v>1365</v>
      </c>
      <c r="B38" s="39"/>
      <c r="C38" s="21" t="s">
        <v>1366</v>
      </c>
      <c r="D38" s="85"/>
      <c r="E38" s="86"/>
      <c r="F38" s="86"/>
      <c r="G38" s="85"/>
      <c r="H38" s="85"/>
      <c r="I38" s="86"/>
      <c r="J38" s="86"/>
      <c r="K38" s="85"/>
      <c r="L38" s="85"/>
      <c r="M38" s="86"/>
      <c r="N38" s="86"/>
      <c r="O38" s="85"/>
      <c r="P38" s="85"/>
      <c r="Q38" s="86"/>
      <c r="R38" s="86"/>
      <c r="S38" s="85"/>
      <c r="T38" s="85"/>
      <c r="U38" s="86"/>
      <c r="V38" s="86"/>
      <c r="W38" s="85"/>
      <c r="X38" s="85"/>
      <c r="Y38" s="86"/>
      <c r="Z38" s="86"/>
      <c r="AA38" s="85"/>
      <c r="AB38" s="85"/>
      <c r="AC38" s="86"/>
      <c r="AD38" s="86"/>
      <c r="AE38" s="85"/>
      <c r="AF38" s="85"/>
      <c r="AG38" s="86"/>
      <c r="AH38" s="86"/>
      <c r="AI38" s="85"/>
    </row>
    <row r="39" spans="1:35" ht="24">
      <c r="A39" s="13" t="s">
        <v>1367</v>
      </c>
      <c r="B39" s="13"/>
      <c r="C39" s="13" t="s">
        <v>1368</v>
      </c>
      <c r="G39" s="90">
        <v>3000</v>
      </c>
      <c r="H39" s="85"/>
      <c r="K39" s="90">
        <v>3000</v>
      </c>
      <c r="L39" s="85"/>
      <c r="O39" s="90">
        <v>3000</v>
      </c>
      <c r="P39" s="85"/>
      <c r="Q39" s="86"/>
      <c r="R39" s="86"/>
      <c r="S39" s="90">
        <v>3000</v>
      </c>
      <c r="T39" s="85"/>
      <c r="U39" s="86"/>
      <c r="V39" s="86"/>
      <c r="W39" s="90">
        <v>3000</v>
      </c>
      <c r="X39" s="85"/>
      <c r="Y39" s="86"/>
      <c r="Z39" s="86"/>
      <c r="AA39" s="90">
        <v>3000</v>
      </c>
      <c r="AB39" s="85"/>
      <c r="AC39" s="86"/>
      <c r="AD39" s="86"/>
      <c r="AE39" s="90">
        <v>3000</v>
      </c>
      <c r="AF39" s="85"/>
      <c r="AG39" s="86"/>
      <c r="AH39" s="86"/>
      <c r="AI39" s="90">
        <v>3000</v>
      </c>
    </row>
    <row r="40" spans="1:35" ht="36">
      <c r="A40" s="13" t="s">
        <v>1369</v>
      </c>
      <c r="B40" s="13"/>
      <c r="C40" s="13" t="s">
        <v>1370</v>
      </c>
      <c r="G40" s="90">
        <v>4000</v>
      </c>
      <c r="H40" s="85"/>
      <c r="K40" s="90">
        <v>4000</v>
      </c>
      <c r="L40" s="85"/>
      <c r="O40" s="90">
        <v>4000</v>
      </c>
      <c r="P40" s="85"/>
      <c r="Q40" s="86"/>
      <c r="R40" s="86"/>
      <c r="S40" s="90">
        <v>4000</v>
      </c>
      <c r="T40" s="85"/>
      <c r="U40" s="86"/>
      <c r="V40" s="86"/>
      <c r="W40" s="90">
        <v>4000</v>
      </c>
      <c r="X40" s="85"/>
      <c r="Y40" s="86"/>
      <c r="Z40" s="86"/>
      <c r="AA40" s="90">
        <v>4000</v>
      </c>
      <c r="AB40" s="85"/>
      <c r="AC40" s="86"/>
      <c r="AD40" s="86"/>
      <c r="AE40" s="90">
        <v>4000</v>
      </c>
      <c r="AF40" s="85"/>
      <c r="AG40" s="86"/>
      <c r="AH40" s="86"/>
      <c r="AI40" s="90">
        <v>4000</v>
      </c>
    </row>
    <row r="41" spans="1:35" ht="36">
      <c r="A41" s="13" t="s">
        <v>1371</v>
      </c>
      <c r="B41" s="13"/>
      <c r="C41" s="13" t="s">
        <v>1372</v>
      </c>
      <c r="G41" s="90">
        <v>400</v>
      </c>
      <c r="H41" s="85"/>
      <c r="K41" s="90">
        <v>400</v>
      </c>
      <c r="L41" s="85"/>
      <c r="O41" s="90">
        <v>400</v>
      </c>
      <c r="P41" s="85"/>
      <c r="Q41" s="86"/>
      <c r="R41" s="86"/>
      <c r="S41" s="90">
        <v>400</v>
      </c>
      <c r="T41" s="85"/>
      <c r="U41" s="86"/>
      <c r="V41" s="86"/>
      <c r="W41" s="90">
        <v>400</v>
      </c>
      <c r="X41" s="85"/>
      <c r="Y41" s="86"/>
      <c r="Z41" s="86"/>
      <c r="AA41" s="90">
        <v>400</v>
      </c>
      <c r="AB41" s="85"/>
      <c r="AC41" s="86"/>
      <c r="AD41" s="86"/>
      <c r="AE41" s="90">
        <v>400</v>
      </c>
      <c r="AF41" s="85"/>
      <c r="AG41" s="86"/>
      <c r="AH41" s="86"/>
      <c r="AI41" s="90">
        <v>400</v>
      </c>
    </row>
    <row r="42" spans="1:35" ht="24">
      <c r="A42" s="13" t="s">
        <v>1373</v>
      </c>
      <c r="B42" s="13"/>
      <c r="C42" s="13" t="s">
        <v>1374</v>
      </c>
      <c r="G42" s="90">
        <v>100</v>
      </c>
      <c r="H42" s="85"/>
      <c r="K42" s="90">
        <v>100</v>
      </c>
      <c r="L42" s="85"/>
      <c r="O42" s="90">
        <v>100</v>
      </c>
      <c r="P42" s="85"/>
      <c r="Q42" s="86"/>
      <c r="R42" s="86"/>
      <c r="S42" s="90">
        <v>100</v>
      </c>
      <c r="T42" s="85"/>
      <c r="U42" s="86"/>
      <c r="V42" s="86"/>
      <c r="W42" s="90">
        <v>100</v>
      </c>
      <c r="X42" s="85"/>
      <c r="Y42" s="86"/>
      <c r="Z42" s="86"/>
      <c r="AA42" s="90">
        <v>100</v>
      </c>
      <c r="AB42" s="85"/>
      <c r="AC42" s="86"/>
      <c r="AD42" s="86"/>
      <c r="AE42" s="90">
        <v>100</v>
      </c>
      <c r="AF42" s="85"/>
      <c r="AG42" s="86"/>
      <c r="AH42" s="86"/>
      <c r="AI42" s="90">
        <v>100</v>
      </c>
    </row>
    <row r="43" spans="1:35" ht="24">
      <c r="A43" s="13" t="s">
        <v>1375</v>
      </c>
      <c r="B43" s="13"/>
      <c r="C43" s="13" t="s">
        <v>1376</v>
      </c>
      <c r="G43" s="90">
        <v>50</v>
      </c>
      <c r="H43" s="85"/>
      <c r="K43" s="90">
        <v>50</v>
      </c>
      <c r="L43" s="85"/>
      <c r="O43" s="90">
        <v>50</v>
      </c>
      <c r="P43" s="85"/>
      <c r="Q43" s="86"/>
      <c r="R43" s="86"/>
      <c r="S43" s="90">
        <v>50</v>
      </c>
      <c r="T43" s="85"/>
      <c r="U43" s="86"/>
      <c r="V43" s="86"/>
      <c r="W43" s="90">
        <v>50</v>
      </c>
      <c r="X43" s="85"/>
      <c r="Y43" s="86"/>
      <c r="Z43" s="86"/>
      <c r="AA43" s="90">
        <v>50</v>
      </c>
      <c r="AB43" s="85"/>
      <c r="AC43" s="86"/>
      <c r="AD43" s="86"/>
      <c r="AE43" s="90">
        <v>50</v>
      </c>
      <c r="AF43" s="85"/>
      <c r="AG43" s="86"/>
      <c r="AH43" s="86"/>
      <c r="AI43" s="90">
        <v>50</v>
      </c>
    </row>
    <row r="44" spans="1:35">
      <c r="A44" s="13" t="s">
        <v>1377</v>
      </c>
      <c r="B44" s="13"/>
      <c r="C44" s="21" t="s">
        <v>1378</v>
      </c>
      <c r="H44" s="85"/>
      <c r="K44" s="85"/>
      <c r="L44" s="85"/>
      <c r="O44" s="85"/>
      <c r="P44" s="85"/>
      <c r="Q44" s="86"/>
      <c r="R44" s="86"/>
      <c r="S44" s="85"/>
      <c r="T44" s="85"/>
      <c r="U44" s="86"/>
      <c r="V44" s="86"/>
      <c r="W44" s="85"/>
      <c r="X44" s="85"/>
      <c r="Y44" s="86"/>
      <c r="Z44" s="86"/>
      <c r="AA44" s="85"/>
      <c r="AB44" s="85"/>
      <c r="AC44" s="86"/>
      <c r="AD44" s="86"/>
      <c r="AE44" s="85"/>
      <c r="AF44" s="85"/>
      <c r="AG44" s="86"/>
      <c r="AH44" s="86"/>
      <c r="AI44" s="85"/>
    </row>
    <row r="45" spans="1:35" ht="24">
      <c r="A45" s="13" t="s">
        <v>1379</v>
      </c>
      <c r="B45" s="13"/>
      <c r="C45" s="104" t="s">
        <v>1380</v>
      </c>
      <c r="G45" s="90">
        <v>0</v>
      </c>
      <c r="H45" s="85"/>
      <c r="K45" s="90">
        <v>0</v>
      </c>
      <c r="L45" s="85"/>
      <c r="O45" s="90">
        <v>0</v>
      </c>
      <c r="P45" s="85"/>
      <c r="Q45" s="86"/>
      <c r="R45" s="86"/>
      <c r="S45" s="90">
        <v>0</v>
      </c>
      <c r="T45" s="85"/>
      <c r="U45" s="86"/>
      <c r="V45" s="86"/>
      <c r="W45" s="90">
        <v>0</v>
      </c>
      <c r="X45" s="85"/>
      <c r="Y45" s="86"/>
      <c r="Z45" s="86"/>
      <c r="AA45" s="90">
        <v>0</v>
      </c>
      <c r="AB45" s="85"/>
      <c r="AC45" s="86"/>
      <c r="AD45" s="86"/>
      <c r="AE45" s="90">
        <v>0</v>
      </c>
      <c r="AF45" s="85"/>
      <c r="AG45" s="86"/>
      <c r="AH45" s="86"/>
      <c r="AI45" s="90">
        <v>0</v>
      </c>
    </row>
    <row r="46" spans="1:35" ht="24">
      <c r="A46" s="13" t="s">
        <v>1381</v>
      </c>
      <c r="B46" s="13"/>
      <c r="C46" s="13" t="s">
        <v>1382</v>
      </c>
      <c r="G46" s="90">
        <v>100</v>
      </c>
      <c r="H46" s="85"/>
      <c r="K46" s="90">
        <v>100</v>
      </c>
      <c r="L46" s="85"/>
      <c r="O46" s="90">
        <v>100</v>
      </c>
      <c r="P46" s="85"/>
      <c r="Q46" s="86"/>
      <c r="R46" s="86"/>
      <c r="S46" s="90">
        <v>100</v>
      </c>
      <c r="T46" s="85"/>
      <c r="U46" s="86"/>
      <c r="V46" s="86"/>
      <c r="W46" s="90">
        <v>100</v>
      </c>
      <c r="X46" s="85"/>
      <c r="Y46" s="86"/>
      <c r="Z46" s="86"/>
      <c r="AA46" s="90">
        <v>100</v>
      </c>
      <c r="AB46" s="85"/>
      <c r="AC46" s="86"/>
      <c r="AD46" s="86"/>
      <c r="AE46" s="90">
        <v>100</v>
      </c>
      <c r="AF46" s="85"/>
      <c r="AG46" s="86"/>
      <c r="AH46" s="86"/>
      <c r="AI46" s="90">
        <v>100</v>
      </c>
    </row>
    <row r="47" spans="1:35" ht="36">
      <c r="A47" s="13" t="s">
        <v>1383</v>
      </c>
      <c r="B47" s="13"/>
      <c r="C47" s="13" t="s">
        <v>1384</v>
      </c>
      <c r="G47" s="90">
        <v>0</v>
      </c>
      <c r="H47" s="85"/>
      <c r="K47" s="90">
        <v>0</v>
      </c>
      <c r="L47" s="85"/>
      <c r="O47" s="90">
        <v>0</v>
      </c>
      <c r="P47" s="85"/>
      <c r="Q47" s="86"/>
      <c r="R47" s="86"/>
      <c r="S47" s="90">
        <v>0</v>
      </c>
      <c r="T47" s="85"/>
      <c r="U47" s="86"/>
      <c r="V47" s="86"/>
      <c r="W47" s="90">
        <v>0</v>
      </c>
      <c r="X47" s="85"/>
      <c r="Y47" s="86"/>
      <c r="Z47" s="86"/>
      <c r="AA47" s="90">
        <v>0</v>
      </c>
      <c r="AB47" s="85"/>
      <c r="AC47" s="86"/>
      <c r="AD47" s="86"/>
      <c r="AE47" s="90">
        <v>0</v>
      </c>
      <c r="AF47" s="85"/>
      <c r="AG47" s="86"/>
      <c r="AH47" s="86"/>
      <c r="AI47" s="90">
        <v>0</v>
      </c>
    </row>
    <row r="48" spans="1:35">
      <c r="A48" s="13" t="s">
        <v>1385</v>
      </c>
      <c r="B48" s="13"/>
      <c r="C48" s="21" t="s">
        <v>1386</v>
      </c>
      <c r="H48" s="85"/>
      <c r="K48" s="85"/>
      <c r="L48" s="85"/>
      <c r="O48" s="85"/>
      <c r="P48" s="85"/>
      <c r="Q48" s="86"/>
      <c r="R48" s="86"/>
      <c r="S48" s="85"/>
      <c r="T48" s="85"/>
      <c r="U48" s="86"/>
      <c r="V48" s="86"/>
      <c r="W48" s="85"/>
      <c r="X48" s="85"/>
      <c r="Y48" s="86"/>
      <c r="Z48" s="86"/>
      <c r="AA48" s="85"/>
      <c r="AB48" s="85"/>
      <c r="AC48" s="86"/>
      <c r="AD48" s="86"/>
      <c r="AE48" s="85"/>
      <c r="AF48" s="85"/>
      <c r="AG48" s="86"/>
      <c r="AH48" s="86"/>
      <c r="AI48" s="85"/>
    </row>
    <row r="49" spans="1:35" ht="24">
      <c r="A49" s="13" t="s">
        <v>1387</v>
      </c>
      <c r="B49" s="13"/>
      <c r="C49" s="13" t="s">
        <v>1388</v>
      </c>
      <c r="G49" s="90">
        <v>0</v>
      </c>
      <c r="H49" s="85"/>
      <c r="K49" s="90">
        <v>0</v>
      </c>
      <c r="L49" s="85"/>
      <c r="O49" s="90">
        <v>0</v>
      </c>
      <c r="P49" s="85"/>
      <c r="Q49" s="86"/>
      <c r="R49" s="86"/>
      <c r="S49" s="90">
        <v>0</v>
      </c>
      <c r="T49" s="85"/>
      <c r="U49" s="86"/>
      <c r="V49" s="86"/>
      <c r="W49" s="90">
        <v>0</v>
      </c>
      <c r="X49" s="85"/>
      <c r="Y49" s="86"/>
      <c r="Z49" s="86"/>
      <c r="AA49" s="90">
        <v>0</v>
      </c>
      <c r="AB49" s="85"/>
      <c r="AC49" s="86"/>
      <c r="AD49" s="86"/>
      <c r="AE49" s="90">
        <v>0</v>
      </c>
      <c r="AF49" s="85"/>
      <c r="AG49" s="86"/>
      <c r="AH49" s="86"/>
      <c r="AI49" s="90">
        <v>0</v>
      </c>
    </row>
    <row r="50" spans="1:35">
      <c r="A50" s="13" t="s">
        <v>1389</v>
      </c>
      <c r="B50" s="13"/>
      <c r="C50" s="21" t="s">
        <v>1390</v>
      </c>
      <c r="H50" s="85"/>
      <c r="K50" s="85"/>
      <c r="L50" s="85"/>
      <c r="O50" s="85"/>
      <c r="P50" s="85"/>
      <c r="Q50" s="86"/>
      <c r="R50" s="86"/>
      <c r="S50" s="85"/>
      <c r="T50" s="85"/>
      <c r="U50" s="86"/>
      <c r="V50" s="86"/>
      <c r="W50" s="85"/>
      <c r="X50" s="85"/>
      <c r="Y50" s="86"/>
      <c r="Z50" s="86"/>
      <c r="AA50" s="85"/>
      <c r="AB50" s="85"/>
      <c r="AC50" s="86"/>
      <c r="AD50" s="86"/>
      <c r="AE50" s="85"/>
      <c r="AF50" s="85"/>
      <c r="AG50" s="86"/>
      <c r="AH50" s="86"/>
      <c r="AI50" s="85"/>
    </row>
    <row r="51" spans="1:35" ht="24">
      <c r="A51" s="13" t="s">
        <v>1391</v>
      </c>
      <c r="B51" s="13"/>
      <c r="C51" s="13" t="s">
        <v>1392</v>
      </c>
      <c r="G51" s="90">
        <v>0</v>
      </c>
      <c r="H51" s="85"/>
      <c r="K51" s="90">
        <v>0</v>
      </c>
      <c r="L51" s="85"/>
      <c r="O51" s="90">
        <v>0</v>
      </c>
      <c r="P51" s="85"/>
      <c r="Q51" s="86"/>
      <c r="R51" s="86"/>
      <c r="S51" s="90">
        <v>0</v>
      </c>
      <c r="T51" s="85"/>
      <c r="U51" s="86"/>
      <c r="V51" s="86"/>
      <c r="W51" s="90">
        <v>0</v>
      </c>
      <c r="X51" s="85"/>
      <c r="Y51" s="86"/>
      <c r="Z51" s="86"/>
      <c r="AA51" s="90">
        <v>0</v>
      </c>
      <c r="AB51" s="85"/>
      <c r="AC51" s="86"/>
      <c r="AD51" s="86"/>
      <c r="AE51" s="90">
        <v>0</v>
      </c>
      <c r="AF51" s="85"/>
      <c r="AG51" s="86"/>
      <c r="AH51" s="86"/>
      <c r="AI51" s="90">
        <v>0</v>
      </c>
    </row>
    <row r="52" spans="1:35">
      <c r="A52" s="13" t="s">
        <v>1393</v>
      </c>
      <c r="B52" s="13"/>
      <c r="C52" s="13" t="s">
        <v>1394</v>
      </c>
      <c r="G52" s="90">
        <v>0</v>
      </c>
      <c r="H52" s="85"/>
      <c r="K52" s="90">
        <v>0</v>
      </c>
      <c r="L52" s="85"/>
      <c r="O52" s="90">
        <v>0</v>
      </c>
      <c r="P52" s="85"/>
      <c r="Q52" s="86"/>
      <c r="R52" s="86"/>
      <c r="S52" s="90">
        <v>0</v>
      </c>
      <c r="T52" s="85"/>
      <c r="U52" s="86"/>
      <c r="V52" s="86"/>
      <c r="W52" s="90">
        <v>0</v>
      </c>
      <c r="X52" s="85"/>
      <c r="Y52" s="86"/>
      <c r="Z52" s="86"/>
      <c r="AA52" s="90">
        <v>0</v>
      </c>
      <c r="AB52" s="85"/>
      <c r="AC52" s="86"/>
      <c r="AD52" s="86"/>
      <c r="AE52" s="90">
        <v>0</v>
      </c>
      <c r="AF52" s="85"/>
      <c r="AG52" s="86"/>
      <c r="AH52" s="86"/>
      <c r="AI52" s="90">
        <v>0</v>
      </c>
    </row>
    <row r="53" spans="1:35">
      <c r="A53" s="13" t="s">
        <v>1395</v>
      </c>
      <c r="B53" s="13"/>
      <c r="C53" s="21" t="s">
        <v>312</v>
      </c>
      <c r="H53" s="85"/>
      <c r="K53" s="85"/>
      <c r="L53" s="85"/>
      <c r="O53" s="85"/>
      <c r="P53" s="85"/>
      <c r="Q53" s="86"/>
      <c r="R53" s="86"/>
      <c r="S53" s="85"/>
      <c r="T53" s="85"/>
      <c r="U53" s="86"/>
      <c r="V53" s="86"/>
      <c r="W53" s="85"/>
      <c r="X53" s="85"/>
      <c r="Y53" s="86"/>
      <c r="Z53" s="86"/>
      <c r="AA53" s="85"/>
      <c r="AB53" s="85"/>
      <c r="AC53" s="86"/>
      <c r="AD53" s="86"/>
      <c r="AE53" s="85"/>
      <c r="AF53" s="85"/>
      <c r="AG53" s="86"/>
      <c r="AH53" s="86"/>
      <c r="AI53" s="85"/>
    </row>
    <row r="54" spans="1:35">
      <c r="A54" s="13" t="s">
        <v>1396</v>
      </c>
      <c r="B54" s="13"/>
      <c r="C54" s="13" t="s">
        <v>377</v>
      </c>
      <c r="H54" s="85"/>
      <c r="K54" s="85"/>
      <c r="L54" s="85"/>
      <c r="O54" s="85"/>
      <c r="P54" s="85"/>
      <c r="Q54" s="86"/>
      <c r="R54" s="86"/>
      <c r="S54" s="85"/>
      <c r="T54" s="85"/>
      <c r="U54" s="86"/>
      <c r="V54" s="86"/>
      <c r="W54" s="85"/>
      <c r="X54" s="85"/>
      <c r="Y54" s="86"/>
      <c r="Z54" s="86"/>
      <c r="AA54" s="85"/>
      <c r="AB54" s="85"/>
      <c r="AC54" s="86"/>
      <c r="AD54" s="86"/>
      <c r="AE54" s="85"/>
      <c r="AF54" s="85"/>
      <c r="AG54" s="86"/>
      <c r="AH54" s="86"/>
      <c r="AI54" s="85"/>
    </row>
    <row r="55" spans="1:35">
      <c r="A55" s="13" t="s">
        <v>1397</v>
      </c>
      <c r="B55" s="13"/>
      <c r="C55" s="21" t="s">
        <v>410</v>
      </c>
      <c r="H55" s="85"/>
      <c r="K55" s="85"/>
      <c r="L55" s="85"/>
      <c r="O55" s="85"/>
      <c r="P55" s="85"/>
      <c r="Q55" s="86"/>
      <c r="R55" s="86"/>
      <c r="S55" s="85"/>
      <c r="T55" s="85"/>
      <c r="U55" s="86"/>
      <c r="V55" s="86"/>
      <c r="W55" s="85"/>
      <c r="X55" s="85"/>
      <c r="Y55" s="86"/>
      <c r="Z55" s="86"/>
      <c r="AA55" s="85"/>
      <c r="AB55" s="85"/>
      <c r="AC55" s="86"/>
      <c r="AD55" s="86"/>
      <c r="AE55" s="85"/>
      <c r="AF55" s="85"/>
      <c r="AG55" s="86"/>
      <c r="AH55" s="86"/>
      <c r="AI55" s="85"/>
    </row>
    <row r="56" spans="1:35" ht="48">
      <c r="A56" s="13" t="s">
        <v>1398</v>
      </c>
      <c r="B56" s="13"/>
      <c r="C56" s="13" t="s">
        <v>516</v>
      </c>
      <c r="H56" s="85"/>
      <c r="K56" s="85"/>
      <c r="L56" s="85"/>
      <c r="O56" s="85"/>
      <c r="P56" s="85"/>
      <c r="Q56" s="86"/>
      <c r="R56" s="86"/>
      <c r="S56" s="85"/>
      <c r="T56" s="85"/>
      <c r="U56" s="86"/>
      <c r="V56" s="86"/>
      <c r="W56" s="85"/>
      <c r="X56" s="85"/>
      <c r="Y56" s="86"/>
      <c r="Z56" s="86"/>
      <c r="AA56" s="85"/>
      <c r="AB56" s="85"/>
      <c r="AC56" s="86"/>
      <c r="AD56" s="86"/>
      <c r="AE56" s="85"/>
      <c r="AF56" s="85"/>
      <c r="AG56" s="86"/>
      <c r="AH56" s="86"/>
      <c r="AI56" s="85"/>
    </row>
    <row r="57" spans="1:35" ht="36">
      <c r="A57" s="128" t="s">
        <v>1399</v>
      </c>
      <c r="B57" s="128"/>
      <c r="C57" s="128" t="s">
        <v>1400</v>
      </c>
      <c r="G57" s="326" t="s">
        <v>1401</v>
      </c>
      <c r="H57" s="326" t="s">
        <v>1401</v>
      </c>
      <c r="I57" s="326" t="s">
        <v>1401</v>
      </c>
      <c r="J57" s="326" t="s">
        <v>1401</v>
      </c>
      <c r="K57" s="326" t="s">
        <v>1401</v>
      </c>
      <c r="L57" s="326" t="s">
        <v>1401</v>
      </c>
      <c r="M57" s="326" t="s">
        <v>1401</v>
      </c>
      <c r="N57" s="326" t="s">
        <v>1401</v>
      </c>
      <c r="O57" s="326" t="s">
        <v>1401</v>
      </c>
      <c r="P57" s="326" t="s">
        <v>1401</v>
      </c>
      <c r="Q57" s="326" t="s">
        <v>1401</v>
      </c>
      <c r="R57" s="326" t="s">
        <v>1401</v>
      </c>
      <c r="S57" s="326" t="s">
        <v>1401</v>
      </c>
      <c r="T57" s="326" t="s">
        <v>1401</v>
      </c>
      <c r="U57" s="326" t="s">
        <v>1401</v>
      </c>
      <c r="V57" s="326" t="s">
        <v>1401</v>
      </c>
      <c r="W57" s="326" t="s">
        <v>1401</v>
      </c>
      <c r="X57" s="326" t="s">
        <v>1401</v>
      </c>
      <c r="Y57" s="326" t="s">
        <v>1401</v>
      </c>
      <c r="Z57" s="326" t="s">
        <v>1401</v>
      </c>
      <c r="AA57" s="326" t="s">
        <v>1401</v>
      </c>
      <c r="AB57" s="326" t="s">
        <v>1401</v>
      </c>
      <c r="AC57" s="326" t="s">
        <v>1401</v>
      </c>
      <c r="AD57" s="326" t="s">
        <v>1401</v>
      </c>
      <c r="AE57" s="326" t="s">
        <v>1401</v>
      </c>
      <c r="AF57" s="326" t="s">
        <v>1401</v>
      </c>
      <c r="AG57" s="326" t="s">
        <v>1401</v>
      </c>
      <c r="AH57" s="326" t="s">
        <v>1401</v>
      </c>
      <c r="AI57" s="326" t="s">
        <v>1401</v>
      </c>
    </row>
    <row r="58" spans="1:35">
      <c r="A58" s="13" t="s">
        <v>1402</v>
      </c>
      <c r="B58" s="13"/>
      <c r="C58" s="21" t="s">
        <v>320</v>
      </c>
      <c r="H58" s="85"/>
      <c r="K58" s="85"/>
      <c r="L58" s="85"/>
      <c r="O58" s="85"/>
      <c r="P58" s="85"/>
      <c r="Q58" s="86"/>
      <c r="R58" s="86"/>
      <c r="S58" s="85"/>
      <c r="T58" s="85"/>
      <c r="U58" s="86"/>
      <c r="V58" s="86"/>
      <c r="W58" s="85"/>
      <c r="X58" s="85"/>
      <c r="Y58" s="86"/>
      <c r="Z58" s="86"/>
      <c r="AA58" s="85"/>
      <c r="AB58" s="85"/>
      <c r="AC58" s="86"/>
      <c r="AD58" s="86"/>
      <c r="AE58" s="85"/>
      <c r="AF58" s="85"/>
      <c r="AG58" s="86"/>
      <c r="AH58" s="86"/>
      <c r="AI58" s="85"/>
    </row>
    <row r="59" spans="1:35" ht="24">
      <c r="A59" s="13" t="s">
        <v>1403</v>
      </c>
      <c r="B59" s="13"/>
      <c r="C59" s="13" t="s">
        <v>1404</v>
      </c>
      <c r="G59" s="90">
        <v>0</v>
      </c>
      <c r="H59" s="85"/>
      <c r="K59" s="90">
        <v>0</v>
      </c>
      <c r="L59" s="85"/>
      <c r="O59" s="90">
        <v>0</v>
      </c>
      <c r="P59" s="85"/>
      <c r="Q59" s="86"/>
      <c r="R59" s="86"/>
      <c r="S59" s="90">
        <v>0</v>
      </c>
      <c r="T59" s="85"/>
      <c r="U59" s="86"/>
      <c r="V59" s="86"/>
      <c r="W59" s="90">
        <v>0</v>
      </c>
      <c r="X59" s="85"/>
      <c r="Y59" s="86"/>
      <c r="Z59" s="86"/>
      <c r="AA59" s="90">
        <v>0</v>
      </c>
      <c r="AB59" s="85"/>
      <c r="AC59" s="86"/>
      <c r="AD59" s="86"/>
      <c r="AE59" s="90">
        <v>0</v>
      </c>
      <c r="AF59" s="85"/>
      <c r="AG59" s="86"/>
      <c r="AH59" s="86"/>
      <c r="AI59" s="90">
        <v>0</v>
      </c>
    </row>
    <row r="60" spans="1:35" ht="36">
      <c r="A60" s="13" t="s">
        <v>1405</v>
      </c>
      <c r="B60" s="13"/>
      <c r="C60" s="13" t="s">
        <v>1406</v>
      </c>
      <c r="G60" s="90">
        <v>0</v>
      </c>
      <c r="H60" s="85"/>
      <c r="K60" s="90">
        <v>0</v>
      </c>
      <c r="L60" s="85"/>
      <c r="O60" s="90">
        <v>0</v>
      </c>
      <c r="P60" s="85"/>
      <c r="Q60" s="86"/>
      <c r="R60" s="86"/>
      <c r="S60" s="90">
        <v>0</v>
      </c>
      <c r="T60" s="85"/>
      <c r="U60" s="86"/>
      <c r="V60" s="86"/>
      <c r="W60" s="90">
        <v>0</v>
      </c>
      <c r="X60" s="85"/>
      <c r="Y60" s="86"/>
      <c r="Z60" s="86"/>
      <c r="AA60" s="90">
        <v>0</v>
      </c>
      <c r="AB60" s="85"/>
      <c r="AC60" s="86"/>
      <c r="AD60" s="86"/>
      <c r="AE60" s="90">
        <v>0</v>
      </c>
      <c r="AF60" s="85"/>
      <c r="AG60" s="86"/>
      <c r="AH60" s="86"/>
      <c r="AI60" s="90">
        <v>0</v>
      </c>
    </row>
    <row r="61" spans="1:35">
      <c r="A61" s="13" t="s">
        <v>1407</v>
      </c>
      <c r="B61" s="13"/>
      <c r="C61" s="21" t="s">
        <v>363</v>
      </c>
      <c r="H61" s="85"/>
      <c r="K61" s="85"/>
      <c r="L61" s="85"/>
      <c r="O61" s="85"/>
      <c r="P61" s="85"/>
      <c r="Q61" s="86"/>
      <c r="R61" s="86"/>
      <c r="S61" s="85"/>
      <c r="T61" s="85"/>
      <c r="U61" s="86"/>
      <c r="V61" s="86"/>
      <c r="W61" s="85"/>
      <c r="X61" s="85"/>
      <c r="Y61" s="86"/>
      <c r="Z61" s="86"/>
      <c r="AA61" s="85"/>
      <c r="AB61" s="85"/>
      <c r="AC61" s="86"/>
      <c r="AD61" s="86"/>
      <c r="AE61" s="85"/>
      <c r="AF61" s="85"/>
      <c r="AG61" s="86"/>
      <c r="AH61" s="86"/>
      <c r="AI61" s="85"/>
    </row>
    <row r="62" spans="1:35">
      <c r="A62" s="13" t="s">
        <v>1408</v>
      </c>
      <c r="B62" s="13"/>
      <c r="C62" s="21" t="s">
        <v>1409</v>
      </c>
      <c r="H62" s="85"/>
      <c r="K62" s="85"/>
      <c r="L62" s="85"/>
      <c r="O62" s="85"/>
      <c r="P62" s="85"/>
      <c r="Q62" s="86"/>
      <c r="R62" s="86"/>
      <c r="S62" s="85"/>
      <c r="T62" s="85"/>
      <c r="U62" s="86"/>
      <c r="V62" s="86"/>
      <c r="W62" s="85"/>
      <c r="X62" s="85"/>
      <c r="Y62" s="86"/>
      <c r="Z62" s="86"/>
      <c r="AA62" s="85"/>
      <c r="AB62" s="85"/>
      <c r="AC62" s="86"/>
      <c r="AD62" s="86"/>
      <c r="AE62" s="85"/>
      <c r="AF62" s="85"/>
      <c r="AG62" s="86"/>
      <c r="AH62" s="86"/>
      <c r="AI62" s="85"/>
    </row>
    <row r="63" spans="1:35" ht="84">
      <c r="A63" s="13" t="s">
        <v>1410</v>
      </c>
      <c r="B63" s="13"/>
      <c r="C63" s="13" t="s">
        <v>1411</v>
      </c>
      <c r="G63" s="90">
        <v>0</v>
      </c>
      <c r="H63" s="85"/>
      <c r="K63" s="90">
        <v>0</v>
      </c>
      <c r="L63" s="85"/>
      <c r="O63" s="90">
        <v>0</v>
      </c>
      <c r="P63" s="85"/>
      <c r="Q63" s="86"/>
      <c r="R63" s="86"/>
      <c r="S63" s="90">
        <v>0</v>
      </c>
      <c r="T63" s="85"/>
      <c r="U63" s="86"/>
      <c r="V63" s="86"/>
      <c r="W63" s="90">
        <v>0</v>
      </c>
      <c r="X63" s="85"/>
      <c r="Y63" s="86"/>
      <c r="Z63" s="86"/>
      <c r="AA63" s="90">
        <v>0</v>
      </c>
      <c r="AB63" s="85"/>
      <c r="AC63" s="86"/>
      <c r="AD63" s="86"/>
      <c r="AE63" s="90">
        <v>0</v>
      </c>
      <c r="AF63" s="85"/>
      <c r="AG63" s="86"/>
      <c r="AH63" s="86"/>
      <c r="AI63" s="90">
        <v>0</v>
      </c>
    </row>
    <row r="64" spans="1:35" ht="48">
      <c r="A64" s="13" t="s">
        <v>1412</v>
      </c>
      <c r="B64" s="13"/>
      <c r="C64" s="13" t="s">
        <v>1413</v>
      </c>
      <c r="G64" s="90">
        <v>0</v>
      </c>
      <c r="H64" s="85"/>
      <c r="K64" s="90">
        <v>0</v>
      </c>
      <c r="L64" s="85"/>
      <c r="O64" s="90">
        <v>0</v>
      </c>
      <c r="P64" s="85"/>
      <c r="Q64" s="86"/>
      <c r="R64" s="86"/>
      <c r="S64" s="90">
        <v>0</v>
      </c>
      <c r="T64" s="85"/>
      <c r="U64" s="86"/>
      <c r="V64" s="86"/>
      <c r="W64" s="90">
        <v>0</v>
      </c>
      <c r="X64" s="85"/>
      <c r="Y64" s="86"/>
      <c r="Z64" s="86"/>
      <c r="AA64" s="90">
        <v>0</v>
      </c>
      <c r="AB64" s="85"/>
      <c r="AC64" s="86"/>
      <c r="AD64" s="86"/>
      <c r="AE64" s="90">
        <v>0</v>
      </c>
      <c r="AF64" s="85"/>
      <c r="AG64" s="86"/>
      <c r="AH64" s="86"/>
      <c r="AI64" s="90">
        <v>0</v>
      </c>
    </row>
    <row r="65" spans="1:37" ht="48">
      <c r="A65" s="13" t="s">
        <v>1414</v>
      </c>
      <c r="B65" s="13"/>
      <c r="C65" s="13" t="s">
        <v>1415</v>
      </c>
      <c r="G65" s="90">
        <v>0</v>
      </c>
      <c r="H65" s="85"/>
      <c r="K65" s="90">
        <v>0</v>
      </c>
      <c r="L65" s="85"/>
      <c r="O65" s="90">
        <v>0</v>
      </c>
      <c r="P65" s="85"/>
      <c r="Q65" s="86"/>
      <c r="R65" s="86"/>
      <c r="S65" s="90">
        <v>0</v>
      </c>
      <c r="T65" s="85"/>
      <c r="U65" s="86"/>
      <c r="V65" s="86"/>
      <c r="W65" s="90">
        <v>0</v>
      </c>
      <c r="X65" s="85"/>
      <c r="Y65" s="86"/>
      <c r="Z65" s="86"/>
      <c r="AA65" s="90">
        <v>0</v>
      </c>
      <c r="AB65" s="85"/>
      <c r="AC65" s="86"/>
      <c r="AD65" s="86"/>
      <c r="AE65" s="90">
        <v>0</v>
      </c>
      <c r="AF65" s="85"/>
      <c r="AG65" s="86"/>
      <c r="AH65" s="86"/>
      <c r="AI65" s="90">
        <v>0</v>
      </c>
    </row>
    <row r="66" spans="1:37" ht="36">
      <c r="A66" s="13" t="s">
        <v>1416</v>
      </c>
      <c r="B66" s="13"/>
      <c r="C66" s="13" t="s">
        <v>1417</v>
      </c>
      <c r="G66" s="90">
        <v>0</v>
      </c>
      <c r="H66" s="85"/>
      <c r="K66" s="90">
        <v>0</v>
      </c>
      <c r="L66" s="85"/>
      <c r="O66" s="90">
        <v>0</v>
      </c>
      <c r="P66" s="85"/>
      <c r="Q66" s="86"/>
      <c r="R66" s="86"/>
      <c r="S66" s="90">
        <v>0</v>
      </c>
      <c r="T66" s="85"/>
      <c r="U66" s="86"/>
      <c r="V66" s="86"/>
      <c r="W66" s="90">
        <v>0</v>
      </c>
      <c r="X66" s="85"/>
      <c r="Y66" s="86"/>
      <c r="Z66" s="86"/>
      <c r="AA66" s="90">
        <v>0</v>
      </c>
      <c r="AB66" s="85"/>
      <c r="AC66" s="86"/>
      <c r="AD66" s="86"/>
      <c r="AE66" s="90">
        <v>0</v>
      </c>
      <c r="AF66" s="85"/>
      <c r="AG66" s="86"/>
      <c r="AH66" s="86"/>
      <c r="AI66" s="90">
        <v>0</v>
      </c>
    </row>
    <row r="67" spans="1:37">
      <c r="A67" s="13" t="s">
        <v>1418</v>
      </c>
      <c r="B67" s="13" t="s">
        <v>1419</v>
      </c>
      <c r="C67" s="21" t="s">
        <v>1420</v>
      </c>
      <c r="H67" s="85"/>
      <c r="K67" s="85"/>
      <c r="L67" s="85"/>
      <c r="O67" s="85"/>
      <c r="P67" s="85"/>
      <c r="Q67" s="86"/>
      <c r="R67" s="86"/>
      <c r="S67" s="85"/>
      <c r="T67" s="85"/>
      <c r="U67" s="86"/>
      <c r="V67" s="86"/>
      <c r="W67" s="85"/>
      <c r="X67" s="85"/>
      <c r="Y67" s="86"/>
      <c r="Z67" s="86"/>
      <c r="AA67" s="85"/>
      <c r="AB67" s="85"/>
      <c r="AC67" s="86"/>
      <c r="AD67" s="86"/>
      <c r="AE67" s="85"/>
      <c r="AF67" s="85"/>
      <c r="AG67" s="86"/>
      <c r="AH67" s="86"/>
      <c r="AI67" s="85"/>
    </row>
    <row r="68" spans="1:37" ht="36">
      <c r="A68" s="56" t="s">
        <v>1421</v>
      </c>
      <c r="B68" s="56"/>
      <c r="C68" s="56" t="s">
        <v>1422</v>
      </c>
      <c r="D68" s="94"/>
      <c r="E68" s="95"/>
      <c r="F68" s="95"/>
      <c r="G68" s="90">
        <v>0</v>
      </c>
      <c r="H68" s="94"/>
      <c r="I68" s="95"/>
      <c r="J68" s="95"/>
      <c r="K68" s="90">
        <v>0</v>
      </c>
      <c r="L68" s="94"/>
      <c r="M68" s="95"/>
      <c r="N68" s="95"/>
      <c r="O68" s="90">
        <v>0</v>
      </c>
      <c r="P68" s="94"/>
      <c r="Q68" s="95"/>
      <c r="R68" s="95"/>
      <c r="S68" s="90">
        <v>0</v>
      </c>
      <c r="T68" s="94"/>
      <c r="U68" s="95"/>
      <c r="V68" s="95"/>
      <c r="W68" s="90">
        <v>0</v>
      </c>
      <c r="X68" s="94"/>
      <c r="Y68" s="95"/>
      <c r="Z68" s="95"/>
      <c r="AA68" s="90">
        <v>0</v>
      </c>
      <c r="AB68" s="94"/>
      <c r="AC68" s="95"/>
      <c r="AD68" s="95"/>
      <c r="AE68" s="90">
        <v>0</v>
      </c>
      <c r="AF68" s="94"/>
      <c r="AG68" s="95"/>
      <c r="AH68" s="95"/>
      <c r="AI68" s="90">
        <v>0</v>
      </c>
    </row>
    <row r="69" spans="1:37">
      <c r="A69" s="28"/>
      <c r="B69" s="96"/>
      <c r="C69" s="96"/>
      <c r="D69" s="97"/>
      <c r="E69" s="98"/>
      <c r="F69" s="98"/>
      <c r="G69" s="99">
        <f t="shared" ref="G69:AI69" si="0">SUM(G3:G68)</f>
        <v>64370</v>
      </c>
      <c r="H69" s="99">
        <f t="shared" si="0"/>
        <v>377600</v>
      </c>
      <c r="I69" s="99">
        <f t="shared" si="0"/>
        <v>3.8212862282618278</v>
      </c>
      <c r="J69" s="99">
        <f t="shared" si="0"/>
        <v>42621.636320436344</v>
      </c>
      <c r="K69" s="99">
        <f t="shared" si="0"/>
        <v>64370</v>
      </c>
      <c r="L69" s="99">
        <f t="shared" si="0"/>
        <v>377600</v>
      </c>
      <c r="M69" s="99">
        <f t="shared" si="0"/>
        <v>3.9446155655367718</v>
      </c>
      <c r="N69" s="99">
        <f t="shared" si="0"/>
        <v>43997.219788143251</v>
      </c>
      <c r="O69" s="99">
        <f t="shared" si="0"/>
        <v>64370</v>
      </c>
      <c r="P69" s="99">
        <f t="shared" si="0"/>
        <v>377600</v>
      </c>
      <c r="Q69" s="99">
        <f t="shared" si="0"/>
        <v>4.0817952397212629</v>
      </c>
      <c r="R69" s="99">
        <f t="shared" si="0"/>
        <v>45527.286324485089</v>
      </c>
      <c r="S69" s="99">
        <f t="shared" si="0"/>
        <v>64370</v>
      </c>
      <c r="T69" s="99">
        <f t="shared" si="0"/>
        <v>377600</v>
      </c>
      <c r="U69" s="99">
        <f t="shared" si="0"/>
        <v>4.2237541557369802</v>
      </c>
      <c r="V69" s="99">
        <f t="shared" si="0"/>
        <v>47110.659285692826</v>
      </c>
      <c r="W69" s="99">
        <f t="shared" si="0"/>
        <v>64370</v>
      </c>
      <c r="X69" s="99">
        <f t="shared" si="0"/>
        <v>377600</v>
      </c>
      <c r="Y69" s="99">
        <f t="shared" si="0"/>
        <v>4.3917778066575668</v>
      </c>
      <c r="Z69" s="99">
        <f t="shared" si="0"/>
        <v>48984.75154546753</v>
      </c>
      <c r="AA69" s="99">
        <f t="shared" si="0"/>
        <v>64370</v>
      </c>
      <c r="AB69" s="99">
        <f t="shared" si="0"/>
        <v>377600</v>
      </c>
      <c r="AC69" s="99">
        <f t="shared" si="0"/>
        <v>4.5884534971890005</v>
      </c>
      <c r="AD69" s="99">
        <f t="shared" si="0"/>
        <v>51178.421230011008</v>
      </c>
      <c r="AE69" s="99">
        <f t="shared" si="0"/>
        <v>64370</v>
      </c>
      <c r="AF69" s="99">
        <f t="shared" si="0"/>
        <v>377600</v>
      </c>
      <c r="AG69" s="99">
        <f t="shared" si="0"/>
        <v>4.7939461929174625</v>
      </c>
      <c r="AH69" s="99">
        <f t="shared" si="0"/>
        <v>53470.433505633839</v>
      </c>
      <c r="AI69" s="99">
        <f t="shared" si="0"/>
        <v>64370</v>
      </c>
    </row>
    <row r="70" spans="1:37" s="163" customFormat="1" ht="15">
      <c r="A70" s="162"/>
      <c r="D70" s="342"/>
      <c r="E70" s="342"/>
      <c r="F70" s="342"/>
      <c r="G70" s="168" t="s">
        <v>385</v>
      </c>
      <c r="H70" s="342"/>
      <c r="I70" s="342"/>
      <c r="J70" s="342"/>
      <c r="K70" s="168" t="s">
        <v>385</v>
      </c>
      <c r="L70" s="170"/>
      <c r="M70" s="342"/>
      <c r="N70" s="342"/>
      <c r="O70" s="168" t="s">
        <v>385</v>
      </c>
      <c r="P70" s="342"/>
      <c r="Q70" s="342"/>
      <c r="R70" s="342"/>
      <c r="S70" s="168" t="s">
        <v>385</v>
      </c>
      <c r="T70" s="342"/>
      <c r="U70" s="342"/>
      <c r="V70" s="342"/>
      <c r="W70" s="168" t="s">
        <v>385</v>
      </c>
      <c r="X70" s="342"/>
      <c r="Y70" s="342"/>
      <c r="Z70" s="342"/>
      <c r="AA70" s="168" t="s">
        <v>385</v>
      </c>
      <c r="AB70" s="342"/>
      <c r="AC70" s="342"/>
      <c r="AD70" s="342"/>
      <c r="AE70" s="168" t="s">
        <v>385</v>
      </c>
      <c r="AF70" s="342"/>
      <c r="AG70" s="342"/>
      <c r="AH70" s="342"/>
      <c r="AI70" s="168" t="s">
        <v>385</v>
      </c>
    </row>
    <row r="71" spans="1:37" s="151" customFormat="1" ht="30">
      <c r="A71" s="150"/>
      <c r="D71" s="152"/>
      <c r="E71" s="153"/>
      <c r="F71" s="153"/>
      <c r="G71" s="154" t="s">
        <v>189</v>
      </c>
      <c r="H71" s="155"/>
      <c r="I71" s="153"/>
      <c r="J71" s="153"/>
      <c r="K71" s="154" t="s">
        <v>190</v>
      </c>
      <c r="L71" s="155"/>
      <c r="M71" s="153"/>
      <c r="N71" s="153"/>
      <c r="O71" s="154" t="s">
        <v>191</v>
      </c>
      <c r="P71" s="156"/>
      <c r="Q71" s="153"/>
      <c r="R71" s="153"/>
      <c r="S71" s="154" t="s">
        <v>432</v>
      </c>
      <c r="T71" s="156"/>
      <c r="U71" s="153"/>
      <c r="V71" s="153"/>
      <c r="W71" s="154" t="s">
        <v>433</v>
      </c>
      <c r="X71" s="156"/>
      <c r="Y71" s="153"/>
      <c r="Z71" s="153"/>
      <c r="AA71" s="154" t="s">
        <v>194</v>
      </c>
      <c r="AB71" s="156"/>
      <c r="AC71" s="153"/>
      <c r="AD71" s="153"/>
      <c r="AE71" s="154" t="s">
        <v>251</v>
      </c>
      <c r="AF71" s="156"/>
      <c r="AG71" s="153"/>
      <c r="AH71" s="153"/>
      <c r="AI71" s="154" t="s">
        <v>252</v>
      </c>
    </row>
    <row r="72" spans="1:37" s="151" customFormat="1" ht="15">
      <c r="A72" s="150"/>
      <c r="C72" s="184" t="s">
        <v>386</v>
      </c>
      <c r="D72" s="152"/>
      <c r="E72" s="153"/>
      <c r="F72" s="153"/>
      <c r="G72" s="157">
        <f>SUM(G73:G81)</f>
        <v>576651.85052805196</v>
      </c>
      <c r="H72" s="157">
        <f t="shared" ref="H72:AI72" si="1">SUM(H73:H81)</f>
        <v>0</v>
      </c>
      <c r="I72" s="157">
        <f t="shared" si="1"/>
        <v>0</v>
      </c>
      <c r="J72" s="157">
        <f t="shared" si="1"/>
        <v>0</v>
      </c>
      <c r="K72" s="157">
        <f t="shared" si="1"/>
        <v>576926.05761783198</v>
      </c>
      <c r="L72" s="157">
        <f t="shared" si="1"/>
        <v>0</v>
      </c>
      <c r="M72" s="157">
        <f t="shared" si="1"/>
        <v>0</v>
      </c>
      <c r="N72" s="157">
        <f t="shared" si="1"/>
        <v>0</v>
      </c>
      <c r="O72" s="157">
        <f t="shared" si="1"/>
        <v>661606.33830160403</v>
      </c>
      <c r="P72" s="157">
        <f t="shared" si="1"/>
        <v>0</v>
      </c>
      <c r="Q72" s="157">
        <f t="shared" si="1"/>
        <v>0</v>
      </c>
      <c r="R72" s="157">
        <f t="shared" si="1"/>
        <v>0</v>
      </c>
      <c r="S72" s="157">
        <f t="shared" si="1"/>
        <v>688131.57375404192</v>
      </c>
      <c r="T72" s="157">
        <f t="shared" si="1"/>
        <v>0</v>
      </c>
      <c r="U72" s="157">
        <f t="shared" si="1"/>
        <v>0</v>
      </c>
      <c r="V72" s="157">
        <f t="shared" si="1"/>
        <v>0</v>
      </c>
      <c r="W72" s="157">
        <f t="shared" si="1"/>
        <v>712119.02087011305</v>
      </c>
      <c r="X72" s="157">
        <f t="shared" si="1"/>
        <v>0</v>
      </c>
      <c r="Y72" s="157">
        <f t="shared" si="1"/>
        <v>0</v>
      </c>
      <c r="Z72" s="157">
        <f t="shared" si="1"/>
        <v>0</v>
      </c>
      <c r="AA72" s="157">
        <f t="shared" si="1"/>
        <v>740486.88247046317</v>
      </c>
      <c r="AB72" s="157">
        <f t="shared" si="1"/>
        <v>0</v>
      </c>
      <c r="AC72" s="157">
        <f t="shared" si="1"/>
        <v>0</v>
      </c>
      <c r="AD72" s="157">
        <f t="shared" si="1"/>
        <v>0</v>
      </c>
      <c r="AE72" s="157">
        <f t="shared" si="1"/>
        <v>773669.59836614598</v>
      </c>
      <c r="AF72" s="157">
        <f t="shared" si="1"/>
        <v>0</v>
      </c>
      <c r="AG72" s="157">
        <f t="shared" si="1"/>
        <v>0</v>
      </c>
      <c r="AH72" s="157">
        <f t="shared" si="1"/>
        <v>0</v>
      </c>
      <c r="AI72" s="157">
        <f t="shared" si="1"/>
        <v>808340.78335209296</v>
      </c>
    </row>
    <row r="73" spans="1:37" s="151" customFormat="1" ht="15">
      <c r="A73" s="150"/>
      <c r="C73" s="184" t="s">
        <v>387</v>
      </c>
      <c r="D73" s="152"/>
      <c r="E73" s="153"/>
      <c r="F73" s="153"/>
      <c r="G73" s="157">
        <v>547996.37052805198</v>
      </c>
      <c r="H73" s="155"/>
      <c r="I73" s="153"/>
      <c r="J73" s="153"/>
      <c r="K73" s="157">
        <v>565681.38761783205</v>
      </c>
      <c r="L73" s="155"/>
      <c r="M73" s="153"/>
      <c r="N73" s="153"/>
      <c r="O73" s="157">
        <v>583938.35830160405</v>
      </c>
      <c r="P73" s="156"/>
      <c r="Q73" s="153"/>
      <c r="R73" s="153"/>
      <c r="S73" s="157">
        <v>604245.653754042</v>
      </c>
      <c r="T73" s="156"/>
      <c r="U73" s="153"/>
      <c r="V73" s="153"/>
      <c r="W73" s="157">
        <v>625260.44087011297</v>
      </c>
      <c r="X73" s="156"/>
      <c r="Y73" s="153"/>
      <c r="Z73" s="153"/>
      <c r="AA73" s="157">
        <v>650133.702470463</v>
      </c>
      <c r="AB73" s="156"/>
      <c r="AC73" s="153"/>
      <c r="AD73" s="153"/>
      <c r="AE73" s="157">
        <v>679248.44836614595</v>
      </c>
      <c r="AF73" s="156"/>
      <c r="AG73" s="153"/>
      <c r="AH73" s="153"/>
      <c r="AI73" s="157">
        <v>709668.41335209296</v>
      </c>
    </row>
    <row r="74" spans="1:37" s="151" customFormat="1" ht="15">
      <c r="A74" s="150"/>
      <c r="D74" s="152"/>
      <c r="E74" s="153"/>
      <c r="F74" s="153" t="s">
        <v>1423</v>
      </c>
      <c r="G74" s="157">
        <v>27666.48</v>
      </c>
      <c r="H74" s="155"/>
      <c r="I74" s="153"/>
      <c r="J74" s="153"/>
      <c r="K74" s="157">
        <v>28559.33</v>
      </c>
      <c r="L74" s="155"/>
      <c r="M74" s="153"/>
      <c r="N74" s="153"/>
      <c r="O74" s="157">
        <v>29481.07</v>
      </c>
      <c r="P74" s="156"/>
      <c r="Q74" s="153"/>
      <c r="R74" s="153"/>
      <c r="S74" s="157">
        <v>30506.32</v>
      </c>
      <c r="T74" s="156"/>
      <c r="U74" s="153"/>
      <c r="V74" s="153"/>
      <c r="W74" s="157">
        <v>31567.279999999999</v>
      </c>
      <c r="X74" s="156"/>
      <c r="Y74" s="153"/>
      <c r="Z74" s="153"/>
      <c r="AA74" s="157">
        <v>32823.050000000003</v>
      </c>
      <c r="AB74" s="156"/>
      <c r="AC74" s="153"/>
      <c r="AD74" s="153"/>
      <c r="AE74" s="157">
        <v>34292.949999999997</v>
      </c>
      <c r="AF74" s="156"/>
      <c r="AG74" s="153"/>
      <c r="AH74" s="153"/>
      <c r="AI74" s="157">
        <v>35828.76</v>
      </c>
    </row>
    <row r="75" spans="1:37" s="151" customFormat="1" ht="15">
      <c r="A75" s="150"/>
      <c r="D75" s="152"/>
      <c r="E75" s="153"/>
      <c r="F75" s="153" t="s">
        <v>1424</v>
      </c>
      <c r="G75" s="157">
        <v>989</v>
      </c>
      <c r="H75" s="155"/>
      <c r="I75" s="153"/>
      <c r="J75" s="153"/>
      <c r="K75" s="157">
        <v>1020.94</v>
      </c>
      <c r="L75" s="155"/>
      <c r="M75" s="153"/>
      <c r="N75" s="153"/>
      <c r="O75" s="157">
        <v>1053.92</v>
      </c>
      <c r="P75" s="156"/>
      <c r="Q75" s="153"/>
      <c r="R75" s="153"/>
      <c r="S75" s="157">
        <v>1090.5999999999999</v>
      </c>
      <c r="T75" s="156"/>
      <c r="U75" s="153"/>
      <c r="V75" s="153"/>
      <c r="W75" s="157">
        <v>1128.55</v>
      </c>
      <c r="X75" s="156"/>
      <c r="Y75" s="153"/>
      <c r="Z75" s="153"/>
      <c r="AA75" s="157">
        <v>1173.47</v>
      </c>
      <c r="AB75" s="156"/>
      <c r="AC75" s="153"/>
      <c r="AD75" s="153"/>
      <c r="AE75" s="157">
        <v>1226.04</v>
      </c>
      <c r="AF75" s="156"/>
      <c r="AG75" s="153"/>
      <c r="AH75" s="153"/>
      <c r="AI75" s="157">
        <v>1280.96</v>
      </c>
    </row>
    <row r="76" spans="1:37" s="151" customFormat="1" ht="15">
      <c r="A76" s="150"/>
      <c r="D76" s="152"/>
      <c r="E76" s="153"/>
      <c r="F76" s="153" t="s">
        <v>388</v>
      </c>
      <c r="G76" s="157">
        <v>0</v>
      </c>
      <c r="H76" s="155"/>
      <c r="I76" s="153"/>
      <c r="J76" s="153"/>
      <c r="K76" s="157">
        <v>-19728.98</v>
      </c>
      <c r="L76" s="155"/>
      <c r="M76" s="153"/>
      <c r="N76" s="153"/>
      <c r="O76" s="157">
        <v>-28983.74</v>
      </c>
      <c r="P76" s="156"/>
      <c r="Q76" s="153"/>
      <c r="R76" s="153"/>
      <c r="S76" s="157">
        <v>-29991.69</v>
      </c>
      <c r="T76" s="156"/>
      <c r="U76" s="153"/>
      <c r="V76" s="153"/>
      <c r="W76" s="157">
        <v>-31034.75</v>
      </c>
      <c r="X76" s="156"/>
      <c r="Y76" s="153"/>
      <c r="Z76" s="153"/>
      <c r="AA76" s="157">
        <v>-32269.34</v>
      </c>
      <c r="AB76" s="156"/>
      <c r="AC76" s="153"/>
      <c r="AD76" s="153"/>
      <c r="AE76" s="157">
        <v>-33714.44</v>
      </c>
      <c r="AF76" s="156"/>
      <c r="AG76" s="153"/>
      <c r="AH76" s="153"/>
      <c r="AI76" s="157">
        <v>-35224.339999999997</v>
      </c>
    </row>
    <row r="77" spans="1:37" s="151" customFormat="1" ht="15">
      <c r="A77" s="150"/>
      <c r="D77" s="152"/>
      <c r="E77" s="153"/>
      <c r="F77" s="153" t="s">
        <v>737</v>
      </c>
      <c r="G77" s="261">
        <v>0</v>
      </c>
      <c r="H77" s="155"/>
      <c r="I77" s="153"/>
      <c r="J77" s="153"/>
      <c r="K77" s="261">
        <v>1393.38</v>
      </c>
      <c r="L77" s="155"/>
      <c r="M77" s="153"/>
      <c r="N77" s="153"/>
      <c r="O77" s="261">
        <v>37488.730000000003</v>
      </c>
      <c r="P77" s="156"/>
      <c r="Q77" s="153"/>
      <c r="R77" s="153"/>
      <c r="S77" s="261">
        <v>38793.339999999997</v>
      </c>
      <c r="T77" s="156"/>
      <c r="U77" s="153"/>
      <c r="V77" s="153"/>
      <c r="W77" s="261">
        <v>40143.35</v>
      </c>
      <c r="X77" s="156"/>
      <c r="Y77" s="153"/>
      <c r="Z77" s="153"/>
      <c r="AA77" s="261">
        <v>41741.050000000003</v>
      </c>
      <c r="AB77" s="156"/>
      <c r="AC77" s="153"/>
      <c r="AD77" s="153"/>
      <c r="AE77" s="261">
        <v>43611.05</v>
      </c>
      <c r="AF77" s="156"/>
      <c r="AG77" s="153"/>
      <c r="AH77" s="153"/>
      <c r="AI77" s="261">
        <v>45564.83</v>
      </c>
      <c r="AJ77" s="310">
        <f>SUM(G77:AI77)</f>
        <v>248735.72999999998</v>
      </c>
      <c r="AK77" s="151" t="s">
        <v>738</v>
      </c>
    </row>
    <row r="78" spans="1:37" ht="15">
      <c r="F78" s="86" t="s">
        <v>1247</v>
      </c>
      <c r="G78" s="304"/>
      <c r="H78" s="304"/>
      <c r="I78" s="304"/>
      <c r="J78" s="304"/>
      <c r="K78" s="304"/>
      <c r="L78" s="304"/>
      <c r="M78" s="304"/>
      <c r="N78" s="304"/>
      <c r="O78" s="304">
        <v>38628</v>
      </c>
      <c r="P78" s="304"/>
      <c r="Q78" s="304"/>
      <c r="R78" s="304"/>
      <c r="S78" s="304">
        <v>39972.25</v>
      </c>
      <c r="T78" s="304"/>
      <c r="U78" s="304"/>
      <c r="V78" s="304"/>
      <c r="W78" s="304">
        <v>41363.29</v>
      </c>
      <c r="X78" s="304"/>
      <c r="Y78" s="304"/>
      <c r="Z78" s="304"/>
      <c r="AA78" s="304">
        <v>43009.55</v>
      </c>
      <c r="AB78" s="304"/>
      <c r="AC78" s="304"/>
      <c r="AD78" s="304"/>
      <c r="AE78" s="304">
        <v>44936.38</v>
      </c>
      <c r="AF78" s="304"/>
      <c r="AG78" s="304"/>
      <c r="AH78" s="304"/>
      <c r="AI78" s="304">
        <v>46949.53</v>
      </c>
      <c r="AJ78" s="310">
        <f>SUM(G78:AI78)</f>
        <v>254859.00000000003</v>
      </c>
    </row>
    <row r="79" spans="1:37" ht="15">
      <c r="F79" s="153" t="s">
        <v>1425</v>
      </c>
      <c r="G79" s="304"/>
      <c r="H79" s="304"/>
      <c r="I79" s="304"/>
      <c r="J79" s="304"/>
      <c r="K79" s="304"/>
      <c r="L79" s="304"/>
      <c r="M79" s="304"/>
      <c r="N79" s="304"/>
      <c r="O79" s="304"/>
      <c r="P79" s="304"/>
      <c r="Q79" s="304"/>
      <c r="R79" s="304"/>
      <c r="S79" s="304">
        <v>3515.1</v>
      </c>
      <c r="T79" s="304"/>
      <c r="U79" s="304"/>
      <c r="V79" s="304"/>
      <c r="W79" s="304">
        <v>3690.86</v>
      </c>
      <c r="X79" s="304"/>
      <c r="Y79" s="304"/>
      <c r="Z79" s="304"/>
      <c r="AA79" s="304">
        <v>3875.4</v>
      </c>
      <c r="AB79" s="304"/>
      <c r="AC79" s="304"/>
      <c r="AD79" s="304"/>
      <c r="AE79" s="304">
        <v>4069.17</v>
      </c>
      <c r="AF79" s="304"/>
      <c r="AG79" s="304"/>
      <c r="AH79" s="304"/>
      <c r="AI79" s="304">
        <v>4272.63</v>
      </c>
      <c r="AJ79" s="310">
        <f>SUM(G79:AI79)</f>
        <v>19423.16</v>
      </c>
      <c r="AK79" s="54" t="s">
        <v>1426</v>
      </c>
    </row>
    <row r="80" spans="1:37" ht="15">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10">
        <f>SUM(G80:AI80)</f>
        <v>0</v>
      </c>
    </row>
    <row r="81" spans="7:36" ht="15">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10">
        <f>SUM(G81:AI81)</f>
        <v>0</v>
      </c>
    </row>
  </sheetData>
  <mergeCells count="8">
    <mergeCell ref="AB1:AE1"/>
    <mergeCell ref="AF1:AI1"/>
    <mergeCell ref="D1:G1"/>
    <mergeCell ref="H1:K1"/>
    <mergeCell ref="L1:O1"/>
    <mergeCell ref="P1:S1"/>
    <mergeCell ref="T1:W1"/>
    <mergeCell ref="X1:AA1"/>
  </mergeCells>
  <phoneticPr fontId="0" type="noConversion"/>
  <printOptions horizontalCentered="1"/>
  <pageMargins left="0.5" right="0.5" top="1" bottom="1" header="0.5" footer="0.5"/>
  <pageSetup paperSize="9" fitToWidth="3" fitToHeight="5" orientation="landscape" r:id="rId1"/>
  <headerFooter alignWithMargins="0">
    <oddHeader>&amp;C&amp;"Calibri"&amp;10&amp;K737373Serco Business&amp;1#_x000D_&amp;"Calibri"&amp;11&amp;K000000&amp;"Calibri"&amp;11&amp;K000000&amp;"Arial,Bold"RESTRICTED - CONTRACTS</oddHeader>
    <oddFooter>&amp;L&amp;8PTC/CB/00642&amp;C&amp;8 2-(14)-&amp;P&amp;10
&amp;"Arial,Bold"RESTRICTED - CONTRACTS&amp;R&amp;8Pricing</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dimension ref="A1:W104"/>
  <sheetViews>
    <sheetView topLeftCell="A63" zoomScale="75" workbookViewId="0">
      <selection activeCell="A71" sqref="A71"/>
    </sheetView>
  </sheetViews>
  <sheetFormatPr defaultColWidth="9.140625" defaultRowHeight="12"/>
  <cols>
    <col min="1" max="1" width="8.7109375" style="13" customWidth="1"/>
    <col min="2" max="2" width="2.7109375" style="17" customWidth="1"/>
    <col min="3" max="3" width="30.7109375" style="17" customWidth="1"/>
    <col min="4" max="4" width="8.7109375" style="51" customWidth="1" collapsed="1"/>
    <col min="5" max="5" width="14.7109375" style="24" customWidth="1"/>
    <col min="6" max="6" width="8.7109375" style="51" hidden="1" customWidth="1" collapsed="1"/>
    <col min="7" max="7" width="14.85546875" style="17" customWidth="1" collapsed="1"/>
    <col min="8" max="8" width="8.7109375" style="51" hidden="1" customWidth="1" collapsed="1"/>
    <col min="9" max="9" width="15" style="17" customWidth="1" collapsed="1"/>
    <col min="10" max="10" width="8.7109375" style="17" hidden="1" customWidth="1" collapsed="1"/>
    <col min="11" max="11" width="15.42578125" style="17" customWidth="1" collapsed="1"/>
    <col min="12" max="12" width="8.7109375" style="17" hidden="1" customWidth="1" collapsed="1"/>
    <col min="13" max="13" width="15.42578125" style="17" customWidth="1" collapsed="1"/>
    <col min="14" max="14" width="8.7109375" style="17" hidden="1" customWidth="1" collapsed="1"/>
    <col min="15" max="15" width="15.5703125" style="17" customWidth="1" collapsed="1"/>
    <col min="16" max="16" width="8.7109375" style="17" hidden="1" customWidth="1" collapsed="1"/>
    <col min="17" max="17" width="15" style="17" customWidth="1" collapsed="1"/>
    <col min="18" max="18" width="8.7109375" style="17" hidden="1" customWidth="1" collapsed="1"/>
    <col min="19" max="19" width="14.85546875" style="17" customWidth="1" collapsed="1"/>
    <col min="20" max="20" width="9.140625" style="17" collapsed="1"/>
    <col min="21" max="16384" width="9.140625" style="17"/>
  </cols>
  <sheetData>
    <row r="1" spans="1:19" ht="12" customHeight="1">
      <c r="C1" s="21" t="s">
        <v>1427</v>
      </c>
      <c r="D1" s="543"/>
      <c r="E1" s="543"/>
      <c r="F1" s="543"/>
      <c r="G1" s="543"/>
      <c r="H1" s="543"/>
      <c r="I1" s="543"/>
      <c r="J1" s="543"/>
      <c r="K1" s="543"/>
      <c r="L1" s="543"/>
      <c r="M1" s="543"/>
      <c r="N1" s="543"/>
      <c r="O1" s="543"/>
      <c r="P1" s="543"/>
      <c r="Q1" s="543"/>
      <c r="R1" s="543"/>
      <c r="S1" s="543"/>
    </row>
    <row r="2" spans="1:19" ht="24">
      <c r="A2" s="18" t="s">
        <v>253</v>
      </c>
      <c r="B2" s="49"/>
      <c r="C2" s="49" t="s">
        <v>490</v>
      </c>
      <c r="D2" s="19" t="s">
        <v>1428</v>
      </c>
      <c r="E2" s="19" t="s">
        <v>254</v>
      </c>
      <c r="F2" s="19" t="s">
        <v>1428</v>
      </c>
      <c r="G2" s="19" t="s">
        <v>254</v>
      </c>
      <c r="H2" s="19" t="s">
        <v>1428</v>
      </c>
      <c r="I2" s="19" t="s">
        <v>254</v>
      </c>
      <c r="J2" s="19" t="s">
        <v>1428</v>
      </c>
      <c r="K2" s="19" t="s">
        <v>254</v>
      </c>
      <c r="L2" s="19" t="s">
        <v>1428</v>
      </c>
      <c r="M2" s="19" t="s">
        <v>254</v>
      </c>
      <c r="N2" s="19" t="s">
        <v>1428</v>
      </c>
      <c r="O2" s="19" t="s">
        <v>254</v>
      </c>
      <c r="P2" s="19" t="s">
        <v>1428</v>
      </c>
      <c r="Q2" s="19" t="s">
        <v>254</v>
      </c>
      <c r="R2" s="19" t="s">
        <v>1428</v>
      </c>
      <c r="S2" s="19" t="s">
        <v>254</v>
      </c>
    </row>
    <row r="3" spans="1:19">
      <c r="B3" s="13"/>
      <c r="C3" s="21"/>
      <c r="F3" s="26"/>
      <c r="H3" s="26"/>
      <c r="J3" s="26"/>
      <c r="L3" s="26"/>
      <c r="N3" s="26"/>
      <c r="P3" s="26"/>
      <c r="R3" s="26"/>
    </row>
    <row r="4" spans="1:19">
      <c r="A4" s="121" t="s">
        <v>1429</v>
      </c>
      <c r="B4" s="121"/>
      <c r="C4" s="122" t="s">
        <v>256</v>
      </c>
      <c r="F4" s="17"/>
      <c r="H4" s="17"/>
    </row>
    <row r="5" spans="1:19">
      <c r="A5" s="121" t="s">
        <v>1430</v>
      </c>
      <c r="B5" s="121"/>
      <c r="C5" s="122" t="s">
        <v>1431</v>
      </c>
      <c r="G5" s="24"/>
      <c r="I5" s="24"/>
      <c r="J5" s="51"/>
      <c r="K5" s="24"/>
      <c r="L5" s="51"/>
      <c r="M5" s="24"/>
      <c r="N5" s="51"/>
      <c r="O5" s="24"/>
      <c r="P5" s="51"/>
      <c r="Q5" s="24"/>
      <c r="R5" s="51"/>
      <c r="S5" s="24"/>
    </row>
    <row r="6" spans="1:19" ht="48">
      <c r="A6" s="121" t="s">
        <v>1432</v>
      </c>
      <c r="B6" s="121"/>
      <c r="C6" s="121" t="s">
        <v>1433</v>
      </c>
      <c r="E6" s="53">
        <v>29535</v>
      </c>
      <c r="G6" s="53">
        <v>29535</v>
      </c>
      <c r="I6" s="53">
        <v>29535</v>
      </c>
      <c r="J6" s="51"/>
      <c r="K6" s="53">
        <v>29535</v>
      </c>
      <c r="L6" s="51"/>
      <c r="M6" s="53">
        <v>29535</v>
      </c>
      <c r="N6" s="51"/>
      <c r="O6" s="53">
        <v>29535</v>
      </c>
      <c r="P6" s="51"/>
      <c r="Q6" s="53">
        <v>29535</v>
      </c>
      <c r="R6" s="51"/>
      <c r="S6" s="53">
        <v>29535</v>
      </c>
    </row>
    <row r="7" spans="1:19" ht="72">
      <c r="A7" s="121" t="s">
        <v>1434</v>
      </c>
      <c r="B7" s="121"/>
      <c r="C7" s="121" t="s">
        <v>1435</v>
      </c>
      <c r="E7" s="53"/>
      <c r="G7" s="53"/>
      <c r="I7" s="53"/>
      <c r="J7" s="51"/>
      <c r="K7" s="53"/>
      <c r="L7" s="51"/>
      <c r="M7" s="53"/>
      <c r="N7" s="51"/>
      <c r="O7" s="53"/>
      <c r="P7" s="51"/>
      <c r="Q7" s="53"/>
      <c r="R7" s="51"/>
      <c r="S7" s="53"/>
    </row>
    <row r="8" spans="1:19" ht="36">
      <c r="A8" s="121" t="s">
        <v>1436</v>
      </c>
      <c r="B8" s="121"/>
      <c r="C8" s="121" t="s">
        <v>1437</v>
      </c>
      <c r="E8" s="53"/>
      <c r="G8" s="53"/>
      <c r="I8" s="53"/>
      <c r="J8" s="51"/>
      <c r="K8" s="53"/>
      <c r="L8" s="51"/>
      <c r="M8" s="53"/>
      <c r="N8" s="51"/>
      <c r="O8" s="53"/>
      <c r="P8" s="51"/>
      <c r="Q8" s="53"/>
      <c r="R8" s="51"/>
      <c r="S8" s="53"/>
    </row>
    <row r="9" spans="1:19" ht="48">
      <c r="A9" s="121" t="s">
        <v>1438</v>
      </c>
      <c r="B9" s="121"/>
      <c r="C9" s="32" t="s">
        <v>1439</v>
      </c>
      <c r="E9" s="106" t="s">
        <v>1440</v>
      </c>
      <c r="G9" s="106" t="s">
        <v>1440</v>
      </c>
      <c r="I9" s="106" t="s">
        <v>1440</v>
      </c>
      <c r="J9" s="51"/>
      <c r="K9" s="106" t="s">
        <v>1440</v>
      </c>
      <c r="L9" s="51"/>
      <c r="M9" s="106" t="s">
        <v>1440</v>
      </c>
      <c r="N9" s="51"/>
      <c r="O9" s="106" t="s">
        <v>1440</v>
      </c>
      <c r="P9" s="51"/>
      <c r="Q9" s="106" t="s">
        <v>1440</v>
      </c>
      <c r="R9" s="51"/>
      <c r="S9" s="106" t="s">
        <v>1440</v>
      </c>
    </row>
    <row r="10" spans="1:19" ht="48">
      <c r="A10" s="121" t="s">
        <v>1441</v>
      </c>
      <c r="B10" s="121"/>
      <c r="C10" s="121" t="s">
        <v>1442</v>
      </c>
      <c r="E10" s="106" t="s">
        <v>1443</v>
      </c>
      <c r="G10" s="106" t="s">
        <v>1443</v>
      </c>
      <c r="I10" s="106" t="s">
        <v>1443</v>
      </c>
      <c r="J10" s="51"/>
      <c r="K10" s="106" t="s">
        <v>1443</v>
      </c>
      <c r="L10" s="51"/>
      <c r="M10" s="106" t="s">
        <v>1443</v>
      </c>
      <c r="N10" s="51"/>
      <c r="O10" s="106" t="s">
        <v>1443</v>
      </c>
      <c r="P10" s="51"/>
      <c r="Q10" s="106" t="s">
        <v>1443</v>
      </c>
      <c r="R10" s="51"/>
      <c r="S10" s="106" t="s">
        <v>1443</v>
      </c>
    </row>
    <row r="11" spans="1:19">
      <c r="A11" s="121" t="s">
        <v>1444</v>
      </c>
      <c r="B11" s="121"/>
      <c r="C11" s="121" t="s">
        <v>554</v>
      </c>
      <c r="E11" s="53"/>
      <c r="G11" s="53"/>
      <c r="I11" s="53"/>
      <c r="J11" s="51"/>
      <c r="K11" s="53"/>
      <c r="L11" s="51"/>
      <c r="M11" s="53"/>
      <c r="N11" s="51"/>
      <c r="O11" s="53"/>
      <c r="P11" s="51"/>
      <c r="Q11" s="53"/>
      <c r="R11" s="51"/>
      <c r="S11" s="53"/>
    </row>
    <row r="12" spans="1:19">
      <c r="A12" s="17" t="s">
        <v>1445</v>
      </c>
      <c r="B12" s="123"/>
      <c r="C12" s="52" t="s">
        <v>1446</v>
      </c>
      <c r="G12" s="24"/>
      <c r="I12" s="24"/>
      <c r="J12" s="51"/>
      <c r="K12" s="24"/>
      <c r="L12" s="51"/>
      <c r="M12" s="24"/>
      <c r="N12" s="51"/>
      <c r="O12" s="24"/>
      <c r="P12" s="51"/>
      <c r="Q12" s="24"/>
      <c r="R12" s="51"/>
      <c r="S12" s="24"/>
    </row>
    <row r="13" spans="1:19" ht="48">
      <c r="A13" s="17" t="s">
        <v>1447</v>
      </c>
      <c r="B13" s="123"/>
      <c r="C13" s="32" t="s">
        <v>1448</v>
      </c>
      <c r="E13" s="124" t="s">
        <v>1449</v>
      </c>
      <c r="G13" s="124" t="s">
        <v>1449</v>
      </c>
      <c r="I13" s="124" t="s">
        <v>1449</v>
      </c>
      <c r="J13" s="51"/>
      <c r="K13" s="124" t="s">
        <v>1449</v>
      </c>
      <c r="L13" s="51"/>
      <c r="M13" s="124" t="s">
        <v>1449</v>
      </c>
      <c r="N13" s="51"/>
      <c r="O13" s="124" t="s">
        <v>1449</v>
      </c>
      <c r="P13" s="51"/>
      <c r="Q13" s="124" t="s">
        <v>1449</v>
      </c>
      <c r="R13" s="51"/>
      <c r="S13" s="124" t="s">
        <v>1449</v>
      </c>
    </row>
    <row r="14" spans="1:19" ht="48">
      <c r="A14" s="17" t="s">
        <v>1450</v>
      </c>
      <c r="B14" s="123"/>
      <c r="C14" s="32" t="s">
        <v>1442</v>
      </c>
      <c r="E14" s="53"/>
      <c r="G14" s="53"/>
      <c r="I14" s="53"/>
      <c r="J14" s="51"/>
      <c r="K14" s="53"/>
      <c r="L14" s="51"/>
      <c r="M14" s="53"/>
      <c r="N14" s="51"/>
      <c r="O14" s="53"/>
      <c r="P14" s="51"/>
      <c r="Q14" s="53"/>
      <c r="R14" s="51"/>
      <c r="S14" s="53"/>
    </row>
    <row r="15" spans="1:19">
      <c r="A15" s="121" t="s">
        <v>1451</v>
      </c>
      <c r="B15" s="121"/>
      <c r="C15" s="122" t="s">
        <v>1452</v>
      </c>
      <c r="G15" s="24"/>
      <c r="I15" s="24"/>
      <c r="J15" s="51"/>
      <c r="K15" s="24"/>
      <c r="L15" s="51"/>
      <c r="M15" s="24"/>
      <c r="N15" s="51"/>
      <c r="O15" s="24"/>
      <c r="P15" s="51"/>
      <c r="Q15" s="24"/>
      <c r="R15" s="51"/>
      <c r="S15" s="24"/>
    </row>
    <row r="16" spans="1:19" ht="60">
      <c r="A16" s="121" t="s">
        <v>1453</v>
      </c>
      <c r="B16" s="121"/>
      <c r="C16" s="121" t="s">
        <v>1454</v>
      </c>
      <c r="E16" s="106" t="s">
        <v>1455</v>
      </c>
      <c r="G16" s="106" t="s">
        <v>1455</v>
      </c>
      <c r="I16" s="106" t="s">
        <v>1455</v>
      </c>
      <c r="J16" s="51"/>
      <c r="K16" s="106" t="s">
        <v>1455</v>
      </c>
      <c r="L16" s="51"/>
      <c r="M16" s="106" t="s">
        <v>1455</v>
      </c>
      <c r="N16" s="51"/>
      <c r="O16" s="106" t="s">
        <v>1455</v>
      </c>
      <c r="P16" s="51"/>
      <c r="Q16" s="106" t="s">
        <v>1455</v>
      </c>
      <c r="R16" s="51"/>
      <c r="S16" s="106" t="s">
        <v>1455</v>
      </c>
    </row>
    <row r="17" spans="1:19">
      <c r="A17" s="121" t="s">
        <v>1456</v>
      </c>
      <c r="B17" s="121"/>
      <c r="C17" s="121" t="s">
        <v>1457</v>
      </c>
      <c r="E17" s="53"/>
      <c r="G17" s="53"/>
      <c r="I17" s="53"/>
      <c r="J17" s="51"/>
      <c r="K17" s="53"/>
      <c r="L17" s="51"/>
      <c r="M17" s="53"/>
      <c r="N17" s="51"/>
      <c r="O17" s="53"/>
      <c r="P17" s="51"/>
      <c r="Q17" s="53"/>
      <c r="R17" s="51"/>
      <c r="S17" s="53"/>
    </row>
    <row r="18" spans="1:19" ht="24">
      <c r="A18" s="121" t="s">
        <v>1458</v>
      </c>
      <c r="B18" s="121"/>
      <c r="C18" s="121" t="s">
        <v>1459</v>
      </c>
      <c r="E18" s="53"/>
      <c r="G18" s="53"/>
      <c r="I18" s="53"/>
      <c r="J18" s="51"/>
      <c r="K18" s="53"/>
      <c r="L18" s="51"/>
      <c r="M18" s="53"/>
      <c r="N18" s="51"/>
      <c r="O18" s="53"/>
      <c r="P18" s="51"/>
      <c r="Q18" s="53"/>
      <c r="R18" s="51"/>
      <c r="S18" s="53"/>
    </row>
    <row r="19" spans="1:19" ht="24">
      <c r="A19" s="121" t="s">
        <v>1460</v>
      </c>
      <c r="B19" s="121"/>
      <c r="C19" s="121" t="s">
        <v>1461</v>
      </c>
      <c r="E19" s="124" t="s">
        <v>1462</v>
      </c>
      <c r="G19" s="124" t="s">
        <v>1462</v>
      </c>
      <c r="I19" s="124" t="s">
        <v>1462</v>
      </c>
      <c r="J19" s="51"/>
      <c r="K19" s="124" t="s">
        <v>1462</v>
      </c>
      <c r="L19" s="51"/>
      <c r="M19" s="124" t="s">
        <v>1462</v>
      </c>
      <c r="N19" s="51"/>
      <c r="O19" s="124" t="s">
        <v>1462</v>
      </c>
      <c r="P19" s="51"/>
      <c r="Q19" s="124" t="s">
        <v>1462</v>
      </c>
      <c r="R19" s="51"/>
      <c r="S19" s="124" t="s">
        <v>1462</v>
      </c>
    </row>
    <row r="20" spans="1:19" ht="60">
      <c r="A20" s="121" t="s">
        <v>1463</v>
      </c>
      <c r="B20" s="121"/>
      <c r="C20" s="121" t="s">
        <v>1464</v>
      </c>
      <c r="E20" s="124" t="s">
        <v>1465</v>
      </c>
      <c r="G20" s="124" t="s">
        <v>1465</v>
      </c>
      <c r="I20" s="124" t="s">
        <v>1465</v>
      </c>
      <c r="J20" s="51"/>
      <c r="K20" s="124" t="s">
        <v>1465</v>
      </c>
      <c r="L20" s="51"/>
      <c r="M20" s="124" t="s">
        <v>1465</v>
      </c>
      <c r="N20" s="51"/>
      <c r="O20" s="124" t="s">
        <v>1465</v>
      </c>
      <c r="P20" s="51"/>
      <c r="Q20" s="124" t="s">
        <v>1465</v>
      </c>
      <c r="R20" s="51"/>
      <c r="S20" s="124" t="s">
        <v>1465</v>
      </c>
    </row>
    <row r="21" spans="1:19">
      <c r="A21" s="121" t="s">
        <v>1466</v>
      </c>
      <c r="B21" s="121"/>
      <c r="C21" s="122" t="s">
        <v>1467</v>
      </c>
      <c r="G21" s="24"/>
      <c r="I21" s="24"/>
      <c r="J21" s="51"/>
      <c r="K21" s="24"/>
      <c r="L21" s="51"/>
      <c r="M21" s="24"/>
      <c r="N21" s="51"/>
      <c r="O21" s="24"/>
      <c r="P21" s="51"/>
      <c r="Q21" s="24"/>
      <c r="R21" s="51"/>
      <c r="S21" s="24"/>
    </row>
    <row r="22" spans="1:19" ht="96">
      <c r="A22" s="121" t="s">
        <v>1468</v>
      </c>
      <c r="B22" s="121"/>
      <c r="C22" s="121" t="s">
        <v>1469</v>
      </c>
      <c r="E22" s="53">
        <v>69984</v>
      </c>
      <c r="G22" s="53">
        <v>69984</v>
      </c>
      <c r="I22" s="53">
        <v>69984</v>
      </c>
      <c r="J22" s="51"/>
      <c r="K22" s="53">
        <v>69984</v>
      </c>
      <c r="L22" s="51"/>
      <c r="M22" s="53">
        <v>69984</v>
      </c>
      <c r="N22" s="51"/>
      <c r="O22" s="53">
        <v>69984</v>
      </c>
      <c r="P22" s="51"/>
      <c r="Q22" s="53">
        <v>69984</v>
      </c>
      <c r="R22" s="51"/>
      <c r="S22" s="53">
        <v>69984</v>
      </c>
    </row>
    <row r="23" spans="1:19" ht="48">
      <c r="A23" s="121" t="s">
        <v>1470</v>
      </c>
      <c r="B23" s="121"/>
      <c r="C23" s="121" t="s">
        <v>1471</v>
      </c>
      <c r="E23" s="264"/>
      <c r="G23" s="264"/>
      <c r="I23" s="264"/>
      <c r="J23" s="51"/>
      <c r="K23" s="264"/>
      <c r="L23" s="51"/>
      <c r="M23" s="264"/>
      <c r="N23" s="51"/>
      <c r="O23" s="264"/>
      <c r="P23" s="51"/>
      <c r="Q23" s="264"/>
      <c r="R23" s="51"/>
      <c r="S23" s="264"/>
    </row>
    <row r="24" spans="1:19">
      <c r="A24" s="121" t="s">
        <v>1472</v>
      </c>
      <c r="B24" s="121"/>
      <c r="C24" s="122" t="s">
        <v>1473</v>
      </c>
      <c r="G24" s="24"/>
      <c r="I24" s="24"/>
      <c r="J24" s="51"/>
      <c r="K24" s="24"/>
      <c r="L24" s="51"/>
      <c r="M24" s="24"/>
      <c r="N24" s="51"/>
      <c r="O24" s="24"/>
      <c r="P24" s="51"/>
      <c r="Q24" s="24"/>
      <c r="R24" s="51"/>
      <c r="S24" s="24"/>
    </row>
    <row r="25" spans="1:19" ht="36">
      <c r="A25" s="121" t="s">
        <v>1474</v>
      </c>
      <c r="B25" s="121"/>
      <c r="C25" s="121" t="s">
        <v>1475</v>
      </c>
      <c r="E25" s="106" t="s">
        <v>1476</v>
      </c>
      <c r="G25" s="106" t="s">
        <v>1476</v>
      </c>
      <c r="I25" s="106" t="s">
        <v>1476</v>
      </c>
      <c r="J25" s="51"/>
      <c r="K25" s="106" t="s">
        <v>1476</v>
      </c>
      <c r="L25" s="51"/>
      <c r="M25" s="106" t="s">
        <v>1476</v>
      </c>
      <c r="N25" s="51"/>
      <c r="O25" s="106" t="s">
        <v>1476</v>
      </c>
      <c r="P25" s="51"/>
      <c r="Q25" s="106" t="s">
        <v>1476</v>
      </c>
      <c r="R25" s="51"/>
      <c r="S25" s="106" t="s">
        <v>1476</v>
      </c>
    </row>
    <row r="26" spans="1:19" ht="36">
      <c r="A26" s="121" t="s">
        <v>1477</v>
      </c>
      <c r="B26" s="121"/>
      <c r="C26" s="121" t="s">
        <v>1478</v>
      </c>
      <c r="E26" s="106" t="s">
        <v>1479</v>
      </c>
      <c r="G26" s="106" t="s">
        <v>1479</v>
      </c>
      <c r="I26" s="106" t="s">
        <v>1479</v>
      </c>
      <c r="J26" s="51"/>
      <c r="K26" s="106" t="s">
        <v>1479</v>
      </c>
      <c r="L26" s="51"/>
      <c r="M26" s="106" t="s">
        <v>1479</v>
      </c>
      <c r="N26" s="51"/>
      <c r="O26" s="106" t="s">
        <v>1479</v>
      </c>
      <c r="P26" s="51"/>
      <c r="Q26" s="106" t="s">
        <v>1479</v>
      </c>
      <c r="R26" s="51"/>
      <c r="S26" s="106" t="s">
        <v>1479</v>
      </c>
    </row>
    <row r="27" spans="1:19" ht="24">
      <c r="A27" s="121" t="s">
        <v>1480</v>
      </c>
      <c r="B27" s="121"/>
      <c r="C27" s="121" t="s">
        <v>1481</v>
      </c>
      <c r="E27" s="124" t="s">
        <v>1482</v>
      </c>
      <c r="G27" s="124" t="s">
        <v>1482</v>
      </c>
      <c r="I27" s="124" t="s">
        <v>1482</v>
      </c>
      <c r="J27" s="51"/>
      <c r="K27" s="124" t="s">
        <v>1482</v>
      </c>
      <c r="L27" s="51"/>
      <c r="M27" s="124" t="s">
        <v>1482</v>
      </c>
      <c r="N27" s="51"/>
      <c r="O27" s="124" t="s">
        <v>1482</v>
      </c>
      <c r="P27" s="51"/>
      <c r="Q27" s="124" t="s">
        <v>1482</v>
      </c>
      <c r="R27" s="51"/>
      <c r="S27" s="124" t="s">
        <v>1482</v>
      </c>
    </row>
    <row r="28" spans="1:19" ht="48">
      <c r="A28" s="121" t="s">
        <v>1483</v>
      </c>
      <c r="B28" s="121"/>
      <c r="C28" s="121" t="s">
        <v>1484</v>
      </c>
      <c r="E28" s="124" t="s">
        <v>1485</v>
      </c>
      <c r="G28" s="124" t="s">
        <v>1485</v>
      </c>
      <c r="I28" s="124" t="s">
        <v>1485</v>
      </c>
      <c r="J28" s="51"/>
      <c r="K28" s="124" t="s">
        <v>1485</v>
      </c>
      <c r="L28" s="51"/>
      <c r="M28" s="124" t="s">
        <v>1485</v>
      </c>
      <c r="N28" s="51"/>
      <c r="O28" s="124" t="s">
        <v>1485</v>
      </c>
      <c r="P28" s="51"/>
      <c r="Q28" s="124" t="s">
        <v>1485</v>
      </c>
      <c r="R28" s="51"/>
      <c r="S28" s="124" t="s">
        <v>1485</v>
      </c>
    </row>
    <row r="29" spans="1:19" ht="24">
      <c r="A29" s="121" t="s">
        <v>1486</v>
      </c>
      <c r="B29" s="121"/>
      <c r="C29" s="121" t="s">
        <v>1487</v>
      </c>
      <c r="E29" s="124" t="s">
        <v>1488</v>
      </c>
      <c r="G29" s="124" t="s">
        <v>1488</v>
      </c>
      <c r="I29" s="124" t="s">
        <v>1488</v>
      </c>
      <c r="J29" s="51"/>
      <c r="K29" s="124" t="s">
        <v>1488</v>
      </c>
      <c r="L29" s="51"/>
      <c r="M29" s="124" t="s">
        <v>1488</v>
      </c>
      <c r="N29" s="51"/>
      <c r="O29" s="124" t="s">
        <v>1488</v>
      </c>
      <c r="P29" s="51"/>
      <c r="Q29" s="124" t="s">
        <v>1488</v>
      </c>
      <c r="R29" s="51"/>
      <c r="S29" s="124" t="s">
        <v>1488</v>
      </c>
    </row>
    <row r="30" spans="1:19" ht="24">
      <c r="A30" s="121" t="s">
        <v>1489</v>
      </c>
      <c r="B30" s="121"/>
      <c r="C30" s="121" t="s">
        <v>1490</v>
      </c>
      <c r="E30" s="106"/>
      <c r="G30" s="106"/>
      <c r="I30" s="106"/>
      <c r="J30" s="51"/>
      <c r="K30" s="106"/>
      <c r="L30" s="51"/>
      <c r="M30" s="106"/>
      <c r="N30" s="51"/>
      <c r="O30" s="106"/>
      <c r="P30" s="51"/>
      <c r="Q30" s="106"/>
      <c r="R30" s="51"/>
      <c r="S30" s="106"/>
    </row>
    <row r="31" spans="1:19" ht="24">
      <c r="A31" s="121" t="s">
        <v>1491</v>
      </c>
      <c r="B31" s="121"/>
      <c r="C31" s="121" t="s">
        <v>1492</v>
      </c>
      <c r="E31" s="106" t="s">
        <v>1493</v>
      </c>
      <c r="G31" s="106" t="s">
        <v>1493</v>
      </c>
      <c r="I31" s="106" t="s">
        <v>1493</v>
      </c>
      <c r="J31" s="51"/>
      <c r="K31" s="106" t="s">
        <v>1493</v>
      </c>
      <c r="L31" s="51"/>
      <c r="M31" s="106" t="s">
        <v>1493</v>
      </c>
      <c r="N31" s="51"/>
      <c r="O31" s="106" t="s">
        <v>1493</v>
      </c>
      <c r="P31" s="51"/>
      <c r="Q31" s="106" t="s">
        <v>1493</v>
      </c>
      <c r="R31" s="51"/>
      <c r="S31" s="106" t="s">
        <v>1493</v>
      </c>
    </row>
    <row r="32" spans="1:19" ht="24">
      <c r="A32" s="121" t="s">
        <v>1494</v>
      </c>
      <c r="B32" s="121"/>
      <c r="C32" s="121" t="s">
        <v>1495</v>
      </c>
      <c r="E32" s="106" t="s">
        <v>1496</v>
      </c>
      <c r="G32" s="106" t="s">
        <v>1496</v>
      </c>
      <c r="I32" s="106" t="s">
        <v>1496</v>
      </c>
      <c r="J32" s="51"/>
      <c r="K32" s="106" t="s">
        <v>1496</v>
      </c>
      <c r="L32" s="51"/>
      <c r="M32" s="106" t="s">
        <v>1496</v>
      </c>
      <c r="N32" s="51"/>
      <c r="O32" s="106" t="s">
        <v>1496</v>
      </c>
      <c r="P32" s="51"/>
      <c r="Q32" s="106" t="s">
        <v>1496</v>
      </c>
      <c r="R32" s="51"/>
      <c r="S32" s="106" t="s">
        <v>1496</v>
      </c>
    </row>
    <row r="33" spans="1:19">
      <c r="A33" s="121" t="s">
        <v>1497</v>
      </c>
      <c r="B33" s="121"/>
      <c r="C33" s="122" t="s">
        <v>1498</v>
      </c>
      <c r="E33" s="107"/>
      <c r="G33" s="107"/>
      <c r="I33" s="107"/>
      <c r="J33" s="51"/>
      <c r="K33" s="107"/>
      <c r="L33" s="51"/>
      <c r="M33" s="107"/>
      <c r="N33" s="51"/>
      <c r="O33" s="107"/>
      <c r="P33" s="51"/>
      <c r="Q33" s="107"/>
      <c r="R33" s="51"/>
      <c r="S33" s="107"/>
    </row>
    <row r="34" spans="1:19" ht="24">
      <c r="A34" s="121" t="s">
        <v>1499</v>
      </c>
      <c r="B34" s="121"/>
      <c r="C34" s="121" t="s">
        <v>1500</v>
      </c>
      <c r="E34" s="106" t="s">
        <v>1501</v>
      </c>
      <c r="G34" s="106" t="s">
        <v>1501</v>
      </c>
      <c r="I34" s="106" t="s">
        <v>1501</v>
      </c>
      <c r="J34" s="51"/>
      <c r="K34" s="106" t="s">
        <v>1501</v>
      </c>
      <c r="L34" s="51"/>
      <c r="M34" s="106" t="s">
        <v>1501</v>
      </c>
      <c r="N34" s="51"/>
      <c r="O34" s="106" t="s">
        <v>1501</v>
      </c>
      <c r="P34" s="51"/>
      <c r="Q34" s="106" t="s">
        <v>1501</v>
      </c>
      <c r="R34" s="51"/>
      <c r="S34" s="106" t="s">
        <v>1501</v>
      </c>
    </row>
    <row r="35" spans="1:19" ht="36">
      <c r="A35" s="121" t="s">
        <v>1502</v>
      </c>
      <c r="B35" s="121"/>
      <c r="C35" s="121" t="s">
        <v>1503</v>
      </c>
      <c r="E35" s="106" t="s">
        <v>1504</v>
      </c>
      <c r="G35" s="106" t="s">
        <v>1504</v>
      </c>
      <c r="I35" s="106" t="s">
        <v>1504</v>
      </c>
      <c r="J35" s="51"/>
      <c r="K35" s="106" t="s">
        <v>1504</v>
      </c>
      <c r="L35" s="51"/>
      <c r="M35" s="106" t="s">
        <v>1504</v>
      </c>
      <c r="N35" s="51"/>
      <c r="O35" s="106" t="s">
        <v>1504</v>
      </c>
      <c r="P35" s="51"/>
      <c r="Q35" s="106" t="s">
        <v>1504</v>
      </c>
      <c r="R35" s="51"/>
      <c r="S35" s="106" t="s">
        <v>1504</v>
      </c>
    </row>
    <row r="36" spans="1:19">
      <c r="A36" s="121" t="s">
        <v>1505</v>
      </c>
      <c r="B36" s="121"/>
      <c r="C36" s="122" t="s">
        <v>1506</v>
      </c>
      <c r="E36" s="107"/>
      <c r="G36" s="107"/>
      <c r="I36" s="107"/>
      <c r="J36" s="51"/>
      <c r="K36" s="107"/>
      <c r="L36" s="51"/>
      <c r="M36" s="107"/>
      <c r="N36" s="51"/>
      <c r="O36" s="107"/>
      <c r="P36" s="51"/>
      <c r="Q36" s="107"/>
      <c r="R36" s="51"/>
      <c r="S36" s="107"/>
    </row>
    <row r="37" spans="1:19" ht="72">
      <c r="A37" s="121" t="s">
        <v>1507</v>
      </c>
      <c r="B37" s="121"/>
      <c r="C37" s="121" t="s">
        <v>1508</v>
      </c>
      <c r="E37" s="106" t="s">
        <v>1509</v>
      </c>
      <c r="G37" s="106" t="s">
        <v>1509</v>
      </c>
      <c r="I37" s="106" t="s">
        <v>1509</v>
      </c>
      <c r="J37" s="51"/>
      <c r="K37" s="106" t="s">
        <v>1509</v>
      </c>
      <c r="L37" s="51"/>
      <c r="M37" s="106" t="s">
        <v>1509</v>
      </c>
      <c r="N37" s="51"/>
      <c r="O37" s="106" t="s">
        <v>1509</v>
      </c>
      <c r="P37" s="51"/>
      <c r="Q37" s="106" t="s">
        <v>1509</v>
      </c>
      <c r="R37" s="51"/>
      <c r="S37" s="106" t="s">
        <v>1509</v>
      </c>
    </row>
    <row r="38" spans="1:19" ht="36">
      <c r="A38" s="121" t="s">
        <v>1510</v>
      </c>
      <c r="B38" s="121"/>
      <c r="C38" s="121" t="s">
        <v>1511</v>
      </c>
      <c r="E38" s="106" t="s">
        <v>1512</v>
      </c>
      <c r="G38" s="106" t="s">
        <v>1512</v>
      </c>
      <c r="I38" s="106" t="s">
        <v>1512</v>
      </c>
      <c r="J38" s="51"/>
      <c r="K38" s="106" t="s">
        <v>1512</v>
      </c>
      <c r="L38" s="51"/>
      <c r="M38" s="106" t="s">
        <v>1512</v>
      </c>
      <c r="N38" s="51"/>
      <c r="O38" s="106" t="s">
        <v>1512</v>
      </c>
      <c r="P38" s="51"/>
      <c r="Q38" s="106" t="s">
        <v>1512</v>
      </c>
      <c r="R38" s="51"/>
      <c r="S38" s="106" t="s">
        <v>1512</v>
      </c>
    </row>
    <row r="39" spans="1:19" ht="36">
      <c r="A39" s="121" t="s">
        <v>1513</v>
      </c>
      <c r="B39" s="121"/>
      <c r="C39" s="121" t="s">
        <v>1514</v>
      </c>
      <c r="E39" s="106"/>
      <c r="G39" s="106"/>
      <c r="I39" s="106"/>
      <c r="J39" s="51"/>
      <c r="K39" s="106"/>
      <c r="L39" s="51"/>
      <c r="M39" s="106"/>
      <c r="N39" s="51"/>
      <c r="O39" s="106"/>
      <c r="P39" s="51"/>
      <c r="Q39" s="106"/>
      <c r="R39" s="51"/>
      <c r="S39" s="106"/>
    </row>
    <row r="40" spans="1:19" ht="36">
      <c r="A40" s="121" t="s">
        <v>1515</v>
      </c>
      <c r="B40" s="121"/>
      <c r="C40" s="121" t="s">
        <v>1516</v>
      </c>
      <c r="E40" s="106" t="s">
        <v>1517</v>
      </c>
      <c r="G40" s="106" t="s">
        <v>1517</v>
      </c>
      <c r="I40" s="106" t="s">
        <v>1517</v>
      </c>
      <c r="J40" s="51"/>
      <c r="K40" s="106" t="s">
        <v>1517</v>
      </c>
      <c r="L40" s="51"/>
      <c r="M40" s="106" t="s">
        <v>1517</v>
      </c>
      <c r="N40" s="51"/>
      <c r="O40" s="106" t="s">
        <v>1517</v>
      </c>
      <c r="P40" s="51"/>
      <c r="Q40" s="106" t="s">
        <v>1517</v>
      </c>
      <c r="R40" s="51"/>
      <c r="S40" s="106" t="s">
        <v>1517</v>
      </c>
    </row>
    <row r="41" spans="1:19" ht="36">
      <c r="A41" s="121" t="s">
        <v>1518</v>
      </c>
      <c r="B41" s="121"/>
      <c r="C41" s="121" t="s">
        <v>1519</v>
      </c>
      <c r="E41" s="106" t="s">
        <v>1520</v>
      </c>
      <c r="G41" s="106" t="s">
        <v>1520</v>
      </c>
      <c r="I41" s="106" t="s">
        <v>1520</v>
      </c>
      <c r="J41" s="51"/>
      <c r="K41" s="106" t="s">
        <v>1520</v>
      </c>
      <c r="L41" s="51"/>
      <c r="M41" s="106" t="s">
        <v>1520</v>
      </c>
      <c r="N41" s="51"/>
      <c r="O41" s="106" t="s">
        <v>1520</v>
      </c>
      <c r="P41" s="51"/>
      <c r="Q41" s="106" t="s">
        <v>1520</v>
      </c>
      <c r="R41" s="51"/>
      <c r="S41" s="106" t="s">
        <v>1520</v>
      </c>
    </row>
    <row r="42" spans="1:19" ht="60">
      <c r="A42" s="121" t="s">
        <v>1521</v>
      </c>
      <c r="B42" s="121"/>
      <c r="C42" s="121" t="s">
        <v>1522</v>
      </c>
      <c r="E42" s="106" t="s">
        <v>1485</v>
      </c>
      <c r="G42" s="106" t="s">
        <v>1485</v>
      </c>
      <c r="I42" s="106" t="s">
        <v>1485</v>
      </c>
      <c r="J42" s="51"/>
      <c r="K42" s="106" t="s">
        <v>1485</v>
      </c>
      <c r="L42" s="51"/>
      <c r="M42" s="106" t="s">
        <v>1485</v>
      </c>
      <c r="N42" s="51"/>
      <c r="O42" s="106" t="s">
        <v>1485</v>
      </c>
      <c r="P42" s="51"/>
      <c r="Q42" s="106" t="s">
        <v>1485</v>
      </c>
      <c r="R42" s="51"/>
      <c r="S42" s="106" t="s">
        <v>1485</v>
      </c>
    </row>
    <row r="43" spans="1:19" ht="36">
      <c r="A43" s="121" t="s">
        <v>1523</v>
      </c>
      <c r="B43" s="121"/>
      <c r="C43" s="121" t="s">
        <v>1524</v>
      </c>
      <c r="E43" s="106" t="s">
        <v>1525</v>
      </c>
      <c r="G43" s="106" t="s">
        <v>1525</v>
      </c>
      <c r="I43" s="106" t="s">
        <v>1525</v>
      </c>
      <c r="J43" s="51"/>
      <c r="K43" s="106" t="s">
        <v>1525</v>
      </c>
      <c r="L43" s="51"/>
      <c r="M43" s="106" t="s">
        <v>1525</v>
      </c>
      <c r="N43" s="51"/>
      <c r="O43" s="106" t="s">
        <v>1525</v>
      </c>
      <c r="P43" s="51"/>
      <c r="Q43" s="106" t="s">
        <v>1525</v>
      </c>
      <c r="R43" s="51"/>
      <c r="S43" s="106" t="s">
        <v>1525</v>
      </c>
    </row>
    <row r="44" spans="1:19" ht="36">
      <c r="A44" s="121" t="s">
        <v>1526</v>
      </c>
      <c r="B44" s="121"/>
      <c r="C44" s="121" t="s">
        <v>1527</v>
      </c>
      <c r="E44" s="106" t="s">
        <v>1528</v>
      </c>
      <c r="G44" s="106" t="s">
        <v>1528</v>
      </c>
      <c r="I44" s="106" t="s">
        <v>1528</v>
      </c>
      <c r="J44" s="51"/>
      <c r="K44" s="106" t="s">
        <v>1528</v>
      </c>
      <c r="L44" s="51"/>
      <c r="M44" s="106" t="s">
        <v>1528</v>
      </c>
      <c r="N44" s="51"/>
      <c r="O44" s="106" t="s">
        <v>1528</v>
      </c>
      <c r="P44" s="51"/>
      <c r="Q44" s="106" t="s">
        <v>1528</v>
      </c>
      <c r="R44" s="51"/>
      <c r="S44" s="106" t="s">
        <v>1528</v>
      </c>
    </row>
    <row r="45" spans="1:19" ht="48">
      <c r="A45" s="121" t="s">
        <v>1529</v>
      </c>
      <c r="B45" s="121"/>
      <c r="C45" s="121" t="s">
        <v>1530</v>
      </c>
      <c r="E45" s="106" t="s">
        <v>1531</v>
      </c>
      <c r="G45" s="106" t="s">
        <v>1531</v>
      </c>
      <c r="I45" s="106" t="s">
        <v>1531</v>
      </c>
      <c r="J45" s="51"/>
      <c r="K45" s="106" t="s">
        <v>1531</v>
      </c>
      <c r="L45" s="51"/>
      <c r="M45" s="106" t="s">
        <v>1531</v>
      </c>
      <c r="N45" s="51"/>
      <c r="O45" s="106" t="s">
        <v>1531</v>
      </c>
      <c r="P45" s="51"/>
      <c r="Q45" s="106" t="s">
        <v>1531</v>
      </c>
      <c r="R45" s="51"/>
      <c r="S45" s="106" t="s">
        <v>1531</v>
      </c>
    </row>
    <row r="46" spans="1:19" ht="36">
      <c r="A46" s="121" t="s">
        <v>1532</v>
      </c>
      <c r="B46" s="121"/>
      <c r="C46" s="121" t="s">
        <v>1533</v>
      </c>
      <c r="E46" s="106" t="s">
        <v>1534</v>
      </c>
      <c r="G46" s="106" t="s">
        <v>1534</v>
      </c>
      <c r="I46" s="106" t="s">
        <v>1534</v>
      </c>
      <c r="J46" s="51"/>
      <c r="K46" s="106" t="s">
        <v>1534</v>
      </c>
      <c r="L46" s="51"/>
      <c r="M46" s="106" t="s">
        <v>1534</v>
      </c>
      <c r="N46" s="51"/>
      <c r="O46" s="106" t="s">
        <v>1534</v>
      </c>
      <c r="P46" s="51"/>
      <c r="Q46" s="106" t="s">
        <v>1534</v>
      </c>
      <c r="R46" s="51"/>
      <c r="S46" s="106" t="s">
        <v>1534</v>
      </c>
    </row>
    <row r="47" spans="1:19">
      <c r="A47" s="121" t="s">
        <v>1535</v>
      </c>
      <c r="B47" s="121"/>
      <c r="C47" s="122" t="s">
        <v>1536</v>
      </c>
      <c r="E47" s="107"/>
      <c r="G47" s="107"/>
      <c r="I47" s="107"/>
      <c r="J47" s="51"/>
      <c r="K47" s="107"/>
      <c r="L47" s="51"/>
      <c r="M47" s="107"/>
      <c r="N47" s="51"/>
      <c r="O47" s="107"/>
      <c r="P47" s="51"/>
      <c r="Q47" s="107"/>
      <c r="R47" s="51"/>
      <c r="S47" s="107"/>
    </row>
    <row r="48" spans="1:19" ht="24">
      <c r="A48" s="121" t="s">
        <v>1537</v>
      </c>
      <c r="B48" s="121"/>
      <c r="C48" s="121" t="s">
        <v>1538</v>
      </c>
      <c r="E48" s="106"/>
      <c r="G48" s="106"/>
      <c r="I48" s="106"/>
      <c r="J48" s="51"/>
      <c r="K48" s="106"/>
      <c r="L48" s="51"/>
      <c r="M48" s="106"/>
      <c r="N48" s="51"/>
      <c r="O48" s="106"/>
      <c r="P48" s="51"/>
      <c r="Q48" s="106"/>
      <c r="R48" s="51"/>
      <c r="S48" s="106"/>
    </row>
    <row r="49" spans="1:19" ht="36">
      <c r="A49" s="121" t="s">
        <v>1539</v>
      </c>
      <c r="B49" s="121"/>
      <c r="C49" s="121" t="s">
        <v>1540</v>
      </c>
      <c r="E49" s="106"/>
      <c r="G49" s="106"/>
      <c r="I49" s="106"/>
      <c r="J49" s="51"/>
      <c r="K49" s="106"/>
      <c r="L49" s="51"/>
      <c r="M49" s="106"/>
      <c r="N49" s="51"/>
      <c r="O49" s="106"/>
      <c r="P49" s="51"/>
      <c r="Q49" s="106"/>
      <c r="R49" s="51"/>
      <c r="S49" s="106"/>
    </row>
    <row r="50" spans="1:19" ht="36">
      <c r="A50" s="121" t="s">
        <v>1541</v>
      </c>
      <c r="B50" s="121"/>
      <c r="C50" s="121" t="s">
        <v>1542</v>
      </c>
      <c r="E50" s="106"/>
      <c r="G50" s="106"/>
      <c r="I50" s="106"/>
      <c r="J50" s="51"/>
      <c r="K50" s="106"/>
      <c r="L50" s="51"/>
      <c r="M50" s="106"/>
      <c r="N50" s="51"/>
      <c r="O50" s="106"/>
      <c r="P50" s="51"/>
      <c r="Q50" s="106"/>
      <c r="R50" s="51"/>
      <c r="S50" s="106"/>
    </row>
    <row r="51" spans="1:19">
      <c r="A51" s="121" t="s">
        <v>1543</v>
      </c>
      <c r="B51" s="121"/>
      <c r="C51" s="122" t="s">
        <v>1544</v>
      </c>
      <c r="E51" s="107"/>
      <c r="G51" s="107"/>
      <c r="I51" s="107"/>
      <c r="J51" s="51"/>
      <c r="K51" s="107"/>
      <c r="L51" s="51"/>
      <c r="M51" s="107"/>
      <c r="N51" s="51"/>
      <c r="O51" s="107"/>
      <c r="P51" s="51"/>
      <c r="Q51" s="107"/>
      <c r="R51" s="51"/>
      <c r="S51" s="107"/>
    </row>
    <row r="52" spans="1:19" ht="24">
      <c r="A52" s="121" t="s">
        <v>1545</v>
      </c>
      <c r="B52" s="121"/>
      <c r="C52" s="121" t="s">
        <v>1546</v>
      </c>
      <c r="E52" s="106" t="s">
        <v>1547</v>
      </c>
      <c r="G52" s="106" t="s">
        <v>1547</v>
      </c>
      <c r="I52" s="106" t="s">
        <v>1547</v>
      </c>
      <c r="J52" s="51"/>
      <c r="K52" s="106" t="s">
        <v>1547</v>
      </c>
      <c r="L52" s="51"/>
      <c r="M52" s="106" t="s">
        <v>1547</v>
      </c>
      <c r="N52" s="51"/>
      <c r="O52" s="106" t="s">
        <v>1547</v>
      </c>
      <c r="P52" s="51"/>
      <c r="Q52" s="106" t="s">
        <v>1547</v>
      </c>
      <c r="R52" s="51"/>
      <c r="S52" s="106" t="s">
        <v>1547</v>
      </c>
    </row>
    <row r="53" spans="1:19" ht="24">
      <c r="A53" s="121" t="s">
        <v>1548</v>
      </c>
      <c r="B53" s="121"/>
      <c r="C53" s="121" t="s">
        <v>1549</v>
      </c>
      <c r="E53" s="106"/>
      <c r="G53" s="106"/>
      <c r="I53" s="106"/>
      <c r="J53" s="51"/>
      <c r="K53" s="106"/>
      <c r="L53" s="51"/>
      <c r="M53" s="106"/>
      <c r="N53" s="51"/>
      <c r="O53" s="106"/>
      <c r="P53" s="51"/>
      <c r="Q53" s="106"/>
      <c r="R53" s="51"/>
      <c r="S53" s="106"/>
    </row>
    <row r="54" spans="1:19" ht="24">
      <c r="A54" s="121" t="s">
        <v>1550</v>
      </c>
      <c r="B54" s="121"/>
      <c r="C54" s="121" t="s">
        <v>1551</v>
      </c>
      <c r="E54" s="106"/>
      <c r="G54" s="106"/>
      <c r="I54" s="106"/>
      <c r="J54" s="51"/>
      <c r="K54" s="106"/>
      <c r="L54" s="51"/>
      <c r="M54" s="106"/>
      <c r="N54" s="51"/>
      <c r="O54" s="106"/>
      <c r="P54" s="51"/>
      <c r="Q54" s="106"/>
      <c r="R54" s="51"/>
      <c r="S54" s="106"/>
    </row>
    <row r="55" spans="1:19">
      <c r="A55" s="121" t="s">
        <v>1552</v>
      </c>
      <c r="B55" s="121"/>
      <c r="C55" s="122" t="s">
        <v>1553</v>
      </c>
      <c r="E55" s="107"/>
      <c r="G55" s="107"/>
      <c r="I55" s="107"/>
      <c r="J55" s="51"/>
      <c r="K55" s="107"/>
      <c r="L55" s="51"/>
      <c r="M55" s="107"/>
      <c r="N55" s="51"/>
      <c r="O55" s="107"/>
      <c r="P55" s="51"/>
      <c r="Q55" s="107"/>
      <c r="R55" s="51"/>
      <c r="S55" s="107"/>
    </row>
    <row r="56" spans="1:19">
      <c r="A56" s="121" t="s">
        <v>1554</v>
      </c>
      <c r="B56" s="121"/>
      <c r="C56" s="121" t="s">
        <v>1555</v>
      </c>
      <c r="E56" s="106" t="s">
        <v>1531</v>
      </c>
      <c r="G56" s="106" t="s">
        <v>1531</v>
      </c>
      <c r="I56" s="106" t="s">
        <v>1531</v>
      </c>
      <c r="J56" s="51"/>
      <c r="K56" s="106" t="s">
        <v>1531</v>
      </c>
      <c r="L56" s="51"/>
      <c r="M56" s="106" t="s">
        <v>1531</v>
      </c>
      <c r="N56" s="51"/>
      <c r="O56" s="106" t="s">
        <v>1531</v>
      </c>
      <c r="P56" s="51"/>
      <c r="Q56" s="106" t="s">
        <v>1531</v>
      </c>
      <c r="R56" s="51"/>
      <c r="S56" s="106" t="s">
        <v>1531</v>
      </c>
    </row>
    <row r="57" spans="1:19">
      <c r="A57" s="121" t="s">
        <v>1556</v>
      </c>
      <c r="B57" s="121"/>
      <c r="C57" s="122" t="s">
        <v>1557</v>
      </c>
      <c r="E57" s="107"/>
      <c r="G57" s="107"/>
      <c r="I57" s="107"/>
      <c r="J57" s="51"/>
      <c r="K57" s="107"/>
      <c r="L57" s="51"/>
      <c r="M57" s="107"/>
      <c r="N57" s="51"/>
      <c r="O57" s="107"/>
      <c r="P57" s="51"/>
      <c r="Q57" s="107"/>
      <c r="R57" s="51"/>
      <c r="S57" s="107"/>
    </row>
    <row r="58" spans="1:19" ht="60">
      <c r="A58" s="121" t="s">
        <v>1558</v>
      </c>
      <c r="B58" s="121"/>
      <c r="C58" s="121" t="s">
        <v>1559</v>
      </c>
      <c r="E58" s="106"/>
      <c r="G58" s="106"/>
      <c r="I58" s="106"/>
      <c r="J58" s="51"/>
      <c r="K58" s="106"/>
      <c r="L58" s="51"/>
      <c r="M58" s="106"/>
      <c r="N58" s="51"/>
      <c r="O58" s="106"/>
      <c r="P58" s="51"/>
      <c r="Q58" s="106"/>
      <c r="R58" s="51"/>
      <c r="S58" s="106"/>
    </row>
    <row r="59" spans="1:19">
      <c r="A59" s="121" t="s">
        <v>1560</v>
      </c>
      <c r="B59" s="121"/>
      <c r="C59" s="122" t="s">
        <v>1561</v>
      </c>
      <c r="E59" s="107"/>
      <c r="G59" s="107"/>
      <c r="I59" s="107"/>
      <c r="J59" s="51"/>
      <c r="K59" s="107"/>
      <c r="L59" s="51"/>
      <c r="M59" s="107"/>
      <c r="N59" s="51"/>
      <c r="O59" s="107"/>
      <c r="P59" s="51"/>
      <c r="Q59" s="107"/>
      <c r="R59" s="51"/>
      <c r="S59" s="107"/>
    </row>
    <row r="60" spans="1:19" ht="36">
      <c r="A60" s="121" t="s">
        <v>1562</v>
      </c>
      <c r="B60" s="121"/>
      <c r="C60" s="121" t="s">
        <v>1563</v>
      </c>
      <c r="E60" s="106" t="s">
        <v>1564</v>
      </c>
      <c r="G60" s="106" t="s">
        <v>1564</v>
      </c>
      <c r="I60" s="106" t="s">
        <v>1564</v>
      </c>
      <c r="J60" s="51"/>
      <c r="K60" s="106" t="s">
        <v>1564</v>
      </c>
      <c r="L60" s="51"/>
      <c r="M60" s="106" t="s">
        <v>1564</v>
      </c>
      <c r="N60" s="51"/>
      <c r="O60" s="106" t="s">
        <v>1564</v>
      </c>
      <c r="P60" s="51"/>
      <c r="Q60" s="106" t="s">
        <v>1564</v>
      </c>
      <c r="R60" s="51"/>
      <c r="S60" s="106" t="s">
        <v>1564</v>
      </c>
    </row>
    <row r="61" spans="1:19" ht="24">
      <c r="A61" s="121" t="s">
        <v>1565</v>
      </c>
      <c r="B61" s="121"/>
      <c r="C61" s="121" t="s">
        <v>1566</v>
      </c>
      <c r="E61" s="106" t="s">
        <v>1567</v>
      </c>
      <c r="G61" s="106" t="s">
        <v>1567</v>
      </c>
      <c r="I61" s="106" t="s">
        <v>1567</v>
      </c>
      <c r="J61" s="51"/>
      <c r="K61" s="106" t="s">
        <v>1567</v>
      </c>
      <c r="L61" s="51"/>
      <c r="M61" s="106" t="s">
        <v>1567</v>
      </c>
      <c r="N61" s="51"/>
      <c r="O61" s="106" t="s">
        <v>1567</v>
      </c>
      <c r="P61" s="51"/>
      <c r="Q61" s="106" t="s">
        <v>1567</v>
      </c>
      <c r="R61" s="51"/>
      <c r="S61" s="106" t="s">
        <v>1567</v>
      </c>
    </row>
    <row r="62" spans="1:19">
      <c r="A62" s="121" t="s">
        <v>1568</v>
      </c>
      <c r="B62" s="121"/>
      <c r="C62" s="122" t="s">
        <v>1569</v>
      </c>
      <c r="E62" s="107"/>
      <c r="G62" s="107"/>
      <c r="I62" s="107"/>
      <c r="J62" s="51"/>
      <c r="K62" s="107"/>
      <c r="L62" s="51"/>
      <c r="M62" s="107"/>
      <c r="N62" s="51"/>
      <c r="O62" s="107"/>
      <c r="P62" s="51"/>
      <c r="Q62" s="107"/>
      <c r="R62" s="51"/>
      <c r="S62" s="107"/>
    </row>
    <row r="63" spans="1:19">
      <c r="A63" s="121" t="s">
        <v>1570</v>
      </c>
      <c r="B63" s="121"/>
      <c r="C63" s="121" t="s">
        <v>1571</v>
      </c>
      <c r="E63" s="106" t="s">
        <v>1572</v>
      </c>
      <c r="G63" s="106" t="s">
        <v>1572</v>
      </c>
      <c r="I63" s="106" t="s">
        <v>1572</v>
      </c>
      <c r="J63" s="51"/>
      <c r="K63" s="106" t="s">
        <v>1572</v>
      </c>
      <c r="L63" s="51"/>
      <c r="M63" s="106" t="s">
        <v>1572</v>
      </c>
      <c r="N63" s="51"/>
      <c r="O63" s="106" t="s">
        <v>1572</v>
      </c>
      <c r="P63" s="51"/>
      <c r="Q63" s="106" t="s">
        <v>1572</v>
      </c>
      <c r="R63" s="51"/>
      <c r="S63" s="106" t="s">
        <v>1572</v>
      </c>
    </row>
    <row r="64" spans="1:19">
      <c r="A64" s="121" t="s">
        <v>1573</v>
      </c>
      <c r="B64" s="121"/>
      <c r="C64" s="122" t="s">
        <v>1574</v>
      </c>
      <c r="E64" s="107"/>
      <c r="G64" s="107"/>
      <c r="I64" s="107"/>
      <c r="J64" s="51"/>
      <c r="K64" s="107"/>
      <c r="L64" s="51"/>
      <c r="M64" s="107"/>
      <c r="N64" s="51"/>
      <c r="O64" s="107"/>
      <c r="P64" s="51"/>
      <c r="Q64" s="107"/>
      <c r="R64" s="51"/>
      <c r="S64" s="107"/>
    </row>
    <row r="65" spans="1:19" ht="24">
      <c r="A65" s="121" t="s">
        <v>1575</v>
      </c>
      <c r="B65" s="121"/>
      <c r="C65" s="121" t="s">
        <v>1576</v>
      </c>
      <c r="E65" s="106" t="s">
        <v>1577</v>
      </c>
      <c r="G65" s="106" t="s">
        <v>1577</v>
      </c>
      <c r="I65" s="106" t="s">
        <v>1577</v>
      </c>
      <c r="J65" s="51"/>
      <c r="K65" s="106" t="s">
        <v>1577</v>
      </c>
      <c r="L65" s="51"/>
      <c r="M65" s="106" t="s">
        <v>1577</v>
      </c>
      <c r="N65" s="51"/>
      <c r="O65" s="106" t="s">
        <v>1577</v>
      </c>
      <c r="P65" s="51"/>
      <c r="Q65" s="106" t="s">
        <v>1577</v>
      </c>
      <c r="R65" s="51"/>
      <c r="S65" s="106" t="s">
        <v>1577</v>
      </c>
    </row>
    <row r="66" spans="1:19">
      <c r="A66" s="121" t="s">
        <v>1578</v>
      </c>
      <c r="B66" s="121"/>
      <c r="C66" s="122" t="s">
        <v>1579</v>
      </c>
      <c r="E66" s="107"/>
      <c r="G66" s="107"/>
      <c r="I66" s="107"/>
      <c r="J66" s="51"/>
      <c r="K66" s="107"/>
      <c r="L66" s="51"/>
      <c r="M66" s="107"/>
      <c r="N66" s="51"/>
      <c r="O66" s="107"/>
      <c r="P66" s="51"/>
      <c r="Q66" s="107"/>
      <c r="R66" s="51"/>
      <c r="S66" s="107"/>
    </row>
    <row r="67" spans="1:19" ht="24">
      <c r="A67" s="121" t="s">
        <v>1580</v>
      </c>
      <c r="B67" s="121"/>
      <c r="C67" s="121" t="s">
        <v>1581</v>
      </c>
      <c r="E67" s="106"/>
      <c r="G67" s="106"/>
      <c r="I67" s="106"/>
      <c r="J67" s="51"/>
      <c r="K67" s="106"/>
      <c r="L67" s="51"/>
      <c r="M67" s="106"/>
      <c r="N67" s="51"/>
      <c r="O67" s="106"/>
      <c r="P67" s="51"/>
      <c r="Q67" s="106"/>
      <c r="R67" s="51"/>
      <c r="S67" s="106"/>
    </row>
    <row r="68" spans="1:19">
      <c r="A68" s="121" t="s">
        <v>1582</v>
      </c>
      <c r="B68" s="121"/>
      <c r="C68" s="122" t="s">
        <v>410</v>
      </c>
      <c r="E68" s="107"/>
      <c r="G68" s="107"/>
      <c r="I68" s="107"/>
      <c r="J68" s="51"/>
      <c r="K68" s="107"/>
      <c r="L68" s="51"/>
      <c r="M68" s="107"/>
      <c r="N68" s="51"/>
      <c r="O68" s="107"/>
      <c r="P68" s="51"/>
      <c r="Q68" s="107"/>
      <c r="R68" s="51"/>
      <c r="S68" s="107"/>
    </row>
    <row r="69" spans="1:19" ht="48">
      <c r="A69" s="121" t="s">
        <v>1583</v>
      </c>
      <c r="B69" s="121"/>
      <c r="C69" s="13" t="s">
        <v>412</v>
      </c>
      <c r="E69" s="107"/>
      <c r="G69" s="107"/>
      <c r="I69" s="107"/>
      <c r="J69" s="51"/>
      <c r="K69" s="107"/>
      <c r="L69" s="51"/>
      <c r="M69" s="107"/>
      <c r="N69" s="51"/>
      <c r="O69" s="107"/>
      <c r="P69" s="51"/>
      <c r="Q69" s="107"/>
      <c r="R69" s="51"/>
      <c r="S69" s="107"/>
    </row>
    <row r="70" spans="1:19" ht="36">
      <c r="A70" s="121" t="s">
        <v>1584</v>
      </c>
      <c r="B70" s="121"/>
      <c r="C70" s="121" t="s">
        <v>1585</v>
      </c>
      <c r="D70" s="255">
        <v>12.544069273204112</v>
      </c>
      <c r="E70" s="106"/>
      <c r="F70" s="255">
        <v>12.920391382550065</v>
      </c>
      <c r="G70" s="106"/>
      <c r="H70" s="255">
        <v>13.308003094886402</v>
      </c>
      <c r="I70" s="106"/>
      <c r="J70" s="255">
        <v>13.707243239984324</v>
      </c>
      <c r="K70" s="106"/>
      <c r="L70" s="255">
        <v>14.118460494980859</v>
      </c>
      <c r="M70" s="106"/>
      <c r="N70" s="255">
        <v>14.683198886644762</v>
      </c>
      <c r="O70" s="106"/>
      <c r="P70" s="255">
        <v>15.27052693455521</v>
      </c>
      <c r="Q70" s="106"/>
      <c r="R70" s="255">
        <v>15.881347983802089</v>
      </c>
      <c r="S70" s="106"/>
    </row>
    <row r="71" spans="1:19">
      <c r="A71" s="121" t="s">
        <v>1586</v>
      </c>
      <c r="B71" s="121"/>
      <c r="C71" s="122" t="s">
        <v>320</v>
      </c>
      <c r="E71" s="107"/>
      <c r="G71" s="107"/>
      <c r="I71" s="107"/>
      <c r="J71" s="51"/>
      <c r="K71" s="107"/>
      <c r="L71" s="51"/>
      <c r="M71" s="107"/>
      <c r="N71" s="51"/>
      <c r="O71" s="107"/>
      <c r="P71" s="51"/>
      <c r="Q71" s="107"/>
      <c r="R71" s="51"/>
      <c r="S71" s="107"/>
    </row>
    <row r="72" spans="1:19" ht="24">
      <c r="A72" s="121" t="s">
        <v>1587</v>
      </c>
      <c r="B72" s="121"/>
      <c r="C72" s="121" t="s">
        <v>1588</v>
      </c>
      <c r="E72" s="106"/>
      <c r="G72" s="106"/>
      <c r="I72" s="106"/>
      <c r="J72" s="51"/>
      <c r="K72" s="106"/>
      <c r="L72" s="51"/>
      <c r="M72" s="106"/>
      <c r="N72" s="51"/>
      <c r="O72" s="106"/>
      <c r="P72" s="51"/>
      <c r="Q72" s="106"/>
      <c r="R72" s="51"/>
      <c r="S72" s="106"/>
    </row>
    <row r="73" spans="1:19" ht="24">
      <c r="A73" s="121" t="s">
        <v>1589</v>
      </c>
      <c r="B73" s="121"/>
      <c r="C73" s="121" t="s">
        <v>1590</v>
      </c>
      <c r="E73" s="106"/>
      <c r="G73" s="106"/>
      <c r="I73" s="106"/>
      <c r="J73" s="51"/>
      <c r="K73" s="106"/>
      <c r="L73" s="51"/>
      <c r="M73" s="106"/>
      <c r="N73" s="51"/>
      <c r="O73" s="106"/>
      <c r="P73" s="51"/>
      <c r="Q73" s="106"/>
      <c r="R73" s="51"/>
      <c r="S73" s="106"/>
    </row>
    <row r="74" spans="1:19" ht="24">
      <c r="A74" s="121" t="s">
        <v>1591</v>
      </c>
      <c r="B74" s="121"/>
      <c r="C74" s="121" t="s">
        <v>1592</v>
      </c>
      <c r="E74" s="106"/>
      <c r="G74" s="106"/>
      <c r="I74" s="106"/>
      <c r="J74" s="51"/>
      <c r="K74" s="106"/>
      <c r="L74" s="51"/>
      <c r="M74" s="106"/>
      <c r="N74" s="51"/>
      <c r="O74" s="106"/>
      <c r="P74" s="51"/>
      <c r="Q74" s="106"/>
      <c r="R74" s="51"/>
      <c r="S74" s="106"/>
    </row>
    <row r="75" spans="1:19" ht="24">
      <c r="A75" s="121" t="s">
        <v>1593</v>
      </c>
      <c r="B75" s="121"/>
      <c r="C75" s="121" t="s">
        <v>1594</v>
      </c>
      <c r="E75" s="106"/>
      <c r="G75" s="106"/>
      <c r="I75" s="106"/>
      <c r="J75" s="51"/>
      <c r="K75" s="106"/>
      <c r="L75" s="51"/>
      <c r="M75" s="106"/>
      <c r="N75" s="51"/>
      <c r="O75" s="106"/>
      <c r="P75" s="51"/>
      <c r="Q75" s="106"/>
      <c r="R75" s="51"/>
      <c r="S75" s="106"/>
    </row>
    <row r="76" spans="1:19" ht="36">
      <c r="A76" s="121" t="s">
        <v>1595</v>
      </c>
      <c r="B76" s="121"/>
      <c r="C76" s="121" t="s">
        <v>1596</v>
      </c>
      <c r="E76" s="106"/>
      <c r="G76" s="106"/>
      <c r="I76" s="106"/>
      <c r="J76" s="51"/>
      <c r="K76" s="106"/>
      <c r="L76" s="51"/>
      <c r="M76" s="106"/>
      <c r="N76" s="51"/>
      <c r="O76" s="106"/>
      <c r="P76" s="51"/>
      <c r="Q76" s="106"/>
      <c r="R76" s="51"/>
      <c r="S76" s="106"/>
    </row>
    <row r="77" spans="1:19" ht="36">
      <c r="A77" s="121" t="s">
        <v>1597</v>
      </c>
      <c r="B77" s="121"/>
      <c r="C77" s="121" t="s">
        <v>1598</v>
      </c>
      <c r="E77" s="106"/>
      <c r="G77" s="106"/>
      <c r="I77" s="106"/>
      <c r="J77" s="51"/>
      <c r="K77" s="106"/>
      <c r="L77" s="51"/>
      <c r="M77" s="106"/>
      <c r="N77" s="51"/>
      <c r="O77" s="106"/>
      <c r="P77" s="51"/>
      <c r="Q77" s="106"/>
      <c r="R77" s="51"/>
      <c r="S77" s="106"/>
    </row>
    <row r="78" spans="1:19" ht="24">
      <c r="A78" s="121" t="s">
        <v>1599</v>
      </c>
      <c r="B78" s="121"/>
      <c r="C78" s="121" t="s">
        <v>1600</v>
      </c>
      <c r="E78" s="106"/>
      <c r="G78" s="106"/>
      <c r="I78" s="106"/>
      <c r="J78" s="51"/>
      <c r="K78" s="106"/>
      <c r="L78" s="51"/>
      <c r="M78" s="106"/>
      <c r="N78" s="51"/>
      <c r="O78" s="106"/>
      <c r="P78" s="51"/>
      <c r="Q78" s="106"/>
      <c r="R78" s="51"/>
      <c r="S78" s="106"/>
    </row>
    <row r="79" spans="1:19" ht="24">
      <c r="A79" s="121" t="s">
        <v>1601</v>
      </c>
      <c r="B79" s="121"/>
      <c r="C79" s="121" t="s">
        <v>1602</v>
      </c>
      <c r="E79" s="106"/>
      <c r="G79" s="106"/>
      <c r="I79" s="106"/>
      <c r="J79" s="51"/>
      <c r="K79" s="106"/>
      <c r="L79" s="51"/>
      <c r="M79" s="106"/>
      <c r="N79" s="51"/>
      <c r="O79" s="106"/>
      <c r="P79" s="51"/>
      <c r="Q79" s="106"/>
      <c r="R79" s="51"/>
      <c r="S79" s="106"/>
    </row>
    <row r="80" spans="1:19">
      <c r="A80" s="121" t="s">
        <v>1603</v>
      </c>
      <c r="B80" s="121"/>
      <c r="C80" s="122" t="s">
        <v>1604</v>
      </c>
      <c r="E80" s="107"/>
      <c r="G80" s="107"/>
      <c r="I80" s="107"/>
      <c r="J80" s="51"/>
      <c r="K80" s="107"/>
      <c r="L80" s="51"/>
      <c r="M80" s="107"/>
      <c r="N80" s="51"/>
      <c r="O80" s="107"/>
      <c r="P80" s="51"/>
      <c r="Q80" s="107"/>
      <c r="R80" s="51"/>
      <c r="S80" s="107"/>
    </row>
    <row r="81" spans="1:23" ht="36">
      <c r="A81" s="121" t="s">
        <v>1605</v>
      </c>
      <c r="B81" s="121"/>
      <c r="C81" s="121" t="s">
        <v>1606</v>
      </c>
      <c r="E81" s="106" t="s">
        <v>1607</v>
      </c>
      <c r="G81" s="106" t="s">
        <v>1607</v>
      </c>
      <c r="I81" s="106" t="s">
        <v>1607</v>
      </c>
      <c r="J81" s="51"/>
      <c r="K81" s="106" t="s">
        <v>1607</v>
      </c>
      <c r="L81" s="51"/>
      <c r="M81" s="106" t="s">
        <v>1607</v>
      </c>
      <c r="N81" s="51"/>
      <c r="O81" s="106" t="s">
        <v>1607</v>
      </c>
      <c r="P81" s="51"/>
      <c r="Q81" s="106" t="s">
        <v>1607</v>
      </c>
      <c r="R81" s="51"/>
      <c r="S81" s="106" t="s">
        <v>1607</v>
      </c>
    </row>
    <row r="82" spans="1:23">
      <c r="A82" s="121" t="s">
        <v>1608</v>
      </c>
      <c r="B82" s="121"/>
      <c r="C82" s="122" t="s">
        <v>1609</v>
      </c>
      <c r="E82" s="107"/>
      <c r="G82" s="107"/>
      <c r="I82" s="107"/>
      <c r="J82" s="51"/>
      <c r="K82" s="107"/>
      <c r="L82" s="51"/>
      <c r="M82" s="107"/>
      <c r="N82" s="51"/>
      <c r="O82" s="107"/>
      <c r="P82" s="51"/>
      <c r="Q82" s="107"/>
      <c r="R82" s="51"/>
      <c r="S82" s="107"/>
    </row>
    <row r="83" spans="1:23">
      <c r="A83" s="121" t="s">
        <v>1610</v>
      </c>
      <c r="B83" s="121"/>
      <c r="C83" s="122" t="s">
        <v>1611</v>
      </c>
      <c r="E83" s="107"/>
      <c r="G83" s="107"/>
      <c r="I83" s="107"/>
      <c r="J83" s="51"/>
      <c r="K83" s="107"/>
      <c r="L83" s="51"/>
      <c r="M83" s="107"/>
      <c r="N83" s="51"/>
      <c r="O83" s="107"/>
      <c r="P83" s="51"/>
      <c r="Q83" s="107"/>
      <c r="R83" s="51"/>
      <c r="S83" s="107"/>
    </row>
    <row r="84" spans="1:23" ht="60">
      <c r="A84" s="121" t="s">
        <v>1612</v>
      </c>
      <c r="B84" s="121"/>
      <c r="C84" s="121" t="s">
        <v>1613</v>
      </c>
      <c r="E84" s="106"/>
      <c r="G84" s="106"/>
      <c r="I84" s="106"/>
      <c r="J84" s="51"/>
      <c r="K84" s="106"/>
      <c r="L84" s="51"/>
      <c r="M84" s="106"/>
      <c r="N84" s="51"/>
      <c r="O84" s="106"/>
      <c r="P84" s="51"/>
      <c r="Q84" s="106"/>
      <c r="R84" s="51"/>
      <c r="S84" s="106"/>
    </row>
    <row r="85" spans="1:23" ht="36">
      <c r="A85" s="121" t="s">
        <v>1614</v>
      </c>
      <c r="B85" s="121"/>
      <c r="C85" s="121" t="s">
        <v>1615</v>
      </c>
      <c r="E85" s="106"/>
      <c r="G85" s="106"/>
      <c r="I85" s="106"/>
      <c r="J85" s="51"/>
      <c r="K85" s="106"/>
      <c r="L85" s="51"/>
      <c r="M85" s="106"/>
      <c r="N85" s="51"/>
      <c r="O85" s="106"/>
      <c r="P85" s="51"/>
      <c r="Q85" s="106"/>
      <c r="R85" s="51"/>
      <c r="S85" s="106"/>
    </row>
    <row r="86" spans="1:23">
      <c r="A86" s="121" t="s">
        <v>1616</v>
      </c>
      <c r="B86" s="121"/>
      <c r="C86" s="122" t="s">
        <v>479</v>
      </c>
      <c r="E86" s="107"/>
      <c r="G86" s="107"/>
      <c r="I86" s="107"/>
      <c r="J86" s="51"/>
      <c r="K86" s="107"/>
      <c r="L86" s="51"/>
      <c r="M86" s="107"/>
      <c r="N86" s="51"/>
      <c r="O86" s="107"/>
      <c r="P86" s="51"/>
      <c r="Q86" s="107"/>
      <c r="R86" s="51"/>
      <c r="S86" s="107"/>
    </row>
    <row r="87" spans="1:23" ht="24">
      <c r="A87" s="121" t="s">
        <v>1617</v>
      </c>
      <c r="B87" s="121"/>
      <c r="C87" s="121" t="s">
        <v>1618</v>
      </c>
      <c r="E87" s="106"/>
      <c r="G87" s="106"/>
      <c r="I87" s="106"/>
      <c r="J87" s="51"/>
      <c r="K87" s="106"/>
      <c r="L87" s="51"/>
      <c r="M87" s="106"/>
      <c r="N87" s="51"/>
      <c r="O87" s="106"/>
      <c r="P87" s="51"/>
      <c r="Q87" s="106"/>
      <c r="R87" s="51"/>
      <c r="S87" s="106"/>
    </row>
    <row r="88" spans="1:23">
      <c r="A88" s="121" t="s">
        <v>1619</v>
      </c>
      <c r="B88" s="121"/>
      <c r="C88" s="122" t="s">
        <v>530</v>
      </c>
      <c r="E88" s="107"/>
      <c r="G88" s="107"/>
      <c r="I88" s="107"/>
      <c r="J88" s="51"/>
      <c r="K88" s="107"/>
      <c r="L88" s="51"/>
      <c r="M88" s="107"/>
      <c r="N88" s="51"/>
      <c r="O88" s="107"/>
      <c r="P88" s="51"/>
      <c r="Q88" s="107"/>
      <c r="R88" s="51"/>
      <c r="S88" s="107"/>
    </row>
    <row r="89" spans="1:23" s="65" customFormat="1" ht="36">
      <c r="A89" s="125" t="s">
        <v>1620</v>
      </c>
      <c r="B89" s="125"/>
      <c r="C89" s="125" t="s">
        <v>1621</v>
      </c>
      <c r="D89" s="126"/>
      <c r="E89" s="106"/>
      <c r="F89" s="59"/>
      <c r="G89" s="106"/>
      <c r="H89" s="59"/>
      <c r="I89" s="106"/>
      <c r="J89" s="59"/>
      <c r="K89" s="106"/>
      <c r="L89" s="59"/>
      <c r="M89" s="106"/>
      <c r="N89" s="59"/>
      <c r="O89" s="106"/>
      <c r="P89" s="59"/>
      <c r="Q89" s="106"/>
      <c r="R89" s="59"/>
      <c r="S89" s="106"/>
      <c r="T89" s="17"/>
      <c r="U89" s="17"/>
      <c r="V89" s="17"/>
      <c r="W89" s="17"/>
    </row>
    <row r="90" spans="1:23" s="70" customFormat="1" ht="16.5">
      <c r="A90" s="29"/>
      <c r="B90" s="29"/>
      <c r="C90" s="29"/>
      <c r="D90" s="83"/>
      <c r="E90" s="84">
        <f t="shared" ref="E90:S90" si="0">SUM(E3:E89)</f>
        <v>99519</v>
      </c>
      <c r="F90" s="84">
        <f t="shared" si="0"/>
        <v>12.920391382550065</v>
      </c>
      <c r="G90" s="84">
        <f t="shared" si="0"/>
        <v>99519</v>
      </c>
      <c r="H90" s="84">
        <f t="shared" si="0"/>
        <v>13.308003094886402</v>
      </c>
      <c r="I90" s="84">
        <f t="shared" si="0"/>
        <v>99519</v>
      </c>
      <c r="J90" s="84">
        <f t="shared" si="0"/>
        <v>13.707243239984324</v>
      </c>
      <c r="K90" s="84">
        <f t="shared" si="0"/>
        <v>99519</v>
      </c>
      <c r="L90" s="84">
        <f t="shared" si="0"/>
        <v>14.118460494980859</v>
      </c>
      <c r="M90" s="84">
        <f t="shared" si="0"/>
        <v>99519</v>
      </c>
      <c r="N90" s="84">
        <f t="shared" si="0"/>
        <v>14.683198886644762</v>
      </c>
      <c r="O90" s="84">
        <f t="shared" si="0"/>
        <v>99519</v>
      </c>
      <c r="P90" s="84">
        <f t="shared" si="0"/>
        <v>15.27052693455521</v>
      </c>
      <c r="Q90" s="84">
        <f t="shared" si="0"/>
        <v>99519</v>
      </c>
      <c r="R90" s="84">
        <f t="shared" si="0"/>
        <v>15.881347983802089</v>
      </c>
      <c r="S90" s="84">
        <f t="shared" si="0"/>
        <v>99519</v>
      </c>
      <c r="T90" s="17"/>
      <c r="U90" s="17"/>
      <c r="V90" s="17"/>
      <c r="W90" s="17"/>
    </row>
    <row r="91" spans="1:23" s="164" customFormat="1" ht="15">
      <c r="A91" s="150"/>
      <c r="D91" s="342"/>
      <c r="E91" s="168" t="s">
        <v>385</v>
      </c>
      <c r="F91" s="342"/>
      <c r="G91" s="168" t="s">
        <v>385</v>
      </c>
      <c r="H91" s="169"/>
      <c r="I91" s="168" t="s">
        <v>385</v>
      </c>
      <c r="J91" s="342"/>
      <c r="K91" s="168" t="s">
        <v>385</v>
      </c>
      <c r="L91" s="342"/>
      <c r="M91" s="168" t="s">
        <v>385</v>
      </c>
      <c r="N91" s="342"/>
      <c r="O91" s="168" t="s">
        <v>385</v>
      </c>
      <c r="P91" s="342"/>
      <c r="Q91" s="168" t="s">
        <v>385</v>
      </c>
      <c r="R91" s="342"/>
      <c r="S91" s="168" t="s">
        <v>385</v>
      </c>
      <c r="T91" s="163"/>
      <c r="U91" s="163"/>
      <c r="V91" s="163"/>
      <c r="W91" s="163"/>
    </row>
    <row r="92" spans="1:23" s="164" customFormat="1" ht="30">
      <c r="A92" s="150"/>
      <c r="D92" s="153"/>
      <c r="E92" s="154" t="s">
        <v>189</v>
      </c>
      <c r="F92" s="171"/>
      <c r="G92" s="158" t="s">
        <v>1052</v>
      </c>
      <c r="H92" s="171"/>
      <c r="I92" s="158" t="s">
        <v>1053</v>
      </c>
      <c r="J92" s="156"/>
      <c r="K92" s="158" t="s">
        <v>432</v>
      </c>
      <c r="L92" s="156"/>
      <c r="M92" s="158" t="s">
        <v>433</v>
      </c>
      <c r="N92" s="156"/>
      <c r="O92" s="158" t="s">
        <v>194</v>
      </c>
      <c r="P92" s="156"/>
      <c r="Q92" s="158" t="s">
        <v>251</v>
      </c>
      <c r="R92" s="156"/>
      <c r="S92" s="158" t="s">
        <v>252</v>
      </c>
    </row>
    <row r="93" spans="1:23" s="164" customFormat="1" ht="15">
      <c r="A93" s="150"/>
      <c r="C93" s="184" t="s">
        <v>386</v>
      </c>
      <c r="D93" s="153"/>
      <c r="E93" s="254">
        <f>SUM(E94:E104)</f>
        <v>1250872.3600000001</v>
      </c>
      <c r="F93" s="254">
        <f t="shared" ref="F93:S93" si="1">SUM(F94:F104)</f>
        <v>0</v>
      </c>
      <c r="G93" s="254">
        <f t="shared" si="1"/>
        <v>692718.2899999998</v>
      </c>
      <c r="H93" s="254">
        <f t="shared" si="1"/>
        <v>0</v>
      </c>
      <c r="I93" s="254">
        <f t="shared" si="1"/>
        <v>713499.83</v>
      </c>
      <c r="J93" s="254">
        <f t="shared" si="1"/>
        <v>0</v>
      </c>
      <c r="K93" s="254">
        <f t="shared" si="1"/>
        <v>738300.31999999972</v>
      </c>
      <c r="L93" s="254">
        <f t="shared" si="1"/>
        <v>0</v>
      </c>
      <c r="M93" s="254">
        <f t="shared" si="1"/>
        <v>760449.31999999983</v>
      </c>
      <c r="N93" s="254">
        <f t="shared" si="1"/>
        <v>0</v>
      </c>
      <c r="O93" s="254">
        <f t="shared" si="1"/>
        <v>790867.28</v>
      </c>
      <c r="P93" s="254">
        <f t="shared" si="1"/>
        <v>0</v>
      </c>
      <c r="Q93" s="254">
        <f t="shared" si="1"/>
        <v>822501.9800000001</v>
      </c>
      <c r="R93" s="254">
        <f t="shared" si="1"/>
        <v>0</v>
      </c>
      <c r="S93" s="254">
        <f t="shared" si="1"/>
        <v>855402.07000000018</v>
      </c>
    </row>
    <row r="94" spans="1:23" s="164" customFormat="1" ht="15">
      <c r="A94" s="150"/>
      <c r="C94" s="184" t="s">
        <v>387</v>
      </c>
      <c r="D94" s="153"/>
      <c r="E94" s="254">
        <v>1248373.23</v>
      </c>
      <c r="F94" s="171"/>
      <c r="G94" s="254">
        <v>1285824.43</v>
      </c>
      <c r="H94" s="171"/>
      <c r="I94" s="254">
        <v>1324399.1599999999</v>
      </c>
      <c r="J94" s="156"/>
      <c r="K94" s="254">
        <v>1364131.14</v>
      </c>
      <c r="L94" s="156"/>
      <c r="M94" s="254">
        <v>1405055.07</v>
      </c>
      <c r="N94" s="156"/>
      <c r="O94" s="254">
        <v>1461257.27</v>
      </c>
      <c r="P94" s="156"/>
      <c r="Q94" s="254">
        <v>1519707.57</v>
      </c>
      <c r="R94" s="156"/>
      <c r="S94" s="254">
        <v>1580495.87</v>
      </c>
    </row>
    <row r="95" spans="1:23" s="164" customFormat="1" ht="15">
      <c r="A95" s="150"/>
      <c r="C95" s="164" t="s">
        <v>951</v>
      </c>
      <c r="D95" s="153"/>
      <c r="E95" s="254">
        <v>836.87</v>
      </c>
      <c r="F95" s="171"/>
      <c r="G95" s="254">
        <v>861.98</v>
      </c>
      <c r="H95" s="171"/>
      <c r="I95" s="254">
        <v>887.84</v>
      </c>
      <c r="J95" s="156"/>
      <c r="K95" s="254">
        <v>914.47</v>
      </c>
      <c r="L95" s="156"/>
      <c r="M95" s="254">
        <v>941.9</v>
      </c>
      <c r="N95" s="156"/>
      <c r="O95" s="254">
        <v>979.58</v>
      </c>
      <c r="P95" s="156"/>
      <c r="Q95" s="254">
        <v>1018.76</v>
      </c>
      <c r="R95" s="156"/>
      <c r="S95" s="254">
        <v>1059.51</v>
      </c>
    </row>
    <row r="96" spans="1:23" s="164" customFormat="1" ht="15">
      <c r="A96" s="150"/>
      <c r="C96" s="164" t="s">
        <v>1240</v>
      </c>
      <c r="D96" s="153"/>
      <c r="E96" s="305">
        <v>1662.26</v>
      </c>
      <c r="F96" s="171"/>
      <c r="G96" s="305">
        <v>1712.13</v>
      </c>
      <c r="H96" s="171"/>
      <c r="I96" s="305">
        <v>1763.49</v>
      </c>
      <c r="J96" s="156"/>
      <c r="K96" s="305">
        <v>1816.4</v>
      </c>
      <c r="L96" s="156"/>
      <c r="M96" s="305">
        <v>1870.89</v>
      </c>
      <c r="N96" s="156"/>
      <c r="O96" s="305">
        <v>1945.72</v>
      </c>
      <c r="P96" s="156"/>
      <c r="Q96" s="305">
        <v>2023.55</v>
      </c>
      <c r="R96" s="156"/>
      <c r="S96" s="305">
        <v>2104.4899999999998</v>
      </c>
    </row>
    <row r="97" spans="1:21" s="164" customFormat="1" ht="15">
      <c r="A97" s="150"/>
      <c r="C97" s="164" t="s">
        <v>388</v>
      </c>
      <c r="D97" s="153"/>
      <c r="E97" s="254">
        <v>0</v>
      </c>
      <c r="F97" s="306"/>
      <c r="G97" s="254">
        <v>-595680.25</v>
      </c>
      <c r="H97" s="306"/>
      <c r="I97" s="254">
        <v>-613550.66</v>
      </c>
      <c r="J97" s="306"/>
      <c r="K97" s="254">
        <v>-631957.18000000005</v>
      </c>
      <c r="L97" s="306"/>
      <c r="M97" s="254">
        <v>-650915.89</v>
      </c>
      <c r="N97" s="306"/>
      <c r="O97" s="254">
        <v>-676952.53</v>
      </c>
      <c r="P97" s="306"/>
      <c r="Q97" s="254">
        <v>-704030.63</v>
      </c>
      <c r="R97" s="306"/>
      <c r="S97" s="254">
        <v>-732191.85</v>
      </c>
    </row>
    <row r="98" spans="1:21" ht="15">
      <c r="C98" s="17" t="s">
        <v>1425</v>
      </c>
      <c r="E98" s="297"/>
      <c r="F98" s="297"/>
      <c r="G98" s="297"/>
      <c r="H98" s="297"/>
      <c r="I98" s="297"/>
      <c r="J98" s="297"/>
      <c r="K98" s="297">
        <v>3395.49</v>
      </c>
      <c r="L98" s="297"/>
      <c r="M98" s="297">
        <v>3497.35</v>
      </c>
      <c r="N98" s="297"/>
      <c r="O98" s="297">
        <v>3637.24</v>
      </c>
      <c r="P98" s="297"/>
      <c r="Q98" s="297">
        <v>3782.73</v>
      </c>
      <c r="R98" s="297"/>
      <c r="S98" s="297">
        <v>3934.05</v>
      </c>
      <c r="T98" s="51">
        <f>SUM(E98:S98)</f>
        <v>18246.86</v>
      </c>
      <c r="U98" s="17" t="s">
        <v>1622</v>
      </c>
    </row>
    <row r="99" spans="1:21" ht="15">
      <c r="E99" s="297"/>
      <c r="F99" s="297"/>
      <c r="G99" s="297"/>
      <c r="H99" s="297"/>
      <c r="I99" s="297"/>
      <c r="J99" s="297"/>
      <c r="K99" s="297"/>
      <c r="L99" s="297"/>
      <c r="M99" s="297"/>
      <c r="N99" s="297"/>
      <c r="O99" s="297"/>
      <c r="P99" s="297"/>
      <c r="Q99" s="297"/>
      <c r="R99" s="297"/>
      <c r="S99" s="297"/>
    </row>
    <row r="100" spans="1:21" ht="15">
      <c r="E100" s="297"/>
      <c r="F100" s="297"/>
      <c r="G100" s="297"/>
      <c r="H100" s="297"/>
      <c r="I100" s="297"/>
      <c r="J100" s="297"/>
      <c r="K100" s="297"/>
      <c r="L100" s="297"/>
      <c r="M100" s="297"/>
      <c r="N100" s="297"/>
      <c r="O100" s="297"/>
      <c r="P100" s="297"/>
      <c r="Q100" s="297"/>
      <c r="R100" s="297"/>
      <c r="S100" s="297"/>
    </row>
    <row r="101" spans="1:21" ht="15">
      <c r="E101" s="297"/>
      <c r="F101" s="297"/>
      <c r="G101" s="297"/>
      <c r="H101" s="297"/>
      <c r="I101" s="297"/>
      <c r="J101" s="297"/>
      <c r="K101" s="297"/>
      <c r="L101" s="297"/>
      <c r="M101" s="297"/>
      <c r="N101" s="297"/>
      <c r="O101" s="297"/>
      <c r="P101" s="297"/>
      <c r="Q101" s="297"/>
      <c r="R101" s="297"/>
      <c r="S101" s="297"/>
    </row>
    <row r="102" spans="1:21" ht="15">
      <c r="E102" s="297"/>
      <c r="F102" s="297"/>
      <c r="G102" s="297"/>
      <c r="H102" s="297"/>
      <c r="I102" s="297"/>
      <c r="J102" s="297"/>
      <c r="K102" s="297"/>
      <c r="L102" s="297"/>
      <c r="M102" s="297"/>
      <c r="N102" s="297"/>
      <c r="O102" s="297"/>
      <c r="P102" s="297"/>
      <c r="Q102" s="297"/>
      <c r="R102" s="297"/>
      <c r="S102" s="297"/>
    </row>
    <row r="103" spans="1:21" ht="15">
      <c r="E103" s="297"/>
      <c r="F103" s="297"/>
      <c r="G103" s="297"/>
      <c r="H103" s="297"/>
      <c r="I103" s="297"/>
      <c r="J103" s="297"/>
      <c r="K103" s="297"/>
      <c r="L103" s="297"/>
      <c r="M103" s="297"/>
      <c r="N103" s="297"/>
      <c r="O103" s="297"/>
      <c r="P103" s="297"/>
      <c r="Q103" s="297"/>
      <c r="R103" s="297"/>
      <c r="S103" s="297"/>
    </row>
    <row r="104" spans="1:21" ht="15">
      <c r="E104" s="297"/>
      <c r="F104" s="297"/>
      <c r="G104" s="297"/>
      <c r="H104" s="297"/>
      <c r="I104" s="297"/>
      <c r="J104" s="297"/>
      <c r="K104" s="297"/>
      <c r="L104" s="297"/>
      <c r="M104" s="297"/>
      <c r="N104" s="297"/>
      <c r="O104" s="297"/>
      <c r="P104" s="297"/>
      <c r="Q104" s="297"/>
      <c r="R104" s="297"/>
      <c r="S104" s="297"/>
    </row>
  </sheetData>
  <mergeCells count="8">
    <mergeCell ref="P1:Q1"/>
    <mergeCell ref="R1:S1"/>
    <mergeCell ref="D1:E1"/>
    <mergeCell ref="F1:G1"/>
    <mergeCell ref="H1:I1"/>
    <mergeCell ref="J1:K1"/>
    <mergeCell ref="L1:M1"/>
    <mergeCell ref="N1:O1"/>
  </mergeCells>
  <phoneticPr fontId="0" type="noConversion"/>
  <printOptions horizontalCentered="1"/>
  <pageMargins left="0.5" right="0.5" top="1" bottom="1" header="0.5" footer="0.5"/>
  <pageSetup paperSize="9" fitToWidth="3" fitToHeight="7" orientation="landscape" r:id="rId1"/>
  <headerFooter alignWithMargins="0">
    <oddHeader>&amp;C&amp;"Calibri"&amp;10&amp;K737373Serco Business&amp;1#_x000D_&amp;"Calibri"&amp;11&amp;K000000&amp;"Calibri"&amp;11&amp;K000000&amp;"Arial,Bold"RESTRICTED - CONTRACTS</oddHeader>
    <oddFooter>&amp;L&amp;8PTC/CB/00642&amp;C&amp;8 2-(15)-&amp;P&amp;10
&amp;"Arial,Bold"RESTRICTED - CONTRACTS&amp;R&amp;8Pricing</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dimension ref="A1:BD22"/>
  <sheetViews>
    <sheetView zoomScale="75" workbookViewId="0">
      <selection activeCell="C20" sqref="C20"/>
    </sheetView>
  </sheetViews>
  <sheetFormatPr defaultColWidth="9.140625" defaultRowHeight="12"/>
  <cols>
    <col min="1" max="1" width="8.7109375" style="13" customWidth="1"/>
    <col min="2" max="2" width="2.7109375" style="54" customWidth="1"/>
    <col min="3" max="3" width="24.140625" style="54" customWidth="1"/>
    <col min="4" max="4" width="14.7109375" style="85" customWidth="1" collapsed="1"/>
    <col min="5" max="5" width="14.42578125" style="54" customWidth="1" collapsed="1"/>
    <col min="6" max="6" width="14.85546875" style="54" customWidth="1" collapsed="1"/>
    <col min="7" max="7" width="14.42578125" style="54" customWidth="1" collapsed="1"/>
    <col min="8" max="8" width="14.85546875" style="54" customWidth="1" collapsed="1"/>
    <col min="9" max="10" width="15.28515625" style="54" customWidth="1" collapsed="1"/>
    <col min="11" max="11" width="14.85546875" style="54" customWidth="1" collapsed="1"/>
    <col min="12" max="12" width="9.140625" style="54" collapsed="1"/>
    <col min="13" max="15" width="9.140625" style="54"/>
    <col min="16" max="17" width="9.140625" style="54" collapsed="1"/>
    <col min="18" max="20" width="9.140625" style="54"/>
    <col min="21" max="22" width="9.140625" style="54" collapsed="1"/>
    <col min="23" max="25" width="9.140625" style="54"/>
    <col min="26" max="27" width="9.140625" style="54" collapsed="1"/>
    <col min="28" max="30" width="9.140625" style="54"/>
    <col min="31" max="32" width="9.140625" style="54" collapsed="1"/>
    <col min="33" max="35" width="9.140625" style="54"/>
    <col min="36" max="37" width="9.140625" style="54" collapsed="1"/>
    <col min="38" max="40" width="9.140625" style="54"/>
    <col min="41" max="42" width="9.140625" style="54" collapsed="1"/>
    <col min="43" max="45" width="9.140625" style="54"/>
    <col min="46" max="47" width="9.140625" style="54" collapsed="1"/>
    <col min="48" max="49" width="9.140625" style="54"/>
    <col min="50" max="51" width="9.140625" style="54" collapsed="1"/>
    <col min="52" max="54" width="9.140625" style="54"/>
    <col min="55" max="56" width="9.140625" style="54" collapsed="1"/>
    <col min="57" max="16384" width="9.140625" style="54"/>
  </cols>
  <sheetData>
    <row r="1" spans="1:11" ht="24">
      <c r="C1" s="21" t="s">
        <v>1623</v>
      </c>
      <c r="D1" s="340" t="s">
        <v>189</v>
      </c>
      <c r="E1" s="340" t="s">
        <v>190</v>
      </c>
      <c r="F1" s="340" t="s">
        <v>191</v>
      </c>
      <c r="G1" s="340" t="s">
        <v>192</v>
      </c>
      <c r="H1" s="340" t="s">
        <v>193</v>
      </c>
      <c r="I1" s="340" t="s">
        <v>194</v>
      </c>
      <c r="J1" s="340" t="s">
        <v>251</v>
      </c>
      <c r="K1" s="340" t="s">
        <v>252</v>
      </c>
    </row>
    <row r="2" spans="1:11" ht="24">
      <c r="A2" s="18" t="s">
        <v>253</v>
      </c>
      <c r="B2" s="49"/>
      <c r="C2" s="49" t="s">
        <v>490</v>
      </c>
      <c r="D2" s="19" t="s">
        <v>254</v>
      </c>
      <c r="E2" s="19" t="s">
        <v>254</v>
      </c>
      <c r="F2" s="19" t="s">
        <v>254</v>
      </c>
      <c r="G2" s="19" t="s">
        <v>254</v>
      </c>
      <c r="H2" s="19" t="s">
        <v>254</v>
      </c>
      <c r="I2" s="19" t="s">
        <v>254</v>
      </c>
      <c r="J2" s="19" t="s">
        <v>254</v>
      </c>
      <c r="K2" s="19" t="s">
        <v>254</v>
      </c>
    </row>
    <row r="3" spans="1:11">
      <c r="B3" s="13"/>
      <c r="C3" s="21"/>
    </row>
    <row r="4" spans="1:11">
      <c r="A4" s="13" t="s">
        <v>1624</v>
      </c>
      <c r="B4" s="13"/>
      <c r="C4" s="21" t="s">
        <v>256</v>
      </c>
    </row>
    <row r="5" spans="1:11">
      <c r="A5" s="347" t="s">
        <v>1625</v>
      </c>
      <c r="B5" s="347"/>
      <c r="C5" s="21" t="s">
        <v>1626</v>
      </c>
    </row>
    <row r="6" spans="1:11" ht="60">
      <c r="A6" s="17" t="s">
        <v>1627</v>
      </c>
      <c r="B6" s="17"/>
      <c r="C6" s="17" t="s">
        <v>1628</v>
      </c>
      <c r="D6" s="135" t="s">
        <v>868</v>
      </c>
      <c r="E6" s="172" t="s">
        <v>868</v>
      </c>
      <c r="F6" s="135" t="s">
        <v>868</v>
      </c>
      <c r="G6" s="173" t="s">
        <v>868</v>
      </c>
      <c r="H6" s="135" t="s">
        <v>868</v>
      </c>
      <c r="I6" s="135" t="s">
        <v>868</v>
      </c>
      <c r="J6" s="135" t="s">
        <v>868</v>
      </c>
      <c r="K6" s="135" t="s">
        <v>868</v>
      </c>
    </row>
    <row r="7" spans="1:11">
      <c r="A7" s="347" t="s">
        <v>1629</v>
      </c>
      <c r="B7" s="347"/>
      <c r="C7" s="21" t="s">
        <v>312</v>
      </c>
      <c r="E7" s="85"/>
      <c r="F7" s="85"/>
      <c r="G7" s="85"/>
      <c r="H7" s="85"/>
      <c r="I7" s="85"/>
      <c r="J7" s="85"/>
      <c r="K7" s="85"/>
    </row>
    <row r="8" spans="1:11">
      <c r="A8" s="13" t="s">
        <v>1630</v>
      </c>
      <c r="B8" s="13"/>
      <c r="C8" s="13" t="s">
        <v>377</v>
      </c>
      <c r="E8" s="85"/>
      <c r="F8" s="85"/>
      <c r="G8" s="85"/>
      <c r="H8" s="85"/>
      <c r="I8" s="85"/>
      <c r="J8" s="85"/>
      <c r="K8" s="85"/>
    </row>
    <row r="9" spans="1:11">
      <c r="A9" s="13" t="s">
        <v>1631</v>
      </c>
      <c r="B9" s="13"/>
      <c r="C9" s="21" t="s">
        <v>410</v>
      </c>
      <c r="E9" s="85"/>
      <c r="F9" s="85"/>
      <c r="G9" s="85"/>
      <c r="H9" s="85"/>
      <c r="I9" s="85"/>
      <c r="J9" s="85"/>
      <c r="K9" s="85"/>
    </row>
    <row r="10" spans="1:11" ht="72">
      <c r="A10" s="13" t="s">
        <v>1632</v>
      </c>
      <c r="B10" s="13"/>
      <c r="C10" s="13" t="s">
        <v>516</v>
      </c>
      <c r="E10" s="85"/>
      <c r="F10" s="85"/>
      <c r="G10" s="85"/>
      <c r="H10" s="85"/>
      <c r="I10" s="85"/>
      <c r="J10" s="85"/>
      <c r="K10" s="85"/>
    </row>
    <row r="11" spans="1:11">
      <c r="A11" s="13" t="s">
        <v>1633</v>
      </c>
      <c r="B11" s="13"/>
      <c r="C11" s="21" t="s">
        <v>1634</v>
      </c>
      <c r="E11" s="85"/>
      <c r="F11" s="85"/>
      <c r="G11" s="85"/>
      <c r="H11" s="85"/>
      <c r="I11" s="85"/>
      <c r="J11" s="85"/>
      <c r="K11" s="85"/>
    </row>
    <row r="12" spans="1:11">
      <c r="A12" s="13" t="s">
        <v>1635</v>
      </c>
      <c r="B12" s="13"/>
      <c r="C12" s="13" t="s">
        <v>377</v>
      </c>
      <c r="E12" s="85"/>
      <c r="F12" s="85"/>
      <c r="G12" s="85"/>
      <c r="H12" s="85"/>
      <c r="I12" s="85"/>
      <c r="J12" s="85"/>
      <c r="K12" s="85"/>
    </row>
    <row r="13" spans="1:11">
      <c r="A13" s="13" t="s">
        <v>1636</v>
      </c>
      <c r="B13" s="13"/>
      <c r="C13" s="21" t="s">
        <v>1637</v>
      </c>
      <c r="E13" s="85"/>
      <c r="F13" s="85"/>
      <c r="G13" s="85"/>
      <c r="H13" s="85"/>
      <c r="I13" s="85"/>
      <c r="J13" s="85"/>
      <c r="K13" s="85"/>
    </row>
    <row r="14" spans="1:11" ht="48">
      <c r="A14" s="56" t="s">
        <v>1638</v>
      </c>
      <c r="B14" s="56"/>
      <c r="C14" s="56" t="s">
        <v>1639</v>
      </c>
      <c r="D14" s="135" t="s">
        <v>868</v>
      </c>
      <c r="E14" s="172" t="s">
        <v>868</v>
      </c>
      <c r="F14" s="135" t="s">
        <v>868</v>
      </c>
      <c r="G14" s="173" t="s">
        <v>868</v>
      </c>
      <c r="H14" s="135" t="s">
        <v>868</v>
      </c>
      <c r="I14" s="135" t="s">
        <v>868</v>
      </c>
      <c r="J14" s="135" t="s">
        <v>868</v>
      </c>
      <c r="K14" s="135" t="s">
        <v>868</v>
      </c>
    </row>
    <row r="15" spans="1:11">
      <c r="A15" s="28"/>
      <c r="B15" s="96"/>
      <c r="C15" s="96"/>
      <c r="D15" s="99">
        <f t="shared" ref="D15:K15" si="0">SUM(D3:D14)</f>
        <v>0</v>
      </c>
      <c r="E15" s="99">
        <f t="shared" si="0"/>
        <v>0</v>
      </c>
      <c r="F15" s="99">
        <f t="shared" si="0"/>
        <v>0</v>
      </c>
      <c r="G15" s="99">
        <f t="shared" si="0"/>
        <v>0</v>
      </c>
      <c r="H15" s="99">
        <f t="shared" si="0"/>
        <v>0</v>
      </c>
      <c r="I15" s="99">
        <f t="shared" si="0"/>
        <v>0</v>
      </c>
      <c r="J15" s="99">
        <f t="shared" si="0"/>
        <v>0</v>
      </c>
      <c r="K15" s="99">
        <f t="shared" si="0"/>
        <v>0</v>
      </c>
    </row>
    <row r="16" spans="1:11" s="163" customFormat="1" ht="15">
      <c r="A16" s="162"/>
      <c r="D16" s="545" t="s">
        <v>385</v>
      </c>
      <c r="E16" s="545"/>
      <c r="F16" s="545" t="s">
        <v>385</v>
      </c>
      <c r="G16" s="545"/>
      <c r="H16" s="545"/>
      <c r="I16" s="545"/>
      <c r="J16" s="545"/>
      <c r="K16" s="545"/>
    </row>
    <row r="17" spans="1:11" s="151" customFormat="1" ht="30">
      <c r="A17" s="150"/>
      <c r="D17" s="154" t="s">
        <v>189</v>
      </c>
      <c r="E17" s="174" t="s">
        <v>190</v>
      </c>
      <c r="F17" s="158" t="s">
        <v>191</v>
      </c>
      <c r="G17" s="158" t="s">
        <v>192</v>
      </c>
      <c r="H17" s="158" t="s">
        <v>193</v>
      </c>
      <c r="I17" s="158" t="s">
        <v>194</v>
      </c>
      <c r="J17" s="158" t="s">
        <v>251</v>
      </c>
      <c r="K17" s="158" t="s">
        <v>252</v>
      </c>
    </row>
    <row r="18" spans="1:11" s="151" customFormat="1" ht="15">
      <c r="A18" s="150"/>
      <c r="C18" s="184" t="s">
        <v>386</v>
      </c>
      <c r="D18" s="160">
        <f>SUM(D19:D22)</f>
        <v>2080</v>
      </c>
      <c r="E18" s="160">
        <f t="shared" ref="E18:K18" si="1">SUM(E19:E22)</f>
        <v>2184</v>
      </c>
      <c r="F18" s="160">
        <f t="shared" si="1"/>
        <v>2293.1999999999998</v>
      </c>
      <c r="G18" s="160">
        <f t="shared" si="1"/>
        <v>2407.86</v>
      </c>
      <c r="H18" s="160">
        <f t="shared" si="1"/>
        <v>2528.2530000000006</v>
      </c>
      <c r="I18" s="160">
        <f t="shared" si="1"/>
        <v>2654.6656500000008</v>
      </c>
      <c r="J18" s="160">
        <f t="shared" si="1"/>
        <v>2787.3989325000011</v>
      </c>
      <c r="K18" s="160">
        <f t="shared" si="1"/>
        <v>2926.7688791250011</v>
      </c>
    </row>
    <row r="19" spans="1:11" s="151" customFormat="1" ht="15">
      <c r="A19" s="150"/>
      <c r="C19" s="184" t="s">
        <v>387</v>
      </c>
      <c r="D19" s="160">
        <v>2080</v>
      </c>
      <c r="E19" s="175">
        <v>2184</v>
      </c>
      <c r="F19" s="160">
        <v>2293.1999999999998</v>
      </c>
      <c r="G19" s="161">
        <v>2407.86</v>
      </c>
      <c r="H19" s="160">
        <v>2528.2530000000006</v>
      </c>
      <c r="I19" s="160">
        <v>2654.6656500000008</v>
      </c>
      <c r="J19" s="160">
        <v>2787.3989325000011</v>
      </c>
      <c r="K19" s="160">
        <v>2926.7688791250011</v>
      </c>
    </row>
    <row r="20" spans="1:11" s="151" customFormat="1" ht="15">
      <c r="A20" s="150"/>
      <c r="D20" s="160"/>
      <c r="E20" s="175"/>
      <c r="F20" s="160"/>
      <c r="G20" s="161"/>
      <c r="H20" s="160"/>
      <c r="I20" s="160"/>
      <c r="J20" s="160"/>
      <c r="K20" s="160"/>
    </row>
    <row r="21" spans="1:11" s="151" customFormat="1" ht="15">
      <c r="A21" s="150"/>
      <c r="D21" s="160"/>
      <c r="E21" s="175"/>
      <c r="F21" s="160"/>
      <c r="G21" s="161"/>
      <c r="H21" s="160"/>
      <c r="I21" s="160"/>
      <c r="J21" s="160"/>
      <c r="K21" s="160"/>
    </row>
    <row r="22" spans="1:11" s="151" customFormat="1" ht="15">
      <c r="A22" s="150"/>
      <c r="D22" s="160"/>
      <c r="E22" s="175"/>
      <c r="F22" s="160"/>
      <c r="G22" s="161"/>
      <c r="H22" s="160"/>
      <c r="I22" s="160"/>
      <c r="J22" s="160"/>
      <c r="K22" s="160"/>
    </row>
  </sheetData>
  <mergeCells count="2">
    <mergeCell ref="D16:E16"/>
    <mergeCell ref="F16:K16"/>
  </mergeCells>
  <phoneticPr fontId="0" type="noConversion"/>
  <printOptions horizontalCentered="1"/>
  <pageMargins left="0.25" right="0.25" top="1" bottom="1" header="0.5" footer="0.5"/>
  <pageSetup paperSize="9" fitToWidth="2" orientation="landscape" r:id="rId1"/>
  <headerFooter alignWithMargins="0">
    <oddHeader>&amp;C&amp;"Calibri"&amp;10&amp;K737373Serco Business&amp;1#_x000D_&amp;"Calibri"&amp;11&amp;K000000&amp;"Calibri"&amp;11&amp;K000000&amp;"Arial,Bold"RESTRICTED - CONTRACTS</oddHeader>
    <oddFooter>&amp;L&amp;8PTC/CB/00642&amp;C&amp;8 2-(16)-&amp;P
&amp;"Arial,Bold"&amp;10RESTRICTED - CONTRACTS&amp;R&amp;8Pricing</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dimension ref="A1:AJ41"/>
  <sheetViews>
    <sheetView topLeftCell="A6" zoomScale="75" workbookViewId="0">
      <selection activeCell="S39" sqref="S39"/>
    </sheetView>
  </sheetViews>
  <sheetFormatPr defaultColWidth="9.140625" defaultRowHeight="12"/>
  <cols>
    <col min="1" max="1" width="8.7109375" style="13" customWidth="1"/>
    <col min="2" max="2" width="2.7109375" style="54" customWidth="1"/>
    <col min="3" max="3" width="30.7109375" style="54" customWidth="1"/>
    <col min="4" max="4" width="8.7109375" style="86" customWidth="1" collapsed="1"/>
    <col min="5" max="5" width="14.140625" style="85" customWidth="1"/>
    <col min="6" max="6" width="8.7109375" style="86" hidden="1" customWidth="1" collapsed="1"/>
    <col min="7" max="7" width="14" style="54" customWidth="1" collapsed="1"/>
    <col min="8" max="8" width="8.7109375" style="86" hidden="1" customWidth="1" collapsed="1"/>
    <col min="9" max="9" width="14" style="54" customWidth="1" collapsed="1"/>
    <col min="10" max="10" width="8.7109375" style="54" hidden="1" customWidth="1" collapsed="1"/>
    <col min="11" max="11" width="14.7109375" style="54" customWidth="1" collapsed="1"/>
    <col min="12" max="12" width="8.7109375" style="54" hidden="1" customWidth="1" collapsed="1"/>
    <col min="13" max="13" width="14.7109375" style="54" customWidth="1" collapsed="1"/>
    <col min="14" max="14" width="8.7109375" style="54" hidden="1" customWidth="1" collapsed="1"/>
    <col min="15" max="15" width="14.140625" style="54" customWidth="1" collapsed="1"/>
    <col min="16" max="16" width="8.7109375" style="54" hidden="1" customWidth="1" collapsed="1"/>
    <col min="17" max="17" width="14.42578125" style="54" customWidth="1" collapsed="1"/>
    <col min="18" max="18" width="8.7109375" style="54" hidden="1" customWidth="1" collapsed="1"/>
    <col min="19" max="19" width="14.42578125" style="54" customWidth="1" collapsed="1"/>
    <col min="20" max="20" width="9.140625" style="54" collapsed="1"/>
    <col min="21" max="21" width="9.140625" style="54"/>
    <col min="22" max="22" width="10.42578125" style="54" bestFit="1" customWidth="1" collapsed="1"/>
    <col min="23" max="23" width="9.85546875" style="54" bestFit="1" customWidth="1" collapsed="1"/>
    <col min="24" max="24" width="9.140625" style="54"/>
    <col min="25" max="25" width="9.140625" style="54" collapsed="1"/>
    <col min="26" max="28" width="9.140625" style="54"/>
    <col min="29" max="29" width="9.140625" style="54" collapsed="1"/>
    <col min="30" max="31" width="9.140625" style="54"/>
    <col min="32" max="32" width="9.140625" style="54" collapsed="1"/>
    <col min="33" max="35" width="9.140625" style="54"/>
    <col min="36" max="36" width="9.140625" style="54" collapsed="1"/>
    <col min="37" max="16384" width="9.140625" style="54"/>
  </cols>
  <sheetData>
    <row r="1" spans="1:19" ht="24">
      <c r="C1" s="21" t="s">
        <v>1640</v>
      </c>
      <c r="D1" s="340"/>
      <c r="E1" s="340" t="s">
        <v>189</v>
      </c>
      <c r="F1" s="340"/>
      <c r="G1" s="340" t="s">
        <v>190</v>
      </c>
      <c r="H1" s="340"/>
      <c r="I1" s="340" t="s">
        <v>191</v>
      </c>
      <c r="J1" s="340"/>
      <c r="K1" s="340" t="s">
        <v>192</v>
      </c>
      <c r="L1" s="340"/>
      <c r="M1" s="340" t="s">
        <v>193</v>
      </c>
      <c r="N1" s="340"/>
      <c r="O1" s="340" t="s">
        <v>194</v>
      </c>
      <c r="P1" s="340"/>
      <c r="Q1" s="340" t="s">
        <v>251</v>
      </c>
      <c r="R1" s="340"/>
      <c r="S1" s="340" t="s">
        <v>252</v>
      </c>
    </row>
    <row r="2" spans="1:19" ht="24">
      <c r="A2" s="18" t="s">
        <v>253</v>
      </c>
      <c r="B2" s="49"/>
      <c r="C2" s="49" t="s">
        <v>490</v>
      </c>
      <c r="D2" s="19" t="s">
        <v>1428</v>
      </c>
      <c r="E2" s="19" t="s">
        <v>254</v>
      </c>
      <c r="F2" s="19" t="s">
        <v>1428</v>
      </c>
      <c r="G2" s="19" t="s">
        <v>254</v>
      </c>
      <c r="H2" s="19" t="s">
        <v>1428</v>
      </c>
      <c r="I2" s="19" t="s">
        <v>254</v>
      </c>
      <c r="J2" s="19" t="s">
        <v>1428</v>
      </c>
      <c r="K2" s="19" t="s">
        <v>254</v>
      </c>
      <c r="L2" s="19" t="s">
        <v>1428</v>
      </c>
      <c r="M2" s="19" t="s">
        <v>254</v>
      </c>
      <c r="N2" s="19" t="s">
        <v>1428</v>
      </c>
      <c r="O2" s="19" t="s">
        <v>254</v>
      </c>
      <c r="P2" s="19" t="s">
        <v>1428</v>
      </c>
      <c r="Q2" s="19" t="s">
        <v>254</v>
      </c>
      <c r="R2" s="19" t="s">
        <v>1428</v>
      </c>
      <c r="S2" s="19" t="s">
        <v>254</v>
      </c>
    </row>
    <row r="3" spans="1:19">
      <c r="B3" s="13"/>
      <c r="C3" s="21"/>
      <c r="F3" s="87"/>
      <c r="H3" s="87"/>
      <c r="J3" s="87"/>
      <c r="L3" s="87"/>
      <c r="N3" s="87"/>
      <c r="P3" s="87"/>
      <c r="R3" s="87"/>
    </row>
    <row r="4" spans="1:19">
      <c r="A4" s="54" t="s">
        <v>1641</v>
      </c>
      <c r="C4" s="52" t="s">
        <v>256</v>
      </c>
      <c r="F4" s="54"/>
      <c r="H4" s="54"/>
    </row>
    <row r="5" spans="1:19">
      <c r="A5" s="54" t="s">
        <v>1642</v>
      </c>
      <c r="C5" s="52" t="s">
        <v>1643</v>
      </c>
      <c r="F5" s="54"/>
      <c r="H5" s="54"/>
    </row>
    <row r="6" spans="1:19" ht="24">
      <c r="A6" s="54" t="s">
        <v>1644</v>
      </c>
      <c r="C6" s="17" t="s">
        <v>1645</v>
      </c>
      <c r="E6" s="90">
        <v>15926.07</v>
      </c>
      <c r="G6" s="90">
        <v>15926.07</v>
      </c>
      <c r="I6" s="90">
        <v>15926.07</v>
      </c>
      <c r="J6" s="86"/>
      <c r="K6" s="90">
        <v>15926.07</v>
      </c>
      <c r="L6" s="86"/>
      <c r="M6" s="90">
        <v>15926.07</v>
      </c>
      <c r="N6" s="86"/>
      <c r="O6" s="90">
        <v>15926.07</v>
      </c>
      <c r="P6" s="86"/>
      <c r="Q6" s="90">
        <v>15926.07</v>
      </c>
      <c r="R6" s="86"/>
      <c r="S6" s="90">
        <v>15926.07</v>
      </c>
    </row>
    <row r="7" spans="1:19" ht="36">
      <c r="A7" s="54" t="s">
        <v>1646</v>
      </c>
      <c r="C7" s="17" t="s">
        <v>1647</v>
      </c>
      <c r="E7" s="135" t="s">
        <v>868</v>
      </c>
      <c r="G7" s="135" t="s">
        <v>868</v>
      </c>
      <c r="I7" s="135" t="s">
        <v>868</v>
      </c>
      <c r="J7" s="86"/>
      <c r="K7" s="135" t="s">
        <v>868</v>
      </c>
      <c r="L7" s="86"/>
      <c r="M7" s="135" t="s">
        <v>868</v>
      </c>
      <c r="N7" s="86"/>
      <c r="O7" s="135" t="s">
        <v>868</v>
      </c>
      <c r="P7" s="86"/>
      <c r="Q7" s="135" t="s">
        <v>868</v>
      </c>
      <c r="R7" s="86"/>
      <c r="S7" s="135" t="s">
        <v>868</v>
      </c>
    </row>
    <row r="8" spans="1:19">
      <c r="A8" s="54" t="s">
        <v>1648</v>
      </c>
      <c r="C8" s="52" t="s">
        <v>312</v>
      </c>
      <c r="G8" s="85"/>
      <c r="I8" s="85"/>
      <c r="J8" s="86"/>
      <c r="K8" s="85"/>
      <c r="L8" s="86"/>
      <c r="M8" s="85"/>
      <c r="N8" s="86"/>
      <c r="O8" s="85"/>
      <c r="P8" s="86"/>
      <c r="Q8" s="85"/>
      <c r="R8" s="86"/>
      <c r="S8" s="85"/>
    </row>
    <row r="9" spans="1:19">
      <c r="A9" s="54" t="s">
        <v>1649</v>
      </c>
      <c r="C9" s="17" t="s">
        <v>377</v>
      </c>
      <c r="G9" s="85"/>
      <c r="I9" s="85"/>
      <c r="J9" s="86"/>
      <c r="K9" s="85"/>
      <c r="L9" s="86"/>
      <c r="M9" s="85"/>
      <c r="N9" s="86"/>
      <c r="O9" s="85"/>
      <c r="P9" s="86"/>
      <c r="Q9" s="85"/>
      <c r="R9" s="86"/>
      <c r="S9" s="85"/>
    </row>
    <row r="10" spans="1:19">
      <c r="A10" s="54" t="s">
        <v>1650</v>
      </c>
      <c r="C10" s="52" t="s">
        <v>410</v>
      </c>
      <c r="G10" s="85"/>
      <c r="I10" s="85"/>
      <c r="J10" s="86"/>
      <c r="K10" s="85"/>
      <c r="L10" s="86"/>
      <c r="M10" s="85"/>
      <c r="N10" s="86"/>
      <c r="O10" s="85"/>
      <c r="P10" s="86"/>
      <c r="Q10" s="85"/>
      <c r="R10" s="86"/>
      <c r="S10" s="85"/>
    </row>
    <row r="11" spans="1:19" ht="38.25">
      <c r="A11" s="54" t="s">
        <v>1651</v>
      </c>
      <c r="C11" s="355" t="s">
        <v>1652</v>
      </c>
      <c r="G11" s="85"/>
      <c r="I11" s="85"/>
      <c r="J11" s="86"/>
      <c r="K11" s="85"/>
      <c r="L11" s="86"/>
      <c r="M11" s="85"/>
      <c r="N11" s="86"/>
      <c r="O11" s="85"/>
      <c r="P11" s="86"/>
      <c r="Q11" s="85"/>
      <c r="R11" s="86"/>
      <c r="S11" s="85"/>
    </row>
    <row r="12" spans="1:19" ht="60">
      <c r="A12" s="54" t="s">
        <v>1653</v>
      </c>
      <c r="C12" s="17" t="s">
        <v>1654</v>
      </c>
      <c r="D12" s="149"/>
      <c r="E12" s="322" t="s">
        <v>1401</v>
      </c>
      <c r="F12" s="322" t="s">
        <v>1401</v>
      </c>
      <c r="G12" s="322" t="s">
        <v>1401</v>
      </c>
      <c r="H12" s="322" t="s">
        <v>1401</v>
      </c>
      <c r="I12" s="322" t="s">
        <v>1401</v>
      </c>
      <c r="J12" s="322" t="s">
        <v>1401</v>
      </c>
      <c r="K12" s="322" t="s">
        <v>1401</v>
      </c>
      <c r="L12" s="322" t="s">
        <v>1401</v>
      </c>
      <c r="M12" s="322" t="s">
        <v>1401</v>
      </c>
      <c r="N12" s="322" t="s">
        <v>1401</v>
      </c>
      <c r="O12" s="322" t="s">
        <v>1401</v>
      </c>
      <c r="P12" s="322" t="s">
        <v>1401</v>
      </c>
      <c r="Q12" s="322" t="s">
        <v>1401</v>
      </c>
      <c r="R12" s="322" t="s">
        <v>1401</v>
      </c>
      <c r="S12" s="322" t="s">
        <v>1401</v>
      </c>
    </row>
    <row r="13" spans="1:19">
      <c r="A13" s="54" t="s">
        <v>1655</v>
      </c>
      <c r="C13" s="52" t="s">
        <v>1634</v>
      </c>
      <c r="G13" s="85"/>
      <c r="I13" s="85"/>
      <c r="J13" s="86"/>
      <c r="K13" s="85"/>
      <c r="L13" s="86"/>
      <c r="M13" s="85"/>
      <c r="N13" s="86"/>
      <c r="O13" s="85"/>
      <c r="P13" s="86"/>
      <c r="Q13" s="85"/>
      <c r="R13" s="86"/>
      <c r="S13" s="85"/>
    </row>
    <row r="14" spans="1:19" ht="36">
      <c r="A14" s="54" t="s">
        <v>1656</v>
      </c>
      <c r="C14" s="17" t="s">
        <v>1657</v>
      </c>
      <c r="E14" s="90">
        <v>8</v>
      </c>
      <c r="G14" s="90">
        <v>8</v>
      </c>
      <c r="I14" s="90">
        <v>8</v>
      </c>
      <c r="J14" s="86"/>
      <c r="K14" s="90">
        <v>8</v>
      </c>
      <c r="L14" s="86"/>
      <c r="M14" s="90">
        <v>8</v>
      </c>
      <c r="N14" s="86"/>
      <c r="O14" s="90">
        <v>8</v>
      </c>
      <c r="P14" s="86"/>
      <c r="Q14" s="90">
        <v>8</v>
      </c>
      <c r="R14" s="86"/>
      <c r="S14" s="90">
        <v>8</v>
      </c>
    </row>
    <row r="15" spans="1:19" ht="36">
      <c r="A15" s="13" t="s">
        <v>1658</v>
      </c>
      <c r="B15" s="13"/>
      <c r="C15" s="17" t="s">
        <v>1659</v>
      </c>
      <c r="E15" s="135" t="s">
        <v>868</v>
      </c>
      <c r="G15" s="135" t="s">
        <v>868</v>
      </c>
      <c r="I15" s="135" t="s">
        <v>868</v>
      </c>
      <c r="J15" s="86"/>
      <c r="K15" s="135" t="s">
        <v>868</v>
      </c>
      <c r="L15" s="86"/>
      <c r="M15" s="135" t="s">
        <v>868</v>
      </c>
      <c r="N15" s="86"/>
      <c r="O15" s="135" t="s">
        <v>868</v>
      </c>
      <c r="P15" s="86"/>
      <c r="Q15" s="135" t="s">
        <v>868</v>
      </c>
      <c r="R15" s="86"/>
      <c r="S15" s="135" t="s">
        <v>868</v>
      </c>
    </row>
    <row r="16" spans="1:19">
      <c r="A16" s="54" t="s">
        <v>1660</v>
      </c>
      <c r="C16" s="52" t="s">
        <v>1661</v>
      </c>
      <c r="G16" s="85"/>
      <c r="I16" s="85"/>
      <c r="J16" s="86"/>
      <c r="K16" s="85"/>
      <c r="L16" s="86"/>
      <c r="M16" s="85"/>
      <c r="N16" s="86"/>
      <c r="O16" s="85"/>
      <c r="P16" s="86"/>
      <c r="Q16" s="85"/>
      <c r="R16" s="86"/>
      <c r="S16" s="85"/>
    </row>
    <row r="17" spans="1:21">
      <c r="A17" s="54" t="s">
        <v>1662</v>
      </c>
      <c r="C17" s="52" t="s">
        <v>1663</v>
      </c>
      <c r="G17" s="85"/>
      <c r="I17" s="85"/>
      <c r="J17" s="86"/>
      <c r="K17" s="85"/>
      <c r="L17" s="86"/>
      <c r="M17" s="85"/>
      <c r="N17" s="86"/>
      <c r="O17" s="85"/>
      <c r="P17" s="86"/>
      <c r="Q17" s="85"/>
      <c r="R17" s="86"/>
      <c r="S17" s="85"/>
    </row>
    <row r="18" spans="1:21">
      <c r="A18" s="54" t="s">
        <v>1664</v>
      </c>
      <c r="C18" s="17" t="s">
        <v>1665</v>
      </c>
      <c r="G18" s="85"/>
      <c r="I18" s="85"/>
      <c r="J18" s="86"/>
      <c r="K18" s="85"/>
      <c r="L18" s="86"/>
      <c r="M18" s="85"/>
      <c r="N18" s="86"/>
      <c r="O18" s="85"/>
      <c r="P18" s="86"/>
      <c r="Q18" s="85"/>
      <c r="R18" s="86"/>
      <c r="S18" s="85"/>
    </row>
    <row r="19" spans="1:21">
      <c r="A19" s="54" t="s">
        <v>1666</v>
      </c>
      <c r="C19" s="21" t="s">
        <v>1667</v>
      </c>
      <c r="G19" s="85"/>
      <c r="I19" s="85"/>
      <c r="J19" s="86"/>
      <c r="K19" s="85"/>
      <c r="L19" s="86"/>
      <c r="M19" s="85"/>
      <c r="N19" s="86"/>
      <c r="O19" s="85"/>
      <c r="P19" s="86"/>
      <c r="Q19" s="85"/>
      <c r="R19" s="86"/>
      <c r="S19" s="85"/>
    </row>
    <row r="20" spans="1:21" ht="48">
      <c r="A20" s="132" t="s">
        <v>1668</v>
      </c>
      <c r="B20" s="132"/>
      <c r="C20" s="56" t="s">
        <v>1669</v>
      </c>
      <c r="D20" s="95"/>
      <c r="E20" s="90"/>
      <c r="F20" s="95"/>
      <c r="G20" s="90"/>
      <c r="H20" s="95"/>
      <c r="I20" s="90"/>
      <c r="J20" s="95"/>
      <c r="K20" s="90"/>
      <c r="L20" s="95"/>
      <c r="M20" s="90"/>
      <c r="N20" s="95"/>
      <c r="O20" s="90"/>
      <c r="P20" s="95"/>
      <c r="Q20" s="90"/>
      <c r="R20" s="95"/>
      <c r="S20" s="90"/>
    </row>
    <row r="21" spans="1:21">
      <c r="A21" s="28"/>
      <c r="B21" s="96"/>
      <c r="C21" s="96"/>
      <c r="D21" s="98"/>
      <c r="E21" s="99">
        <f>SUM(E3:E20)</f>
        <v>15934.07</v>
      </c>
      <c r="F21" s="99">
        <f t="shared" ref="F21:S21" si="0">SUM(F3:F20)</f>
        <v>0</v>
      </c>
      <c r="G21" s="99">
        <f t="shared" si="0"/>
        <v>15934.07</v>
      </c>
      <c r="H21" s="99">
        <f t="shared" si="0"/>
        <v>0</v>
      </c>
      <c r="I21" s="99">
        <f t="shared" si="0"/>
        <v>15934.07</v>
      </c>
      <c r="J21" s="99">
        <f t="shared" si="0"/>
        <v>0</v>
      </c>
      <c r="K21" s="99">
        <f t="shared" si="0"/>
        <v>15934.07</v>
      </c>
      <c r="L21" s="99">
        <f t="shared" si="0"/>
        <v>0</v>
      </c>
      <c r="M21" s="99">
        <f t="shared" si="0"/>
        <v>15934.07</v>
      </c>
      <c r="N21" s="99">
        <f t="shared" si="0"/>
        <v>0</v>
      </c>
      <c r="O21" s="99">
        <f t="shared" si="0"/>
        <v>15934.07</v>
      </c>
      <c r="P21" s="99">
        <f t="shared" si="0"/>
        <v>0</v>
      </c>
      <c r="Q21" s="99">
        <f t="shared" si="0"/>
        <v>15934.07</v>
      </c>
      <c r="R21" s="99">
        <f t="shared" si="0"/>
        <v>0</v>
      </c>
      <c r="S21" s="99">
        <f t="shared" si="0"/>
        <v>15934.07</v>
      </c>
    </row>
    <row r="22" spans="1:21" s="163" customFormat="1" ht="15">
      <c r="A22" s="162"/>
      <c r="D22" s="342"/>
      <c r="E22" s="168" t="s">
        <v>385</v>
      </c>
      <c r="F22" s="342"/>
      <c r="G22" s="168"/>
      <c r="H22" s="169"/>
      <c r="I22" s="168" t="s">
        <v>385</v>
      </c>
      <c r="J22" s="342"/>
      <c r="K22" s="168"/>
      <c r="L22" s="342"/>
      <c r="M22" s="168"/>
      <c r="N22" s="342"/>
      <c r="O22" s="168" t="s">
        <v>385</v>
      </c>
      <c r="P22" s="342"/>
      <c r="Q22" s="168"/>
      <c r="R22" s="342"/>
      <c r="S22" s="168" t="s">
        <v>385</v>
      </c>
    </row>
    <row r="23" spans="1:21" s="151" customFormat="1" ht="30">
      <c r="A23" s="150"/>
      <c r="D23" s="153"/>
      <c r="E23" s="154" t="s">
        <v>189</v>
      </c>
      <c r="F23" s="171"/>
      <c r="G23" s="158" t="s">
        <v>190</v>
      </c>
      <c r="H23" s="171"/>
      <c r="I23" s="158" t="s">
        <v>191</v>
      </c>
      <c r="J23" s="156"/>
      <c r="K23" s="158" t="s">
        <v>192</v>
      </c>
      <c r="L23" s="156"/>
      <c r="M23" s="158" t="s">
        <v>193</v>
      </c>
      <c r="N23" s="156"/>
      <c r="O23" s="158" t="s">
        <v>194</v>
      </c>
      <c r="P23" s="156"/>
      <c r="Q23" s="158" t="s">
        <v>251</v>
      </c>
      <c r="R23" s="156"/>
      <c r="S23" s="158" t="s">
        <v>252</v>
      </c>
    </row>
    <row r="24" spans="1:21" s="151" customFormat="1" ht="15">
      <c r="A24" s="150"/>
      <c r="C24" s="184" t="s">
        <v>386</v>
      </c>
      <c r="D24" s="153"/>
      <c r="E24" s="160">
        <f>SUM(E25:E41)</f>
        <v>771851.88399999996</v>
      </c>
      <c r="F24" s="160">
        <f t="shared" ref="F24:S24" si="1">SUM(F25:F41)</f>
        <v>0</v>
      </c>
      <c r="G24" s="160">
        <f t="shared" si="1"/>
        <v>757277.3</v>
      </c>
      <c r="H24" s="160">
        <f t="shared" si="1"/>
        <v>0</v>
      </c>
      <c r="I24" s="160">
        <f t="shared" si="1"/>
        <v>790990.59000000008</v>
      </c>
      <c r="J24" s="160">
        <f t="shared" si="1"/>
        <v>0</v>
      </c>
      <c r="K24" s="160">
        <f t="shared" si="1"/>
        <v>801274.005</v>
      </c>
      <c r="L24" s="160">
        <f t="shared" si="1"/>
        <v>0</v>
      </c>
      <c r="M24" s="160">
        <f t="shared" si="1"/>
        <v>821895.06187500001</v>
      </c>
      <c r="N24" s="160">
        <f t="shared" si="1"/>
        <v>0</v>
      </c>
      <c r="O24" s="160">
        <f t="shared" si="1"/>
        <v>842849.79042187496</v>
      </c>
      <c r="P24" s="160">
        <f t="shared" si="1"/>
        <v>0</v>
      </c>
      <c r="Q24" s="160">
        <f t="shared" si="1"/>
        <v>864334.08668242209</v>
      </c>
      <c r="R24" s="160">
        <f t="shared" si="1"/>
        <v>0</v>
      </c>
      <c r="S24" s="160">
        <f t="shared" si="1"/>
        <v>886362.41259948188</v>
      </c>
    </row>
    <row r="25" spans="1:21" s="151" customFormat="1" ht="15">
      <c r="A25" s="150"/>
      <c r="C25" s="184" t="s">
        <v>387</v>
      </c>
      <c r="D25" s="153"/>
      <c r="E25" s="160">
        <v>806370</v>
      </c>
      <c r="F25" s="171"/>
      <c r="G25" s="160">
        <v>817878</v>
      </c>
      <c r="H25" s="171"/>
      <c r="I25" s="160">
        <v>838325</v>
      </c>
      <c r="J25" s="156"/>
      <c r="K25" s="160">
        <v>859284.67500000005</v>
      </c>
      <c r="L25" s="156"/>
      <c r="M25" s="160">
        <v>880764.34187500004</v>
      </c>
      <c r="N25" s="156"/>
      <c r="O25" s="160">
        <v>902783.45042187499</v>
      </c>
      <c r="P25" s="156"/>
      <c r="Q25" s="160">
        <v>925353.03668242204</v>
      </c>
      <c r="R25" s="156"/>
      <c r="S25" s="160">
        <v>948486.86259948194</v>
      </c>
    </row>
    <row r="26" spans="1:21" s="151" customFormat="1" ht="15">
      <c r="A26" s="150"/>
      <c r="C26" s="168" t="s">
        <v>1670</v>
      </c>
      <c r="D26" s="153"/>
      <c r="E26" s="160">
        <v>-36809.665999999997</v>
      </c>
      <c r="F26" s="171"/>
      <c r="G26" s="160">
        <v>-40759</v>
      </c>
      <c r="H26" s="171"/>
      <c r="I26" s="160">
        <v>-41370</v>
      </c>
      <c r="J26" s="156"/>
      <c r="K26" s="160">
        <v>-41991</v>
      </c>
      <c r="L26" s="156"/>
      <c r="M26" s="160">
        <v>-42621</v>
      </c>
      <c r="N26" s="156"/>
      <c r="O26" s="160">
        <v>-43260</v>
      </c>
      <c r="P26" s="156"/>
      <c r="Q26" s="160">
        <v>-43909</v>
      </c>
      <c r="R26" s="156"/>
      <c r="S26" s="160">
        <v>-44567</v>
      </c>
    </row>
    <row r="27" spans="1:21" s="151" customFormat="1" ht="15">
      <c r="A27" s="150"/>
      <c r="C27" s="168" t="s">
        <v>1671</v>
      </c>
      <c r="D27" s="153"/>
      <c r="E27" s="160">
        <v>2228.34</v>
      </c>
      <c r="F27" s="171"/>
      <c r="G27" s="160">
        <v>4594.53</v>
      </c>
      <c r="H27" s="171"/>
      <c r="I27" s="160">
        <v>4951.9799999999996</v>
      </c>
      <c r="J27" s="156"/>
      <c r="K27" s="160">
        <v>5075.78</v>
      </c>
      <c r="L27" s="156"/>
      <c r="M27" s="160">
        <v>5202.67</v>
      </c>
      <c r="N27" s="156"/>
      <c r="O27" s="160">
        <v>5332.74</v>
      </c>
      <c r="P27" s="156"/>
      <c r="Q27" s="160">
        <v>5466.06</v>
      </c>
      <c r="R27" s="156"/>
      <c r="S27" s="160">
        <v>5602.71</v>
      </c>
    </row>
    <row r="28" spans="1:21" s="151" customFormat="1" ht="15">
      <c r="A28" s="150"/>
      <c r="C28" s="168" t="s">
        <v>1672</v>
      </c>
      <c r="D28" s="153"/>
      <c r="E28" s="160">
        <v>63.21</v>
      </c>
      <c r="F28" s="171"/>
      <c r="G28" s="160">
        <v>262.57</v>
      </c>
      <c r="H28" s="171"/>
      <c r="I28" s="160">
        <v>306.44</v>
      </c>
      <c r="J28" s="156"/>
      <c r="K28" s="160">
        <v>314.10000000000002</v>
      </c>
      <c r="L28" s="156"/>
      <c r="M28" s="160">
        <v>321.95</v>
      </c>
      <c r="N28" s="156"/>
      <c r="O28" s="160">
        <v>330</v>
      </c>
      <c r="P28" s="156"/>
      <c r="Q28" s="160">
        <v>338.25</v>
      </c>
      <c r="R28" s="156"/>
      <c r="S28" s="160">
        <v>346.71</v>
      </c>
    </row>
    <row r="29" spans="1:21" ht="15">
      <c r="C29" s="168" t="s">
        <v>488</v>
      </c>
      <c r="E29" s="307">
        <v>0</v>
      </c>
      <c r="G29" s="307">
        <v>8934.84</v>
      </c>
      <c r="I29" s="307">
        <v>18228.400000000001</v>
      </c>
      <c r="K29" s="307">
        <v>18684.11</v>
      </c>
      <c r="M29" s="307">
        <v>19151.21</v>
      </c>
      <c r="O29" s="307">
        <v>19629.990000000002</v>
      </c>
      <c r="Q29" s="307">
        <v>20120.73</v>
      </c>
      <c r="S29" s="307">
        <v>20623.75</v>
      </c>
    </row>
    <row r="30" spans="1:21" ht="15">
      <c r="C30" s="168" t="s">
        <v>954</v>
      </c>
      <c r="E30" s="160">
        <v>0</v>
      </c>
      <c r="F30" s="304"/>
      <c r="G30" s="160">
        <v>-37309.74</v>
      </c>
      <c r="H30" s="304"/>
      <c r="I30" s="160">
        <v>-38262.07</v>
      </c>
      <c r="J30" s="304"/>
      <c r="K30" s="160">
        <v>-39238.54</v>
      </c>
      <c r="L30" s="304"/>
      <c r="M30" s="160">
        <v>-40239.54</v>
      </c>
      <c r="N30" s="304"/>
      <c r="O30" s="160">
        <v>-41266.01</v>
      </c>
      <c r="P30" s="304"/>
      <c r="Q30" s="160">
        <v>-42318.42</v>
      </c>
      <c r="R30" s="304"/>
      <c r="S30" s="160">
        <v>-43397.49</v>
      </c>
    </row>
    <row r="31" spans="1:21" ht="15">
      <c r="C31" s="168" t="s">
        <v>1673</v>
      </c>
      <c r="E31" s="160">
        <v>0</v>
      </c>
      <c r="F31" s="304"/>
      <c r="G31" s="160">
        <v>3033.67</v>
      </c>
      <c r="H31" s="304"/>
      <c r="I31" s="160">
        <v>3109.51</v>
      </c>
      <c r="J31" s="304"/>
      <c r="K31" s="160">
        <v>3187.25</v>
      </c>
      <c r="L31" s="304"/>
      <c r="M31" s="160">
        <v>3266.92</v>
      </c>
      <c r="N31" s="304"/>
      <c r="O31" s="160">
        <v>3348.6</v>
      </c>
      <c r="P31" s="304"/>
      <c r="Q31" s="160">
        <v>3432.32</v>
      </c>
      <c r="R31" s="304"/>
      <c r="S31" s="160">
        <v>3518.13</v>
      </c>
      <c r="U31" s="54" t="s">
        <v>1674</v>
      </c>
    </row>
    <row r="32" spans="1:21" ht="15">
      <c r="C32" s="168" t="s">
        <v>955</v>
      </c>
      <c r="E32" s="309">
        <v>0</v>
      </c>
      <c r="F32" s="304"/>
      <c r="G32" s="309">
        <v>0</v>
      </c>
      <c r="H32" s="309"/>
      <c r="I32" s="309">
        <v>83.01</v>
      </c>
      <c r="J32" s="309"/>
      <c r="K32" s="309">
        <v>102.9</v>
      </c>
      <c r="L32" s="309"/>
      <c r="M32" s="309">
        <v>105.47</v>
      </c>
      <c r="N32" s="309"/>
      <c r="O32" s="309">
        <v>108.11</v>
      </c>
      <c r="P32" s="309"/>
      <c r="Q32" s="309">
        <v>110.81</v>
      </c>
      <c r="R32" s="309"/>
      <c r="S32" s="309">
        <v>113.58</v>
      </c>
    </row>
    <row r="33" spans="3:23" ht="15">
      <c r="C33" s="168" t="s">
        <v>1675</v>
      </c>
      <c r="E33" s="309">
        <v>0</v>
      </c>
      <c r="F33" s="304"/>
      <c r="G33" s="309">
        <v>642.42999999999995</v>
      </c>
      <c r="H33" s="309"/>
      <c r="I33" s="309">
        <v>7901.88</v>
      </c>
      <c r="J33" s="309"/>
      <c r="K33" s="309">
        <v>8099.43</v>
      </c>
      <c r="L33" s="309"/>
      <c r="M33" s="309">
        <v>8301.91</v>
      </c>
      <c r="N33" s="309"/>
      <c r="O33" s="309">
        <v>8509.4599999999991</v>
      </c>
      <c r="P33" s="309"/>
      <c r="Q33" s="309">
        <v>8722.2000000000007</v>
      </c>
      <c r="R33" s="309"/>
      <c r="S33" s="309">
        <v>8940.25</v>
      </c>
      <c r="U33" s="54" t="s">
        <v>1676</v>
      </c>
      <c r="V33" s="86">
        <f>SUM(E33:S33)</f>
        <v>51117.56</v>
      </c>
      <c r="W33" s="86"/>
    </row>
    <row r="34" spans="3:23" ht="15">
      <c r="C34" s="168" t="s">
        <v>1677</v>
      </c>
      <c r="E34" s="309"/>
      <c r="F34" s="304"/>
      <c r="G34" s="309"/>
      <c r="H34" s="309"/>
      <c r="I34" s="309">
        <v>527</v>
      </c>
      <c r="J34" s="309"/>
      <c r="K34" s="309">
        <v>4012.72</v>
      </c>
      <c r="L34" s="309"/>
      <c r="M34" s="309">
        <v>4113.04</v>
      </c>
      <c r="N34" s="309"/>
      <c r="O34" s="309">
        <v>4215.8599999999997</v>
      </c>
      <c r="P34" s="309"/>
      <c r="Q34" s="309">
        <v>4321.26</v>
      </c>
      <c r="R34" s="309"/>
      <c r="S34" s="309">
        <v>4429.29</v>
      </c>
      <c r="U34" s="54" t="s">
        <v>1678</v>
      </c>
      <c r="V34" s="86">
        <f>SUM(I34:S34)</f>
        <v>21619.17</v>
      </c>
      <c r="W34" s="86"/>
    </row>
    <row r="35" spans="3:23" ht="15">
      <c r="C35" s="168" t="s">
        <v>956</v>
      </c>
      <c r="E35" s="309"/>
      <c r="F35" s="304"/>
      <c r="G35" s="309"/>
      <c r="H35" s="309"/>
      <c r="I35" s="309">
        <v>61.91</v>
      </c>
      <c r="J35" s="309"/>
      <c r="K35" s="309">
        <v>275.01</v>
      </c>
      <c r="L35" s="309"/>
      <c r="M35" s="309">
        <v>281.89</v>
      </c>
      <c r="N35" s="309"/>
      <c r="O35" s="309">
        <v>288.94</v>
      </c>
      <c r="P35" s="309"/>
      <c r="Q35" s="309">
        <v>296.16000000000003</v>
      </c>
      <c r="R35" s="309"/>
      <c r="S35" s="309">
        <v>303.56</v>
      </c>
      <c r="U35" s="54" t="s">
        <v>1679</v>
      </c>
      <c r="V35" s="86">
        <f>SUM(I35:S35)</f>
        <v>1507.47</v>
      </c>
      <c r="W35" s="86"/>
    </row>
    <row r="36" spans="3:23" ht="15">
      <c r="C36" s="168" t="s">
        <v>1680</v>
      </c>
      <c r="E36" s="187"/>
      <c r="F36" s="187"/>
      <c r="G36" s="187"/>
      <c r="H36" s="187"/>
      <c r="I36" s="187"/>
      <c r="J36" s="187"/>
      <c r="K36" s="160">
        <v>-13650.17</v>
      </c>
      <c r="L36" s="160"/>
      <c r="M36" s="309">
        <v>-13991.42</v>
      </c>
      <c r="N36" s="309"/>
      <c r="O36" s="309">
        <v>-14341.2</v>
      </c>
      <c r="P36" s="309"/>
      <c r="Q36" s="309">
        <v>-14699.73</v>
      </c>
      <c r="R36" s="309"/>
      <c r="S36" s="309">
        <v>-15067.22</v>
      </c>
      <c r="U36" s="54" t="s">
        <v>1681</v>
      </c>
      <c r="V36" s="86">
        <f>SUM(K36:S36)</f>
        <v>-71749.740000000005</v>
      </c>
      <c r="W36" s="86"/>
    </row>
    <row r="37" spans="3:23" ht="15">
      <c r="C37" s="168" t="s">
        <v>1680</v>
      </c>
      <c r="E37" s="309"/>
      <c r="F37" s="304"/>
      <c r="G37" s="309"/>
      <c r="H37" s="309"/>
      <c r="I37" s="309">
        <v>-2872.47</v>
      </c>
      <c r="J37" s="309"/>
      <c r="K37" s="309">
        <v>-2944.28</v>
      </c>
      <c r="L37" s="309"/>
      <c r="M37" s="309">
        <v>-3017.88</v>
      </c>
      <c r="N37" s="309"/>
      <c r="O37" s="309">
        <v>-3093.32</v>
      </c>
      <c r="P37" s="309"/>
      <c r="Q37" s="309">
        <v>-3170.65</v>
      </c>
      <c r="R37" s="309"/>
      <c r="S37" s="309">
        <v>-3249.91</v>
      </c>
      <c r="U37" s="54" t="s">
        <v>1682</v>
      </c>
      <c r="V37" s="86">
        <f>SUM(E37:S37)</f>
        <v>-18348.510000000002</v>
      </c>
    </row>
    <row r="38" spans="3:23" ht="15">
      <c r="C38" s="54" t="s">
        <v>1683</v>
      </c>
      <c r="E38" s="309"/>
      <c r="F38" s="304"/>
      <c r="G38" s="309"/>
      <c r="H38" s="309"/>
      <c r="I38" s="309"/>
      <c r="J38" s="309"/>
      <c r="K38" s="309">
        <v>62.02</v>
      </c>
      <c r="L38" s="309"/>
      <c r="M38" s="309">
        <v>255.5</v>
      </c>
      <c r="N38" s="309"/>
      <c r="O38" s="309">
        <v>263.17</v>
      </c>
      <c r="P38" s="309"/>
      <c r="Q38" s="309">
        <v>271.06</v>
      </c>
      <c r="R38" s="309"/>
      <c r="S38" s="309">
        <v>279.19</v>
      </c>
    </row>
    <row r="39" spans="3:23" ht="15">
      <c r="E39" s="309"/>
      <c r="F39" s="304"/>
      <c r="G39" s="309"/>
      <c r="H39" s="309"/>
      <c r="I39" s="309"/>
      <c r="J39" s="309"/>
      <c r="K39" s="309"/>
      <c r="L39" s="309"/>
      <c r="M39" s="309"/>
      <c r="N39" s="309"/>
      <c r="O39" s="309"/>
      <c r="P39" s="309"/>
      <c r="Q39" s="309"/>
      <c r="R39" s="309"/>
      <c r="S39" s="309"/>
    </row>
    <row r="40" spans="3:23" ht="15">
      <c r="E40" s="309"/>
      <c r="F40" s="304"/>
      <c r="G40" s="309"/>
      <c r="H40" s="309"/>
      <c r="I40" s="309"/>
      <c r="J40" s="309"/>
      <c r="K40" s="309"/>
      <c r="L40" s="309"/>
      <c r="M40" s="309"/>
      <c r="N40" s="309"/>
      <c r="O40" s="309"/>
      <c r="P40" s="309"/>
      <c r="Q40" s="309"/>
      <c r="R40" s="309"/>
      <c r="S40" s="309"/>
    </row>
    <row r="41" spans="3:23" ht="15">
      <c r="E41" s="309"/>
      <c r="F41" s="304"/>
      <c r="G41" s="309"/>
      <c r="H41" s="309"/>
      <c r="I41" s="309"/>
      <c r="J41" s="309"/>
      <c r="K41" s="309"/>
      <c r="L41" s="309"/>
      <c r="M41" s="309"/>
      <c r="N41" s="309"/>
      <c r="O41" s="309"/>
      <c r="P41" s="309"/>
      <c r="Q41" s="309"/>
      <c r="R41" s="309"/>
      <c r="S41" s="309"/>
    </row>
  </sheetData>
  <phoneticPr fontId="0" type="noConversion"/>
  <printOptions horizontalCentered="1"/>
  <pageMargins left="0.5" right="0.5" top="1" bottom="1" header="0.5" footer="0.5"/>
  <pageSetup paperSize="9" fitToWidth="2" fitToHeight="2" orientation="landscape" r:id="rId1"/>
  <headerFooter alignWithMargins="0">
    <oddHeader>&amp;C&amp;"Calibri"&amp;10&amp;K737373Serco Business&amp;1#_x000D_&amp;"Calibri"&amp;11&amp;K000000&amp;"Calibri"&amp;11&amp;K000000&amp;"Arial,Bold"RESTRICTED - CONTRACTS</oddHeader>
    <oddFooter>&amp;L&amp;8PTC/CB/00642&amp;C&amp;8 2-(19)-&amp;P
&amp;"Arial,Bold"&amp;10RESTRICTED - CONTRACTS&amp;R&amp;8Pricing</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2208-8213-4109-8CD7-53FA6050431D}">
  <sheetPr codeName="Sheet3"/>
  <dimension ref="B1:J33"/>
  <sheetViews>
    <sheetView showGridLines="0" workbookViewId="0">
      <selection activeCell="E15" sqref="E15"/>
    </sheetView>
  </sheetViews>
  <sheetFormatPr defaultColWidth="9.140625" defaultRowHeight="12"/>
  <cols>
    <col min="1" max="1" width="1.85546875" style="391" customWidth="1"/>
    <col min="2" max="2" width="38.5703125" style="391" customWidth="1"/>
    <col min="3" max="3" width="58.7109375" style="391" bestFit="1" customWidth="1"/>
    <col min="4" max="6" width="16.7109375" style="392" customWidth="1"/>
    <col min="7" max="7" width="11.28515625" style="391" bestFit="1" customWidth="1"/>
    <col min="8" max="8" width="10.140625" style="391" bestFit="1" customWidth="1"/>
    <col min="9" max="13" width="11.28515625" style="391" bestFit="1" customWidth="1"/>
    <col min="14" max="14" width="10.140625" style="391" bestFit="1" customWidth="1"/>
    <col min="15" max="16" width="11.28515625" style="391" bestFit="1" customWidth="1"/>
    <col min="17" max="16384" width="9.140625" style="391"/>
  </cols>
  <sheetData>
    <row r="1" spans="2:10" ht="12.75" thickBot="1"/>
    <row r="2" spans="2:10" s="392" customFormat="1" ht="23.25" customHeight="1" thickBot="1">
      <c r="B2" s="488" t="s">
        <v>39</v>
      </c>
      <c r="C2" s="489"/>
      <c r="D2" s="489"/>
      <c r="E2" s="489"/>
      <c r="F2" s="490"/>
    </row>
    <row r="3" spans="2:10" ht="4.5" customHeight="1" thickBot="1"/>
    <row r="4" spans="2:10" ht="48.75" thickBot="1">
      <c r="B4" s="393" t="s">
        <v>40</v>
      </c>
      <c r="C4" s="394" t="s">
        <v>41</v>
      </c>
      <c r="D4" s="395" t="s">
        <v>42</v>
      </c>
      <c r="E4" s="395" t="s">
        <v>43</v>
      </c>
      <c r="F4" s="396" t="s">
        <v>44</v>
      </c>
    </row>
    <row r="5" spans="2:10" s="399" customFormat="1" ht="15" customHeight="1">
      <c r="B5" s="397" t="s">
        <v>45</v>
      </c>
      <c r="C5" s="398" t="s">
        <v>46</v>
      </c>
      <c r="D5" s="457" t="s">
        <v>47</v>
      </c>
      <c r="E5" s="457" t="s">
        <v>47</v>
      </c>
      <c r="F5" s="458" t="s">
        <v>47</v>
      </c>
    </row>
    <row r="6" spans="2:10" s="399" customFormat="1" ht="15" customHeight="1">
      <c r="B6" s="397" t="s">
        <v>48</v>
      </c>
      <c r="C6" s="401" t="s">
        <v>49</v>
      </c>
      <c r="D6" s="457" t="s">
        <v>47</v>
      </c>
      <c r="E6" s="457" t="s">
        <v>47</v>
      </c>
      <c r="F6" s="458" t="s">
        <v>47</v>
      </c>
    </row>
    <row r="7" spans="2:10" s="399" customFormat="1" ht="15" customHeight="1">
      <c r="B7" s="400" t="s">
        <v>50</v>
      </c>
      <c r="C7" s="401" t="s">
        <v>51</v>
      </c>
      <c r="D7" s="447" t="s">
        <v>47</v>
      </c>
      <c r="E7" s="447" t="s">
        <v>47</v>
      </c>
      <c r="F7" s="448" t="s">
        <v>47</v>
      </c>
    </row>
    <row r="8" spans="2:10" s="399" customFormat="1" ht="15" customHeight="1">
      <c r="B8" s="400" t="s">
        <v>52</v>
      </c>
      <c r="C8" s="401" t="s">
        <v>53</v>
      </c>
      <c r="D8" s="447" t="s">
        <v>47</v>
      </c>
      <c r="E8" s="447" t="s">
        <v>47</v>
      </c>
      <c r="F8" s="448" t="s">
        <v>47</v>
      </c>
    </row>
    <row r="9" spans="2:10" s="399" customFormat="1" ht="15" customHeight="1">
      <c r="B9" s="400" t="s">
        <v>54</v>
      </c>
      <c r="C9" s="401" t="s">
        <v>55</v>
      </c>
      <c r="D9" s="447" t="s">
        <v>47</v>
      </c>
      <c r="E9" s="447" t="s">
        <v>47</v>
      </c>
      <c r="F9" s="448" t="s">
        <v>47</v>
      </c>
    </row>
    <row r="10" spans="2:10" s="399" customFormat="1" ht="15" customHeight="1">
      <c r="B10" s="400" t="s">
        <v>56</v>
      </c>
      <c r="C10" s="401" t="s">
        <v>57</v>
      </c>
      <c r="D10" s="447" t="s">
        <v>47</v>
      </c>
      <c r="E10" s="447" t="s">
        <v>47</v>
      </c>
      <c r="F10" s="448" t="s">
        <v>47</v>
      </c>
    </row>
    <row r="11" spans="2:10" s="399" customFormat="1" ht="15" customHeight="1">
      <c r="B11" s="400" t="s">
        <v>58</v>
      </c>
      <c r="C11" s="401" t="s">
        <v>59</v>
      </c>
      <c r="D11" s="447" t="s">
        <v>47</v>
      </c>
      <c r="E11" s="447" t="s">
        <v>47</v>
      </c>
      <c r="F11" s="448" t="s">
        <v>47</v>
      </c>
    </row>
    <row r="12" spans="2:10" s="399" customFormat="1" ht="15" customHeight="1">
      <c r="B12" s="404" t="s">
        <v>60</v>
      </c>
      <c r="C12" s="405" t="s">
        <v>61</v>
      </c>
      <c r="D12" s="451" t="s">
        <v>47</v>
      </c>
      <c r="E12" s="451" t="s">
        <v>47</v>
      </c>
      <c r="F12" s="452" t="s">
        <v>47</v>
      </c>
    </row>
    <row r="13" spans="2:10" s="399" customFormat="1">
      <c r="B13" s="493" t="s">
        <v>62</v>
      </c>
      <c r="C13" s="494"/>
      <c r="D13" s="449" t="s">
        <v>47</v>
      </c>
      <c r="E13" s="449" t="s">
        <v>47</v>
      </c>
      <c r="F13" s="450" t="s">
        <v>47</v>
      </c>
    </row>
    <row r="14" spans="2:10" s="399" customFormat="1" ht="15" customHeight="1">
      <c r="B14" s="497" t="s">
        <v>63</v>
      </c>
      <c r="C14" s="413" t="s">
        <v>30</v>
      </c>
      <c r="D14" s="459" t="s">
        <v>47</v>
      </c>
      <c r="E14" s="459" t="s">
        <v>47</v>
      </c>
      <c r="F14" s="460" t="s">
        <v>47</v>
      </c>
      <c r="G14" s="444"/>
      <c r="H14" s="444"/>
    </row>
    <row r="15" spans="2:10" s="399" customFormat="1" ht="15" customHeight="1">
      <c r="B15" s="498"/>
      <c r="C15" s="415" t="s">
        <v>64</v>
      </c>
      <c r="D15" s="461" t="s">
        <v>47</v>
      </c>
      <c r="E15" s="461" t="s">
        <v>47</v>
      </c>
      <c r="F15" s="462" t="s">
        <v>47</v>
      </c>
      <c r="G15" s="444"/>
      <c r="J15" s="444"/>
    </row>
    <row r="16" spans="2:10" s="399" customFormat="1">
      <c r="B16" s="493" t="s">
        <v>62</v>
      </c>
      <c r="C16" s="494"/>
      <c r="D16" s="449" t="s">
        <v>47</v>
      </c>
      <c r="E16" s="449" t="s">
        <v>47</v>
      </c>
      <c r="F16" s="450" t="s">
        <v>47</v>
      </c>
      <c r="J16" s="443"/>
    </row>
    <row r="17" spans="2:10" s="399" customFormat="1" ht="15" customHeight="1">
      <c r="B17" s="397" t="s">
        <v>65</v>
      </c>
      <c r="C17" s="398" t="s">
        <v>66</v>
      </c>
      <c r="D17" s="457" t="s">
        <v>47</v>
      </c>
      <c r="E17" s="457" t="s">
        <v>47</v>
      </c>
      <c r="F17" s="458" t="s">
        <v>47</v>
      </c>
      <c r="J17" s="445"/>
    </row>
    <row r="18" spans="2:10" s="399" customFormat="1" ht="15" customHeight="1">
      <c r="B18" s="400" t="s">
        <v>67</v>
      </c>
      <c r="C18" s="401" t="s">
        <v>68</v>
      </c>
      <c r="D18" s="447" t="s">
        <v>47</v>
      </c>
      <c r="E18" s="447" t="s">
        <v>47</v>
      </c>
      <c r="F18" s="448" t="s">
        <v>47</v>
      </c>
    </row>
    <row r="19" spans="2:10" s="399" customFormat="1" ht="15" customHeight="1">
      <c r="B19" s="404" t="s">
        <v>69</v>
      </c>
      <c r="C19" s="405" t="s">
        <v>70</v>
      </c>
      <c r="D19" s="451" t="s">
        <v>47</v>
      </c>
      <c r="E19" s="451" t="s">
        <v>47</v>
      </c>
      <c r="F19" s="452" t="s">
        <v>47</v>
      </c>
    </row>
    <row r="20" spans="2:10" s="399" customFormat="1" ht="15" customHeight="1">
      <c r="B20" s="493" t="s">
        <v>62</v>
      </c>
      <c r="C20" s="494"/>
      <c r="D20" s="449" t="s">
        <v>47</v>
      </c>
      <c r="E20" s="449" t="s">
        <v>47</v>
      </c>
      <c r="F20" s="450" t="s">
        <v>47</v>
      </c>
    </row>
    <row r="21" spans="2:10" s="399" customFormat="1" ht="15" customHeight="1">
      <c r="B21" s="397" t="s">
        <v>71</v>
      </c>
      <c r="C21" s="398" t="s">
        <v>72</v>
      </c>
      <c r="D21" s="457" t="s">
        <v>47</v>
      </c>
      <c r="E21" s="457" t="s">
        <v>47</v>
      </c>
      <c r="F21" s="458" t="s">
        <v>47</v>
      </c>
    </row>
    <row r="22" spans="2:10" s="399" customFormat="1" ht="15" customHeight="1">
      <c r="B22" s="400" t="s">
        <v>73</v>
      </c>
      <c r="C22" s="401" t="s">
        <v>74</v>
      </c>
      <c r="D22" s="447" t="s">
        <v>47</v>
      </c>
      <c r="E22" s="447" t="s">
        <v>47</v>
      </c>
      <c r="F22" s="448" t="s">
        <v>47</v>
      </c>
    </row>
    <row r="23" spans="2:10" s="399" customFormat="1" ht="15" customHeight="1">
      <c r="B23" s="400" t="s">
        <v>75</v>
      </c>
      <c r="C23" s="401" t="s">
        <v>76</v>
      </c>
      <c r="D23" s="447" t="s">
        <v>47</v>
      </c>
      <c r="E23" s="447" t="s">
        <v>47</v>
      </c>
      <c r="F23" s="448" t="s">
        <v>47</v>
      </c>
    </row>
    <row r="24" spans="2:10" s="399" customFormat="1">
      <c r="B24" s="495" t="s">
        <v>62</v>
      </c>
      <c r="C24" s="496"/>
      <c r="D24" s="451" t="s">
        <v>47</v>
      </c>
      <c r="E24" s="451" t="s">
        <v>47</v>
      </c>
      <c r="F24" s="452" t="s">
        <v>47</v>
      </c>
    </row>
    <row r="25" spans="2:10">
      <c r="B25" s="402"/>
      <c r="C25" s="403" t="s">
        <v>62</v>
      </c>
      <c r="D25" s="453" t="s">
        <v>47</v>
      </c>
      <c r="E25" s="454" t="s">
        <v>47</v>
      </c>
      <c r="F25" s="455" t="s">
        <v>47</v>
      </c>
    </row>
    <row r="26" spans="2:10" ht="12.75" thickBot="1">
      <c r="B26" s="416"/>
      <c r="C26" s="417"/>
      <c r="D26" s="418"/>
      <c r="E26" s="418"/>
      <c r="F26" s="418"/>
    </row>
    <row r="27" spans="2:10" ht="60">
      <c r="B27" s="412" t="s">
        <v>77</v>
      </c>
      <c r="C27" s="485" t="s">
        <v>78</v>
      </c>
      <c r="D27" s="486"/>
      <c r="E27" s="486"/>
      <c r="F27" s="487"/>
    </row>
    <row r="28" spans="2:10" ht="31.5" customHeight="1" thickBot="1">
      <c r="B28" s="414" t="s">
        <v>79</v>
      </c>
      <c r="C28" s="491" t="s">
        <v>80</v>
      </c>
      <c r="D28" s="491"/>
      <c r="E28" s="491"/>
      <c r="F28" s="492"/>
    </row>
    <row r="31" spans="2:10">
      <c r="C31" s="411"/>
    </row>
    <row r="32" spans="2:10">
      <c r="C32" s="411"/>
    </row>
    <row r="33" spans="3:3">
      <c r="C33" s="411"/>
    </row>
  </sheetData>
  <sheetProtection algorithmName="SHA-512" hashValue="vowcF5a8JlXEHyKeJmeQ6FaiVZPrpoIO9fINZSMYYy6KJrh2seIOgK4vOwCX2pWgPZ70KplD3QJ99jTTF5h7Uw==" saltValue="8k3FTalsOQjT0fz35BnP0w==" spinCount="100000" sheet="1" objects="1" scenarios="1"/>
  <mergeCells count="8">
    <mergeCell ref="C27:F27"/>
    <mergeCell ref="B2:F2"/>
    <mergeCell ref="C28:F28"/>
    <mergeCell ref="B13:C13"/>
    <mergeCell ref="B16:C16"/>
    <mergeCell ref="B20:C20"/>
    <mergeCell ref="B24:C24"/>
    <mergeCell ref="B14:B15"/>
  </mergeCells>
  <pageMargins left="0.7" right="0.7" top="0.75" bottom="0.75" header="0.3" footer="0.3"/>
  <pageSetup paperSize="9" orientation="portrait" r:id="rId1"/>
  <headerFooter>
    <oddHeader>&amp;C&amp;"Calibri"&amp;10&amp;K737373Serco Business&amp;1#</oddHead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dimension ref="A1:Y22"/>
  <sheetViews>
    <sheetView topLeftCell="A17" zoomScale="75" workbookViewId="0">
      <selection activeCell="C17" sqref="C17"/>
    </sheetView>
  </sheetViews>
  <sheetFormatPr defaultColWidth="9.140625" defaultRowHeight="12"/>
  <cols>
    <col min="1" max="1" width="8.7109375" style="13" customWidth="1"/>
    <col min="2" max="2" width="2.7109375" style="54" customWidth="1"/>
    <col min="3" max="3" width="30.7109375" style="54" customWidth="1"/>
    <col min="4" max="4" width="10.42578125" style="86" bestFit="1" customWidth="1" collapsed="1"/>
    <col min="5" max="5" width="14.140625" style="85" customWidth="1"/>
    <col min="6" max="6" width="10.42578125" style="86" bestFit="1" customWidth="1" collapsed="1"/>
    <col min="7" max="7" width="14.5703125" style="54" customWidth="1" collapsed="1"/>
    <col min="8" max="8" width="10.42578125" style="86" bestFit="1" customWidth="1" collapsed="1"/>
    <col min="9" max="9" width="14.42578125" style="54" customWidth="1" collapsed="1"/>
    <col min="10" max="10" width="10.42578125" style="54" bestFit="1" customWidth="1" collapsed="1"/>
    <col min="11" max="11" width="14.5703125" style="54" customWidth="1" collapsed="1"/>
    <col min="12" max="12" width="10.42578125" style="54" bestFit="1" customWidth="1" collapsed="1"/>
    <col min="13" max="13" width="15.140625" style="54" customWidth="1" collapsed="1"/>
    <col min="14" max="14" width="10.42578125" style="54" bestFit="1" customWidth="1" collapsed="1"/>
    <col min="15" max="15" width="14" style="54" customWidth="1" collapsed="1"/>
    <col min="16" max="16" width="10.42578125" style="54" bestFit="1" customWidth="1" collapsed="1"/>
    <col min="17" max="17" width="14.7109375" style="54" customWidth="1" collapsed="1"/>
    <col min="18" max="18" width="10.42578125" style="54" bestFit="1" customWidth="1" collapsed="1"/>
    <col min="19" max="19" width="15.140625" style="54" customWidth="1" collapsed="1"/>
    <col min="20" max="20" width="9.140625" style="54" collapsed="1"/>
    <col min="21" max="21" width="9.140625" style="54"/>
    <col min="22" max="23" width="9.140625" style="54" collapsed="1"/>
    <col min="24" max="24" width="9.140625" style="54"/>
    <col min="25" max="25" width="9.140625" style="54" collapsed="1"/>
    <col min="26" max="16384" width="9.140625" style="54"/>
  </cols>
  <sheetData>
    <row r="1" spans="1:19" ht="12" customHeight="1">
      <c r="C1" s="21" t="s">
        <v>1684</v>
      </c>
      <c r="D1" s="54"/>
      <c r="E1" s="340" t="s">
        <v>189</v>
      </c>
      <c r="F1" s="54"/>
      <c r="G1" s="340" t="s">
        <v>190</v>
      </c>
      <c r="H1" s="340"/>
      <c r="I1" s="340" t="s">
        <v>191</v>
      </c>
      <c r="J1" s="340"/>
      <c r="K1" s="340" t="s">
        <v>192</v>
      </c>
      <c r="L1" s="340"/>
      <c r="M1" s="340" t="s">
        <v>193</v>
      </c>
      <c r="N1" s="340"/>
      <c r="O1" s="340" t="s">
        <v>194</v>
      </c>
      <c r="P1" s="340"/>
      <c r="Q1" s="340" t="s">
        <v>251</v>
      </c>
      <c r="R1" s="340"/>
      <c r="S1" s="340" t="s">
        <v>252</v>
      </c>
    </row>
    <row r="2" spans="1:19" ht="24">
      <c r="A2" s="18" t="s">
        <v>253</v>
      </c>
      <c r="B2" s="49"/>
      <c r="C2" s="49" t="s">
        <v>490</v>
      </c>
      <c r="D2" s="19" t="s">
        <v>1428</v>
      </c>
      <c r="E2" s="19" t="s">
        <v>254</v>
      </c>
      <c r="F2" s="19" t="s">
        <v>1428</v>
      </c>
      <c r="G2" s="19" t="s">
        <v>254</v>
      </c>
      <c r="H2" s="19" t="s">
        <v>1428</v>
      </c>
      <c r="I2" s="19" t="s">
        <v>254</v>
      </c>
      <c r="J2" s="19" t="s">
        <v>1428</v>
      </c>
      <c r="K2" s="19" t="s">
        <v>254</v>
      </c>
      <c r="L2" s="19" t="s">
        <v>1428</v>
      </c>
      <c r="M2" s="19" t="s">
        <v>254</v>
      </c>
      <c r="N2" s="19" t="s">
        <v>1428</v>
      </c>
      <c r="O2" s="19" t="s">
        <v>254</v>
      </c>
      <c r="P2" s="19" t="s">
        <v>1428</v>
      </c>
      <c r="Q2" s="19" t="s">
        <v>254</v>
      </c>
      <c r="R2" s="19" t="s">
        <v>1428</v>
      </c>
      <c r="S2" s="19" t="s">
        <v>254</v>
      </c>
    </row>
    <row r="3" spans="1:19">
      <c r="B3" s="13"/>
      <c r="C3" s="21"/>
      <c r="F3" s="87"/>
      <c r="H3" s="87"/>
      <c r="J3" s="87"/>
      <c r="L3" s="87"/>
      <c r="N3" s="87"/>
      <c r="P3" s="87"/>
      <c r="R3" s="87"/>
    </row>
    <row r="4" spans="1:19">
      <c r="A4" s="54" t="s">
        <v>1685</v>
      </c>
      <c r="C4" s="21" t="s">
        <v>256</v>
      </c>
      <c r="F4" s="54"/>
      <c r="H4" s="54"/>
    </row>
    <row r="5" spans="1:19">
      <c r="A5" s="54" t="s">
        <v>1686</v>
      </c>
      <c r="C5" s="21" t="s">
        <v>1687</v>
      </c>
      <c r="F5" s="54"/>
      <c r="H5" s="54"/>
    </row>
    <row r="6" spans="1:19" ht="12.75">
      <c r="A6" s="127" t="s">
        <v>1688</v>
      </c>
      <c r="C6" s="54" t="s">
        <v>655</v>
      </c>
      <c r="F6" s="54"/>
      <c r="H6" s="54"/>
    </row>
    <row r="7" spans="1:19">
      <c r="A7" s="54" t="s">
        <v>1689</v>
      </c>
      <c r="C7" s="21" t="s">
        <v>312</v>
      </c>
      <c r="F7" s="54"/>
      <c r="H7" s="54"/>
    </row>
    <row r="8" spans="1:19">
      <c r="A8" s="54" t="s">
        <v>1690</v>
      </c>
      <c r="C8" s="54" t="s">
        <v>377</v>
      </c>
      <c r="F8" s="54"/>
      <c r="H8" s="54"/>
    </row>
    <row r="9" spans="1:19">
      <c r="A9" s="54" t="s">
        <v>1691</v>
      </c>
      <c r="C9" s="21" t="s">
        <v>410</v>
      </c>
      <c r="F9" s="54"/>
      <c r="H9" s="54"/>
    </row>
    <row r="10" spans="1:19" ht="36">
      <c r="A10" s="54" t="s">
        <v>1692</v>
      </c>
      <c r="C10" s="17" t="s">
        <v>1693</v>
      </c>
      <c r="D10" s="149">
        <v>1600</v>
      </c>
      <c r="E10" s="135" t="s">
        <v>868</v>
      </c>
      <c r="F10" s="149">
        <v>1600</v>
      </c>
      <c r="G10" s="135" t="s">
        <v>868</v>
      </c>
      <c r="H10" s="149">
        <v>1600</v>
      </c>
      <c r="I10" s="135" t="s">
        <v>868</v>
      </c>
      <c r="J10" s="149">
        <v>1600</v>
      </c>
      <c r="K10" s="135" t="s">
        <v>868</v>
      </c>
      <c r="L10" s="149">
        <v>1600</v>
      </c>
      <c r="M10" s="135" t="s">
        <v>868</v>
      </c>
      <c r="N10" s="149">
        <v>1600</v>
      </c>
      <c r="O10" s="135" t="s">
        <v>868</v>
      </c>
      <c r="P10" s="149">
        <v>1600</v>
      </c>
      <c r="Q10" s="135" t="s">
        <v>868</v>
      </c>
      <c r="R10" s="149">
        <v>1600</v>
      </c>
      <c r="S10" s="135" t="s">
        <v>868</v>
      </c>
    </row>
    <row r="11" spans="1:19">
      <c r="A11" s="54" t="s">
        <v>1694</v>
      </c>
      <c r="C11" s="21" t="s">
        <v>320</v>
      </c>
      <c r="G11" s="85"/>
      <c r="I11" s="85"/>
      <c r="J11" s="86"/>
      <c r="K11" s="85"/>
      <c r="L11" s="86"/>
      <c r="M11" s="85"/>
      <c r="N11" s="86"/>
      <c r="O11" s="85"/>
      <c r="P11" s="86"/>
      <c r="Q11" s="85"/>
      <c r="R11" s="86"/>
      <c r="S11" s="85"/>
    </row>
    <row r="12" spans="1:19">
      <c r="A12" s="54" t="s">
        <v>1695</v>
      </c>
      <c r="C12" s="17" t="s">
        <v>377</v>
      </c>
      <c r="G12" s="85"/>
      <c r="I12" s="85"/>
      <c r="J12" s="86"/>
      <c r="K12" s="85"/>
      <c r="L12" s="86"/>
      <c r="M12" s="85"/>
      <c r="N12" s="86"/>
      <c r="O12" s="85"/>
      <c r="P12" s="86"/>
      <c r="Q12" s="85"/>
      <c r="R12" s="86"/>
      <c r="S12" s="85"/>
    </row>
    <row r="13" spans="1:19">
      <c r="A13" s="54" t="s">
        <v>1696</v>
      </c>
      <c r="C13" s="21" t="s">
        <v>363</v>
      </c>
      <c r="G13" s="85"/>
      <c r="I13" s="85"/>
      <c r="J13" s="86"/>
      <c r="K13" s="85"/>
      <c r="L13" s="86"/>
      <c r="M13" s="85"/>
      <c r="N13" s="86"/>
      <c r="O13" s="85"/>
      <c r="P13" s="86"/>
      <c r="Q13" s="85"/>
      <c r="R13" s="86"/>
      <c r="S13" s="85"/>
    </row>
    <row r="14" spans="1:19" ht="48">
      <c r="A14" s="132" t="s">
        <v>1697</v>
      </c>
      <c r="B14" s="132"/>
      <c r="C14" s="27" t="s">
        <v>1698</v>
      </c>
      <c r="D14" s="95"/>
      <c r="E14" s="135" t="s">
        <v>868</v>
      </c>
      <c r="F14" s="95"/>
      <c r="G14" s="135" t="s">
        <v>868</v>
      </c>
      <c r="H14" s="95"/>
      <c r="I14" s="135" t="s">
        <v>868</v>
      </c>
      <c r="J14" s="95"/>
      <c r="K14" s="135" t="s">
        <v>868</v>
      </c>
      <c r="L14" s="95"/>
      <c r="M14" s="135" t="s">
        <v>868</v>
      </c>
      <c r="N14" s="95"/>
      <c r="O14" s="135" t="s">
        <v>868</v>
      </c>
      <c r="P14" s="95"/>
      <c r="Q14" s="135" t="s">
        <v>868</v>
      </c>
      <c r="R14" s="95"/>
      <c r="S14" s="135" t="s">
        <v>868</v>
      </c>
    </row>
    <row r="15" spans="1:19">
      <c r="A15" s="28"/>
      <c r="B15" s="96"/>
      <c r="C15" s="96"/>
      <c r="D15" s="98"/>
      <c r="E15" s="99">
        <v>0</v>
      </c>
      <c r="F15" s="177"/>
      <c r="G15" s="99">
        <v>0</v>
      </c>
      <c r="H15" s="177"/>
      <c r="I15" s="99">
        <v>0</v>
      </c>
      <c r="J15" s="177"/>
      <c r="K15" s="99">
        <v>0</v>
      </c>
      <c r="L15" s="177"/>
      <c r="M15" s="99">
        <v>0</v>
      </c>
      <c r="N15" s="177"/>
      <c r="O15" s="99">
        <v>0</v>
      </c>
      <c r="P15" s="177"/>
      <c r="Q15" s="99">
        <v>0</v>
      </c>
      <c r="R15" s="177"/>
      <c r="S15" s="99">
        <v>0</v>
      </c>
    </row>
    <row r="16" spans="1:19" s="163" customFormat="1" ht="15">
      <c r="A16" s="162"/>
      <c r="D16" s="342"/>
      <c r="E16" s="168" t="s">
        <v>385</v>
      </c>
      <c r="F16" s="342"/>
      <c r="G16" s="342"/>
      <c r="H16" s="169"/>
      <c r="I16" s="342" t="s">
        <v>385</v>
      </c>
      <c r="J16" s="342"/>
      <c r="K16" s="342"/>
      <c r="L16" s="342"/>
      <c r="M16" s="342"/>
      <c r="N16" s="342"/>
      <c r="O16" s="342"/>
      <c r="P16" s="342"/>
      <c r="Q16" s="342"/>
      <c r="R16" s="342"/>
      <c r="S16" s="342"/>
    </row>
    <row r="17" spans="1:19" s="151" customFormat="1" ht="30">
      <c r="A17" s="150"/>
      <c r="D17" s="153"/>
      <c r="E17" s="154" t="s">
        <v>189</v>
      </c>
      <c r="F17" s="171"/>
      <c r="G17" s="158" t="s">
        <v>190</v>
      </c>
      <c r="H17" s="171"/>
      <c r="I17" s="158" t="s">
        <v>191</v>
      </c>
      <c r="J17" s="156"/>
      <c r="K17" s="158" t="s">
        <v>192</v>
      </c>
      <c r="L17" s="156"/>
      <c r="M17" s="158" t="s">
        <v>193</v>
      </c>
      <c r="N17" s="156"/>
      <c r="O17" s="158" t="s">
        <v>194</v>
      </c>
      <c r="P17" s="156"/>
      <c r="Q17" s="158" t="s">
        <v>251</v>
      </c>
      <c r="R17" s="156"/>
      <c r="S17" s="158" t="s">
        <v>252</v>
      </c>
    </row>
    <row r="18" spans="1:19" s="151" customFormat="1" ht="15">
      <c r="A18" s="150"/>
      <c r="C18" s="184" t="s">
        <v>386</v>
      </c>
      <c r="D18" s="153"/>
      <c r="E18" s="160">
        <f>SUM(E19:E22)</f>
        <v>0</v>
      </c>
      <c r="F18" s="160"/>
      <c r="G18" s="160">
        <f t="shared" ref="G18:S18" si="0">SUM(G19:G22)</f>
        <v>0</v>
      </c>
      <c r="H18" s="160"/>
      <c r="I18" s="160">
        <f t="shared" si="0"/>
        <v>0</v>
      </c>
      <c r="J18" s="160"/>
      <c r="K18" s="160">
        <f t="shared" si="0"/>
        <v>0</v>
      </c>
      <c r="L18" s="160"/>
      <c r="M18" s="160">
        <f t="shared" si="0"/>
        <v>0</v>
      </c>
      <c r="N18" s="160"/>
      <c r="O18" s="160">
        <f t="shared" si="0"/>
        <v>0</v>
      </c>
      <c r="P18" s="160"/>
      <c r="Q18" s="160">
        <f t="shared" si="0"/>
        <v>0</v>
      </c>
      <c r="R18" s="160"/>
      <c r="S18" s="160">
        <f t="shared" si="0"/>
        <v>0</v>
      </c>
    </row>
    <row r="19" spans="1:19" s="151" customFormat="1" ht="15">
      <c r="A19" s="150"/>
      <c r="C19" s="184" t="s">
        <v>387</v>
      </c>
      <c r="D19" s="153"/>
      <c r="E19" s="160">
        <v>0</v>
      </c>
      <c r="F19" s="171"/>
      <c r="G19" s="160">
        <v>0</v>
      </c>
      <c r="H19" s="171"/>
      <c r="I19" s="160">
        <v>0</v>
      </c>
      <c r="J19" s="156"/>
      <c r="K19" s="160">
        <v>0</v>
      </c>
      <c r="L19" s="156"/>
      <c r="M19" s="160">
        <v>0</v>
      </c>
      <c r="N19" s="156"/>
      <c r="O19" s="160">
        <v>0</v>
      </c>
      <c r="P19" s="156"/>
      <c r="Q19" s="160">
        <v>0</v>
      </c>
      <c r="R19" s="156"/>
      <c r="S19" s="160">
        <v>0</v>
      </c>
    </row>
    <row r="20" spans="1:19" s="151" customFormat="1" ht="15">
      <c r="A20" s="150"/>
      <c r="D20" s="153"/>
      <c r="E20" s="160"/>
      <c r="F20" s="171"/>
      <c r="G20" s="160"/>
      <c r="H20" s="171"/>
      <c r="I20" s="160"/>
      <c r="J20" s="156"/>
      <c r="K20" s="160"/>
      <c r="L20" s="156"/>
      <c r="M20" s="160"/>
      <c r="N20" s="156"/>
      <c r="O20" s="160"/>
      <c r="P20" s="156"/>
      <c r="Q20" s="160"/>
      <c r="R20" s="156"/>
      <c r="S20" s="160"/>
    </row>
    <row r="21" spans="1:19" s="151" customFormat="1" ht="15">
      <c r="A21" s="150"/>
      <c r="D21" s="153"/>
      <c r="E21" s="160"/>
      <c r="F21" s="171"/>
      <c r="G21" s="160"/>
      <c r="H21" s="171"/>
      <c r="I21" s="160"/>
      <c r="J21" s="156"/>
      <c r="K21" s="160"/>
      <c r="L21" s="156"/>
      <c r="M21" s="160"/>
      <c r="N21" s="156"/>
      <c r="O21" s="160"/>
      <c r="P21" s="156"/>
      <c r="Q21" s="160"/>
      <c r="R21" s="156"/>
      <c r="S21" s="160"/>
    </row>
    <row r="22" spans="1:19" s="151" customFormat="1" ht="15">
      <c r="A22" s="150"/>
      <c r="D22" s="153"/>
      <c r="E22" s="160"/>
      <c r="F22" s="171"/>
      <c r="G22" s="160"/>
      <c r="H22" s="171"/>
      <c r="I22" s="160"/>
      <c r="J22" s="156"/>
      <c r="K22" s="160"/>
      <c r="L22" s="156"/>
      <c r="M22" s="160"/>
      <c r="N22" s="156"/>
      <c r="O22" s="160"/>
      <c r="P22" s="156"/>
      <c r="Q22" s="160"/>
      <c r="R22" s="156"/>
      <c r="S22" s="160"/>
    </row>
  </sheetData>
  <phoneticPr fontId="0" type="noConversion"/>
  <printOptions horizontalCentered="1"/>
  <pageMargins left="0.5" right="0.5" top="1" bottom="1" header="0.5" footer="0.5"/>
  <pageSetup paperSize="9" fitToWidth="2" orientation="landscape" r:id="rId1"/>
  <headerFooter alignWithMargins="0">
    <oddHeader>&amp;C&amp;"Calibri"&amp;10&amp;K737373Serco Business&amp;1#_x000D_&amp;"Calibri"&amp;11&amp;K000000&amp;"Calibri"&amp;11&amp;K000000&amp;"Arial,Bold"RESTRICTED - CONTRACTS</oddHeader>
    <oddFooter>&amp;L&amp;8PTC/CB/00642&amp;C&amp;8 2-(21)-&amp;P&amp;10
&amp;"Arial,Bold"RESTRICTED - CONTRACTS&amp;R&amp;8Pricing</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dimension ref="A1:AO24"/>
  <sheetViews>
    <sheetView zoomScale="75" workbookViewId="0">
      <pane ySplit="1125" topLeftCell="A18" activePane="bottomLeft"/>
      <selection pane="bottomLeft" activeCell="H18" sqref="H18"/>
    </sheetView>
  </sheetViews>
  <sheetFormatPr defaultColWidth="9.140625" defaultRowHeight="12" outlineLevelCol="1"/>
  <cols>
    <col min="1" max="1" width="8.7109375" style="13" customWidth="1"/>
    <col min="2" max="2" width="1.7109375" style="54" customWidth="1"/>
    <col min="3" max="3" width="25.7109375" style="54" customWidth="1"/>
    <col min="4" max="4" width="1.7109375" style="54" customWidth="1"/>
    <col min="5" max="5" width="14.7109375" style="85" hidden="1" customWidth="1" outlineLevel="1"/>
    <col min="6" max="6" width="12.28515625" style="86" hidden="1" customWidth="1" outlineLevel="1"/>
    <col min="7" max="7" width="11.5703125" style="86" hidden="1" customWidth="1" outlineLevel="1"/>
    <col min="8" max="8" width="14.140625" style="85" customWidth="1" collapsed="1"/>
    <col min="9" max="9" width="13.7109375" style="101" hidden="1" customWidth="1" outlineLevel="1" collapsed="1"/>
    <col min="10" max="10" width="12.7109375" style="86" hidden="1" customWidth="1" outlineLevel="1"/>
    <col min="11" max="11" width="11.7109375" style="86" hidden="1" customWidth="1" outlineLevel="1"/>
    <col min="12" max="12" width="14.42578125" style="54" customWidth="1" collapsed="1"/>
    <col min="13" max="13" width="13.85546875" style="101" hidden="1" customWidth="1" outlineLevel="1" collapsed="1"/>
    <col min="14" max="14" width="12" style="86" hidden="1" customWidth="1" outlineLevel="1"/>
    <col min="15" max="15" width="10.5703125" style="86" hidden="1" customWidth="1" outlineLevel="1"/>
    <col min="16" max="16" width="14.7109375" style="54" customWidth="1" collapsed="1"/>
    <col min="17" max="17" width="13.7109375" style="54" hidden="1" customWidth="1" outlineLevel="1" collapsed="1"/>
    <col min="18" max="18" width="12" style="54" hidden="1" customWidth="1" outlineLevel="1"/>
    <col min="19" max="19" width="9.85546875" style="54" hidden="1" customWidth="1" outlineLevel="1"/>
    <col min="20" max="20" width="13.85546875" style="54" customWidth="1" collapsed="1"/>
    <col min="21" max="21" width="13.7109375" style="54" hidden="1" customWidth="1" outlineLevel="1" collapsed="1"/>
    <col min="22" max="22" width="12.42578125" style="54" hidden="1" customWidth="1" outlineLevel="1"/>
    <col min="23" max="23" width="9.7109375" style="54" hidden="1" customWidth="1" outlineLevel="1"/>
    <col min="24" max="24" width="15.42578125" style="54" customWidth="1" collapsed="1"/>
    <col min="25" max="25" width="13.5703125" style="54" hidden="1" customWidth="1" outlineLevel="1" collapsed="1"/>
    <col min="26" max="26" width="12.140625" style="54" hidden="1" customWidth="1" outlineLevel="1"/>
    <col min="27" max="27" width="10" style="54" hidden="1" customWidth="1" outlineLevel="1"/>
    <col min="28" max="28" width="14.28515625" style="54" customWidth="1" collapsed="1"/>
    <col min="29" max="29" width="13.85546875" style="54" hidden="1" customWidth="1" outlineLevel="1" collapsed="1"/>
    <col min="30" max="30" width="12.28515625" style="54" hidden="1" customWidth="1" outlineLevel="1"/>
    <col min="31" max="31" width="10.7109375" style="54" hidden="1" customWidth="1" outlineLevel="1"/>
    <col min="32" max="32" width="14.140625" style="54" customWidth="1" collapsed="1"/>
    <col min="33" max="33" width="13.5703125" style="54" hidden="1" customWidth="1" outlineLevel="1" collapsed="1"/>
    <col min="34" max="34" width="12.28515625" style="54" hidden="1" customWidth="1" outlineLevel="1"/>
    <col min="35" max="35" width="10.42578125" style="54" hidden="1" customWidth="1" outlineLevel="1"/>
    <col min="36" max="36" width="14.42578125" style="54" customWidth="1" collapsed="1"/>
    <col min="37" max="37" width="12.7109375" style="54" customWidth="1" collapsed="1"/>
    <col min="38" max="38" width="13.140625" style="54" customWidth="1"/>
    <col min="39" max="39" width="9.140625" style="54" collapsed="1"/>
    <col min="40" max="40" width="9.140625" style="54"/>
    <col min="41" max="41" width="9.140625" style="54" collapsed="1"/>
    <col min="42" max="16384" width="9.140625" style="54"/>
  </cols>
  <sheetData>
    <row r="1" spans="1:36">
      <c r="C1" s="21" t="s">
        <v>1699</v>
      </c>
      <c r="E1" s="543" t="s">
        <v>189</v>
      </c>
      <c r="F1" s="543"/>
      <c r="G1" s="543"/>
      <c r="H1" s="543"/>
      <c r="I1" s="543" t="s">
        <v>190</v>
      </c>
      <c r="J1" s="543"/>
      <c r="K1" s="543"/>
      <c r="L1" s="543"/>
      <c r="M1" s="543" t="s">
        <v>191</v>
      </c>
      <c r="N1" s="543"/>
      <c r="O1" s="543"/>
      <c r="P1" s="543"/>
      <c r="Q1" s="543" t="s">
        <v>192</v>
      </c>
      <c r="R1" s="543"/>
      <c r="S1" s="543"/>
      <c r="T1" s="543"/>
      <c r="U1" s="543" t="s">
        <v>193</v>
      </c>
      <c r="V1" s="543"/>
      <c r="W1" s="543"/>
      <c r="X1" s="543"/>
      <c r="Y1" s="543" t="s">
        <v>194</v>
      </c>
      <c r="Z1" s="543"/>
      <c r="AA1" s="543"/>
      <c r="AB1" s="543"/>
      <c r="AC1" s="543" t="s">
        <v>251</v>
      </c>
      <c r="AD1" s="543"/>
      <c r="AE1" s="543"/>
      <c r="AF1" s="543"/>
      <c r="AG1" s="543" t="s">
        <v>252</v>
      </c>
      <c r="AH1" s="543"/>
      <c r="AI1" s="543"/>
      <c r="AJ1" s="543"/>
    </row>
    <row r="2" spans="1:36" ht="24">
      <c r="A2" s="18" t="s">
        <v>253</v>
      </c>
      <c r="B2" s="49"/>
      <c r="C2" s="49" t="s">
        <v>490</v>
      </c>
      <c r="D2" s="339"/>
      <c r="E2" s="19" t="s">
        <v>434</v>
      </c>
      <c r="F2" s="19" t="s">
        <v>435</v>
      </c>
      <c r="G2" s="19" t="s">
        <v>436</v>
      </c>
      <c r="H2" s="19" t="s">
        <v>254</v>
      </c>
      <c r="I2" s="19" t="s">
        <v>434</v>
      </c>
      <c r="J2" s="19" t="s">
        <v>435</v>
      </c>
      <c r="K2" s="19" t="s">
        <v>436</v>
      </c>
      <c r="L2" s="19" t="s">
        <v>254</v>
      </c>
      <c r="M2" s="19" t="s">
        <v>434</v>
      </c>
      <c r="N2" s="19" t="s">
        <v>435</v>
      </c>
      <c r="O2" s="19" t="s">
        <v>436</v>
      </c>
      <c r="P2" s="19" t="s">
        <v>254</v>
      </c>
      <c r="Q2" s="19" t="s">
        <v>434</v>
      </c>
      <c r="R2" s="19" t="s">
        <v>435</v>
      </c>
      <c r="S2" s="19" t="s">
        <v>436</v>
      </c>
      <c r="T2" s="19" t="s">
        <v>254</v>
      </c>
      <c r="U2" s="19" t="s">
        <v>434</v>
      </c>
      <c r="V2" s="19" t="s">
        <v>435</v>
      </c>
      <c r="W2" s="19" t="s">
        <v>436</v>
      </c>
      <c r="X2" s="19" t="s">
        <v>254</v>
      </c>
      <c r="Y2" s="19" t="s">
        <v>434</v>
      </c>
      <c r="Z2" s="19" t="s">
        <v>435</v>
      </c>
      <c r="AA2" s="19" t="s">
        <v>436</v>
      </c>
      <c r="AB2" s="19" t="s">
        <v>254</v>
      </c>
      <c r="AC2" s="19" t="s">
        <v>434</v>
      </c>
      <c r="AD2" s="19" t="s">
        <v>435</v>
      </c>
      <c r="AE2" s="19" t="s">
        <v>436</v>
      </c>
      <c r="AF2" s="19" t="s">
        <v>254</v>
      </c>
      <c r="AG2" s="19" t="s">
        <v>434</v>
      </c>
      <c r="AH2" s="19" t="s">
        <v>435</v>
      </c>
      <c r="AI2" s="19" t="s">
        <v>436</v>
      </c>
      <c r="AJ2" s="19" t="s">
        <v>254</v>
      </c>
    </row>
    <row r="3" spans="1:36">
      <c r="A3" s="13" t="s">
        <v>1700</v>
      </c>
      <c r="B3" s="13"/>
      <c r="C3" s="21" t="s">
        <v>256</v>
      </c>
      <c r="D3" s="50"/>
      <c r="I3" s="54"/>
      <c r="J3" s="54"/>
      <c r="K3" s="54"/>
      <c r="M3" s="54"/>
      <c r="N3" s="54"/>
      <c r="O3" s="54"/>
    </row>
    <row r="4" spans="1:36">
      <c r="A4" s="13" t="s">
        <v>1701</v>
      </c>
      <c r="B4" s="13"/>
      <c r="C4" s="21" t="s">
        <v>1702</v>
      </c>
      <c r="D4" s="50"/>
      <c r="I4" s="54"/>
      <c r="J4" s="54"/>
      <c r="K4" s="54"/>
      <c r="M4" s="54"/>
      <c r="N4" s="54"/>
      <c r="O4" s="54"/>
    </row>
    <row r="5" spans="1:36" ht="60">
      <c r="A5" s="13" t="s">
        <v>1703</v>
      </c>
      <c r="B5" s="13"/>
      <c r="C5" s="13" t="s">
        <v>1704</v>
      </c>
      <c r="D5" s="50"/>
      <c r="E5" s="178">
        <v>190768</v>
      </c>
      <c r="F5" s="179">
        <v>0.35310292091990386</v>
      </c>
      <c r="G5" s="91">
        <f>SUM(E5)*F5</f>
        <v>67360.738018048214</v>
      </c>
      <c r="H5" s="135" t="s">
        <v>868</v>
      </c>
      <c r="I5" s="178">
        <v>190933</v>
      </c>
      <c r="J5" s="179">
        <v>0.37075806696589902</v>
      </c>
      <c r="K5" s="91">
        <f>SUM(I5)*J5</f>
        <v>70789.95</v>
      </c>
      <c r="L5" s="135" t="s">
        <v>868</v>
      </c>
      <c r="M5" s="178">
        <v>190933</v>
      </c>
      <c r="N5" s="179">
        <v>0.38929597031419394</v>
      </c>
      <c r="O5" s="91">
        <f>SUM(M5)*N5</f>
        <v>74329.447499999995</v>
      </c>
      <c r="P5" s="135" t="s">
        <v>868</v>
      </c>
      <c r="Q5" s="178">
        <v>190933</v>
      </c>
      <c r="R5" s="179">
        <v>0.40876076882990364</v>
      </c>
      <c r="S5" s="91">
        <f>SUM(Q5)*R5</f>
        <v>78045.919874999992</v>
      </c>
      <c r="T5" s="135" t="s">
        <v>868</v>
      </c>
      <c r="U5" s="178">
        <v>190933</v>
      </c>
      <c r="V5" s="179">
        <v>0.42919880727139881</v>
      </c>
      <c r="W5" s="91">
        <f>SUM(U5)*V5</f>
        <v>81948.21586874999</v>
      </c>
      <c r="X5" s="135" t="s">
        <v>868</v>
      </c>
      <c r="Y5" s="178">
        <v>190933</v>
      </c>
      <c r="Z5" s="179">
        <v>0.45065874763496877</v>
      </c>
      <c r="AA5" s="91">
        <f>SUM(Y5)*Z5</f>
        <v>86045.626662187497</v>
      </c>
      <c r="AB5" s="135" t="s">
        <v>868</v>
      </c>
      <c r="AC5" s="178">
        <v>190933</v>
      </c>
      <c r="AD5" s="179">
        <v>0.47319168501671727</v>
      </c>
      <c r="AE5" s="91">
        <f>SUM(AC5)*AD5</f>
        <v>90347.907995296875</v>
      </c>
      <c r="AF5" s="135" t="s">
        <v>868</v>
      </c>
      <c r="AG5" s="178">
        <v>190933</v>
      </c>
      <c r="AH5" s="179">
        <v>0.49685126926755313</v>
      </c>
      <c r="AI5" s="91">
        <f>SUM(AG5)*AH5</f>
        <v>94865.303395061725</v>
      </c>
      <c r="AJ5" s="135" t="s">
        <v>868</v>
      </c>
    </row>
    <row r="6" spans="1:36" ht="24">
      <c r="A6" s="13" t="s">
        <v>1705</v>
      </c>
      <c r="B6" s="13"/>
      <c r="C6" s="13" t="s">
        <v>1706</v>
      </c>
      <c r="D6" s="50"/>
      <c r="H6" s="135" t="s">
        <v>868</v>
      </c>
      <c r="I6" s="85"/>
      <c r="L6" s="135" t="s">
        <v>868</v>
      </c>
      <c r="M6" s="85"/>
      <c r="P6" s="135" t="s">
        <v>868</v>
      </c>
      <c r="Q6" s="85"/>
      <c r="R6" s="86"/>
      <c r="S6" s="86"/>
      <c r="T6" s="135" t="s">
        <v>868</v>
      </c>
      <c r="U6" s="85"/>
      <c r="V6" s="86"/>
      <c r="W6" s="86"/>
      <c r="X6" s="135" t="s">
        <v>868</v>
      </c>
      <c r="Y6" s="85"/>
      <c r="Z6" s="86"/>
      <c r="AA6" s="86"/>
      <c r="AB6" s="135" t="s">
        <v>868</v>
      </c>
      <c r="AC6" s="85"/>
      <c r="AD6" s="86"/>
      <c r="AE6" s="86"/>
      <c r="AF6" s="135" t="s">
        <v>868</v>
      </c>
      <c r="AG6" s="85"/>
      <c r="AH6" s="86"/>
      <c r="AI6" s="86"/>
      <c r="AJ6" s="135" t="s">
        <v>868</v>
      </c>
    </row>
    <row r="7" spans="1:36">
      <c r="A7" s="13" t="s">
        <v>1707</v>
      </c>
      <c r="B7" s="13"/>
      <c r="C7" s="21" t="s">
        <v>312</v>
      </c>
      <c r="D7" s="50"/>
      <c r="I7" s="85"/>
      <c r="L7" s="85"/>
      <c r="M7" s="85"/>
      <c r="P7" s="85"/>
      <c r="Q7" s="85"/>
      <c r="R7" s="86"/>
      <c r="S7" s="86"/>
      <c r="T7" s="85"/>
      <c r="U7" s="85"/>
      <c r="V7" s="86"/>
      <c r="W7" s="86"/>
      <c r="X7" s="85"/>
      <c r="Y7" s="85"/>
      <c r="Z7" s="86"/>
      <c r="AA7" s="86"/>
      <c r="AB7" s="85"/>
      <c r="AC7" s="85"/>
      <c r="AD7" s="86"/>
      <c r="AE7" s="86"/>
      <c r="AF7" s="85"/>
      <c r="AG7" s="85"/>
      <c r="AH7" s="86"/>
      <c r="AI7" s="86"/>
      <c r="AJ7" s="85"/>
    </row>
    <row r="8" spans="1:36">
      <c r="A8" s="13" t="s">
        <v>1708</v>
      </c>
      <c r="B8" s="13"/>
      <c r="C8" s="13" t="s">
        <v>377</v>
      </c>
      <c r="D8" s="13"/>
      <c r="I8" s="85"/>
      <c r="L8" s="85"/>
      <c r="M8" s="85"/>
      <c r="P8" s="85"/>
      <c r="Q8" s="85"/>
      <c r="R8" s="86"/>
      <c r="S8" s="86"/>
      <c r="T8" s="85"/>
      <c r="U8" s="85"/>
      <c r="V8" s="86"/>
      <c r="W8" s="86"/>
      <c r="X8" s="85"/>
      <c r="Y8" s="85"/>
      <c r="Z8" s="86"/>
      <c r="AA8" s="86"/>
      <c r="AB8" s="85"/>
      <c r="AC8" s="85"/>
      <c r="AD8" s="86"/>
      <c r="AE8" s="86"/>
      <c r="AF8" s="85"/>
      <c r="AG8" s="85"/>
      <c r="AH8" s="86"/>
      <c r="AI8" s="86"/>
      <c r="AJ8" s="85"/>
    </row>
    <row r="9" spans="1:36">
      <c r="A9" s="13" t="s">
        <v>1709</v>
      </c>
      <c r="B9" s="13"/>
      <c r="C9" s="21" t="s">
        <v>410</v>
      </c>
      <c r="D9" s="50"/>
      <c r="I9" s="85"/>
      <c r="L9" s="85"/>
      <c r="M9" s="85"/>
      <c r="P9" s="85"/>
      <c r="Q9" s="85"/>
      <c r="R9" s="86"/>
      <c r="S9" s="86"/>
      <c r="T9" s="85"/>
      <c r="U9" s="85"/>
      <c r="V9" s="86"/>
      <c r="W9" s="86"/>
      <c r="X9" s="85"/>
      <c r="Y9" s="85"/>
      <c r="Z9" s="86"/>
      <c r="AA9" s="86"/>
      <c r="AB9" s="85"/>
      <c r="AC9" s="85"/>
      <c r="AD9" s="86"/>
      <c r="AE9" s="86"/>
      <c r="AF9" s="85"/>
      <c r="AG9" s="85"/>
      <c r="AH9" s="86"/>
      <c r="AI9" s="86"/>
      <c r="AJ9" s="85"/>
    </row>
    <row r="10" spans="1:36" ht="36">
      <c r="A10" s="13" t="s">
        <v>1710</v>
      </c>
      <c r="B10" s="13"/>
      <c r="C10" s="13" t="s">
        <v>1711</v>
      </c>
      <c r="D10" s="50"/>
      <c r="I10" s="85"/>
      <c r="L10" s="85"/>
      <c r="M10" s="85"/>
      <c r="P10" s="85"/>
      <c r="Q10" s="85"/>
      <c r="R10" s="86"/>
      <c r="S10" s="86"/>
      <c r="T10" s="85"/>
      <c r="U10" s="85"/>
      <c r="V10" s="86"/>
      <c r="W10" s="86"/>
      <c r="X10" s="85"/>
      <c r="Y10" s="85"/>
      <c r="Z10" s="86"/>
      <c r="AA10" s="86"/>
      <c r="AB10" s="85"/>
      <c r="AC10" s="85"/>
      <c r="AD10" s="86"/>
      <c r="AE10" s="86"/>
      <c r="AF10" s="85"/>
      <c r="AG10" s="85"/>
      <c r="AH10" s="86"/>
      <c r="AI10" s="86"/>
      <c r="AJ10" s="85"/>
    </row>
    <row r="11" spans="1:36">
      <c r="A11" s="13" t="s">
        <v>1712</v>
      </c>
      <c r="B11" s="13"/>
      <c r="C11" s="21" t="s">
        <v>1713</v>
      </c>
      <c r="D11" s="50"/>
      <c r="I11" s="85"/>
      <c r="L11" s="85"/>
      <c r="M11" s="85"/>
      <c r="P11" s="85"/>
      <c r="Q11" s="85"/>
      <c r="R11" s="86"/>
      <c r="S11" s="86"/>
      <c r="T11" s="85"/>
      <c r="U11" s="85"/>
      <c r="V11" s="86"/>
      <c r="W11" s="86"/>
      <c r="X11" s="85"/>
      <c r="Y11" s="85"/>
      <c r="Z11" s="86"/>
      <c r="AA11" s="86"/>
      <c r="AB11" s="85"/>
      <c r="AC11" s="85"/>
      <c r="AD11" s="86"/>
      <c r="AE11" s="86"/>
      <c r="AF11" s="85"/>
      <c r="AG11" s="85"/>
      <c r="AH11" s="86"/>
      <c r="AI11" s="86"/>
      <c r="AJ11" s="85"/>
    </row>
    <row r="12" spans="1:36" ht="60">
      <c r="A12" s="13" t="s">
        <v>1714</v>
      </c>
      <c r="B12" s="13"/>
      <c r="C12" s="13" t="s">
        <v>1715</v>
      </c>
      <c r="D12" s="50"/>
      <c r="H12" s="135" t="s">
        <v>868</v>
      </c>
      <c r="I12" s="85"/>
      <c r="L12" s="135" t="s">
        <v>868</v>
      </c>
      <c r="M12" s="85"/>
      <c r="P12" s="135" t="s">
        <v>868</v>
      </c>
      <c r="Q12" s="85"/>
      <c r="R12" s="86"/>
      <c r="S12" s="86"/>
      <c r="T12" s="135" t="s">
        <v>868</v>
      </c>
      <c r="U12" s="85"/>
      <c r="V12" s="86"/>
      <c r="W12" s="86"/>
      <c r="X12" s="135" t="s">
        <v>868</v>
      </c>
      <c r="Y12" s="85"/>
      <c r="Z12" s="86"/>
      <c r="AA12" s="86"/>
      <c r="AB12" s="135" t="s">
        <v>868</v>
      </c>
      <c r="AC12" s="85"/>
      <c r="AD12" s="86"/>
      <c r="AE12" s="86"/>
      <c r="AF12" s="135" t="s">
        <v>868</v>
      </c>
      <c r="AG12" s="85"/>
      <c r="AH12" s="86"/>
      <c r="AI12" s="86"/>
      <c r="AJ12" s="135" t="s">
        <v>868</v>
      </c>
    </row>
    <row r="13" spans="1:36" ht="36">
      <c r="A13" s="13" t="s">
        <v>1716</v>
      </c>
      <c r="B13" s="13"/>
      <c r="C13" s="13" t="s">
        <v>1717</v>
      </c>
      <c r="D13" s="50"/>
      <c r="H13" s="135" t="s">
        <v>868</v>
      </c>
      <c r="I13" s="85"/>
      <c r="L13" s="135" t="s">
        <v>868</v>
      </c>
      <c r="M13" s="85"/>
      <c r="P13" s="135" t="s">
        <v>868</v>
      </c>
      <c r="Q13" s="85"/>
      <c r="R13" s="86"/>
      <c r="S13" s="86"/>
      <c r="T13" s="135" t="s">
        <v>868</v>
      </c>
      <c r="U13" s="85"/>
      <c r="V13" s="86"/>
      <c r="W13" s="86"/>
      <c r="X13" s="135" t="s">
        <v>868</v>
      </c>
      <c r="Y13" s="85"/>
      <c r="Z13" s="86"/>
      <c r="AA13" s="86"/>
      <c r="AB13" s="135" t="s">
        <v>868</v>
      </c>
      <c r="AC13" s="85"/>
      <c r="AD13" s="86"/>
      <c r="AE13" s="86"/>
      <c r="AF13" s="135" t="s">
        <v>868</v>
      </c>
      <c r="AG13" s="85"/>
      <c r="AH13" s="86"/>
      <c r="AI13" s="86"/>
      <c r="AJ13" s="135" t="s">
        <v>868</v>
      </c>
    </row>
    <row r="14" spans="1:36">
      <c r="A14" s="13" t="s">
        <v>1718</v>
      </c>
      <c r="B14" s="13"/>
      <c r="C14" s="21" t="s">
        <v>1661</v>
      </c>
      <c r="D14" s="50"/>
      <c r="I14" s="85"/>
      <c r="L14" s="85"/>
      <c r="M14" s="85"/>
      <c r="P14" s="85"/>
      <c r="Q14" s="85"/>
      <c r="R14" s="86"/>
      <c r="S14" s="86"/>
      <c r="T14" s="85"/>
      <c r="U14" s="85"/>
      <c r="V14" s="86"/>
      <c r="W14" s="86"/>
      <c r="X14" s="85"/>
      <c r="Y14" s="85"/>
      <c r="Z14" s="86"/>
      <c r="AA14" s="86"/>
      <c r="AB14" s="85"/>
      <c r="AC14" s="85"/>
      <c r="AD14" s="86"/>
      <c r="AE14" s="86"/>
      <c r="AF14" s="85"/>
      <c r="AG14" s="85"/>
      <c r="AH14" s="86"/>
      <c r="AI14" s="86"/>
      <c r="AJ14" s="85"/>
    </row>
    <row r="15" spans="1:36" ht="72">
      <c r="A15" s="56" t="s">
        <v>1719</v>
      </c>
      <c r="B15" s="56"/>
      <c r="C15" s="27" t="s">
        <v>1720</v>
      </c>
      <c r="D15" s="57"/>
      <c r="E15" s="94"/>
      <c r="F15" s="95"/>
      <c r="G15" s="95"/>
      <c r="H15" s="135" t="s">
        <v>868</v>
      </c>
      <c r="I15" s="94"/>
      <c r="J15" s="95"/>
      <c r="K15" s="95"/>
      <c r="L15" s="135" t="s">
        <v>868</v>
      </c>
      <c r="M15" s="94"/>
      <c r="N15" s="95"/>
      <c r="O15" s="95"/>
      <c r="P15" s="135" t="s">
        <v>868</v>
      </c>
      <c r="Q15" s="94"/>
      <c r="R15" s="95"/>
      <c r="S15" s="95"/>
      <c r="T15" s="135" t="s">
        <v>868</v>
      </c>
      <c r="U15" s="94"/>
      <c r="V15" s="95"/>
      <c r="W15" s="95"/>
      <c r="X15" s="135" t="s">
        <v>868</v>
      </c>
      <c r="Y15" s="94"/>
      <c r="Z15" s="95"/>
      <c r="AA15" s="95"/>
      <c r="AB15" s="135" t="s">
        <v>868</v>
      </c>
      <c r="AC15" s="94"/>
      <c r="AD15" s="95"/>
      <c r="AE15" s="95"/>
      <c r="AF15" s="135" t="s">
        <v>868</v>
      </c>
      <c r="AG15" s="94"/>
      <c r="AH15" s="95"/>
      <c r="AI15" s="95"/>
      <c r="AJ15" s="135" t="s">
        <v>868</v>
      </c>
    </row>
    <row r="16" spans="1:36">
      <c r="A16" s="28"/>
      <c r="B16" s="96"/>
      <c r="C16" s="96"/>
      <c r="D16" s="96"/>
      <c r="E16" s="97"/>
      <c r="F16" s="98"/>
      <c r="G16" s="98"/>
      <c r="H16" s="99">
        <v>0</v>
      </c>
      <c r="I16" s="176"/>
      <c r="J16" s="177"/>
      <c r="K16" s="177"/>
      <c r="L16" s="99">
        <v>0</v>
      </c>
      <c r="M16" s="176"/>
      <c r="N16" s="177"/>
      <c r="O16" s="177"/>
      <c r="P16" s="99">
        <v>0</v>
      </c>
      <c r="Q16" s="176"/>
      <c r="R16" s="177"/>
      <c r="S16" s="177"/>
      <c r="T16" s="99">
        <v>0</v>
      </c>
      <c r="U16" s="176"/>
      <c r="V16" s="177"/>
      <c r="W16" s="177"/>
      <c r="X16" s="99">
        <v>0</v>
      </c>
      <c r="Y16" s="176"/>
      <c r="Z16" s="177"/>
      <c r="AA16" s="177"/>
      <c r="AB16" s="99">
        <v>0</v>
      </c>
      <c r="AC16" s="176"/>
      <c r="AD16" s="177"/>
      <c r="AE16" s="177"/>
      <c r="AF16" s="99">
        <v>0</v>
      </c>
      <c r="AG16" s="176"/>
      <c r="AH16" s="177"/>
      <c r="AI16" s="177"/>
      <c r="AJ16" s="99">
        <v>0</v>
      </c>
    </row>
    <row r="17" spans="1:38" s="163" customFormat="1" ht="15">
      <c r="A17" s="162"/>
      <c r="D17" s="342"/>
      <c r="E17" s="342"/>
      <c r="F17" s="342"/>
      <c r="G17" s="342"/>
      <c r="H17" s="168" t="s">
        <v>385</v>
      </c>
      <c r="I17" s="342"/>
      <c r="J17" s="342"/>
      <c r="K17" s="342"/>
      <c r="L17" s="168" t="s">
        <v>385</v>
      </c>
      <c r="M17" s="170"/>
      <c r="N17" s="169"/>
      <c r="O17" s="169"/>
      <c r="P17" s="168" t="s">
        <v>385</v>
      </c>
      <c r="Q17" s="342"/>
      <c r="R17" s="342"/>
      <c r="S17" s="342"/>
      <c r="T17" s="168" t="s">
        <v>385</v>
      </c>
      <c r="U17" s="342"/>
      <c r="V17" s="342"/>
      <c r="W17" s="342"/>
      <c r="X17" s="168" t="s">
        <v>385</v>
      </c>
      <c r="Y17" s="342"/>
      <c r="Z17" s="342"/>
      <c r="AA17" s="342"/>
      <c r="AB17" s="168" t="s">
        <v>385</v>
      </c>
      <c r="AC17" s="342"/>
      <c r="AD17" s="342"/>
      <c r="AE17" s="342"/>
      <c r="AF17" s="168" t="s">
        <v>385</v>
      </c>
      <c r="AG17" s="342"/>
      <c r="AH17" s="342"/>
      <c r="AI17" s="342"/>
      <c r="AJ17" s="168" t="s">
        <v>385</v>
      </c>
    </row>
    <row r="18" spans="1:38" s="151" customFormat="1" ht="30">
      <c r="A18" s="150"/>
      <c r="E18" s="152"/>
      <c r="F18" s="153"/>
      <c r="G18" s="153"/>
      <c r="H18" s="154" t="s">
        <v>189</v>
      </c>
      <c r="I18" s="155"/>
      <c r="J18" s="171"/>
      <c r="K18" s="171"/>
      <c r="L18" s="158" t="s">
        <v>190</v>
      </c>
      <c r="M18" s="155"/>
      <c r="N18" s="171"/>
      <c r="O18" s="171"/>
      <c r="P18" s="158" t="s">
        <v>191</v>
      </c>
      <c r="Q18" s="156"/>
      <c r="R18" s="156"/>
      <c r="S18" s="156"/>
      <c r="T18" s="158" t="s">
        <v>192</v>
      </c>
      <c r="U18" s="156"/>
      <c r="V18" s="156"/>
      <c r="W18" s="156"/>
      <c r="X18" s="158" t="s">
        <v>193</v>
      </c>
      <c r="Y18" s="156"/>
      <c r="Z18" s="156"/>
      <c r="AA18" s="156"/>
      <c r="AB18" s="158" t="s">
        <v>194</v>
      </c>
      <c r="AC18" s="156"/>
      <c r="AD18" s="156"/>
      <c r="AE18" s="156"/>
      <c r="AF18" s="158" t="s">
        <v>251</v>
      </c>
      <c r="AG18" s="156"/>
      <c r="AH18" s="156"/>
      <c r="AI18" s="156"/>
      <c r="AJ18" s="158" t="s">
        <v>252</v>
      </c>
    </row>
    <row r="19" spans="1:38" s="151" customFormat="1" ht="15">
      <c r="A19" s="150"/>
      <c r="C19" s="184" t="s">
        <v>386</v>
      </c>
      <c r="E19" s="152"/>
      <c r="F19" s="153"/>
      <c r="G19" s="153"/>
      <c r="H19" s="160">
        <f>SUM(H20:H24)</f>
        <v>67419</v>
      </c>
      <c r="I19" s="155"/>
      <c r="J19" s="171"/>
      <c r="K19" s="171"/>
      <c r="L19" s="160">
        <f>SUM(L20:L24)</f>
        <v>57594.6</v>
      </c>
      <c r="M19" s="155"/>
      <c r="N19" s="171"/>
      <c r="O19" s="171"/>
      <c r="P19" s="160">
        <f>SUM(P20:P24)</f>
        <v>70631.137499999997</v>
      </c>
      <c r="Q19" s="156"/>
      <c r="R19" s="156"/>
      <c r="S19" s="156"/>
      <c r="T19" s="160">
        <f>SUM(T20:T24)</f>
        <v>74162.689874999996</v>
      </c>
      <c r="U19" s="156"/>
      <c r="V19" s="156"/>
      <c r="W19" s="156"/>
      <c r="X19" s="160">
        <f>SUM(X20:X24)</f>
        <v>77870.825868749991</v>
      </c>
      <c r="Y19" s="156"/>
      <c r="Z19" s="156"/>
      <c r="AA19" s="156"/>
      <c r="AB19" s="160">
        <f>SUM(AB20:AB24)</f>
        <v>81764.366662187502</v>
      </c>
      <c r="AC19" s="156"/>
      <c r="AD19" s="156"/>
      <c r="AE19" s="156"/>
      <c r="AF19" s="160">
        <f>SUM(AF20:AF24)</f>
        <v>85852.587995296868</v>
      </c>
      <c r="AG19" s="156"/>
      <c r="AH19" s="156"/>
      <c r="AI19" s="156"/>
      <c r="AJ19" s="160">
        <f>SUM(AJ20:AJ24)</f>
        <v>90145.213395061728</v>
      </c>
    </row>
    <row r="20" spans="1:38" s="151" customFormat="1" ht="15">
      <c r="A20" s="150"/>
      <c r="C20" s="184" t="s">
        <v>387</v>
      </c>
      <c r="E20" s="152"/>
      <c r="F20" s="153"/>
      <c r="G20" s="153"/>
      <c r="H20" s="160">
        <v>67419</v>
      </c>
      <c r="I20" s="155"/>
      <c r="J20" s="171"/>
      <c r="K20" s="171"/>
      <c r="L20" s="160">
        <v>70789.95</v>
      </c>
      <c r="M20" s="155"/>
      <c r="N20" s="171"/>
      <c r="O20" s="171"/>
      <c r="P20" s="160">
        <v>74329.447499999995</v>
      </c>
      <c r="Q20" s="156"/>
      <c r="R20" s="156"/>
      <c r="S20" s="156"/>
      <c r="T20" s="160">
        <v>78045.919874999992</v>
      </c>
      <c r="U20" s="156"/>
      <c r="V20" s="156"/>
      <c r="W20" s="156"/>
      <c r="X20" s="160">
        <v>81948.21586874999</v>
      </c>
      <c r="Y20" s="156"/>
      <c r="Z20" s="156"/>
      <c r="AA20" s="156"/>
      <c r="AB20" s="160">
        <v>86045.626662187497</v>
      </c>
      <c r="AC20" s="156"/>
      <c r="AD20" s="156"/>
      <c r="AE20" s="156"/>
      <c r="AF20" s="160">
        <v>90347.907995296875</v>
      </c>
      <c r="AG20" s="156"/>
      <c r="AH20" s="156"/>
      <c r="AI20" s="156"/>
      <c r="AJ20" s="160">
        <v>94865.303395061725</v>
      </c>
    </row>
    <row r="21" spans="1:38" s="151" customFormat="1" ht="15">
      <c r="A21" s="150"/>
      <c r="C21" s="151" t="s">
        <v>388</v>
      </c>
      <c r="E21" s="152"/>
      <c r="F21" s="153"/>
      <c r="G21" s="153"/>
      <c r="H21" s="160">
        <v>0</v>
      </c>
      <c r="I21" s="155"/>
      <c r="J21" s="171"/>
      <c r="K21" s="171"/>
      <c r="L21" s="160">
        <v>-3522.2</v>
      </c>
      <c r="M21" s="155"/>
      <c r="N21" s="171"/>
      <c r="O21" s="171"/>
      <c r="P21" s="160">
        <v>-3698.31</v>
      </c>
      <c r="Q21" s="156"/>
      <c r="R21" s="156"/>
      <c r="S21" s="156"/>
      <c r="T21" s="160">
        <v>-3883.23</v>
      </c>
      <c r="U21" s="156"/>
      <c r="V21" s="156"/>
      <c r="W21" s="156"/>
      <c r="X21" s="160">
        <v>-4077.39</v>
      </c>
      <c r="Y21" s="156"/>
      <c r="Z21" s="156"/>
      <c r="AA21" s="156"/>
      <c r="AB21" s="160">
        <v>-4281.26</v>
      </c>
      <c r="AC21" s="156"/>
      <c r="AD21" s="156"/>
      <c r="AE21" s="156"/>
      <c r="AF21" s="160">
        <v>-4495.32</v>
      </c>
      <c r="AG21" s="156"/>
      <c r="AH21" s="156"/>
      <c r="AI21" s="156"/>
      <c r="AJ21" s="160">
        <v>-4720.09</v>
      </c>
    </row>
    <row r="22" spans="1:38" s="151" customFormat="1" ht="15">
      <c r="A22" s="150"/>
      <c r="C22" s="151" t="s">
        <v>737</v>
      </c>
      <c r="E22" s="152"/>
      <c r="F22" s="153"/>
      <c r="G22" s="153"/>
      <c r="H22" s="160">
        <v>0</v>
      </c>
      <c r="I22" s="155"/>
      <c r="J22" s="171"/>
      <c r="K22" s="171"/>
      <c r="L22" s="160">
        <v>-9673.15</v>
      </c>
      <c r="M22" s="155"/>
      <c r="N22" s="171"/>
      <c r="O22" s="171"/>
      <c r="P22" s="160"/>
      <c r="Q22" s="156"/>
      <c r="R22" s="156"/>
      <c r="S22" s="156"/>
      <c r="T22" s="160"/>
      <c r="U22" s="156"/>
      <c r="V22" s="156"/>
      <c r="W22" s="156"/>
      <c r="X22" s="160"/>
      <c r="Y22" s="156"/>
      <c r="Z22" s="156"/>
      <c r="AA22" s="156"/>
      <c r="AB22" s="160"/>
      <c r="AC22" s="156"/>
      <c r="AD22" s="156"/>
      <c r="AE22" s="156"/>
      <c r="AF22" s="160"/>
      <c r="AG22" s="156"/>
      <c r="AH22" s="156"/>
      <c r="AI22" s="156"/>
      <c r="AJ22" s="160"/>
      <c r="AK22" s="310">
        <f>SUM(H22:AJ22)</f>
        <v>-9673.15</v>
      </c>
      <c r="AL22" s="151" t="s">
        <v>1721</v>
      </c>
    </row>
    <row r="23" spans="1:38" s="151" customFormat="1" ht="15">
      <c r="A23" s="150"/>
      <c r="E23" s="152"/>
      <c r="F23" s="153"/>
      <c r="G23" s="153"/>
      <c r="H23" s="160"/>
      <c r="I23" s="155"/>
      <c r="J23" s="171"/>
      <c r="K23" s="171"/>
      <c r="L23" s="160"/>
      <c r="M23" s="155"/>
      <c r="N23" s="171"/>
      <c r="O23" s="171"/>
      <c r="P23" s="160"/>
      <c r="Q23" s="156"/>
      <c r="R23" s="156"/>
      <c r="S23" s="156"/>
      <c r="T23" s="160"/>
      <c r="U23" s="156"/>
      <c r="V23" s="156"/>
      <c r="W23" s="156"/>
      <c r="X23" s="160"/>
      <c r="Y23" s="156"/>
      <c r="Z23" s="156"/>
      <c r="AA23" s="156"/>
      <c r="AB23" s="160"/>
      <c r="AC23" s="156"/>
      <c r="AD23" s="156"/>
      <c r="AE23" s="156"/>
      <c r="AF23" s="160"/>
      <c r="AG23" s="156"/>
      <c r="AH23" s="156"/>
      <c r="AI23" s="156"/>
      <c r="AJ23" s="160"/>
    </row>
    <row r="24" spans="1:38" s="151" customFormat="1" ht="15">
      <c r="A24" s="150"/>
      <c r="E24" s="152"/>
      <c r="F24" s="153"/>
      <c r="G24" s="153"/>
      <c r="H24" s="160"/>
      <c r="I24" s="155"/>
      <c r="J24" s="171"/>
      <c r="K24" s="171"/>
      <c r="L24" s="160"/>
      <c r="M24" s="155"/>
      <c r="N24" s="171"/>
      <c r="O24" s="171"/>
      <c r="P24" s="160"/>
      <c r="Q24" s="156"/>
      <c r="R24" s="156"/>
      <c r="S24" s="156"/>
      <c r="T24" s="160"/>
      <c r="U24" s="156"/>
      <c r="V24" s="156"/>
      <c r="W24" s="156"/>
      <c r="X24" s="160"/>
      <c r="Y24" s="156"/>
      <c r="Z24" s="156"/>
      <c r="AA24" s="156"/>
      <c r="AB24" s="160"/>
      <c r="AC24" s="156"/>
      <c r="AD24" s="156"/>
      <c r="AE24" s="156"/>
      <c r="AF24" s="160"/>
      <c r="AG24" s="156"/>
      <c r="AH24" s="156"/>
      <c r="AI24" s="156"/>
      <c r="AJ24" s="160"/>
    </row>
  </sheetData>
  <mergeCells count="8">
    <mergeCell ref="AC1:AF1"/>
    <mergeCell ref="AG1:AJ1"/>
    <mergeCell ref="E1:H1"/>
    <mergeCell ref="I1:L1"/>
    <mergeCell ref="M1:P1"/>
    <mergeCell ref="Q1:T1"/>
    <mergeCell ref="U1:X1"/>
    <mergeCell ref="Y1:AB1"/>
  </mergeCells>
  <phoneticPr fontId="0" type="noConversion"/>
  <printOptions horizontalCentered="1"/>
  <pageMargins left="0.5" right="0.5" top="1" bottom="1" header="0.5" footer="0.5"/>
  <pageSetup paperSize="9" fitToWidth="3" orientation="landscape" r:id="rId1"/>
  <headerFooter alignWithMargins="0">
    <oddHeader>&amp;C&amp;"Calibri"&amp;10&amp;K737373Serco Business&amp;1#_x000D_&amp;"Calibri"&amp;11&amp;K000000&amp;"Calibri"&amp;11&amp;K000000&amp;"Arial,Bold"RESTRICTED - CONTRACTS</oddHeader>
    <oddFooter>&amp;L&amp;8PTC/CB/00642&amp;C&amp;8 2-(22)-&amp;P
&amp;"Arial,Bold"&amp;10RESTRICTED - CONTRACTS&amp;R&amp;8Pricing</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dimension ref="A1:BE27"/>
  <sheetViews>
    <sheetView zoomScale="75" workbookViewId="0">
      <pane ySplit="1185" topLeftCell="A22" activePane="bottomLeft"/>
      <selection activeCell="L6" sqref="L6"/>
      <selection pane="bottomLeft" activeCell="S25" sqref="S25"/>
    </sheetView>
  </sheetViews>
  <sheetFormatPr defaultColWidth="9.140625" defaultRowHeight="12"/>
  <cols>
    <col min="1" max="1" width="8.7109375" style="13" customWidth="1"/>
    <col min="2" max="2" width="1.7109375" style="54" customWidth="1"/>
    <col min="3" max="3" width="20.7109375" style="54" customWidth="1"/>
    <col min="4" max="4" width="8.7109375" style="86" hidden="1" customWidth="1"/>
    <col min="5" max="5" width="13.85546875" style="85" customWidth="1"/>
    <col min="6" max="6" width="8.7109375" style="86" hidden="1" customWidth="1"/>
    <col min="7" max="7" width="15" style="54" customWidth="1" collapsed="1"/>
    <col min="8" max="8" width="8.7109375" style="86" hidden="1" customWidth="1"/>
    <col min="9" max="9" width="14.42578125" style="54" customWidth="1" collapsed="1"/>
    <col min="10" max="10" width="8.7109375" style="54" hidden="1" customWidth="1"/>
    <col min="11" max="11" width="15.140625" style="54" customWidth="1" collapsed="1"/>
    <col min="12" max="12" width="8.7109375" style="54" hidden="1" customWidth="1"/>
    <col min="13" max="13" width="15.42578125" style="54" customWidth="1" collapsed="1"/>
    <col min="14" max="14" width="8.7109375" style="54" hidden="1" customWidth="1"/>
    <col min="15" max="15" width="15.28515625" style="54" customWidth="1" collapsed="1"/>
    <col min="16" max="16" width="8.7109375" style="54" hidden="1" customWidth="1"/>
    <col min="17" max="17" width="15.28515625" style="54" customWidth="1" collapsed="1"/>
    <col min="18" max="18" width="8.7109375" style="54" hidden="1" customWidth="1"/>
    <col min="19" max="19" width="14.42578125" style="54" customWidth="1" collapsed="1"/>
    <col min="20" max="21" width="9.140625" style="54" collapsed="1"/>
    <col min="22" max="22" width="9.140625" style="54"/>
    <col min="23" max="23" width="9.140625" style="54" collapsed="1"/>
    <col min="24" max="24" width="9.140625" style="54"/>
    <col min="25" max="57" width="9.140625" style="54" collapsed="1"/>
    <col min="58" max="16384" width="9.140625" style="54"/>
  </cols>
  <sheetData>
    <row r="1" spans="1:19" ht="24">
      <c r="C1" s="21" t="s">
        <v>1722</v>
      </c>
      <c r="D1" s="340"/>
      <c r="E1" s="340" t="s">
        <v>189</v>
      </c>
      <c r="F1" s="340"/>
      <c r="G1" s="340" t="s">
        <v>190</v>
      </c>
      <c r="H1" s="340"/>
      <c r="I1" s="340" t="s">
        <v>191</v>
      </c>
      <c r="J1" s="340"/>
      <c r="K1" s="340" t="s">
        <v>192</v>
      </c>
      <c r="L1" s="340"/>
      <c r="M1" s="340" t="s">
        <v>193</v>
      </c>
      <c r="N1" s="340"/>
      <c r="O1" s="340" t="s">
        <v>194</v>
      </c>
      <c r="P1" s="340"/>
      <c r="Q1" s="340" t="s">
        <v>251</v>
      </c>
      <c r="R1" s="340"/>
      <c r="S1" s="340" t="s">
        <v>252</v>
      </c>
    </row>
    <row r="2" spans="1:19" ht="24">
      <c r="A2" s="18" t="s">
        <v>253</v>
      </c>
      <c r="B2" s="49"/>
      <c r="C2" s="49" t="s">
        <v>490</v>
      </c>
      <c r="D2" s="19" t="s">
        <v>1428</v>
      </c>
      <c r="E2" s="19" t="s">
        <v>254</v>
      </c>
      <c r="F2" s="19" t="s">
        <v>1428</v>
      </c>
      <c r="G2" s="19" t="s">
        <v>254</v>
      </c>
      <c r="H2" s="19" t="s">
        <v>1428</v>
      </c>
      <c r="I2" s="19" t="s">
        <v>254</v>
      </c>
      <c r="J2" s="19" t="s">
        <v>1428</v>
      </c>
      <c r="K2" s="19" t="s">
        <v>254</v>
      </c>
      <c r="L2" s="19" t="s">
        <v>1428</v>
      </c>
      <c r="M2" s="19" t="s">
        <v>254</v>
      </c>
      <c r="N2" s="19" t="s">
        <v>1428</v>
      </c>
      <c r="O2" s="19" t="s">
        <v>254</v>
      </c>
      <c r="P2" s="19" t="s">
        <v>1428</v>
      </c>
      <c r="Q2" s="19" t="s">
        <v>254</v>
      </c>
      <c r="R2" s="19" t="s">
        <v>1428</v>
      </c>
      <c r="S2" s="19" t="s">
        <v>254</v>
      </c>
    </row>
    <row r="3" spans="1:19">
      <c r="B3" s="13"/>
      <c r="C3" s="21"/>
      <c r="F3" s="87"/>
      <c r="H3" s="87"/>
      <c r="J3" s="87"/>
      <c r="L3" s="87"/>
      <c r="N3" s="87"/>
      <c r="P3" s="87"/>
      <c r="R3" s="87"/>
    </row>
    <row r="4" spans="1:19">
      <c r="A4" s="13" t="s">
        <v>1723</v>
      </c>
      <c r="B4" s="13"/>
      <c r="C4" s="21" t="s">
        <v>256</v>
      </c>
      <c r="F4" s="54"/>
      <c r="H4" s="54"/>
    </row>
    <row r="5" spans="1:19">
      <c r="A5" s="13" t="s">
        <v>1724</v>
      </c>
      <c r="B5" s="13"/>
      <c r="C5" s="21" t="s">
        <v>1725</v>
      </c>
      <c r="F5" s="54"/>
      <c r="H5" s="54"/>
    </row>
    <row r="6" spans="1:19" ht="48">
      <c r="A6" s="13" t="s">
        <v>1726</v>
      </c>
      <c r="B6" s="13"/>
      <c r="C6" s="13" t="s">
        <v>1727</v>
      </c>
      <c r="E6" s="135" t="s">
        <v>868</v>
      </c>
      <c r="G6" s="135" t="s">
        <v>868</v>
      </c>
      <c r="I6" s="135" t="s">
        <v>868</v>
      </c>
      <c r="J6" s="86"/>
      <c r="K6" s="135" t="s">
        <v>868</v>
      </c>
      <c r="L6" s="86"/>
      <c r="M6" s="135" t="s">
        <v>868</v>
      </c>
      <c r="N6" s="86"/>
      <c r="O6" s="135" t="s">
        <v>868</v>
      </c>
      <c r="P6" s="86"/>
      <c r="Q6" s="135" t="s">
        <v>868</v>
      </c>
      <c r="R6" s="86"/>
      <c r="S6" s="135" t="s">
        <v>868</v>
      </c>
    </row>
    <row r="7" spans="1:19" ht="36">
      <c r="A7" s="102" t="s">
        <v>1728</v>
      </c>
      <c r="B7" s="102"/>
      <c r="C7" s="356" t="s">
        <v>1729</v>
      </c>
      <c r="E7" s="135" t="s">
        <v>868</v>
      </c>
      <c r="G7" s="135" t="s">
        <v>868</v>
      </c>
      <c r="I7" s="135" t="s">
        <v>868</v>
      </c>
      <c r="J7" s="86"/>
      <c r="K7" s="135" t="s">
        <v>868</v>
      </c>
      <c r="L7" s="86"/>
      <c r="M7" s="135" t="s">
        <v>868</v>
      </c>
      <c r="N7" s="86"/>
      <c r="O7" s="135" t="s">
        <v>868</v>
      </c>
      <c r="P7" s="86"/>
      <c r="Q7" s="135" t="s">
        <v>868</v>
      </c>
      <c r="R7" s="86"/>
      <c r="S7" s="135" t="s">
        <v>868</v>
      </c>
    </row>
    <row r="8" spans="1:19">
      <c r="A8" s="357" t="s">
        <v>1730</v>
      </c>
      <c r="B8" s="357"/>
      <c r="C8" s="358" t="s">
        <v>702</v>
      </c>
      <c r="G8" s="85"/>
      <c r="I8" s="85"/>
      <c r="J8" s="86"/>
      <c r="K8" s="85"/>
      <c r="L8" s="86"/>
      <c r="M8" s="85"/>
      <c r="N8" s="86"/>
      <c r="O8" s="85"/>
      <c r="P8" s="86"/>
      <c r="Q8" s="85"/>
      <c r="R8" s="86"/>
      <c r="S8" s="85"/>
    </row>
    <row r="9" spans="1:19">
      <c r="A9" s="356" t="s">
        <v>1731</v>
      </c>
      <c r="B9" s="356"/>
      <c r="C9" s="356" t="s">
        <v>377</v>
      </c>
      <c r="G9" s="85"/>
      <c r="I9" s="85"/>
      <c r="J9" s="86"/>
      <c r="K9" s="85"/>
      <c r="L9" s="86"/>
      <c r="M9" s="85"/>
      <c r="N9" s="86"/>
      <c r="O9" s="85"/>
      <c r="P9" s="86"/>
      <c r="Q9" s="85"/>
      <c r="R9" s="86"/>
      <c r="S9" s="85"/>
    </row>
    <row r="10" spans="1:19">
      <c r="A10" s="17" t="s">
        <v>1732</v>
      </c>
      <c r="B10" s="17"/>
      <c r="C10" s="21" t="s">
        <v>1733</v>
      </c>
      <c r="G10" s="85"/>
      <c r="I10" s="85"/>
      <c r="J10" s="86"/>
      <c r="K10" s="85"/>
      <c r="L10" s="86"/>
      <c r="M10" s="85"/>
      <c r="N10" s="86"/>
      <c r="O10" s="85"/>
      <c r="P10" s="86"/>
      <c r="Q10" s="85"/>
      <c r="R10" s="86"/>
      <c r="S10" s="85"/>
    </row>
    <row r="11" spans="1:19" ht="48">
      <c r="A11" s="17" t="s">
        <v>1734</v>
      </c>
      <c r="B11" s="17"/>
      <c r="C11" s="13" t="s">
        <v>1652</v>
      </c>
      <c r="G11" s="85"/>
      <c r="I11" s="85"/>
      <c r="J11" s="86"/>
      <c r="K11" s="85"/>
      <c r="L11" s="86"/>
      <c r="M11" s="85"/>
      <c r="N11" s="86"/>
      <c r="O11" s="85"/>
      <c r="P11" s="86"/>
      <c r="Q11" s="85"/>
      <c r="R11" s="86"/>
      <c r="S11" s="85"/>
    </row>
    <row r="12" spans="1:19" ht="36">
      <c r="A12" s="17" t="s">
        <v>1735</v>
      </c>
      <c r="B12" s="17"/>
      <c r="C12" s="356" t="s">
        <v>1736</v>
      </c>
      <c r="D12" s="149">
        <v>40</v>
      </c>
      <c r="E12" s="135" t="s">
        <v>868</v>
      </c>
      <c r="F12" s="149">
        <v>42</v>
      </c>
      <c r="G12" s="135" t="s">
        <v>868</v>
      </c>
      <c r="H12" s="149">
        <v>44.1</v>
      </c>
      <c r="I12" s="135" t="s">
        <v>868</v>
      </c>
      <c r="J12" s="149">
        <v>46.305</v>
      </c>
      <c r="K12" s="135" t="s">
        <v>868</v>
      </c>
      <c r="L12" s="149">
        <v>48.620250000000006</v>
      </c>
      <c r="M12" s="135" t="s">
        <v>868</v>
      </c>
      <c r="N12" s="149">
        <v>51.051262500000007</v>
      </c>
      <c r="O12" s="135" t="s">
        <v>868</v>
      </c>
      <c r="P12" s="149">
        <v>53.603825625000013</v>
      </c>
      <c r="Q12" s="135" t="s">
        <v>868</v>
      </c>
      <c r="R12" s="149">
        <v>56.284016906250017</v>
      </c>
      <c r="S12" s="135" t="s">
        <v>868</v>
      </c>
    </row>
    <row r="13" spans="1:19">
      <c r="A13" s="13" t="s">
        <v>1737</v>
      </c>
      <c r="B13" s="13"/>
      <c r="C13" s="21" t="s">
        <v>1634</v>
      </c>
      <c r="G13" s="85"/>
      <c r="I13" s="85"/>
      <c r="J13" s="86"/>
      <c r="K13" s="85"/>
      <c r="L13" s="86"/>
      <c r="M13" s="85"/>
      <c r="N13" s="86"/>
      <c r="O13" s="85"/>
      <c r="P13" s="86"/>
      <c r="Q13" s="85"/>
      <c r="R13" s="86"/>
      <c r="S13" s="85"/>
    </row>
    <row r="14" spans="1:19" ht="48">
      <c r="A14" s="13" t="s">
        <v>1738</v>
      </c>
      <c r="B14" s="13"/>
      <c r="C14" s="13" t="s">
        <v>1739</v>
      </c>
      <c r="E14" s="135" t="s">
        <v>868</v>
      </c>
      <c r="G14" s="135" t="s">
        <v>868</v>
      </c>
      <c r="I14" s="135" t="s">
        <v>868</v>
      </c>
      <c r="J14" s="86"/>
      <c r="K14" s="135" t="s">
        <v>868</v>
      </c>
      <c r="L14" s="86"/>
      <c r="M14" s="135" t="s">
        <v>868</v>
      </c>
      <c r="N14" s="86"/>
      <c r="O14" s="135" t="s">
        <v>868</v>
      </c>
      <c r="P14" s="86"/>
      <c r="Q14" s="135" t="s">
        <v>868</v>
      </c>
      <c r="R14" s="86"/>
      <c r="S14" s="135" t="s">
        <v>868</v>
      </c>
    </row>
    <row r="15" spans="1:19" ht="24">
      <c r="A15" s="13" t="s">
        <v>1740</v>
      </c>
      <c r="B15" s="13"/>
      <c r="C15" s="13" t="s">
        <v>1741</v>
      </c>
      <c r="E15" s="135" t="s">
        <v>868</v>
      </c>
      <c r="G15" s="135" t="s">
        <v>868</v>
      </c>
      <c r="I15" s="135" t="s">
        <v>868</v>
      </c>
      <c r="J15" s="86"/>
      <c r="K15" s="135" t="s">
        <v>868</v>
      </c>
      <c r="L15" s="86"/>
      <c r="M15" s="135" t="s">
        <v>868</v>
      </c>
      <c r="N15" s="86"/>
      <c r="O15" s="135" t="s">
        <v>868</v>
      </c>
      <c r="P15" s="86"/>
      <c r="Q15" s="135" t="s">
        <v>868</v>
      </c>
      <c r="R15" s="86"/>
      <c r="S15" s="135" t="s">
        <v>868</v>
      </c>
    </row>
    <row r="16" spans="1:19" ht="24">
      <c r="A16" s="13" t="s">
        <v>1742</v>
      </c>
      <c r="B16" s="13"/>
      <c r="C16" s="13" t="s">
        <v>1743</v>
      </c>
      <c r="E16" s="135" t="s">
        <v>868</v>
      </c>
      <c r="G16" s="135" t="s">
        <v>868</v>
      </c>
      <c r="I16" s="135" t="s">
        <v>868</v>
      </c>
      <c r="J16" s="86"/>
      <c r="K16" s="135" t="s">
        <v>868</v>
      </c>
      <c r="L16" s="86"/>
      <c r="M16" s="135" t="s">
        <v>868</v>
      </c>
      <c r="N16" s="86"/>
      <c r="O16" s="135" t="s">
        <v>868</v>
      </c>
      <c r="P16" s="86"/>
      <c r="Q16" s="135" t="s">
        <v>868</v>
      </c>
      <c r="R16" s="86"/>
      <c r="S16" s="135" t="s">
        <v>868</v>
      </c>
    </row>
    <row r="17" spans="1:19">
      <c r="A17" s="13" t="s">
        <v>1744</v>
      </c>
      <c r="B17" s="13"/>
      <c r="C17" s="21" t="s">
        <v>1745</v>
      </c>
      <c r="G17" s="85"/>
      <c r="I17" s="85"/>
      <c r="J17" s="86"/>
      <c r="K17" s="85"/>
      <c r="L17" s="86"/>
      <c r="M17" s="85"/>
      <c r="N17" s="86"/>
      <c r="O17" s="85"/>
      <c r="P17" s="86"/>
      <c r="Q17" s="85"/>
      <c r="R17" s="86"/>
      <c r="S17" s="85"/>
    </row>
    <row r="18" spans="1:19">
      <c r="A18" s="56" t="s">
        <v>1746</v>
      </c>
      <c r="B18" s="56"/>
      <c r="C18" s="56" t="s">
        <v>1747</v>
      </c>
      <c r="D18" s="95"/>
      <c r="E18" s="135" t="s">
        <v>868</v>
      </c>
      <c r="F18" s="95"/>
      <c r="G18" s="135" t="s">
        <v>868</v>
      </c>
      <c r="H18" s="95"/>
      <c r="I18" s="135" t="s">
        <v>868</v>
      </c>
      <c r="J18" s="95"/>
      <c r="K18" s="135" t="s">
        <v>868</v>
      </c>
      <c r="L18" s="95"/>
      <c r="M18" s="135" t="s">
        <v>868</v>
      </c>
      <c r="N18" s="95"/>
      <c r="O18" s="135" t="s">
        <v>868</v>
      </c>
      <c r="P18" s="95"/>
      <c r="Q18" s="135" t="s">
        <v>868</v>
      </c>
      <c r="R18" s="95"/>
      <c r="S18" s="135" t="s">
        <v>868</v>
      </c>
    </row>
    <row r="19" spans="1:19">
      <c r="A19" s="28"/>
      <c r="B19" s="96"/>
      <c r="C19" s="96"/>
      <c r="D19" s="98"/>
      <c r="E19" s="99">
        <v>0</v>
      </c>
      <c r="F19" s="177"/>
      <c r="G19" s="99">
        <v>0</v>
      </c>
      <c r="H19" s="177"/>
      <c r="I19" s="99">
        <v>0</v>
      </c>
      <c r="J19" s="177"/>
      <c r="K19" s="99">
        <v>0</v>
      </c>
      <c r="L19" s="177"/>
      <c r="M19" s="99">
        <v>0</v>
      </c>
      <c r="N19" s="177"/>
      <c r="O19" s="99">
        <v>0</v>
      </c>
      <c r="P19" s="177"/>
      <c r="Q19" s="99">
        <v>0</v>
      </c>
      <c r="R19" s="177"/>
      <c r="S19" s="99">
        <v>0</v>
      </c>
    </row>
    <row r="20" spans="1:19" s="163" customFormat="1" ht="15">
      <c r="A20" s="162"/>
      <c r="D20" s="342"/>
      <c r="E20" s="168" t="s">
        <v>385</v>
      </c>
      <c r="F20" s="342"/>
      <c r="G20" s="168"/>
      <c r="H20" s="169"/>
      <c r="I20" s="168"/>
      <c r="J20" s="342"/>
      <c r="K20" s="168" t="s">
        <v>385</v>
      </c>
      <c r="L20" s="342"/>
      <c r="M20" s="168"/>
      <c r="N20" s="342"/>
      <c r="O20" s="168" t="s">
        <v>385</v>
      </c>
      <c r="P20" s="342"/>
      <c r="Q20" s="168"/>
      <c r="R20" s="342"/>
      <c r="S20" s="168" t="s">
        <v>385</v>
      </c>
    </row>
    <row r="21" spans="1:19" s="151" customFormat="1" ht="30">
      <c r="A21" s="150"/>
      <c r="D21" s="153"/>
      <c r="E21" s="154" t="s">
        <v>189</v>
      </c>
      <c r="F21" s="171"/>
      <c r="G21" s="158" t="s">
        <v>190</v>
      </c>
      <c r="H21" s="171"/>
      <c r="I21" s="158" t="s">
        <v>191</v>
      </c>
      <c r="J21" s="156"/>
      <c r="K21" s="158" t="s">
        <v>192</v>
      </c>
      <c r="L21" s="156"/>
      <c r="M21" s="158" t="s">
        <v>193</v>
      </c>
      <c r="N21" s="156"/>
      <c r="O21" s="158" t="s">
        <v>194</v>
      </c>
      <c r="P21" s="156"/>
      <c r="Q21" s="158" t="s">
        <v>251</v>
      </c>
      <c r="R21" s="156"/>
      <c r="S21" s="158" t="s">
        <v>252</v>
      </c>
    </row>
    <row r="22" spans="1:19" s="151" customFormat="1" ht="17.25" customHeight="1">
      <c r="A22" s="150"/>
      <c r="C22" s="184" t="s">
        <v>386</v>
      </c>
      <c r="D22" s="153"/>
      <c r="E22" s="157">
        <f>SUM(E23:E27)</f>
        <v>11968</v>
      </c>
      <c r="F22" s="171"/>
      <c r="G22" s="157">
        <f>SUM(G23:G27)</f>
        <v>10053.119999999999</v>
      </c>
      <c r="H22" s="171"/>
      <c r="I22" s="157">
        <f>SUM(I23:I27)</f>
        <v>10555.779999999999</v>
      </c>
      <c r="J22" s="156"/>
      <c r="K22" s="157">
        <f>SUM(K23:K27)</f>
        <v>11083.566000000001</v>
      </c>
      <c r="L22" s="156"/>
      <c r="M22" s="157">
        <f>SUM(M23:M27)</f>
        <v>11637.748800000001</v>
      </c>
      <c r="N22" s="156"/>
      <c r="O22" s="157">
        <f>SUM(O23:O27)</f>
        <v>12219.637740000002</v>
      </c>
      <c r="P22" s="156"/>
      <c r="Q22" s="157">
        <f>SUM(Q23:Q27)</f>
        <v>12830.614627000003</v>
      </c>
      <c r="R22" s="156"/>
      <c r="S22" s="157">
        <f>SUM(S23:S27)</f>
        <v>13472.147858350001</v>
      </c>
    </row>
    <row r="23" spans="1:19" s="151" customFormat="1" ht="17.25" customHeight="1">
      <c r="A23" s="150"/>
      <c r="C23" s="184" t="s">
        <v>387</v>
      </c>
      <c r="D23" s="153"/>
      <c r="E23" s="157">
        <v>11968</v>
      </c>
      <c r="F23" s="171"/>
      <c r="G23" s="157">
        <v>12566.4</v>
      </c>
      <c r="H23" s="171"/>
      <c r="I23" s="157">
        <v>13194.72</v>
      </c>
      <c r="J23" s="156"/>
      <c r="K23" s="157">
        <v>13854.456</v>
      </c>
      <c r="L23" s="156"/>
      <c r="M23" s="157">
        <v>14547.178800000002</v>
      </c>
      <c r="N23" s="156"/>
      <c r="O23" s="157">
        <v>15274.537740000002</v>
      </c>
      <c r="P23" s="156"/>
      <c r="Q23" s="157">
        <v>16038.264627000002</v>
      </c>
      <c r="R23" s="156"/>
      <c r="S23" s="157">
        <v>16840.177858350002</v>
      </c>
    </row>
    <row r="24" spans="1:19" s="151" customFormat="1" ht="17.25" customHeight="1">
      <c r="A24" s="150"/>
      <c r="C24" s="151" t="s">
        <v>388</v>
      </c>
      <c r="D24" s="153"/>
      <c r="E24" s="157">
        <v>0</v>
      </c>
      <c r="F24" s="171"/>
      <c r="G24" s="157">
        <v>-2513.2800000000002</v>
      </c>
      <c r="H24" s="171"/>
      <c r="I24" s="157">
        <v>-2638.94</v>
      </c>
      <c r="J24" s="156"/>
      <c r="K24" s="157">
        <v>-2770.89</v>
      </c>
      <c r="L24" s="156"/>
      <c r="M24" s="157">
        <v>-2909.43</v>
      </c>
      <c r="N24" s="156"/>
      <c r="O24" s="157">
        <v>-3054.9</v>
      </c>
      <c r="P24" s="156"/>
      <c r="Q24" s="157">
        <v>-3207.65</v>
      </c>
      <c r="R24" s="156"/>
      <c r="S24" s="157">
        <v>-3368.03</v>
      </c>
    </row>
    <row r="25" spans="1:19" s="151" customFormat="1" ht="17.25" customHeight="1">
      <c r="A25" s="150"/>
      <c r="D25" s="153"/>
      <c r="E25" s="157"/>
      <c r="F25" s="171"/>
      <c r="G25" s="157"/>
      <c r="H25" s="171"/>
      <c r="I25" s="157"/>
      <c r="J25" s="156"/>
      <c r="K25" s="157"/>
      <c r="L25" s="156"/>
      <c r="M25" s="157"/>
      <c r="N25" s="156"/>
      <c r="O25" s="157"/>
      <c r="P25" s="156"/>
      <c r="Q25" s="157"/>
      <c r="R25" s="156"/>
      <c r="S25" s="157"/>
    </row>
    <row r="26" spans="1:19" s="151" customFormat="1" ht="17.25" customHeight="1">
      <c r="A26" s="150"/>
      <c r="D26" s="153"/>
      <c r="E26" s="157"/>
      <c r="F26" s="171"/>
      <c r="G26" s="157"/>
      <c r="H26" s="171"/>
      <c r="I26" s="157"/>
      <c r="J26" s="156"/>
      <c r="K26" s="157"/>
      <c r="L26" s="156"/>
      <c r="M26" s="157"/>
      <c r="N26" s="156"/>
      <c r="O26" s="157"/>
      <c r="P26" s="156"/>
      <c r="Q26" s="157"/>
      <c r="R26" s="156"/>
      <c r="S26" s="157"/>
    </row>
    <row r="27" spans="1:19" s="151" customFormat="1" ht="17.25" customHeight="1">
      <c r="A27" s="150"/>
      <c r="D27" s="153"/>
      <c r="E27" s="157"/>
      <c r="F27" s="171"/>
      <c r="G27" s="157"/>
      <c r="H27" s="171"/>
      <c r="I27" s="157"/>
      <c r="J27" s="156"/>
      <c r="K27" s="157"/>
      <c r="L27" s="156"/>
      <c r="M27" s="157"/>
      <c r="N27" s="156"/>
      <c r="O27" s="157"/>
      <c r="P27" s="156"/>
      <c r="Q27" s="157"/>
      <c r="R27" s="156"/>
      <c r="S27" s="157"/>
    </row>
  </sheetData>
  <phoneticPr fontId="0" type="noConversion"/>
  <printOptions horizontalCentered="1"/>
  <pageMargins left="0.5" right="0.5" top="1" bottom="1" header="0.5" footer="0.5"/>
  <pageSetup paperSize="9" fitToWidth="3" fitToHeight="2" orientation="landscape" r:id="rId1"/>
  <headerFooter alignWithMargins="0">
    <oddHeader>&amp;C&amp;"Calibri"&amp;10&amp;K737373Serco Business&amp;1#_x000D_&amp;"Calibri"&amp;11&amp;K000000&amp;"Calibri"&amp;11&amp;K000000&amp;"Arial,Bold"RESTRICTED - CONTRACTS</oddHeader>
    <oddFooter>&amp;L&amp;8PTC/CB/00642&amp;C&amp;8 2-(23)-&amp;P&amp;10
&amp;"Arial,Bold"RESTRICTED - CONTRACTS&amp;R&amp;8Pricing</oddFooter>
  </headerFooter>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dimension ref="A1:AO25"/>
  <sheetViews>
    <sheetView topLeftCell="B6" zoomScale="75" workbookViewId="0">
      <selection activeCell="AL24" sqref="AL24"/>
    </sheetView>
  </sheetViews>
  <sheetFormatPr defaultColWidth="9.140625" defaultRowHeight="12"/>
  <cols>
    <col min="1" max="1" width="8.7109375" style="13" customWidth="1"/>
    <col min="2" max="2" width="2.7109375" style="54" customWidth="1"/>
    <col min="3" max="3" width="30.7109375" style="54" customWidth="1"/>
    <col min="4" max="4" width="14.140625" style="85" hidden="1" customWidth="1"/>
    <col min="5" max="5" width="12.42578125" style="86" hidden="1" customWidth="1"/>
    <col min="6" max="6" width="11" style="86" hidden="1" customWidth="1"/>
    <col min="7" max="7" width="14.5703125" style="85" customWidth="1"/>
    <col min="8" max="8" width="14.140625" style="101" hidden="1" customWidth="1" collapsed="1"/>
    <col min="9" max="9" width="12.42578125" style="86" hidden="1" customWidth="1"/>
    <col min="10" max="10" width="11" style="86" hidden="1" customWidth="1"/>
    <col min="11" max="11" width="14.5703125" style="54" customWidth="1" collapsed="1"/>
    <col min="12" max="12" width="14.140625" style="101" hidden="1" customWidth="1" collapsed="1"/>
    <col min="13" max="13" width="12.42578125" style="86" hidden="1" customWidth="1"/>
    <col min="14" max="14" width="11" style="86" hidden="1" customWidth="1"/>
    <col min="15" max="15" width="14.5703125" style="54" customWidth="1" collapsed="1"/>
    <col min="16" max="16" width="14.140625" style="54" hidden="1" customWidth="1" collapsed="1"/>
    <col min="17" max="17" width="12.42578125" style="54" hidden="1" customWidth="1"/>
    <col min="18" max="18" width="11" style="54" hidden="1" customWidth="1"/>
    <col min="19" max="19" width="14.5703125" style="54" customWidth="1" collapsed="1"/>
    <col min="20" max="20" width="14.140625" style="54" hidden="1" customWidth="1" collapsed="1"/>
    <col min="21" max="21" width="12.42578125" style="54" hidden="1" customWidth="1"/>
    <col min="22" max="22" width="11" style="54" hidden="1" customWidth="1"/>
    <col min="23" max="23" width="14.5703125" style="54" customWidth="1" collapsed="1"/>
    <col min="24" max="24" width="14.140625" style="54" hidden="1" customWidth="1" collapsed="1"/>
    <col min="25" max="25" width="12.42578125" style="54" hidden="1" customWidth="1"/>
    <col min="26" max="26" width="11" style="54" hidden="1" customWidth="1"/>
    <col min="27" max="27" width="14.5703125" style="54" customWidth="1" collapsed="1"/>
    <col min="28" max="28" width="14.140625" style="54" hidden="1" customWidth="1" collapsed="1"/>
    <col min="29" max="29" width="12.42578125" style="54" hidden="1" customWidth="1"/>
    <col min="30" max="30" width="11" style="54" hidden="1" customWidth="1"/>
    <col min="31" max="31" width="14.5703125" style="54" customWidth="1" collapsed="1"/>
    <col min="32" max="32" width="14.140625" style="54" hidden="1" customWidth="1" collapsed="1"/>
    <col min="33" max="33" width="12.42578125" style="54" hidden="1" customWidth="1"/>
    <col min="34" max="34" width="11" style="54" hidden="1" customWidth="1"/>
    <col min="35" max="35" width="14.5703125" style="54" customWidth="1" collapsed="1"/>
    <col min="36" max="36" width="9.140625" style="54" collapsed="1"/>
    <col min="37" max="37" width="9.140625" style="54"/>
    <col min="38" max="38" width="11.5703125" style="54" bestFit="1" customWidth="1"/>
    <col min="39" max="39" width="9.140625" style="54" collapsed="1"/>
    <col min="40" max="40" width="9.140625" style="54"/>
    <col min="41" max="41" width="9.140625" style="54" collapsed="1"/>
    <col min="42" max="16384" width="9.140625" style="54"/>
  </cols>
  <sheetData>
    <row r="1" spans="1:35" ht="24">
      <c r="C1" s="21" t="s">
        <v>1748</v>
      </c>
      <c r="D1" s="340" t="s">
        <v>189</v>
      </c>
      <c r="E1" s="340"/>
      <c r="F1" s="340"/>
      <c r="G1" s="340"/>
      <c r="H1" s="340" t="s">
        <v>190</v>
      </c>
      <c r="I1" s="340"/>
      <c r="J1" s="340"/>
      <c r="K1" s="340"/>
      <c r="L1" s="340" t="s">
        <v>191</v>
      </c>
      <c r="M1" s="340"/>
      <c r="N1" s="340"/>
      <c r="O1" s="340"/>
      <c r="P1" s="340" t="s">
        <v>192</v>
      </c>
      <c r="Q1" s="340"/>
      <c r="R1" s="340"/>
      <c r="S1" s="340"/>
      <c r="T1" s="340" t="s">
        <v>193</v>
      </c>
      <c r="U1" s="340"/>
      <c r="V1" s="340"/>
      <c r="W1" s="340"/>
      <c r="X1" s="340" t="s">
        <v>194</v>
      </c>
      <c r="Y1" s="340"/>
      <c r="Z1" s="340"/>
      <c r="AA1" s="340"/>
      <c r="AB1" s="340" t="s">
        <v>251</v>
      </c>
      <c r="AC1" s="340"/>
      <c r="AD1" s="340"/>
      <c r="AE1" s="340"/>
      <c r="AF1" s="340" t="s">
        <v>252</v>
      </c>
      <c r="AG1" s="340"/>
      <c r="AH1" s="340"/>
      <c r="AI1" s="340"/>
    </row>
    <row r="2" spans="1:35" ht="24">
      <c r="A2" s="18" t="s">
        <v>253</v>
      </c>
      <c r="B2" s="49"/>
      <c r="C2" s="49" t="s">
        <v>490</v>
      </c>
      <c r="D2" s="19" t="s">
        <v>434</v>
      </c>
      <c r="E2" s="19" t="s">
        <v>435</v>
      </c>
      <c r="F2" s="19" t="s">
        <v>436</v>
      </c>
      <c r="G2" s="19" t="s">
        <v>254</v>
      </c>
      <c r="H2" s="19" t="s">
        <v>434</v>
      </c>
      <c r="I2" s="19" t="s">
        <v>435</v>
      </c>
      <c r="J2" s="19" t="s">
        <v>436</v>
      </c>
      <c r="K2" s="19" t="s">
        <v>254</v>
      </c>
      <c r="L2" s="19" t="s">
        <v>434</v>
      </c>
      <c r="M2" s="19" t="s">
        <v>435</v>
      </c>
      <c r="N2" s="19" t="s">
        <v>436</v>
      </c>
      <c r="O2" s="19" t="s">
        <v>254</v>
      </c>
      <c r="P2" s="19" t="s">
        <v>434</v>
      </c>
      <c r="Q2" s="19" t="s">
        <v>435</v>
      </c>
      <c r="R2" s="19" t="s">
        <v>436</v>
      </c>
      <c r="S2" s="19" t="s">
        <v>254</v>
      </c>
      <c r="T2" s="19" t="s">
        <v>434</v>
      </c>
      <c r="U2" s="19" t="s">
        <v>435</v>
      </c>
      <c r="V2" s="19" t="s">
        <v>436</v>
      </c>
      <c r="W2" s="19" t="s">
        <v>254</v>
      </c>
      <c r="X2" s="19" t="s">
        <v>434</v>
      </c>
      <c r="Y2" s="19" t="s">
        <v>435</v>
      </c>
      <c r="Z2" s="19" t="s">
        <v>436</v>
      </c>
      <c r="AA2" s="19" t="s">
        <v>254</v>
      </c>
      <c r="AB2" s="19" t="s">
        <v>434</v>
      </c>
      <c r="AC2" s="19" t="s">
        <v>435</v>
      </c>
      <c r="AD2" s="19" t="s">
        <v>436</v>
      </c>
      <c r="AE2" s="19" t="s">
        <v>254</v>
      </c>
      <c r="AF2" s="19" t="s">
        <v>434</v>
      </c>
      <c r="AG2" s="19" t="s">
        <v>435</v>
      </c>
      <c r="AH2" s="19" t="s">
        <v>436</v>
      </c>
      <c r="AI2" s="19" t="s">
        <v>254</v>
      </c>
    </row>
    <row r="3" spans="1:35">
      <c r="B3" s="13"/>
      <c r="C3" s="21"/>
      <c r="H3" s="54"/>
      <c r="I3" s="87"/>
      <c r="J3" s="87"/>
      <c r="L3" s="54"/>
      <c r="M3" s="87"/>
      <c r="N3" s="87"/>
      <c r="Q3" s="87"/>
      <c r="R3" s="87"/>
      <c r="U3" s="87"/>
      <c r="V3" s="87"/>
      <c r="Y3" s="87"/>
      <c r="Z3" s="87"/>
      <c r="AC3" s="87"/>
      <c r="AD3" s="87"/>
      <c r="AG3" s="87"/>
      <c r="AH3" s="87"/>
    </row>
    <row r="4" spans="1:35">
      <c r="A4" s="13" t="s">
        <v>1749</v>
      </c>
      <c r="B4" s="13"/>
      <c r="C4" s="21" t="s">
        <v>256</v>
      </c>
      <c r="H4" s="54"/>
      <c r="I4" s="54"/>
      <c r="J4" s="54"/>
      <c r="L4" s="54"/>
      <c r="M4" s="54"/>
      <c r="N4" s="54"/>
    </row>
    <row r="5" spans="1:35">
      <c r="A5" s="13" t="s">
        <v>1750</v>
      </c>
      <c r="B5" s="13"/>
      <c r="C5" s="39" t="s">
        <v>1751</v>
      </c>
      <c r="H5" s="54"/>
      <c r="I5" s="54"/>
      <c r="J5" s="54"/>
      <c r="L5" s="54"/>
      <c r="M5" s="54"/>
      <c r="N5" s="54"/>
    </row>
    <row r="6" spans="1:35" ht="24">
      <c r="A6" s="13" t="s">
        <v>1752</v>
      </c>
      <c r="B6" s="13"/>
      <c r="C6" s="13" t="s">
        <v>1753</v>
      </c>
      <c r="G6" s="135" t="s">
        <v>868</v>
      </c>
      <c r="H6" s="85"/>
      <c r="K6" s="135" t="s">
        <v>868</v>
      </c>
      <c r="L6" s="85"/>
      <c r="O6" s="135" t="s">
        <v>868</v>
      </c>
      <c r="P6" s="85"/>
      <c r="Q6" s="86"/>
      <c r="R6" s="86"/>
      <c r="S6" s="135" t="s">
        <v>868</v>
      </c>
      <c r="T6" s="85"/>
      <c r="U6" s="86"/>
      <c r="V6" s="86"/>
      <c r="W6" s="135" t="s">
        <v>868</v>
      </c>
      <c r="X6" s="85"/>
      <c r="Y6" s="86"/>
      <c r="Z6" s="86"/>
      <c r="AA6" s="135" t="s">
        <v>868</v>
      </c>
      <c r="AB6" s="85"/>
      <c r="AC6" s="86"/>
      <c r="AD6" s="86"/>
      <c r="AE6" s="135" t="s">
        <v>868</v>
      </c>
      <c r="AF6" s="85"/>
      <c r="AG6" s="86"/>
      <c r="AH6" s="86"/>
      <c r="AI6" s="135" t="s">
        <v>868</v>
      </c>
    </row>
    <row r="7" spans="1:35" ht="24">
      <c r="A7" s="13" t="s">
        <v>1754</v>
      </c>
      <c r="B7" s="13"/>
      <c r="C7" s="13" t="s">
        <v>1755</v>
      </c>
      <c r="G7" s="135" t="s">
        <v>868</v>
      </c>
      <c r="H7" s="85"/>
      <c r="K7" s="135" t="s">
        <v>868</v>
      </c>
      <c r="L7" s="85"/>
      <c r="O7" s="135" t="s">
        <v>868</v>
      </c>
      <c r="P7" s="85"/>
      <c r="Q7" s="86"/>
      <c r="R7" s="86"/>
      <c r="S7" s="135" t="s">
        <v>868</v>
      </c>
      <c r="T7" s="85"/>
      <c r="U7" s="86"/>
      <c r="V7" s="86"/>
      <c r="W7" s="135" t="s">
        <v>868</v>
      </c>
      <c r="X7" s="85"/>
      <c r="Y7" s="86"/>
      <c r="Z7" s="86"/>
      <c r="AA7" s="135" t="s">
        <v>868</v>
      </c>
      <c r="AB7" s="85"/>
      <c r="AC7" s="86"/>
      <c r="AD7" s="86"/>
      <c r="AE7" s="135" t="s">
        <v>868</v>
      </c>
      <c r="AF7" s="85"/>
      <c r="AG7" s="86"/>
      <c r="AH7" s="86"/>
      <c r="AI7" s="135" t="s">
        <v>868</v>
      </c>
    </row>
    <row r="8" spans="1:35" ht="48">
      <c r="A8" s="13" t="s">
        <v>1756</v>
      </c>
      <c r="C8" s="13" t="s">
        <v>1757</v>
      </c>
      <c r="D8" s="135">
        <v>25101</v>
      </c>
      <c r="E8" s="179">
        <v>0.77486952711047363</v>
      </c>
      <c r="F8" s="91">
        <f>SUM(D8)*E8</f>
        <v>19450</v>
      </c>
      <c r="G8" s="135" t="s">
        <v>868</v>
      </c>
      <c r="H8" s="135">
        <v>25101</v>
      </c>
      <c r="I8" s="179">
        <v>0.81361300346599741</v>
      </c>
      <c r="J8" s="91">
        <f>SUM(H8)*I8</f>
        <v>20422.5</v>
      </c>
      <c r="K8" s="135" t="s">
        <v>868</v>
      </c>
      <c r="L8" s="135">
        <v>25101</v>
      </c>
      <c r="M8" s="179">
        <v>0.85429365363929721</v>
      </c>
      <c r="N8" s="91">
        <f>SUM(L8)*M8</f>
        <v>21443.625</v>
      </c>
      <c r="O8" s="135" t="s">
        <v>868</v>
      </c>
      <c r="P8" s="135">
        <v>25101</v>
      </c>
      <c r="Q8" s="179">
        <v>0.8970083363212622</v>
      </c>
      <c r="R8" s="91">
        <f>SUM(P8)*Q8</f>
        <v>22515.806250000001</v>
      </c>
      <c r="S8" s="135" t="s">
        <v>868</v>
      </c>
      <c r="T8" s="135">
        <v>25101</v>
      </c>
      <c r="U8" s="179">
        <v>0.94185875313732526</v>
      </c>
      <c r="V8" s="91">
        <f>SUM(T8)*U8</f>
        <v>23641.596562500003</v>
      </c>
      <c r="W8" s="135" t="s">
        <v>868</v>
      </c>
      <c r="X8" s="135">
        <v>25101</v>
      </c>
      <c r="Y8" s="179">
        <v>0.98895169079419165</v>
      </c>
      <c r="Z8" s="91">
        <f>SUM(X8)*Y8</f>
        <v>24823.676390625005</v>
      </c>
      <c r="AA8" s="135" t="s">
        <v>868</v>
      </c>
      <c r="AB8" s="135">
        <v>25101</v>
      </c>
      <c r="AC8" s="179">
        <v>1.0383992753339013</v>
      </c>
      <c r="AD8" s="91">
        <f>SUM(AB8)*AC8</f>
        <v>26064.860210156257</v>
      </c>
      <c r="AE8" s="135" t="s">
        <v>868</v>
      </c>
      <c r="AF8" s="135">
        <v>25101</v>
      </c>
      <c r="AG8" s="179">
        <v>1.0903192391005965</v>
      </c>
      <c r="AH8" s="91">
        <f>SUM(AF8)*AG8</f>
        <v>27368.10322066407</v>
      </c>
      <c r="AI8" s="135" t="s">
        <v>868</v>
      </c>
    </row>
    <row r="9" spans="1:35">
      <c r="A9" s="13" t="s">
        <v>1758</v>
      </c>
      <c r="B9" s="13"/>
      <c r="C9" s="21" t="s">
        <v>312</v>
      </c>
      <c r="H9" s="85"/>
      <c r="K9" s="85"/>
      <c r="L9" s="85"/>
      <c r="O9" s="85"/>
      <c r="P9" s="85"/>
      <c r="Q9" s="86"/>
      <c r="R9" s="86"/>
      <c r="S9" s="85"/>
      <c r="T9" s="85"/>
      <c r="U9" s="86"/>
      <c r="V9" s="86"/>
      <c r="W9" s="85"/>
      <c r="X9" s="85"/>
      <c r="Y9" s="86"/>
      <c r="Z9" s="86"/>
      <c r="AA9" s="85"/>
      <c r="AB9" s="85"/>
      <c r="AC9" s="86"/>
      <c r="AD9" s="86"/>
      <c r="AE9" s="85"/>
      <c r="AF9" s="85"/>
      <c r="AG9" s="86"/>
      <c r="AH9" s="86"/>
      <c r="AI9" s="85"/>
    </row>
    <row r="10" spans="1:35">
      <c r="A10" s="13" t="s">
        <v>1759</v>
      </c>
      <c r="B10" s="13"/>
      <c r="C10" s="13" t="s">
        <v>377</v>
      </c>
      <c r="H10" s="85"/>
      <c r="K10" s="85"/>
      <c r="L10" s="85"/>
      <c r="O10" s="85"/>
      <c r="P10" s="85"/>
      <c r="Q10" s="86"/>
      <c r="R10" s="86"/>
      <c r="S10" s="85"/>
      <c r="T10" s="85"/>
      <c r="U10" s="86"/>
      <c r="V10" s="86"/>
      <c r="W10" s="85"/>
      <c r="X10" s="85"/>
      <c r="Y10" s="86"/>
      <c r="Z10" s="86"/>
      <c r="AA10" s="85"/>
      <c r="AB10" s="85"/>
      <c r="AC10" s="86"/>
      <c r="AD10" s="86"/>
      <c r="AE10" s="85"/>
      <c r="AF10" s="85"/>
      <c r="AG10" s="86"/>
      <c r="AH10" s="86"/>
      <c r="AI10" s="85"/>
    </row>
    <row r="11" spans="1:35">
      <c r="A11" s="13" t="s">
        <v>1760</v>
      </c>
      <c r="B11" s="13"/>
      <c r="C11" s="21" t="s">
        <v>1733</v>
      </c>
      <c r="H11" s="85"/>
      <c r="K11" s="85"/>
      <c r="L11" s="85"/>
      <c r="O11" s="85"/>
      <c r="P11" s="85"/>
      <c r="Q11" s="86"/>
      <c r="R11" s="86"/>
      <c r="S11" s="85"/>
      <c r="T11" s="85"/>
      <c r="U11" s="86"/>
      <c r="V11" s="86"/>
      <c r="W11" s="85"/>
      <c r="X11" s="85"/>
      <c r="Y11" s="86"/>
      <c r="Z11" s="86"/>
      <c r="AA11" s="85"/>
      <c r="AB11" s="85"/>
      <c r="AC11" s="86"/>
      <c r="AD11" s="86"/>
      <c r="AE11" s="85"/>
      <c r="AF11" s="85"/>
      <c r="AG11" s="86"/>
      <c r="AH11" s="86"/>
      <c r="AI11" s="85"/>
    </row>
    <row r="12" spans="1:35" ht="48">
      <c r="A12" s="13" t="s">
        <v>1761</v>
      </c>
      <c r="B12" s="13"/>
      <c r="C12" s="13" t="s">
        <v>516</v>
      </c>
      <c r="H12" s="85"/>
      <c r="K12" s="85"/>
      <c r="L12" s="85"/>
      <c r="O12" s="85"/>
      <c r="P12" s="85"/>
      <c r="Q12" s="86"/>
      <c r="R12" s="86"/>
      <c r="S12" s="85"/>
      <c r="T12" s="85"/>
      <c r="U12" s="86"/>
      <c r="V12" s="86"/>
      <c r="W12" s="85"/>
      <c r="X12" s="85"/>
      <c r="Y12" s="86"/>
      <c r="Z12" s="86"/>
      <c r="AA12" s="85"/>
      <c r="AB12" s="85"/>
      <c r="AC12" s="86"/>
      <c r="AD12" s="86"/>
      <c r="AE12" s="85"/>
      <c r="AF12" s="85"/>
      <c r="AG12" s="86"/>
      <c r="AH12" s="86"/>
      <c r="AI12" s="85"/>
    </row>
    <row r="13" spans="1:35">
      <c r="A13" s="13" t="s">
        <v>1762</v>
      </c>
      <c r="B13" s="13"/>
      <c r="C13" s="21" t="s">
        <v>320</v>
      </c>
      <c r="H13" s="85"/>
      <c r="K13" s="85"/>
      <c r="L13" s="85"/>
      <c r="O13" s="85"/>
      <c r="P13" s="85"/>
      <c r="Q13" s="86"/>
      <c r="R13" s="86"/>
      <c r="S13" s="85"/>
      <c r="T13" s="85"/>
      <c r="U13" s="86"/>
      <c r="V13" s="86"/>
      <c r="W13" s="85"/>
      <c r="X13" s="85"/>
      <c r="Y13" s="86"/>
      <c r="Z13" s="86"/>
      <c r="AA13" s="85"/>
      <c r="AB13" s="85"/>
      <c r="AC13" s="86"/>
      <c r="AD13" s="86"/>
      <c r="AE13" s="85"/>
      <c r="AF13" s="85"/>
      <c r="AG13" s="86"/>
      <c r="AH13" s="86"/>
      <c r="AI13" s="85"/>
    </row>
    <row r="14" spans="1:35" ht="48">
      <c r="A14" s="13" t="s">
        <v>1763</v>
      </c>
      <c r="B14" s="13"/>
      <c r="C14" s="17" t="s">
        <v>1764</v>
      </c>
      <c r="G14" s="135" t="s">
        <v>868</v>
      </c>
      <c r="H14" s="85"/>
      <c r="K14" s="135" t="s">
        <v>868</v>
      </c>
      <c r="L14" s="85"/>
      <c r="O14" s="135" t="s">
        <v>868</v>
      </c>
      <c r="P14" s="85"/>
      <c r="Q14" s="86"/>
      <c r="R14" s="86"/>
      <c r="S14" s="135" t="s">
        <v>868</v>
      </c>
      <c r="T14" s="85"/>
      <c r="U14" s="86"/>
      <c r="V14" s="86"/>
      <c r="W14" s="135" t="s">
        <v>868</v>
      </c>
      <c r="X14" s="85"/>
      <c r="Y14" s="86"/>
      <c r="Z14" s="86"/>
      <c r="AA14" s="135" t="s">
        <v>868</v>
      </c>
      <c r="AB14" s="85"/>
      <c r="AC14" s="86"/>
      <c r="AD14" s="86"/>
      <c r="AE14" s="135" t="s">
        <v>868</v>
      </c>
      <c r="AF14" s="85"/>
      <c r="AG14" s="86"/>
      <c r="AH14" s="86"/>
      <c r="AI14" s="135" t="s">
        <v>868</v>
      </c>
    </row>
    <row r="15" spans="1:35">
      <c r="A15" s="13" t="s">
        <v>1765</v>
      </c>
      <c r="B15" s="13"/>
      <c r="C15" s="21" t="s">
        <v>1766</v>
      </c>
      <c r="H15" s="85"/>
      <c r="K15" s="85"/>
      <c r="L15" s="85"/>
      <c r="O15" s="85"/>
      <c r="P15" s="85"/>
      <c r="Q15" s="86"/>
      <c r="R15" s="86"/>
      <c r="S15" s="85"/>
      <c r="T15" s="85"/>
      <c r="U15" s="86"/>
      <c r="V15" s="86"/>
      <c r="W15" s="85"/>
      <c r="X15" s="85"/>
      <c r="Y15" s="86"/>
      <c r="Z15" s="86"/>
      <c r="AA15" s="85"/>
      <c r="AB15" s="85"/>
      <c r="AC15" s="86"/>
      <c r="AD15" s="86"/>
      <c r="AE15" s="85"/>
      <c r="AF15" s="85"/>
      <c r="AG15" s="86"/>
      <c r="AH15" s="86"/>
      <c r="AI15" s="85"/>
    </row>
    <row r="16" spans="1:35">
      <c r="A16" s="17" t="s">
        <v>1767</v>
      </c>
      <c r="B16" s="17"/>
      <c r="C16" s="17" t="s">
        <v>1747</v>
      </c>
      <c r="D16" s="94"/>
      <c r="E16" s="95"/>
      <c r="F16" s="95"/>
      <c r="G16" s="135" t="s">
        <v>868</v>
      </c>
      <c r="H16" s="94"/>
      <c r="I16" s="95"/>
      <c r="J16" s="95"/>
      <c r="K16" s="135" t="s">
        <v>868</v>
      </c>
      <c r="L16" s="94"/>
      <c r="M16" s="95"/>
      <c r="N16" s="95"/>
      <c r="O16" s="135" t="s">
        <v>868</v>
      </c>
      <c r="P16" s="94"/>
      <c r="Q16" s="95"/>
      <c r="R16" s="95"/>
      <c r="S16" s="135" t="s">
        <v>868</v>
      </c>
      <c r="T16" s="94"/>
      <c r="U16" s="95"/>
      <c r="V16" s="95"/>
      <c r="W16" s="135" t="s">
        <v>868</v>
      </c>
      <c r="X16" s="94"/>
      <c r="Y16" s="95"/>
      <c r="Z16" s="95"/>
      <c r="AA16" s="135" t="s">
        <v>868</v>
      </c>
      <c r="AB16" s="94"/>
      <c r="AC16" s="95"/>
      <c r="AD16" s="95"/>
      <c r="AE16" s="135" t="s">
        <v>868</v>
      </c>
      <c r="AF16" s="94"/>
      <c r="AG16" s="95"/>
      <c r="AH16" s="95"/>
      <c r="AI16" s="135" t="s">
        <v>868</v>
      </c>
    </row>
    <row r="17" spans="1:38" hidden="1">
      <c r="A17" s="28"/>
      <c r="B17" s="96"/>
      <c r="C17" s="96"/>
      <c r="D17" s="97"/>
      <c r="E17" s="98"/>
      <c r="F17" s="98"/>
      <c r="G17" s="99">
        <v>0</v>
      </c>
      <c r="H17" s="176"/>
      <c r="I17" s="177"/>
      <c r="J17" s="177"/>
      <c r="K17" s="99">
        <v>0</v>
      </c>
      <c r="L17" s="176"/>
      <c r="M17" s="177"/>
      <c r="N17" s="177"/>
      <c r="O17" s="99">
        <v>0</v>
      </c>
      <c r="P17" s="176"/>
      <c r="Q17" s="177"/>
      <c r="R17" s="177"/>
      <c r="S17" s="99">
        <v>0</v>
      </c>
      <c r="T17" s="176"/>
      <c r="U17" s="177"/>
      <c r="V17" s="177"/>
      <c r="W17" s="99">
        <v>0</v>
      </c>
      <c r="X17" s="176"/>
      <c r="Y17" s="177"/>
      <c r="Z17" s="177"/>
      <c r="AA17" s="99">
        <v>0</v>
      </c>
      <c r="AB17" s="176"/>
      <c r="AC17" s="177"/>
      <c r="AD17" s="177"/>
      <c r="AE17" s="99">
        <v>0</v>
      </c>
      <c r="AF17" s="176"/>
      <c r="AG17" s="177"/>
      <c r="AH17" s="177"/>
      <c r="AI17" s="99">
        <v>0</v>
      </c>
    </row>
    <row r="18" spans="1:38" s="163" customFormat="1" ht="15">
      <c r="A18" s="162"/>
      <c r="D18" s="342"/>
      <c r="E18" s="342"/>
      <c r="F18" s="342"/>
      <c r="G18" s="168" t="s">
        <v>385</v>
      </c>
      <c r="H18" s="342"/>
      <c r="I18" s="342"/>
      <c r="J18" s="342"/>
      <c r="K18" s="168" t="s">
        <v>385</v>
      </c>
      <c r="L18" s="170"/>
      <c r="M18" s="169"/>
      <c r="N18" s="169"/>
      <c r="O18" s="168" t="s">
        <v>385</v>
      </c>
      <c r="P18" s="342"/>
      <c r="Q18" s="342"/>
      <c r="R18" s="342"/>
      <c r="S18" s="168" t="s">
        <v>385</v>
      </c>
      <c r="T18" s="342"/>
      <c r="U18" s="342"/>
      <c r="V18" s="342"/>
      <c r="W18" s="168" t="s">
        <v>385</v>
      </c>
      <c r="X18" s="342"/>
      <c r="Y18" s="342"/>
      <c r="Z18" s="342"/>
      <c r="AA18" s="168" t="s">
        <v>385</v>
      </c>
      <c r="AB18" s="342"/>
      <c r="AC18" s="342"/>
      <c r="AD18" s="342"/>
      <c r="AE18" s="168" t="s">
        <v>385</v>
      </c>
      <c r="AF18" s="342"/>
      <c r="AG18" s="342"/>
      <c r="AH18" s="342"/>
      <c r="AI18" s="168" t="s">
        <v>385</v>
      </c>
    </row>
    <row r="19" spans="1:38" s="151" customFormat="1" ht="30">
      <c r="A19" s="150"/>
      <c r="D19" s="152"/>
      <c r="E19" s="153"/>
      <c r="F19" s="153"/>
      <c r="G19" s="154" t="s">
        <v>189</v>
      </c>
      <c r="H19" s="155"/>
      <c r="I19" s="171"/>
      <c r="J19" s="171"/>
      <c r="K19" s="158" t="s">
        <v>190</v>
      </c>
      <c r="L19" s="155"/>
      <c r="M19" s="171"/>
      <c r="N19" s="171"/>
      <c r="O19" s="158" t="s">
        <v>191</v>
      </c>
      <c r="P19" s="156"/>
      <c r="Q19" s="156"/>
      <c r="R19" s="156"/>
      <c r="S19" s="158" t="s">
        <v>192</v>
      </c>
      <c r="T19" s="156"/>
      <c r="U19" s="156"/>
      <c r="V19" s="156"/>
      <c r="W19" s="158" t="s">
        <v>193</v>
      </c>
      <c r="X19" s="156"/>
      <c r="Y19" s="156"/>
      <c r="Z19" s="156"/>
      <c r="AA19" s="158" t="s">
        <v>194</v>
      </c>
      <c r="AB19" s="156"/>
      <c r="AC19" s="156"/>
      <c r="AD19" s="156"/>
      <c r="AE19" s="158" t="s">
        <v>251</v>
      </c>
      <c r="AF19" s="156"/>
      <c r="AG19" s="156"/>
      <c r="AH19" s="156"/>
      <c r="AI19" s="158" t="s">
        <v>252</v>
      </c>
    </row>
    <row r="20" spans="1:38" s="151" customFormat="1" ht="15">
      <c r="A20" s="150"/>
      <c r="C20" s="184" t="s">
        <v>386</v>
      </c>
      <c r="D20" s="152"/>
      <c r="E20" s="153"/>
      <c r="F20" s="153"/>
      <c r="G20" s="160">
        <f>SUM(G21:G25)</f>
        <v>19450</v>
      </c>
      <c r="H20" s="155"/>
      <c r="I20" s="171"/>
      <c r="J20" s="171"/>
      <c r="K20" s="160">
        <f>SUM(K21:K25)</f>
        <v>20219.099999999999</v>
      </c>
      <c r="L20" s="155"/>
      <c r="M20" s="171"/>
      <c r="N20" s="171"/>
      <c r="O20" s="160">
        <f>SUM(O21:O25)</f>
        <v>25025.055</v>
      </c>
      <c r="P20" s="156"/>
      <c r="Q20" s="156"/>
      <c r="R20" s="156"/>
      <c r="S20" s="160">
        <f>SUM(S21:S25)</f>
        <v>27076.556250000001</v>
      </c>
      <c r="T20" s="156"/>
      <c r="U20" s="156"/>
      <c r="V20" s="156"/>
      <c r="W20" s="160">
        <f>SUM(W21:W25)</f>
        <v>30516.306562500002</v>
      </c>
      <c r="X20" s="156"/>
      <c r="Y20" s="156"/>
      <c r="Z20" s="156"/>
      <c r="AA20" s="160">
        <f>SUM(AA21:AA25)</f>
        <v>32042.116390625004</v>
      </c>
      <c r="AB20" s="156"/>
      <c r="AC20" s="156"/>
      <c r="AD20" s="156"/>
      <c r="AE20" s="160">
        <f>SUM(AE21:AE25)</f>
        <v>33644.220210156258</v>
      </c>
      <c r="AF20" s="156"/>
      <c r="AG20" s="156"/>
      <c r="AH20" s="156"/>
      <c r="AI20" s="160">
        <f>SUM(AI21:AI25)</f>
        <v>35326.423220664066</v>
      </c>
    </row>
    <row r="21" spans="1:38" s="151" customFormat="1" ht="15">
      <c r="A21" s="150"/>
      <c r="C21" s="184" t="s">
        <v>387</v>
      </c>
      <c r="D21" s="152"/>
      <c r="E21" s="153"/>
      <c r="F21" s="153"/>
      <c r="G21" s="160">
        <v>19450</v>
      </c>
      <c r="H21" s="155"/>
      <c r="I21" s="171"/>
      <c r="J21" s="171"/>
      <c r="K21" s="160">
        <v>20422.5</v>
      </c>
      <c r="L21" s="155"/>
      <c r="M21" s="171"/>
      <c r="N21" s="171"/>
      <c r="O21" s="160">
        <v>21443.625</v>
      </c>
      <c r="P21" s="156"/>
      <c r="Q21" s="156"/>
      <c r="R21" s="156"/>
      <c r="S21" s="160">
        <v>22515.806250000001</v>
      </c>
      <c r="T21" s="156"/>
      <c r="U21" s="156"/>
      <c r="V21" s="156"/>
      <c r="W21" s="160">
        <v>23641.596562500003</v>
      </c>
      <c r="X21" s="156"/>
      <c r="Y21" s="156"/>
      <c r="Z21" s="156"/>
      <c r="AA21" s="160">
        <v>24823.676390625005</v>
      </c>
      <c r="AB21" s="156"/>
      <c r="AC21" s="156"/>
      <c r="AD21" s="156"/>
      <c r="AE21" s="160">
        <v>26064.860210156257</v>
      </c>
      <c r="AF21" s="156"/>
      <c r="AG21" s="156"/>
      <c r="AH21" s="156"/>
      <c r="AI21" s="160">
        <v>27368.10322066407</v>
      </c>
    </row>
    <row r="22" spans="1:38" s="151" customFormat="1" ht="15">
      <c r="A22" s="150"/>
      <c r="C22" s="151" t="s">
        <v>388</v>
      </c>
      <c r="D22" s="152"/>
      <c r="E22" s="153"/>
      <c r="F22" s="153"/>
      <c r="G22" s="160">
        <v>0</v>
      </c>
      <c r="H22" s="155"/>
      <c r="I22" s="171"/>
      <c r="J22" s="171"/>
      <c r="K22" s="160">
        <v>-203.4</v>
      </c>
      <c r="L22" s="155"/>
      <c r="M22" s="171"/>
      <c r="N22" s="171"/>
      <c r="O22" s="160">
        <v>-213.57</v>
      </c>
      <c r="P22" s="156"/>
      <c r="Q22" s="156"/>
      <c r="R22" s="156"/>
      <c r="S22" s="160">
        <v>-224.25</v>
      </c>
      <c r="T22" s="156"/>
      <c r="U22" s="156"/>
      <c r="V22" s="156"/>
      <c r="W22" s="160">
        <v>-235.46</v>
      </c>
      <c r="X22" s="156"/>
      <c r="Y22" s="156"/>
      <c r="Z22" s="156"/>
      <c r="AA22" s="160">
        <v>-247.24</v>
      </c>
      <c r="AB22" s="156"/>
      <c r="AC22" s="156"/>
      <c r="AD22" s="156"/>
      <c r="AE22" s="160">
        <v>-259.60000000000002</v>
      </c>
      <c r="AF22" s="156"/>
      <c r="AG22" s="156"/>
      <c r="AH22" s="156"/>
      <c r="AI22" s="160">
        <v>-272.58</v>
      </c>
    </row>
    <row r="23" spans="1:38" s="151" customFormat="1" ht="15">
      <c r="A23" s="150"/>
      <c r="C23" s="151" t="s">
        <v>1248</v>
      </c>
      <c r="D23" s="152"/>
      <c r="E23" s="153"/>
      <c r="F23" s="153"/>
      <c r="G23" s="160"/>
      <c r="H23" s="155"/>
      <c r="I23" s="171"/>
      <c r="J23" s="171"/>
      <c r="K23" s="160"/>
      <c r="L23" s="155"/>
      <c r="M23" s="171"/>
      <c r="N23" s="171"/>
      <c r="O23" s="160">
        <v>3795</v>
      </c>
      <c r="P23" s="156"/>
      <c r="Q23" s="156"/>
      <c r="R23" s="156"/>
      <c r="S23" s="160">
        <v>3366</v>
      </c>
      <c r="T23" s="156"/>
      <c r="U23" s="156"/>
      <c r="V23" s="156"/>
      <c r="W23" s="160">
        <v>3534.3</v>
      </c>
      <c r="X23" s="156"/>
      <c r="Y23" s="156"/>
      <c r="Z23" s="156"/>
      <c r="AA23" s="160">
        <v>3711.02</v>
      </c>
      <c r="AB23" s="156"/>
      <c r="AC23" s="156"/>
      <c r="AD23" s="156"/>
      <c r="AE23" s="160">
        <v>3896.57</v>
      </c>
      <c r="AF23" s="156"/>
      <c r="AG23" s="156"/>
      <c r="AH23" s="156"/>
      <c r="AI23" s="160">
        <v>4091.39</v>
      </c>
      <c r="AK23" s="151" t="s">
        <v>1768</v>
      </c>
      <c r="AL23" s="310">
        <f>SUM(G23:AI23)</f>
        <v>22394.28</v>
      </c>
    </row>
    <row r="24" spans="1:38" s="151" customFormat="1" ht="15">
      <c r="A24" s="150"/>
      <c r="C24" s="151" t="s">
        <v>1252</v>
      </c>
      <c r="D24" s="152"/>
      <c r="E24" s="153"/>
      <c r="F24" s="153"/>
      <c r="G24" s="160"/>
      <c r="H24" s="155"/>
      <c r="I24" s="171"/>
      <c r="J24" s="171"/>
      <c r="K24" s="160"/>
      <c r="L24" s="155"/>
      <c r="M24" s="171"/>
      <c r="N24" s="171"/>
      <c r="O24" s="160"/>
      <c r="P24" s="156"/>
      <c r="Q24" s="156"/>
      <c r="R24" s="156"/>
      <c r="S24" s="160">
        <v>1419</v>
      </c>
      <c r="T24" s="156"/>
      <c r="U24" s="156"/>
      <c r="V24" s="156"/>
      <c r="W24" s="160">
        <v>3575.87</v>
      </c>
      <c r="X24" s="156"/>
      <c r="Y24" s="156"/>
      <c r="Z24" s="156"/>
      <c r="AA24" s="160">
        <v>3754.66</v>
      </c>
      <c r="AB24" s="156"/>
      <c r="AC24" s="156"/>
      <c r="AD24" s="156"/>
      <c r="AE24" s="160">
        <v>3942.39</v>
      </c>
      <c r="AF24" s="156"/>
      <c r="AG24" s="156"/>
      <c r="AH24" s="156"/>
      <c r="AI24" s="160">
        <v>4139.51</v>
      </c>
      <c r="AK24" s="151" t="s">
        <v>1769</v>
      </c>
      <c r="AL24" s="310">
        <f>SUM(G24:AI24)</f>
        <v>16831.43</v>
      </c>
    </row>
    <row r="25" spans="1:38" s="151" customFormat="1" ht="15">
      <c r="A25" s="150"/>
      <c r="D25" s="152"/>
      <c r="E25" s="153"/>
      <c r="F25" s="153"/>
      <c r="G25" s="160"/>
      <c r="H25" s="155"/>
      <c r="I25" s="171"/>
      <c r="J25" s="171"/>
      <c r="K25" s="160"/>
      <c r="L25" s="155"/>
      <c r="M25" s="171"/>
      <c r="N25" s="171"/>
      <c r="O25" s="160"/>
      <c r="P25" s="156"/>
      <c r="Q25" s="156"/>
      <c r="R25" s="156"/>
      <c r="S25" s="160"/>
      <c r="T25" s="156"/>
      <c r="U25" s="156"/>
      <c r="V25" s="156"/>
      <c r="W25" s="160"/>
      <c r="X25" s="156"/>
      <c r="Y25" s="156"/>
      <c r="Z25" s="156"/>
      <c r="AA25" s="160"/>
      <c r="AB25" s="156"/>
      <c r="AC25" s="156"/>
      <c r="AD25" s="156"/>
      <c r="AE25" s="160"/>
      <c r="AF25" s="156"/>
      <c r="AG25" s="156"/>
      <c r="AH25" s="156"/>
      <c r="AI25" s="160"/>
    </row>
  </sheetData>
  <phoneticPr fontId="0" type="noConversion"/>
  <printOptions horizontalCentered="1"/>
  <pageMargins left="0.5" right="0.5" top="1" bottom="1" header="0.5" footer="0.5"/>
  <pageSetup paperSize="9" orientation="landscape" r:id="rId1"/>
  <headerFooter alignWithMargins="0">
    <oddHeader>&amp;C&amp;"Calibri"&amp;10&amp;K737373Serco Business&amp;1#_x000D_&amp;"Calibri"&amp;11&amp;K000000&amp;"Calibri"&amp;11&amp;K000000&amp;"Arial,Bold"RESTRICTED - CONTRACTS</oddHeader>
    <oddFooter>&amp;L&amp;8PTC/CB/00642&amp;C&amp;8 2-(24)-&amp;P&amp;10
&amp;"Arial,Bold"RESTRICTED - CONTRACTS&amp;R&amp;8Pricing</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4"/>
  <dimension ref="A1:BB46"/>
  <sheetViews>
    <sheetView topLeftCell="A24" zoomScale="75" workbookViewId="0">
      <selection activeCell="C52" sqref="C52"/>
    </sheetView>
  </sheetViews>
  <sheetFormatPr defaultColWidth="9.140625" defaultRowHeight="12"/>
  <cols>
    <col min="1" max="1" width="8.7109375" style="13" customWidth="1"/>
    <col min="2" max="2" width="1.7109375" style="54" customWidth="1"/>
    <col min="3" max="3" width="25.7109375" style="54" customWidth="1"/>
    <col min="4" max="4" width="14.140625" style="85" customWidth="1"/>
    <col min="5" max="11" width="14.140625" style="54" customWidth="1" collapsed="1"/>
    <col min="12" max="12" width="9.140625" style="54" collapsed="1"/>
    <col min="13" max="13" width="10.85546875" style="54" bestFit="1" customWidth="1"/>
    <col min="14" max="14" width="9.85546875" style="54" bestFit="1" customWidth="1"/>
    <col min="15" max="16" width="9.140625" style="54" collapsed="1"/>
    <col min="17" max="19" width="9.140625" style="54"/>
    <col min="20" max="21" width="9.140625" style="54" collapsed="1"/>
    <col min="22" max="24" width="9.140625" style="54"/>
    <col min="25" max="26" width="9.140625" style="54" collapsed="1"/>
    <col min="27" max="29" width="9.140625" style="54"/>
    <col min="30" max="31" width="9.140625" style="54" collapsed="1"/>
    <col min="32" max="34" width="9.140625" style="54"/>
    <col min="35" max="36" width="9.140625" style="54" collapsed="1"/>
    <col min="37" max="39" width="9.140625" style="54"/>
    <col min="40" max="41" width="9.140625" style="54" collapsed="1"/>
    <col min="42" max="44" width="9.140625" style="54"/>
    <col min="45" max="46" width="9.140625" style="54" collapsed="1"/>
    <col min="47" max="49" width="9.140625" style="54"/>
    <col min="50" max="51" width="9.140625" style="54" collapsed="1"/>
    <col min="52" max="53" width="9.140625" style="54"/>
    <col min="54" max="54" width="9.140625" style="54" collapsed="1"/>
    <col min="55" max="16384" width="9.140625" style="54"/>
  </cols>
  <sheetData>
    <row r="1" spans="1:11" ht="12" customHeight="1">
      <c r="C1" s="21" t="s">
        <v>1770</v>
      </c>
      <c r="D1" s="340" t="s">
        <v>189</v>
      </c>
      <c r="E1" s="340" t="s">
        <v>190</v>
      </c>
      <c r="F1" s="340" t="s">
        <v>191</v>
      </c>
      <c r="G1" s="340" t="s">
        <v>192</v>
      </c>
      <c r="H1" s="340" t="s">
        <v>193</v>
      </c>
      <c r="I1" s="340" t="s">
        <v>194</v>
      </c>
      <c r="J1" s="340" t="s">
        <v>251</v>
      </c>
      <c r="K1" s="340" t="s">
        <v>252</v>
      </c>
    </row>
    <row r="2" spans="1:11" ht="24">
      <c r="A2" s="18" t="s">
        <v>253</v>
      </c>
      <c r="B2" s="49"/>
      <c r="C2" s="49" t="s">
        <v>490</v>
      </c>
      <c r="D2" s="19" t="s">
        <v>254</v>
      </c>
      <c r="E2" s="19" t="s">
        <v>254</v>
      </c>
      <c r="F2" s="19" t="s">
        <v>254</v>
      </c>
      <c r="G2" s="19" t="s">
        <v>254</v>
      </c>
      <c r="H2" s="19" t="s">
        <v>254</v>
      </c>
      <c r="I2" s="19" t="s">
        <v>254</v>
      </c>
      <c r="J2" s="19" t="s">
        <v>254</v>
      </c>
      <c r="K2" s="19" t="s">
        <v>254</v>
      </c>
    </row>
    <row r="3" spans="1:11">
      <c r="B3" s="13"/>
      <c r="C3" s="21"/>
    </row>
    <row r="4" spans="1:11">
      <c r="A4" s="54" t="s">
        <v>1771</v>
      </c>
      <c r="C4" s="21" t="s">
        <v>256</v>
      </c>
    </row>
    <row r="5" spans="1:11">
      <c r="A5" s="54" t="s">
        <v>1772</v>
      </c>
      <c r="C5" s="21" t="s">
        <v>1773</v>
      </c>
    </row>
    <row r="6" spans="1:11" ht="24">
      <c r="A6" s="54" t="s">
        <v>1774</v>
      </c>
      <c r="C6" s="17" t="s">
        <v>1775</v>
      </c>
      <c r="D6" s="135" t="s">
        <v>868</v>
      </c>
      <c r="E6" s="135" t="s">
        <v>868</v>
      </c>
      <c r="F6" s="135" t="s">
        <v>868</v>
      </c>
      <c r="G6" s="135" t="s">
        <v>868</v>
      </c>
      <c r="H6" s="135" t="s">
        <v>868</v>
      </c>
      <c r="I6" s="135" t="s">
        <v>868</v>
      </c>
      <c r="J6" s="135" t="s">
        <v>868</v>
      </c>
      <c r="K6" s="135" t="s">
        <v>868</v>
      </c>
    </row>
    <row r="7" spans="1:11" ht="24">
      <c r="A7" s="54" t="s">
        <v>1776</v>
      </c>
      <c r="C7" s="17" t="s">
        <v>1777</v>
      </c>
      <c r="D7" s="135" t="s">
        <v>868</v>
      </c>
      <c r="E7" s="135" t="s">
        <v>868</v>
      </c>
      <c r="F7" s="135" t="s">
        <v>868</v>
      </c>
      <c r="G7" s="135" t="s">
        <v>868</v>
      </c>
      <c r="H7" s="135" t="s">
        <v>868</v>
      </c>
      <c r="I7" s="135" t="s">
        <v>868</v>
      </c>
      <c r="J7" s="135" t="s">
        <v>868</v>
      </c>
      <c r="K7" s="135" t="s">
        <v>868</v>
      </c>
    </row>
    <row r="8" spans="1:11" ht="24">
      <c r="A8" s="54" t="s">
        <v>1778</v>
      </c>
      <c r="C8" s="17" t="s">
        <v>1779</v>
      </c>
      <c r="D8" s="135" t="s">
        <v>868</v>
      </c>
      <c r="E8" s="135" t="s">
        <v>868</v>
      </c>
      <c r="F8" s="135" t="s">
        <v>868</v>
      </c>
      <c r="G8" s="135" t="s">
        <v>868</v>
      </c>
      <c r="H8" s="135" t="s">
        <v>868</v>
      </c>
      <c r="I8" s="135" t="s">
        <v>868</v>
      </c>
      <c r="J8" s="135" t="s">
        <v>868</v>
      </c>
      <c r="K8" s="135" t="s">
        <v>868</v>
      </c>
    </row>
    <row r="9" spans="1:11">
      <c r="A9" s="54" t="s">
        <v>1780</v>
      </c>
      <c r="C9" s="21" t="s">
        <v>312</v>
      </c>
      <c r="E9" s="85"/>
      <c r="F9" s="85"/>
      <c r="G9" s="85"/>
      <c r="H9" s="85"/>
      <c r="I9" s="85"/>
      <c r="J9" s="85"/>
      <c r="K9" s="85"/>
    </row>
    <row r="10" spans="1:11">
      <c r="A10" s="54" t="s">
        <v>1781</v>
      </c>
      <c r="C10" s="17" t="s">
        <v>377</v>
      </c>
      <c r="E10" s="85"/>
      <c r="F10" s="85"/>
      <c r="G10" s="85"/>
      <c r="H10" s="85"/>
      <c r="I10" s="85"/>
      <c r="J10" s="85"/>
      <c r="K10" s="85"/>
    </row>
    <row r="11" spans="1:11">
      <c r="A11" s="54" t="s">
        <v>1782</v>
      </c>
      <c r="C11" s="21" t="s">
        <v>410</v>
      </c>
      <c r="E11" s="85"/>
      <c r="F11" s="85"/>
      <c r="G11" s="85"/>
      <c r="H11" s="85"/>
      <c r="I11" s="85"/>
      <c r="J11" s="85"/>
      <c r="K11" s="85"/>
    </row>
    <row r="12" spans="1:11" ht="36">
      <c r="A12" s="54" t="s">
        <v>1783</v>
      </c>
      <c r="C12" s="17" t="s">
        <v>1652</v>
      </c>
      <c r="E12" s="85"/>
      <c r="F12" s="85"/>
      <c r="G12" s="85"/>
      <c r="H12" s="85"/>
      <c r="I12" s="85"/>
      <c r="J12" s="85"/>
      <c r="K12" s="85"/>
    </row>
    <row r="13" spans="1:11" ht="48">
      <c r="A13" s="54" t="s">
        <v>1784</v>
      </c>
      <c r="C13" s="17" t="s">
        <v>1785</v>
      </c>
      <c r="D13" s="149" t="s">
        <v>1401</v>
      </c>
      <c r="E13" s="149" t="s">
        <v>1401</v>
      </c>
      <c r="F13" s="149" t="s">
        <v>1401</v>
      </c>
      <c r="G13" s="149" t="s">
        <v>1401</v>
      </c>
      <c r="H13" s="149" t="s">
        <v>1401</v>
      </c>
      <c r="I13" s="149" t="s">
        <v>1401</v>
      </c>
      <c r="J13" s="149" t="s">
        <v>1401</v>
      </c>
      <c r="K13" s="149" t="s">
        <v>1401</v>
      </c>
    </row>
    <row r="14" spans="1:11" ht="60">
      <c r="A14" s="54" t="s">
        <v>1786</v>
      </c>
      <c r="C14" s="17" t="s">
        <v>1787</v>
      </c>
      <c r="D14" s="149" t="s">
        <v>1401</v>
      </c>
      <c r="E14" s="149" t="s">
        <v>1401</v>
      </c>
      <c r="F14" s="149" t="s">
        <v>1401</v>
      </c>
      <c r="G14" s="149" t="s">
        <v>1401</v>
      </c>
      <c r="H14" s="149" t="s">
        <v>1401</v>
      </c>
      <c r="I14" s="149" t="s">
        <v>1401</v>
      </c>
      <c r="J14" s="149" t="s">
        <v>1401</v>
      </c>
      <c r="K14" s="149" t="s">
        <v>1401</v>
      </c>
    </row>
    <row r="15" spans="1:11">
      <c r="A15" s="54" t="s">
        <v>1788</v>
      </c>
      <c r="C15" s="21" t="s">
        <v>1634</v>
      </c>
      <c r="E15" s="85"/>
      <c r="F15" s="85"/>
      <c r="G15" s="85"/>
      <c r="H15" s="85"/>
      <c r="I15" s="85"/>
      <c r="J15" s="85"/>
      <c r="K15" s="85"/>
    </row>
    <row r="16" spans="1:11" ht="24">
      <c r="A16" s="54" t="s">
        <v>1789</v>
      </c>
      <c r="C16" s="17" t="s">
        <v>1790</v>
      </c>
      <c r="D16" s="135" t="s">
        <v>868</v>
      </c>
      <c r="E16" s="135" t="s">
        <v>868</v>
      </c>
      <c r="F16" s="135" t="s">
        <v>868</v>
      </c>
      <c r="G16" s="135" t="s">
        <v>868</v>
      </c>
      <c r="H16" s="135" t="s">
        <v>868</v>
      </c>
      <c r="I16" s="135" t="s">
        <v>868</v>
      </c>
      <c r="J16" s="135" t="s">
        <v>868</v>
      </c>
      <c r="K16" s="135" t="s">
        <v>868</v>
      </c>
    </row>
    <row r="17" spans="1:13" ht="36">
      <c r="A17" s="54" t="s">
        <v>1791</v>
      </c>
      <c r="C17" s="17" t="s">
        <v>1792</v>
      </c>
      <c r="D17" s="135" t="s">
        <v>868</v>
      </c>
      <c r="E17" s="135" t="s">
        <v>868</v>
      </c>
      <c r="F17" s="135" t="s">
        <v>868</v>
      </c>
      <c r="G17" s="135" t="s">
        <v>868</v>
      </c>
      <c r="H17" s="135" t="s">
        <v>868</v>
      </c>
      <c r="I17" s="135" t="s">
        <v>868</v>
      </c>
      <c r="J17" s="135" t="s">
        <v>868</v>
      </c>
      <c r="K17" s="135" t="s">
        <v>868</v>
      </c>
    </row>
    <row r="18" spans="1:13">
      <c r="A18" s="54" t="s">
        <v>1793</v>
      </c>
      <c r="C18" s="21" t="s">
        <v>1661</v>
      </c>
      <c r="E18" s="85"/>
      <c r="F18" s="85"/>
      <c r="G18" s="85"/>
      <c r="H18" s="85"/>
      <c r="I18" s="85"/>
      <c r="J18" s="85"/>
      <c r="K18" s="85"/>
    </row>
    <row r="19" spans="1:13">
      <c r="A19" s="54" t="s">
        <v>1794</v>
      </c>
      <c r="C19" s="21" t="s">
        <v>365</v>
      </c>
      <c r="E19" s="85"/>
      <c r="F19" s="85"/>
      <c r="G19" s="85"/>
      <c r="H19" s="85"/>
      <c r="I19" s="85"/>
      <c r="J19" s="85"/>
      <c r="K19" s="85"/>
    </row>
    <row r="20" spans="1:13" ht="24">
      <c r="A20" s="54" t="s">
        <v>1795</v>
      </c>
      <c r="C20" s="17" t="s">
        <v>1796</v>
      </c>
      <c r="D20" s="135" t="s">
        <v>868</v>
      </c>
      <c r="E20" s="135" t="s">
        <v>868</v>
      </c>
      <c r="F20" s="135" t="s">
        <v>868</v>
      </c>
      <c r="G20" s="135" t="s">
        <v>868</v>
      </c>
      <c r="H20" s="135" t="s">
        <v>868</v>
      </c>
      <c r="I20" s="135" t="s">
        <v>868</v>
      </c>
      <c r="J20" s="135" t="s">
        <v>868</v>
      </c>
      <c r="K20" s="135" t="s">
        <v>868</v>
      </c>
    </row>
    <row r="21" spans="1:13">
      <c r="A21" s="54" t="s">
        <v>1797</v>
      </c>
      <c r="C21" s="21" t="s">
        <v>379</v>
      </c>
      <c r="E21" s="85"/>
      <c r="F21" s="85"/>
      <c r="G21" s="85"/>
      <c r="H21" s="85"/>
      <c r="I21" s="85"/>
      <c r="J21" s="85"/>
      <c r="K21" s="85"/>
    </row>
    <row r="22" spans="1:13">
      <c r="A22" s="132" t="s">
        <v>1798</v>
      </c>
      <c r="B22" s="132"/>
      <c r="C22" s="17" t="s">
        <v>1747</v>
      </c>
      <c r="D22" s="135" t="s">
        <v>868</v>
      </c>
      <c r="E22" s="135" t="s">
        <v>868</v>
      </c>
      <c r="F22" s="135" t="s">
        <v>868</v>
      </c>
      <c r="G22" s="135" t="s">
        <v>868</v>
      </c>
      <c r="H22" s="135" t="s">
        <v>868</v>
      </c>
      <c r="I22" s="135" t="s">
        <v>868</v>
      </c>
      <c r="J22" s="135" t="s">
        <v>868</v>
      </c>
      <c r="K22" s="135" t="s">
        <v>868</v>
      </c>
    </row>
    <row r="23" spans="1:13" hidden="1">
      <c r="A23" s="28"/>
      <c r="B23" s="96"/>
      <c r="C23" s="96"/>
      <c r="D23" s="99">
        <v>0</v>
      </c>
      <c r="E23" s="99">
        <v>0</v>
      </c>
      <c r="F23" s="99">
        <v>0</v>
      </c>
      <c r="G23" s="99">
        <v>0</v>
      </c>
      <c r="H23" s="99">
        <v>0</v>
      </c>
      <c r="I23" s="99">
        <v>0</v>
      </c>
      <c r="J23" s="99">
        <v>0</v>
      </c>
      <c r="K23" s="99">
        <v>0</v>
      </c>
    </row>
    <row r="24" spans="1:13" s="182" customFormat="1" ht="12.75">
      <c r="A24" s="77"/>
      <c r="D24" s="183"/>
      <c r="E24" s="183" t="s">
        <v>385</v>
      </c>
      <c r="F24" s="183"/>
      <c r="G24" s="183"/>
      <c r="H24" s="183" t="s">
        <v>385</v>
      </c>
      <c r="I24" s="183"/>
      <c r="J24" s="183"/>
      <c r="K24" s="183"/>
    </row>
    <row r="25" spans="1:13" s="184" customFormat="1" ht="25.5">
      <c r="A25" s="127"/>
      <c r="D25" s="185" t="s">
        <v>189</v>
      </c>
      <c r="E25" s="186" t="s">
        <v>190</v>
      </c>
      <c r="F25" s="186" t="s">
        <v>191</v>
      </c>
      <c r="G25" s="186" t="s">
        <v>192</v>
      </c>
      <c r="H25" s="186" t="s">
        <v>193</v>
      </c>
      <c r="I25" s="186" t="s">
        <v>680</v>
      </c>
      <c r="J25" s="186" t="s">
        <v>681</v>
      </c>
      <c r="K25" s="186" t="s">
        <v>682</v>
      </c>
    </row>
    <row r="26" spans="1:13" s="184" customFormat="1" ht="12.75">
      <c r="A26" s="127"/>
      <c r="C26" s="184" t="s">
        <v>386</v>
      </c>
      <c r="D26" s="187">
        <f t="shared" ref="D26:K26" si="0">SUM(D27:D46)</f>
        <v>130489</v>
      </c>
      <c r="E26" s="187">
        <f t="shared" si="0"/>
        <v>119502.59000000001</v>
      </c>
      <c r="F26" s="187">
        <f t="shared" si="0"/>
        <v>134695.4725</v>
      </c>
      <c r="G26" s="187">
        <f t="shared" si="0"/>
        <v>141543.74862500004</v>
      </c>
      <c r="H26" s="187">
        <f t="shared" si="0"/>
        <v>148217.71505625005</v>
      </c>
      <c r="I26" s="187">
        <f t="shared" si="0"/>
        <v>155074.39480906259</v>
      </c>
      <c r="J26" s="187">
        <f t="shared" si="0"/>
        <v>162687.41004951569</v>
      </c>
      <c r="K26" s="187">
        <f t="shared" si="0"/>
        <v>170683.48705199143</v>
      </c>
    </row>
    <row r="27" spans="1:13" s="184" customFormat="1" ht="12.75">
      <c r="A27" s="127"/>
      <c r="C27" s="184" t="s">
        <v>387</v>
      </c>
      <c r="D27" s="187">
        <v>130489</v>
      </c>
      <c r="E27" s="187">
        <v>137013.45000000001</v>
      </c>
      <c r="F27" s="187">
        <v>143864.12250000003</v>
      </c>
      <c r="G27" s="187">
        <v>151057.32862500002</v>
      </c>
      <c r="H27" s="187">
        <v>158610.19505625003</v>
      </c>
      <c r="I27" s="187">
        <v>166540.70480906253</v>
      </c>
      <c r="J27" s="187">
        <v>174867.74004951568</v>
      </c>
      <c r="K27" s="187">
        <v>183611.12705199147</v>
      </c>
    </row>
    <row r="28" spans="1:13" s="184" customFormat="1" ht="12.75">
      <c r="A28" s="127"/>
      <c r="C28" s="184" t="s">
        <v>1799</v>
      </c>
      <c r="D28" s="187">
        <v>0</v>
      </c>
      <c r="E28" s="187">
        <v>-6230</v>
      </c>
      <c r="F28" s="187">
        <v>-6860</v>
      </c>
      <c r="G28" s="187">
        <v>-7548</v>
      </c>
      <c r="H28" s="187">
        <v>-8294</v>
      </c>
      <c r="I28" s="187">
        <v>-9128</v>
      </c>
      <c r="J28" s="187">
        <v>-9584</v>
      </c>
      <c r="K28" s="187">
        <v>-10063.620000000001</v>
      </c>
    </row>
    <row r="29" spans="1:13" s="184" customFormat="1" ht="12.75">
      <c r="A29" s="127"/>
      <c r="C29" s="184" t="s">
        <v>1800</v>
      </c>
      <c r="D29" s="187">
        <v>0</v>
      </c>
      <c r="E29" s="187">
        <v>3208.77</v>
      </c>
      <c r="F29" s="187">
        <v>3369.21</v>
      </c>
      <c r="G29" s="187">
        <v>3537.67</v>
      </c>
      <c r="H29" s="187">
        <v>3714.55</v>
      </c>
      <c r="I29" s="187">
        <v>3900.28</v>
      </c>
      <c r="J29" s="187">
        <v>4095.28</v>
      </c>
      <c r="K29" s="187">
        <v>4300.0600000000004</v>
      </c>
    </row>
    <row r="30" spans="1:13" s="184" customFormat="1" ht="12.75">
      <c r="A30" s="127"/>
      <c r="C30" s="184" t="s">
        <v>1801</v>
      </c>
      <c r="D30" s="187">
        <v>0</v>
      </c>
      <c r="E30" s="187">
        <v>274.73</v>
      </c>
      <c r="F30" s="187">
        <v>346.16</v>
      </c>
      <c r="G30" s="187">
        <v>363.47</v>
      </c>
      <c r="H30" s="187">
        <v>381.64</v>
      </c>
      <c r="I30" s="187">
        <v>400.73</v>
      </c>
      <c r="J30" s="187">
        <v>420.76</v>
      </c>
      <c r="K30" s="187">
        <v>441.8</v>
      </c>
    </row>
    <row r="31" spans="1:13" s="184" customFormat="1" ht="12.75">
      <c r="A31" s="127"/>
      <c r="C31" s="184" t="s">
        <v>1243</v>
      </c>
      <c r="D31" s="187">
        <v>0</v>
      </c>
      <c r="E31" s="187">
        <v>-8319</v>
      </c>
      <c r="F31" s="187">
        <v>-9471</v>
      </c>
      <c r="G31" s="187">
        <v>-9944.5499999999993</v>
      </c>
      <c r="H31" s="187">
        <v>-10441.77</v>
      </c>
      <c r="I31" s="187">
        <v>-10963.86</v>
      </c>
      <c r="J31" s="187">
        <v>-11512.06</v>
      </c>
      <c r="K31" s="187">
        <v>-12087.66</v>
      </c>
      <c r="M31" s="292"/>
    </row>
    <row r="32" spans="1:13" s="184" customFormat="1" ht="12.75">
      <c r="A32" s="127"/>
      <c r="C32" s="184" t="s">
        <v>388</v>
      </c>
      <c r="D32" s="187">
        <v>0</v>
      </c>
      <c r="E32" s="187">
        <v>-9260</v>
      </c>
      <c r="F32" s="187">
        <v>-9723</v>
      </c>
      <c r="G32" s="187">
        <v>-10209.15</v>
      </c>
      <c r="H32" s="187">
        <v>-10719.6</v>
      </c>
      <c r="I32" s="187">
        <v>-11255.58</v>
      </c>
      <c r="J32" s="187">
        <v>-11818.36</v>
      </c>
      <c r="K32" s="187">
        <v>-12409.28</v>
      </c>
    </row>
    <row r="33" spans="3:16" ht="15">
      <c r="C33" s="54" t="s">
        <v>1802</v>
      </c>
      <c r="D33" s="309">
        <v>0</v>
      </c>
      <c r="E33" s="309">
        <v>2750</v>
      </c>
      <c r="F33" s="309">
        <v>2750</v>
      </c>
      <c r="G33" s="309">
        <v>2750</v>
      </c>
      <c r="H33" s="309">
        <v>2750</v>
      </c>
      <c r="I33" s="309">
        <v>2750</v>
      </c>
      <c r="J33" s="309">
        <v>2750</v>
      </c>
      <c r="K33" s="309">
        <v>2750</v>
      </c>
    </row>
    <row r="34" spans="3:16" ht="15">
      <c r="C34" s="54" t="s">
        <v>1803</v>
      </c>
      <c r="D34" s="309">
        <v>0</v>
      </c>
      <c r="E34" s="309">
        <v>458.46</v>
      </c>
      <c r="F34" s="309">
        <v>3587.01</v>
      </c>
      <c r="G34" s="309">
        <v>3766.36</v>
      </c>
      <c r="H34" s="309">
        <v>3954.67</v>
      </c>
      <c r="I34" s="309">
        <v>4152.41</v>
      </c>
      <c r="J34" s="309">
        <v>4360.03</v>
      </c>
      <c r="K34" s="309">
        <v>4578.03</v>
      </c>
    </row>
    <row r="35" spans="3:16" ht="15">
      <c r="C35" s="54" t="s">
        <v>1244</v>
      </c>
      <c r="D35" s="309">
        <v>0</v>
      </c>
      <c r="E35" s="309">
        <v>0</v>
      </c>
      <c r="F35" s="309">
        <v>356.89</v>
      </c>
      <c r="G35" s="309">
        <v>405.97</v>
      </c>
      <c r="H35" s="309">
        <v>426.27</v>
      </c>
      <c r="I35" s="309">
        <v>447.58</v>
      </c>
      <c r="J35" s="309">
        <v>469.96</v>
      </c>
      <c r="K35" s="309">
        <v>493.46</v>
      </c>
      <c r="M35" s="54" t="s">
        <v>1804</v>
      </c>
    </row>
    <row r="36" spans="3:16" ht="15">
      <c r="C36" s="54" t="s">
        <v>1247</v>
      </c>
      <c r="D36" s="309">
        <v>0</v>
      </c>
      <c r="E36" s="309">
        <v>0</v>
      </c>
      <c r="F36" s="309">
        <v>263.88</v>
      </c>
      <c r="G36" s="309">
        <v>370</v>
      </c>
      <c r="H36" s="309">
        <v>388.5</v>
      </c>
      <c r="I36" s="309">
        <v>407.92</v>
      </c>
      <c r="J36" s="309">
        <v>428.32</v>
      </c>
      <c r="K36" s="309">
        <v>449.74</v>
      </c>
      <c r="M36" s="54" t="s">
        <v>1805</v>
      </c>
      <c r="N36" s="86">
        <f>SUM(D36:H36)</f>
        <v>1022.38</v>
      </c>
      <c r="O36" s="86">
        <f t="shared" ref="O36:O46" si="1">SUM(I36:K36)</f>
        <v>1285.98</v>
      </c>
      <c r="P36" s="86">
        <f t="shared" ref="P36:P46" si="2">SUM(N36:O36)</f>
        <v>2308.36</v>
      </c>
    </row>
    <row r="37" spans="3:16" ht="15">
      <c r="C37" s="54" t="s">
        <v>1247</v>
      </c>
      <c r="D37" s="309">
        <v>0</v>
      </c>
      <c r="E37" s="309">
        <v>-393.82</v>
      </c>
      <c r="F37" s="309">
        <v>-2307.89</v>
      </c>
      <c r="G37" s="309">
        <v>-2424.2399999999998</v>
      </c>
      <c r="H37" s="309">
        <v>-2545.4499999999998</v>
      </c>
      <c r="I37" s="309">
        <v>-2672.72</v>
      </c>
      <c r="J37" s="309">
        <v>-2806.36</v>
      </c>
      <c r="K37" s="309">
        <v>-2946.68</v>
      </c>
      <c r="M37" s="54" t="s">
        <v>1674</v>
      </c>
      <c r="N37" s="86">
        <f>SUM(D37:H37)</f>
        <v>-7671.4</v>
      </c>
      <c r="O37" s="86">
        <f t="shared" si="1"/>
        <v>-8425.76</v>
      </c>
      <c r="P37" s="86">
        <f t="shared" si="2"/>
        <v>-16097.16</v>
      </c>
    </row>
    <row r="38" spans="3:16" ht="15">
      <c r="C38" s="54" t="s">
        <v>1247</v>
      </c>
      <c r="D38" s="309"/>
      <c r="E38" s="309"/>
      <c r="F38" s="309">
        <v>8259</v>
      </c>
      <c r="G38" s="309">
        <v>8671.9500000000007</v>
      </c>
      <c r="H38" s="309">
        <v>9105.5499999999993</v>
      </c>
      <c r="I38" s="309">
        <v>9560.82</v>
      </c>
      <c r="J38" s="309">
        <v>10038.870000000001</v>
      </c>
      <c r="K38" s="309">
        <v>10540.81</v>
      </c>
      <c r="M38" s="54" t="s">
        <v>1806</v>
      </c>
      <c r="N38" s="86">
        <f>SUM(D38:H38)</f>
        <v>26036.5</v>
      </c>
      <c r="O38" s="86">
        <f t="shared" si="1"/>
        <v>30140.5</v>
      </c>
      <c r="P38" s="86">
        <f t="shared" si="2"/>
        <v>56177</v>
      </c>
    </row>
    <row r="39" spans="3:16" ht="15">
      <c r="C39" s="54" t="s">
        <v>739</v>
      </c>
      <c r="D39" s="309"/>
      <c r="E39" s="309"/>
      <c r="F39" s="309">
        <v>89.19</v>
      </c>
      <c r="G39" s="309">
        <v>187.3</v>
      </c>
      <c r="H39" s="309">
        <v>196.66</v>
      </c>
      <c r="I39" s="309">
        <v>206.5</v>
      </c>
      <c r="J39" s="309">
        <v>216.82</v>
      </c>
      <c r="K39" s="309">
        <v>227.66</v>
      </c>
      <c r="M39" s="54" t="s">
        <v>1250</v>
      </c>
      <c r="N39" s="86">
        <f>SUM(D39:K39)</f>
        <v>1124.1300000000001</v>
      </c>
      <c r="O39" s="86">
        <f t="shared" si="1"/>
        <v>650.98</v>
      </c>
      <c r="P39" s="86">
        <f t="shared" si="2"/>
        <v>1775.1100000000001</v>
      </c>
    </row>
    <row r="40" spans="3:16" ht="15">
      <c r="C40" s="54" t="s">
        <v>1807</v>
      </c>
      <c r="D40" s="309"/>
      <c r="E40" s="309"/>
      <c r="F40" s="309">
        <v>171.9</v>
      </c>
      <c r="G40" s="309">
        <v>240.66</v>
      </c>
      <c r="H40" s="309">
        <v>252.69</v>
      </c>
      <c r="I40" s="309">
        <v>265.32</v>
      </c>
      <c r="J40" s="309">
        <v>278.58999999999997</v>
      </c>
      <c r="K40" s="309">
        <v>292.52</v>
      </c>
      <c r="M40" s="54" t="s">
        <v>1808</v>
      </c>
      <c r="N40" s="86">
        <f>SUM(D40:H40)</f>
        <v>665.25</v>
      </c>
      <c r="O40" s="86">
        <f t="shared" si="1"/>
        <v>836.43</v>
      </c>
      <c r="P40" s="86">
        <f t="shared" si="2"/>
        <v>1501.6799999999998</v>
      </c>
    </row>
    <row r="41" spans="3:16" ht="15">
      <c r="C41" s="54" t="s">
        <v>1425</v>
      </c>
      <c r="D41" s="309"/>
      <c r="E41" s="309"/>
      <c r="F41" s="309"/>
      <c r="G41" s="309">
        <v>220.61</v>
      </c>
      <c r="H41" s="309">
        <v>231.64</v>
      </c>
      <c r="I41" s="309">
        <v>246.22</v>
      </c>
      <c r="J41" s="309">
        <v>255.38</v>
      </c>
      <c r="K41" s="309">
        <v>268.14999999999998</v>
      </c>
      <c r="M41" s="54" t="s">
        <v>1809</v>
      </c>
      <c r="N41" s="86">
        <f>SUM(D41:K41)</f>
        <v>1222</v>
      </c>
      <c r="O41" s="86">
        <f t="shared" si="1"/>
        <v>769.75</v>
      </c>
      <c r="P41" s="86">
        <f t="shared" si="2"/>
        <v>1991.75</v>
      </c>
    </row>
    <row r="42" spans="3:16" ht="15">
      <c r="C42" s="54" t="s">
        <v>1810</v>
      </c>
      <c r="D42" s="309"/>
      <c r="E42" s="309"/>
      <c r="F42" s="309"/>
      <c r="G42" s="309">
        <v>98.37</v>
      </c>
      <c r="H42" s="309">
        <v>206.17</v>
      </c>
      <c r="I42" s="309">
        <v>216.07</v>
      </c>
      <c r="J42" s="309">
        <v>226.44</v>
      </c>
      <c r="K42" s="309">
        <v>237.37</v>
      </c>
      <c r="M42" s="54" t="s">
        <v>1811</v>
      </c>
      <c r="N42" s="86">
        <f>SUM(D42:K42)</f>
        <v>984.42</v>
      </c>
      <c r="O42" s="86">
        <f t="shared" si="1"/>
        <v>679.88</v>
      </c>
      <c r="P42" s="86"/>
    </row>
    <row r="43" spans="3:16" ht="15">
      <c r="D43" s="309"/>
      <c r="E43" s="309"/>
      <c r="F43" s="309"/>
      <c r="G43" s="309"/>
      <c r="H43" s="309"/>
      <c r="I43" s="309"/>
      <c r="J43" s="309"/>
      <c r="K43" s="309"/>
      <c r="N43" s="86"/>
      <c r="O43" s="86"/>
      <c r="P43" s="86"/>
    </row>
    <row r="44" spans="3:16" ht="15">
      <c r="D44" s="309"/>
      <c r="E44" s="309"/>
      <c r="F44" s="309"/>
      <c r="G44" s="309"/>
      <c r="H44" s="309"/>
      <c r="I44" s="309"/>
      <c r="J44" s="309"/>
      <c r="K44" s="309"/>
      <c r="N44" s="86"/>
      <c r="O44" s="86"/>
      <c r="P44" s="86"/>
    </row>
    <row r="45" spans="3:16" ht="15">
      <c r="D45" s="309"/>
      <c r="E45" s="309"/>
      <c r="F45" s="309"/>
      <c r="G45" s="309"/>
      <c r="H45" s="309"/>
      <c r="I45" s="309"/>
      <c r="J45" s="309"/>
      <c r="K45" s="309"/>
      <c r="N45" s="86"/>
      <c r="O45" s="86"/>
      <c r="P45" s="86"/>
    </row>
    <row r="46" spans="3:16" ht="15">
      <c r="D46" s="309"/>
      <c r="E46" s="309"/>
      <c r="F46" s="309"/>
      <c r="G46" s="309"/>
      <c r="H46" s="309"/>
      <c r="I46" s="309"/>
      <c r="J46" s="309"/>
      <c r="K46" s="309"/>
      <c r="N46" s="86">
        <f>SUM(D46:H46)</f>
        <v>0</v>
      </c>
      <c r="O46" s="86">
        <f t="shared" si="1"/>
        <v>0</v>
      </c>
      <c r="P46" s="86">
        <f t="shared" si="2"/>
        <v>0</v>
      </c>
    </row>
  </sheetData>
  <phoneticPr fontId="0" type="noConversion"/>
  <printOptions horizontalCentered="1"/>
  <pageMargins left="0.25" right="0.25" top="1" bottom="1" header="0.5" footer="0.5"/>
  <pageSetup paperSize="9" fitToWidth="2" fitToHeight="2" orientation="landscape" r:id="rId1"/>
  <headerFooter alignWithMargins="0">
    <oddHeader>&amp;C&amp;"Calibri"&amp;10&amp;K737373Serco Business&amp;1#_x000D_&amp;"Calibri"&amp;11&amp;K000000&amp;"Calibri"&amp;11&amp;K000000&amp;"Arial,Bold"RESTRICTED - CONTRACTS</oddHeader>
    <oddFooter>&amp;L&amp;8PTC/CB/00642&amp;C&amp;8 2-(25)-&amp;P&amp;10
&amp;"Arial,Bold"RESTRICTED - CONTRACTS&amp;R&amp;8Pricing</oddFooter>
  </headerFooter>
  <ignoredErrors>
    <ignoredError sqref="N36:N38 O36" formulaRange="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5"/>
  <dimension ref="A1:BB19"/>
  <sheetViews>
    <sheetView zoomScale="75" workbookViewId="0">
      <selection activeCell="K8" sqref="K8"/>
    </sheetView>
  </sheetViews>
  <sheetFormatPr defaultColWidth="9.140625" defaultRowHeight="12"/>
  <cols>
    <col min="1" max="1" width="8.7109375" style="13" customWidth="1"/>
    <col min="2" max="2" width="1.7109375" style="54" customWidth="1"/>
    <col min="3" max="3" width="25.7109375" style="54" customWidth="1"/>
    <col min="4" max="4" width="15.140625" style="85" customWidth="1"/>
    <col min="5" max="5" width="14.140625" style="54" customWidth="1" collapsed="1"/>
    <col min="6" max="6" width="14.7109375" style="54" customWidth="1" collapsed="1"/>
    <col min="7" max="7" width="15" style="54" customWidth="1" collapsed="1"/>
    <col min="8" max="11" width="14.140625" style="54" customWidth="1" collapsed="1"/>
    <col min="12" max="12" width="9.140625" style="54" collapsed="1"/>
    <col min="13" max="13" width="9.140625" style="54"/>
    <col min="14" max="14" width="11.28515625" style="54" bestFit="1" customWidth="1"/>
    <col min="15" max="16" width="9.140625" style="54" collapsed="1"/>
    <col min="17" max="19" width="9.140625" style="54"/>
    <col min="20" max="21" width="9.140625" style="54" collapsed="1"/>
    <col min="22" max="24" width="9.140625" style="54"/>
    <col min="25" max="26" width="9.140625" style="54" collapsed="1"/>
    <col min="27" max="29" width="9.140625" style="54"/>
    <col min="30" max="31" width="9.140625" style="54" collapsed="1"/>
    <col min="32" max="34" width="9.140625" style="54"/>
    <col min="35" max="36" width="9.140625" style="54" collapsed="1"/>
    <col min="37" max="39" width="9.140625" style="54"/>
    <col min="40" max="41" width="9.140625" style="54" collapsed="1"/>
    <col min="42" max="44" width="9.140625" style="54"/>
    <col min="45" max="46" width="9.140625" style="54" collapsed="1"/>
    <col min="47" max="49" width="9.140625" style="54"/>
    <col min="50" max="51" width="9.140625" style="54" collapsed="1"/>
    <col min="52" max="53" width="9.140625" style="54"/>
    <col min="54" max="54" width="9.140625" style="54" collapsed="1"/>
    <col min="55" max="16384" width="9.140625" style="54"/>
  </cols>
  <sheetData>
    <row r="1" spans="1:14" ht="12" customHeight="1">
      <c r="C1" s="21" t="s">
        <v>1812</v>
      </c>
      <c r="D1" s="340" t="s">
        <v>189</v>
      </c>
      <c r="E1" s="340" t="s">
        <v>190</v>
      </c>
      <c r="F1" s="340" t="s">
        <v>191</v>
      </c>
      <c r="G1" s="340" t="s">
        <v>192</v>
      </c>
      <c r="H1" s="340" t="s">
        <v>193</v>
      </c>
      <c r="I1" s="340" t="s">
        <v>194</v>
      </c>
      <c r="J1" s="340" t="s">
        <v>251</v>
      </c>
      <c r="K1" s="340" t="s">
        <v>252</v>
      </c>
    </row>
    <row r="2" spans="1:14" ht="24">
      <c r="A2" s="18" t="s">
        <v>253</v>
      </c>
      <c r="B2" s="49"/>
      <c r="C2" s="49" t="s">
        <v>490</v>
      </c>
      <c r="D2" s="19" t="s">
        <v>254</v>
      </c>
      <c r="E2" s="19" t="s">
        <v>254</v>
      </c>
      <c r="F2" s="19" t="s">
        <v>254</v>
      </c>
      <c r="G2" s="19" t="s">
        <v>254</v>
      </c>
      <c r="H2" s="19" t="s">
        <v>254</v>
      </c>
      <c r="I2" s="19" t="s">
        <v>254</v>
      </c>
      <c r="J2" s="19" t="s">
        <v>254</v>
      </c>
      <c r="K2" s="19" t="s">
        <v>254</v>
      </c>
    </row>
    <row r="3" spans="1:14">
      <c r="B3" s="13"/>
      <c r="C3" s="21"/>
    </row>
    <row r="4" spans="1:14">
      <c r="A4" s="223" t="s">
        <v>1813</v>
      </c>
      <c r="C4" s="21" t="s">
        <v>1814</v>
      </c>
      <c r="E4" s="85"/>
      <c r="F4" s="85"/>
      <c r="G4" s="85"/>
      <c r="H4" s="85"/>
      <c r="I4" s="85"/>
      <c r="J4" s="85"/>
      <c r="K4" s="85"/>
    </row>
    <row r="5" spans="1:14" hidden="1">
      <c r="A5" s="28"/>
      <c r="B5" s="96"/>
      <c r="C5" s="96"/>
      <c r="D5" s="99">
        <v>0</v>
      </c>
      <c r="E5" s="99">
        <v>0</v>
      </c>
      <c r="F5" s="99">
        <v>0</v>
      </c>
      <c r="G5" s="99">
        <v>0</v>
      </c>
      <c r="H5" s="99">
        <v>0</v>
      </c>
      <c r="I5" s="99">
        <v>0</v>
      </c>
      <c r="J5" s="99">
        <v>0</v>
      </c>
      <c r="K5" s="99">
        <v>0</v>
      </c>
    </row>
    <row r="6" spans="1:14" s="182" customFormat="1" ht="12.75">
      <c r="A6" s="77"/>
      <c r="D6" s="183"/>
      <c r="E6" s="183" t="s">
        <v>385</v>
      </c>
      <c r="F6" s="183"/>
      <c r="G6" s="183"/>
      <c r="H6" s="183" t="s">
        <v>385</v>
      </c>
      <c r="I6" s="183"/>
      <c r="J6" s="183"/>
      <c r="K6" s="183"/>
    </row>
    <row r="7" spans="1:14" s="184" customFormat="1" ht="25.5">
      <c r="A7" s="127"/>
      <c r="D7" s="185" t="s">
        <v>189</v>
      </c>
      <c r="E7" s="186" t="s">
        <v>190</v>
      </c>
      <c r="F7" s="186" t="s">
        <v>191</v>
      </c>
      <c r="G7" s="186" t="s">
        <v>192</v>
      </c>
      <c r="H7" s="186" t="s">
        <v>193</v>
      </c>
      <c r="I7" s="186" t="s">
        <v>194</v>
      </c>
      <c r="J7" s="186" t="s">
        <v>251</v>
      </c>
      <c r="K7" s="186" t="s">
        <v>252</v>
      </c>
    </row>
    <row r="8" spans="1:14" s="184" customFormat="1" ht="12.75">
      <c r="A8" s="127"/>
      <c r="C8" s="184" t="s">
        <v>386</v>
      </c>
      <c r="D8" s="187">
        <f>SUM(D9:D19)</f>
        <v>4950448.3600000003</v>
      </c>
      <c r="E8" s="187">
        <f t="shared" ref="E8:K8" si="0">SUM(E9:E19)</f>
        <v>5382246.9100000011</v>
      </c>
      <c r="F8" s="187">
        <f t="shared" si="0"/>
        <v>5863993.6799999997</v>
      </c>
      <c r="G8" s="187">
        <f t="shared" si="0"/>
        <v>6154163.7800000003</v>
      </c>
      <c r="H8" s="187">
        <f t="shared" si="0"/>
        <v>7930291.7599999998</v>
      </c>
      <c r="I8" s="187">
        <f t="shared" si="0"/>
        <v>7422638.0999999996</v>
      </c>
      <c r="J8" s="187">
        <f t="shared" si="0"/>
        <v>7747864.0099999998</v>
      </c>
      <c r="K8" s="187">
        <f t="shared" si="0"/>
        <v>8446911.6999999993</v>
      </c>
    </row>
    <row r="9" spans="1:14" s="184" customFormat="1" ht="12.75">
      <c r="A9" s="127"/>
      <c r="C9" s="184" t="s">
        <v>387</v>
      </c>
      <c r="D9" s="187">
        <v>4841751</v>
      </c>
      <c r="E9" s="187">
        <v>5231760.2</v>
      </c>
      <c r="F9" s="187">
        <v>5706528</v>
      </c>
      <c r="G9" s="187">
        <v>5948447</v>
      </c>
      <c r="H9" s="187">
        <v>6379717</v>
      </c>
      <c r="I9" s="187">
        <v>5815409</v>
      </c>
      <c r="J9" s="187">
        <v>6081882</v>
      </c>
      <c r="K9" s="187"/>
    </row>
    <row r="10" spans="1:14" s="184" customFormat="1" ht="12.75">
      <c r="A10" s="127"/>
      <c r="C10" s="184" t="s">
        <v>1815</v>
      </c>
      <c r="D10" s="187">
        <v>0</v>
      </c>
      <c r="E10" s="187">
        <v>36354.480000000003</v>
      </c>
      <c r="F10" s="187">
        <v>37626.839999999997</v>
      </c>
      <c r="G10" s="187">
        <v>38943.839999999997</v>
      </c>
      <c r="H10" s="187">
        <v>40306.800000000003</v>
      </c>
      <c r="I10" s="187">
        <v>41717.519999999997</v>
      </c>
      <c r="J10" s="187">
        <v>43177.68</v>
      </c>
      <c r="K10" s="187">
        <v>44688.84</v>
      </c>
    </row>
    <row r="11" spans="1:14" s="184" customFormat="1" ht="12.75">
      <c r="A11" s="127"/>
      <c r="C11" s="184" t="s">
        <v>1816</v>
      </c>
      <c r="D11" s="187">
        <v>108697.36</v>
      </c>
      <c r="E11" s="187">
        <v>114132.23</v>
      </c>
      <c r="F11" s="187">
        <v>119838.84</v>
      </c>
      <c r="G11" s="187">
        <v>125830.78</v>
      </c>
      <c r="H11" s="187">
        <v>132122.32</v>
      </c>
      <c r="I11" s="187">
        <v>138728.44</v>
      </c>
      <c r="J11" s="187">
        <v>145664.85999999999</v>
      </c>
      <c r="K11" s="187">
        <v>152948.1</v>
      </c>
    </row>
    <row r="12" spans="1:14" s="184" customFormat="1" ht="12.75">
      <c r="A12" s="127"/>
      <c r="C12" s="184" t="s">
        <v>1807</v>
      </c>
      <c r="D12" s="187"/>
      <c r="E12" s="187"/>
      <c r="F12" s="187"/>
      <c r="G12" s="187">
        <v>40942.160000000003</v>
      </c>
      <c r="H12" s="187">
        <v>80512.639999999999</v>
      </c>
      <c r="I12" s="187">
        <v>83733.14</v>
      </c>
      <c r="J12" s="187">
        <v>87082.47</v>
      </c>
      <c r="K12" s="187">
        <v>90565.759999999995</v>
      </c>
      <c r="M12" s="184" t="s">
        <v>1817</v>
      </c>
      <c r="N12" s="292">
        <f>SUM(G12:K12)</f>
        <v>382836.17000000004</v>
      </c>
    </row>
    <row r="13" spans="1:14" s="184" customFormat="1" ht="12.75">
      <c r="A13" s="127"/>
      <c r="C13" s="184" t="s">
        <v>1818</v>
      </c>
      <c r="D13" s="187"/>
      <c r="E13" s="187"/>
      <c r="F13" s="187"/>
      <c r="G13" s="187"/>
      <c r="H13" s="187"/>
      <c r="I13" s="187"/>
      <c r="J13" s="187"/>
      <c r="K13" s="187">
        <v>6720000</v>
      </c>
      <c r="N13" s="292"/>
    </row>
    <row r="14" spans="1:14" s="184" customFormat="1" ht="12.75">
      <c r="A14" s="127"/>
      <c r="C14" s="184" t="s">
        <v>1819</v>
      </c>
      <c r="D14" s="187"/>
      <c r="E14" s="187"/>
      <c r="F14" s="187"/>
      <c r="G14" s="187"/>
      <c r="H14" s="187">
        <v>1297633</v>
      </c>
      <c r="I14" s="187">
        <v>1343050</v>
      </c>
      <c r="J14" s="187">
        <v>1390057</v>
      </c>
      <c r="K14" s="187">
        <v>1438709</v>
      </c>
      <c r="N14" s="292"/>
    </row>
    <row r="15" spans="1:14" s="184" customFormat="1" ht="12.75">
      <c r="A15" s="127"/>
      <c r="D15" s="187"/>
      <c r="E15" s="187"/>
      <c r="F15" s="187"/>
      <c r="G15" s="187"/>
      <c r="H15" s="187"/>
      <c r="I15" s="187"/>
      <c r="J15" s="187"/>
      <c r="K15" s="187"/>
      <c r="N15" s="292"/>
    </row>
    <row r="16" spans="1:14" s="184" customFormat="1" ht="12.75">
      <c r="A16" s="127"/>
      <c r="D16" s="187"/>
      <c r="E16" s="187"/>
      <c r="F16" s="187"/>
      <c r="G16" s="187"/>
      <c r="H16" s="187"/>
      <c r="I16" s="187"/>
      <c r="J16" s="187"/>
      <c r="K16" s="187"/>
      <c r="N16" s="292"/>
    </row>
    <row r="17" spans="1:14" s="184" customFormat="1" ht="12.75">
      <c r="A17" s="127"/>
      <c r="D17" s="187"/>
      <c r="E17" s="187"/>
      <c r="F17" s="187"/>
      <c r="G17" s="187"/>
      <c r="H17" s="187"/>
      <c r="I17" s="187"/>
      <c r="J17" s="187"/>
      <c r="K17" s="187"/>
      <c r="N17" s="292"/>
    </row>
    <row r="18" spans="1:14" s="184" customFormat="1" ht="12.75">
      <c r="A18" s="127"/>
      <c r="D18" s="187"/>
      <c r="E18" s="187"/>
      <c r="F18" s="187"/>
      <c r="G18" s="187"/>
      <c r="H18" s="187"/>
      <c r="I18" s="187"/>
      <c r="J18" s="187"/>
      <c r="K18" s="187"/>
      <c r="N18" s="292"/>
    </row>
    <row r="19" spans="1:14" s="184" customFormat="1" ht="12.75">
      <c r="A19" s="127"/>
      <c r="D19" s="187"/>
      <c r="E19" s="187"/>
      <c r="F19" s="187"/>
      <c r="G19" s="187"/>
      <c r="H19" s="187"/>
      <c r="I19" s="187"/>
      <c r="J19" s="187"/>
      <c r="K19" s="187"/>
    </row>
  </sheetData>
  <phoneticPr fontId="0" type="noConversion"/>
  <printOptions horizontalCentered="1"/>
  <pageMargins left="0.25" right="0.25" top="1" bottom="1" header="0.5" footer="0.5"/>
  <pageSetup paperSize="9" fitToWidth="2" fitToHeight="2" orientation="landscape" r:id="rId1"/>
  <headerFooter alignWithMargins="0">
    <oddHeader>&amp;C&amp;"Calibri"&amp;10&amp;K737373Serco Business&amp;1#_x000D_&amp;"Calibri"&amp;11&amp;K000000&amp;"Calibri"&amp;11&amp;K000000&amp;"Arial,Bold"RESTRICTED - CONTRACTS</oddHeader>
    <oddFooter>&amp;L&amp;8PTC/CB/00642&amp;C&amp;8 2-(25)-&amp;P&amp;10
&amp;"Arial,Bold"RESTRICTED - CONTRACTS&amp;R&amp;8Pricing</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dimension ref="A1:BC45"/>
  <sheetViews>
    <sheetView topLeftCell="A36" zoomScale="75" workbookViewId="0">
      <selection activeCell="J65" sqref="J65"/>
    </sheetView>
  </sheetViews>
  <sheetFormatPr defaultColWidth="9.140625" defaultRowHeight="12"/>
  <cols>
    <col min="1" max="1" width="8.7109375" style="13" customWidth="1"/>
    <col min="2" max="2" width="2.7109375" style="54" customWidth="1"/>
    <col min="3" max="3" width="25.7109375" style="54" customWidth="1"/>
    <col min="4" max="4" width="14.5703125" style="85" customWidth="1" collapsed="1"/>
    <col min="5" max="6" width="14.5703125" style="54" customWidth="1" collapsed="1"/>
    <col min="7" max="8" width="14.5703125" style="54" customWidth="1"/>
    <col min="9" max="11" width="14.5703125" style="54" customWidth="1" collapsed="1"/>
    <col min="12" max="12" width="9.140625" style="54" collapsed="1"/>
    <col min="13" max="13" width="9.140625" style="54"/>
    <col min="14" max="14" width="9.140625" style="54" collapsed="1"/>
    <col min="15" max="15" width="9.140625" style="54"/>
    <col min="16" max="16" width="9.140625" style="54" collapsed="1"/>
    <col min="17" max="18" width="9.140625" style="54"/>
    <col min="19" max="19" width="9.140625" style="54" collapsed="1"/>
    <col min="20" max="20" width="9.140625" style="54"/>
    <col min="21" max="21" width="9.140625" style="54" collapsed="1"/>
    <col min="22" max="23" width="9.140625" style="54"/>
    <col min="24" max="24" width="9.140625" style="54" collapsed="1"/>
    <col min="25" max="25" width="9.140625" style="54"/>
    <col min="26" max="26" width="9.140625" style="54" collapsed="1"/>
    <col min="27" max="28" width="9.140625" style="54"/>
    <col min="29" max="29" width="9.140625" style="54" collapsed="1"/>
    <col min="30" max="30" width="9.140625" style="54"/>
    <col min="31" max="31" width="9.140625" style="54" collapsed="1"/>
    <col min="32" max="33" width="9.140625" style="54"/>
    <col min="34" max="34" width="9.140625" style="54" collapsed="1"/>
    <col min="35" max="35" width="9.140625" style="54"/>
    <col min="36" max="36" width="9.140625" style="54" collapsed="1"/>
    <col min="37" max="38" width="9.140625" style="54"/>
    <col min="39" max="39" width="9.140625" style="54" collapsed="1"/>
    <col min="40" max="40" width="9.140625" style="54"/>
    <col min="41" max="41" width="9.140625" style="54" collapsed="1"/>
    <col min="42" max="43" width="9.140625" style="54"/>
    <col min="44" max="44" width="9.140625" style="54" collapsed="1"/>
    <col min="45" max="45" width="9.140625" style="54"/>
    <col min="46" max="46" width="9.140625" style="54" collapsed="1"/>
    <col min="47" max="48" width="9.140625" style="54"/>
    <col min="49" max="49" width="9.140625" style="54" collapsed="1"/>
    <col min="50" max="50" width="9.140625" style="54"/>
    <col min="51" max="51" width="9.140625" style="54" collapsed="1"/>
    <col min="52" max="54" width="9.140625" style="54"/>
    <col min="55" max="55" width="9.140625" style="54" collapsed="1"/>
    <col min="56" max="16384" width="9.140625" style="54"/>
  </cols>
  <sheetData>
    <row r="1" spans="1:11" ht="24">
      <c r="C1" s="21" t="s">
        <v>1820</v>
      </c>
      <c r="D1" s="340" t="s">
        <v>189</v>
      </c>
      <c r="E1" s="340" t="s">
        <v>190</v>
      </c>
      <c r="F1" s="340" t="s">
        <v>191</v>
      </c>
      <c r="G1" s="340" t="s">
        <v>192</v>
      </c>
      <c r="H1" s="340" t="s">
        <v>193</v>
      </c>
      <c r="I1" s="340" t="s">
        <v>194</v>
      </c>
      <c r="J1" s="340" t="s">
        <v>251</v>
      </c>
      <c r="K1" s="340" t="s">
        <v>252</v>
      </c>
    </row>
    <row r="2" spans="1:11" ht="24">
      <c r="A2" s="18" t="s">
        <v>253</v>
      </c>
      <c r="B2" s="49"/>
      <c r="C2" s="49" t="s">
        <v>490</v>
      </c>
      <c r="D2" s="19" t="s">
        <v>254</v>
      </c>
      <c r="E2" s="19" t="s">
        <v>254</v>
      </c>
      <c r="F2" s="19" t="s">
        <v>254</v>
      </c>
      <c r="G2" s="19" t="s">
        <v>254</v>
      </c>
      <c r="H2" s="19" t="s">
        <v>254</v>
      </c>
      <c r="I2" s="19" t="s">
        <v>254</v>
      </c>
      <c r="J2" s="19" t="s">
        <v>254</v>
      </c>
      <c r="K2" s="19" t="s">
        <v>254</v>
      </c>
    </row>
    <row r="3" spans="1:11">
      <c r="B3" s="13"/>
      <c r="C3" s="21"/>
    </row>
    <row r="4" spans="1:11">
      <c r="A4" s="17" t="s">
        <v>1821</v>
      </c>
      <c r="B4" s="17"/>
      <c r="C4" s="52" t="s">
        <v>256</v>
      </c>
    </row>
    <row r="5" spans="1:11">
      <c r="A5" s="17" t="s">
        <v>1822</v>
      </c>
      <c r="B5" s="17"/>
      <c r="C5" s="52" t="s">
        <v>1823</v>
      </c>
    </row>
    <row r="6" spans="1:11" ht="24">
      <c r="A6" s="17" t="s">
        <v>1824</v>
      </c>
      <c r="B6" s="17"/>
      <c r="C6" s="17" t="s">
        <v>1825</v>
      </c>
      <c r="D6" s="90">
        <v>300</v>
      </c>
      <c r="E6" s="90">
        <v>300</v>
      </c>
      <c r="F6" s="180">
        <v>300</v>
      </c>
      <c r="G6" s="90">
        <v>300</v>
      </c>
      <c r="H6" s="181">
        <v>300</v>
      </c>
      <c r="I6" s="90">
        <v>300</v>
      </c>
      <c r="J6" s="180">
        <v>300</v>
      </c>
      <c r="K6" s="90">
        <v>300</v>
      </c>
    </row>
    <row r="7" spans="1:11" ht="24">
      <c r="A7" s="17" t="s">
        <v>1826</v>
      </c>
      <c r="B7" s="17"/>
      <c r="C7" s="17" t="s">
        <v>1827</v>
      </c>
      <c r="D7" s="90">
        <v>280</v>
      </c>
      <c r="E7" s="90">
        <v>280</v>
      </c>
      <c r="F7" s="180">
        <v>280</v>
      </c>
      <c r="G7" s="90">
        <v>280</v>
      </c>
      <c r="H7" s="181">
        <v>280</v>
      </c>
      <c r="I7" s="90">
        <v>280</v>
      </c>
      <c r="J7" s="180">
        <v>280</v>
      </c>
      <c r="K7" s="90">
        <v>280</v>
      </c>
    </row>
    <row r="8" spans="1:11" ht="48">
      <c r="A8" s="17" t="s">
        <v>1828</v>
      </c>
      <c r="B8" s="17"/>
      <c r="C8" s="17" t="s">
        <v>1829</v>
      </c>
      <c r="D8" s="90">
        <v>50</v>
      </c>
      <c r="E8" s="90">
        <v>50</v>
      </c>
      <c r="F8" s="180">
        <v>50</v>
      </c>
      <c r="G8" s="90">
        <v>50</v>
      </c>
      <c r="H8" s="181">
        <v>50</v>
      </c>
      <c r="I8" s="90">
        <v>50</v>
      </c>
      <c r="J8" s="180">
        <v>50</v>
      </c>
      <c r="K8" s="90">
        <v>50</v>
      </c>
    </row>
    <row r="9" spans="1:11">
      <c r="A9" s="17" t="s">
        <v>1830</v>
      </c>
      <c r="B9" s="17"/>
      <c r="C9" s="52" t="s">
        <v>1831</v>
      </c>
      <c r="E9" s="85"/>
      <c r="F9" s="85"/>
      <c r="G9" s="85"/>
      <c r="H9" s="85"/>
      <c r="I9" s="85"/>
      <c r="J9" s="85"/>
      <c r="K9" s="85"/>
    </row>
    <row r="10" spans="1:11" ht="24">
      <c r="A10" s="17" t="s">
        <v>1832</v>
      </c>
      <c r="B10" s="17"/>
      <c r="C10" s="17" t="s">
        <v>1833</v>
      </c>
      <c r="D10" s="90">
        <v>500</v>
      </c>
      <c r="E10" s="90">
        <v>500</v>
      </c>
      <c r="F10" s="180">
        <v>500</v>
      </c>
      <c r="G10" s="90">
        <v>500</v>
      </c>
      <c r="H10" s="181">
        <v>500</v>
      </c>
      <c r="I10" s="90">
        <v>500</v>
      </c>
      <c r="J10" s="180">
        <v>500</v>
      </c>
      <c r="K10" s="90">
        <v>500</v>
      </c>
    </row>
    <row r="11" spans="1:11" ht="24">
      <c r="A11" s="17" t="s">
        <v>1834</v>
      </c>
      <c r="B11" s="17"/>
      <c r="C11" s="17" t="s">
        <v>1835</v>
      </c>
      <c r="D11" s="90">
        <v>540</v>
      </c>
      <c r="E11" s="90">
        <v>540</v>
      </c>
      <c r="F11" s="180">
        <v>540</v>
      </c>
      <c r="G11" s="90">
        <v>540</v>
      </c>
      <c r="H11" s="181">
        <v>540</v>
      </c>
      <c r="I11" s="90">
        <v>540</v>
      </c>
      <c r="J11" s="180">
        <v>540</v>
      </c>
      <c r="K11" s="90">
        <v>540</v>
      </c>
    </row>
    <row r="12" spans="1:11" ht="36">
      <c r="A12" s="17" t="s">
        <v>1836</v>
      </c>
      <c r="B12" s="17"/>
      <c r="C12" s="17" t="s">
        <v>1837</v>
      </c>
      <c r="D12" s="90">
        <v>665</v>
      </c>
      <c r="E12" s="181">
        <v>665</v>
      </c>
      <c r="F12" s="90">
        <v>665</v>
      </c>
      <c r="G12" s="180">
        <v>665</v>
      </c>
      <c r="H12" s="181">
        <v>665</v>
      </c>
      <c r="I12" s="90">
        <v>665</v>
      </c>
      <c r="J12" s="180">
        <v>665</v>
      </c>
      <c r="K12" s="90">
        <v>665</v>
      </c>
    </row>
    <row r="13" spans="1:11" ht="60">
      <c r="A13" s="17" t="s">
        <v>1838</v>
      </c>
      <c r="B13" s="17"/>
      <c r="C13" s="17" t="s">
        <v>1839</v>
      </c>
      <c r="D13" s="90">
        <v>100</v>
      </c>
      <c r="E13" s="181">
        <v>100</v>
      </c>
      <c r="F13" s="90">
        <v>100</v>
      </c>
      <c r="G13" s="180">
        <v>100</v>
      </c>
      <c r="H13" s="181">
        <v>100</v>
      </c>
      <c r="I13" s="90">
        <v>100</v>
      </c>
      <c r="J13" s="180">
        <v>100</v>
      </c>
      <c r="K13" s="90">
        <v>100</v>
      </c>
    </row>
    <row r="14" spans="1:11" ht="36">
      <c r="A14" s="17" t="s">
        <v>1840</v>
      </c>
      <c r="B14" s="17"/>
      <c r="C14" s="17" t="s">
        <v>1841</v>
      </c>
      <c r="D14" s="90">
        <v>1000</v>
      </c>
      <c r="E14" s="181">
        <v>1000</v>
      </c>
      <c r="F14" s="90">
        <v>1000</v>
      </c>
      <c r="G14" s="180">
        <v>1000</v>
      </c>
      <c r="H14" s="181">
        <v>1000</v>
      </c>
      <c r="I14" s="90">
        <v>1000</v>
      </c>
      <c r="J14" s="180">
        <v>1000</v>
      </c>
      <c r="K14" s="90">
        <v>1000</v>
      </c>
    </row>
    <row r="15" spans="1:11" ht="36">
      <c r="A15" s="17" t="s">
        <v>1842</v>
      </c>
      <c r="B15" s="17"/>
      <c r="C15" s="17" t="s">
        <v>1843</v>
      </c>
      <c r="D15" s="90">
        <v>100</v>
      </c>
      <c r="E15" s="181">
        <v>100</v>
      </c>
      <c r="F15" s="90">
        <v>100</v>
      </c>
      <c r="G15" s="180">
        <v>100</v>
      </c>
      <c r="H15" s="181">
        <v>100</v>
      </c>
      <c r="I15" s="90">
        <v>100</v>
      </c>
      <c r="J15" s="180">
        <v>100</v>
      </c>
      <c r="K15" s="90">
        <v>100</v>
      </c>
    </row>
    <row r="16" spans="1:11" ht="24">
      <c r="A16" s="17" t="s">
        <v>1844</v>
      </c>
      <c r="B16" s="17"/>
      <c r="C16" s="17" t="s">
        <v>1845</v>
      </c>
      <c r="D16" s="90">
        <v>300</v>
      </c>
      <c r="E16" s="181">
        <v>300</v>
      </c>
      <c r="F16" s="90">
        <v>300</v>
      </c>
      <c r="G16" s="180">
        <v>300</v>
      </c>
      <c r="H16" s="181">
        <v>300</v>
      </c>
      <c r="I16" s="90">
        <v>300</v>
      </c>
      <c r="J16" s="180">
        <v>300</v>
      </c>
      <c r="K16" s="90">
        <v>300</v>
      </c>
    </row>
    <row r="17" spans="1:11">
      <c r="A17" s="17" t="s">
        <v>1846</v>
      </c>
      <c r="B17" s="17"/>
      <c r="C17" s="52" t="s">
        <v>1847</v>
      </c>
      <c r="E17" s="85"/>
      <c r="F17" s="85"/>
      <c r="G17" s="85"/>
      <c r="H17" s="85"/>
      <c r="I17" s="85"/>
      <c r="J17" s="85"/>
      <c r="K17" s="85"/>
    </row>
    <row r="18" spans="1:11" ht="24">
      <c r="A18" s="17" t="s">
        <v>1848</v>
      </c>
      <c r="B18" s="17"/>
      <c r="C18" s="17" t="s">
        <v>1849</v>
      </c>
      <c r="D18" s="90">
        <v>1800</v>
      </c>
      <c r="E18" s="90">
        <v>1800</v>
      </c>
      <c r="F18" s="180">
        <v>1800</v>
      </c>
      <c r="G18" s="90">
        <v>1800</v>
      </c>
      <c r="H18" s="181">
        <v>1800</v>
      </c>
      <c r="I18" s="90">
        <v>1800</v>
      </c>
      <c r="J18" s="180">
        <v>1800</v>
      </c>
      <c r="K18" s="90">
        <v>1800</v>
      </c>
    </row>
    <row r="19" spans="1:11" ht="108">
      <c r="A19" s="17"/>
      <c r="B19" s="17"/>
      <c r="C19" s="17" t="s">
        <v>1850</v>
      </c>
      <c r="D19" s="90">
        <v>425</v>
      </c>
      <c r="E19" s="90">
        <v>425</v>
      </c>
      <c r="F19" s="180">
        <v>425</v>
      </c>
      <c r="G19" s="90">
        <v>425</v>
      </c>
      <c r="H19" s="181">
        <v>425</v>
      </c>
      <c r="I19" s="90">
        <v>425</v>
      </c>
      <c r="J19" s="180">
        <v>425</v>
      </c>
      <c r="K19" s="90">
        <v>425</v>
      </c>
    </row>
    <row r="20" spans="1:11">
      <c r="A20" s="17" t="s">
        <v>1851</v>
      </c>
      <c r="B20" s="17"/>
      <c r="C20" s="52" t="s">
        <v>312</v>
      </c>
      <c r="E20" s="85"/>
      <c r="F20" s="85"/>
      <c r="G20" s="85"/>
      <c r="H20" s="85"/>
      <c r="I20" s="85"/>
      <c r="J20" s="85"/>
      <c r="K20" s="85"/>
    </row>
    <row r="21" spans="1:11">
      <c r="A21" s="17" t="s">
        <v>1852</v>
      </c>
      <c r="B21" s="17"/>
      <c r="C21" s="17" t="s">
        <v>460</v>
      </c>
      <c r="E21" s="85"/>
      <c r="F21" s="85"/>
      <c r="G21" s="85"/>
      <c r="H21" s="85"/>
      <c r="I21" s="85"/>
      <c r="J21" s="85"/>
      <c r="K21" s="85"/>
    </row>
    <row r="22" spans="1:11">
      <c r="A22" s="17" t="s">
        <v>1853</v>
      </c>
      <c r="B22" s="17"/>
      <c r="C22" s="52" t="s">
        <v>410</v>
      </c>
      <c r="E22" s="85"/>
      <c r="F22" s="85"/>
      <c r="G22" s="85"/>
      <c r="H22" s="85"/>
      <c r="I22" s="85"/>
      <c r="J22" s="85"/>
      <c r="K22" s="85"/>
    </row>
    <row r="23" spans="1:11" ht="36">
      <c r="A23" s="17" t="s">
        <v>1854</v>
      </c>
      <c r="B23" s="17"/>
      <c r="C23" s="13" t="s">
        <v>1711</v>
      </c>
      <c r="E23" s="85"/>
      <c r="F23" s="85"/>
      <c r="G23" s="85"/>
      <c r="H23" s="85"/>
      <c r="I23" s="85"/>
      <c r="J23" s="85"/>
      <c r="K23" s="85"/>
    </row>
    <row r="24" spans="1:11">
      <c r="A24" s="17" t="s">
        <v>1855</v>
      </c>
      <c r="B24" s="17"/>
      <c r="C24" s="52" t="s">
        <v>320</v>
      </c>
      <c r="E24" s="85"/>
      <c r="F24" s="85"/>
      <c r="G24" s="85"/>
      <c r="H24" s="85"/>
      <c r="I24" s="85"/>
      <c r="J24" s="85"/>
      <c r="K24" s="85"/>
    </row>
    <row r="25" spans="1:11">
      <c r="A25" s="17" t="s">
        <v>1856</v>
      </c>
      <c r="B25" s="17"/>
      <c r="C25" s="52" t="s">
        <v>1857</v>
      </c>
      <c r="E25" s="85"/>
      <c r="F25" s="85"/>
      <c r="G25" s="85"/>
      <c r="H25" s="85"/>
      <c r="I25" s="85"/>
      <c r="J25" s="85"/>
      <c r="K25" s="85"/>
    </row>
    <row r="26" spans="1:11" ht="60">
      <c r="A26" s="17" t="s">
        <v>1858</v>
      </c>
      <c r="B26" s="17"/>
      <c r="C26" s="17" t="s">
        <v>1859</v>
      </c>
      <c r="D26" s="90">
        <v>300</v>
      </c>
      <c r="E26" s="90">
        <v>300</v>
      </c>
      <c r="F26" s="180">
        <v>300</v>
      </c>
      <c r="G26" s="90">
        <v>300</v>
      </c>
      <c r="H26" s="181">
        <v>300</v>
      </c>
      <c r="I26" s="90">
        <v>300</v>
      </c>
      <c r="J26" s="180">
        <v>300</v>
      </c>
      <c r="K26" s="90">
        <v>300</v>
      </c>
    </row>
    <row r="27" spans="1:11">
      <c r="A27" s="17" t="s">
        <v>1860</v>
      </c>
      <c r="B27" s="17"/>
      <c r="C27" s="52" t="s">
        <v>1861</v>
      </c>
      <c r="E27" s="85"/>
      <c r="F27" s="85"/>
      <c r="G27" s="85"/>
      <c r="H27" s="85"/>
      <c r="I27" s="85"/>
      <c r="J27" s="85"/>
      <c r="K27" s="85"/>
    </row>
    <row r="28" spans="1:11" ht="72">
      <c r="A28" s="17" t="s">
        <v>1862</v>
      </c>
      <c r="B28" s="17"/>
      <c r="C28" s="17" t="s">
        <v>1863</v>
      </c>
      <c r="D28" s="90">
        <v>300</v>
      </c>
      <c r="E28" s="90">
        <v>300</v>
      </c>
      <c r="F28" s="180">
        <v>300</v>
      </c>
      <c r="G28" s="90">
        <v>300</v>
      </c>
      <c r="H28" s="181">
        <v>300</v>
      </c>
      <c r="I28" s="90">
        <v>300</v>
      </c>
      <c r="J28" s="180">
        <v>300</v>
      </c>
      <c r="K28" s="90">
        <v>300</v>
      </c>
    </row>
    <row r="29" spans="1:11">
      <c r="A29" s="17" t="s">
        <v>1864</v>
      </c>
      <c r="B29" s="17"/>
      <c r="C29" s="52" t="s">
        <v>1865</v>
      </c>
      <c r="E29" s="85"/>
      <c r="F29" s="85"/>
      <c r="G29" s="85"/>
      <c r="H29" s="85"/>
      <c r="I29" s="85"/>
      <c r="J29" s="85"/>
      <c r="K29" s="85"/>
    </row>
    <row r="30" spans="1:11" ht="60">
      <c r="A30" s="17" t="s">
        <v>1866</v>
      </c>
      <c r="B30" s="17"/>
      <c r="C30" s="17" t="s">
        <v>1867</v>
      </c>
      <c r="D30" s="90">
        <v>300</v>
      </c>
      <c r="E30" s="90">
        <v>300</v>
      </c>
      <c r="F30" s="180">
        <v>300</v>
      </c>
      <c r="G30" s="90">
        <v>300</v>
      </c>
      <c r="H30" s="181">
        <v>300</v>
      </c>
      <c r="I30" s="90">
        <v>300</v>
      </c>
      <c r="J30" s="180">
        <v>300</v>
      </c>
      <c r="K30" s="90">
        <v>300</v>
      </c>
    </row>
    <row r="31" spans="1:11">
      <c r="A31" s="17" t="s">
        <v>1868</v>
      </c>
      <c r="B31" s="17"/>
      <c r="C31" s="52" t="s">
        <v>429</v>
      </c>
      <c r="E31" s="85"/>
      <c r="F31" s="85"/>
      <c r="G31" s="85"/>
      <c r="H31" s="85"/>
      <c r="I31" s="85"/>
      <c r="J31" s="85"/>
      <c r="K31" s="85"/>
    </row>
    <row r="32" spans="1:11">
      <c r="A32" s="17" t="s">
        <v>1869</v>
      </c>
      <c r="B32" s="17"/>
      <c r="C32" s="52" t="s">
        <v>479</v>
      </c>
      <c r="E32" s="85"/>
      <c r="F32" s="85"/>
      <c r="G32" s="85"/>
      <c r="H32" s="85"/>
      <c r="I32" s="85"/>
      <c r="J32" s="85"/>
      <c r="K32" s="85"/>
    </row>
    <row r="33" spans="1:11" ht="24">
      <c r="A33" s="17" t="s">
        <v>1870</v>
      </c>
      <c r="B33" s="17"/>
      <c r="C33" s="17" t="s">
        <v>1871</v>
      </c>
      <c r="D33" s="90">
        <v>100</v>
      </c>
      <c r="E33" s="90">
        <v>100</v>
      </c>
      <c r="F33" s="180">
        <v>100</v>
      </c>
      <c r="G33" s="90">
        <v>100</v>
      </c>
      <c r="H33" s="181">
        <v>100</v>
      </c>
      <c r="I33" s="90">
        <v>100</v>
      </c>
      <c r="J33" s="180">
        <v>100</v>
      </c>
      <c r="K33" s="90">
        <v>100</v>
      </c>
    </row>
    <row r="34" spans="1:11">
      <c r="A34" s="17" t="s">
        <v>1872</v>
      </c>
      <c r="B34" s="17"/>
      <c r="C34" s="17" t="s">
        <v>1873</v>
      </c>
      <c r="D34" s="90">
        <v>50</v>
      </c>
      <c r="E34" s="90">
        <v>50</v>
      </c>
      <c r="F34" s="180">
        <v>50</v>
      </c>
      <c r="G34" s="90">
        <v>50</v>
      </c>
      <c r="H34" s="181">
        <v>50</v>
      </c>
      <c r="I34" s="90">
        <v>50</v>
      </c>
      <c r="J34" s="180">
        <v>50</v>
      </c>
      <c r="K34" s="90">
        <v>50</v>
      </c>
    </row>
    <row r="35" spans="1:11">
      <c r="A35" s="17" t="s">
        <v>1874</v>
      </c>
      <c r="B35" s="17"/>
      <c r="C35" s="52" t="s">
        <v>530</v>
      </c>
      <c r="E35" s="85"/>
      <c r="F35" s="85"/>
      <c r="G35" s="85"/>
      <c r="H35" s="85"/>
      <c r="I35" s="85"/>
      <c r="J35" s="85"/>
      <c r="K35" s="85"/>
    </row>
    <row r="36" spans="1:11" ht="36">
      <c r="A36" s="27" t="s">
        <v>1875</v>
      </c>
      <c r="B36" s="27"/>
      <c r="C36" s="27" t="s">
        <v>1876</v>
      </c>
      <c r="D36" s="90">
        <v>50</v>
      </c>
      <c r="E36" s="90">
        <v>50</v>
      </c>
      <c r="F36" s="180">
        <v>50</v>
      </c>
      <c r="G36" s="90">
        <v>50</v>
      </c>
      <c r="H36" s="181">
        <v>50</v>
      </c>
      <c r="I36" s="180">
        <v>50</v>
      </c>
      <c r="J36" s="180">
        <v>50</v>
      </c>
      <c r="K36" s="90">
        <v>50</v>
      </c>
    </row>
    <row r="37" spans="1:11">
      <c r="A37" s="28"/>
      <c r="B37" s="96"/>
      <c r="C37" s="96"/>
      <c r="D37" s="99">
        <f t="shared" ref="D37:K37" si="0">SUM(D3:D36)</f>
        <v>7160</v>
      </c>
      <c r="E37" s="99">
        <f t="shared" si="0"/>
        <v>7160</v>
      </c>
      <c r="F37" s="99">
        <f t="shared" si="0"/>
        <v>7160</v>
      </c>
      <c r="G37" s="99">
        <f t="shared" si="0"/>
        <v>7160</v>
      </c>
      <c r="H37" s="99">
        <f t="shared" si="0"/>
        <v>7160</v>
      </c>
      <c r="I37" s="99">
        <f t="shared" si="0"/>
        <v>7160</v>
      </c>
      <c r="J37" s="99">
        <f t="shared" si="0"/>
        <v>7160</v>
      </c>
      <c r="K37" s="99">
        <f t="shared" si="0"/>
        <v>7160</v>
      </c>
    </row>
    <row r="38" spans="1:11" s="182" customFormat="1" ht="12.75">
      <c r="A38" s="77"/>
      <c r="D38" s="188" t="s">
        <v>385</v>
      </c>
      <c r="E38" s="188"/>
      <c r="F38" s="188" t="s">
        <v>385</v>
      </c>
      <c r="G38" s="188"/>
      <c r="H38" s="188"/>
      <c r="I38" s="188"/>
      <c r="J38" s="188"/>
      <c r="K38" s="188"/>
    </row>
    <row r="39" spans="1:11" s="184" customFormat="1" ht="25.5">
      <c r="A39" s="127"/>
      <c r="D39" s="185" t="s">
        <v>189</v>
      </c>
      <c r="E39" s="189" t="s">
        <v>190</v>
      </c>
      <c r="F39" s="190" t="s">
        <v>191</v>
      </c>
      <c r="G39" s="186" t="s">
        <v>192</v>
      </c>
      <c r="H39" s="186" t="s">
        <v>193</v>
      </c>
      <c r="I39" s="186" t="s">
        <v>194</v>
      </c>
      <c r="J39" s="186" t="s">
        <v>251</v>
      </c>
      <c r="K39" s="186" t="s">
        <v>252</v>
      </c>
    </row>
    <row r="40" spans="1:11" s="184" customFormat="1" ht="12.75">
      <c r="A40" s="127"/>
      <c r="C40" s="184" t="s">
        <v>386</v>
      </c>
      <c r="D40" s="187">
        <f>SUM(D41:D45)</f>
        <v>117024.1997398774</v>
      </c>
      <c r="E40" s="187">
        <f t="shared" ref="E40:K40" si="1">SUM(E41:E45)</f>
        <v>120801.28693601287</v>
      </c>
      <c r="F40" s="187">
        <f t="shared" si="1"/>
        <v>124700.53998187603</v>
      </c>
      <c r="G40" s="187">
        <f t="shared" si="1"/>
        <v>129037.66735414439</v>
      </c>
      <c r="H40" s="187">
        <f t="shared" si="1"/>
        <v>133525.9093962647</v>
      </c>
      <c r="I40" s="187">
        <f t="shared" si="1"/>
        <v>138838.16754895868</v>
      </c>
      <c r="J40" s="187">
        <f t="shared" si="1"/>
        <v>145056.24351881046</v>
      </c>
      <c r="K40" s="187">
        <f t="shared" si="1"/>
        <v>151553.09545236087</v>
      </c>
    </row>
    <row r="41" spans="1:11" s="184" customFormat="1" ht="12.75">
      <c r="A41" s="127"/>
      <c r="C41" s="184" t="s">
        <v>387</v>
      </c>
      <c r="D41" s="187">
        <v>117024.1997398774</v>
      </c>
      <c r="E41" s="187">
        <v>120801.28693601287</v>
      </c>
      <c r="F41" s="187">
        <v>124700.53998187603</v>
      </c>
      <c r="G41" s="187">
        <v>129037.66735414439</v>
      </c>
      <c r="H41" s="187">
        <v>133525.9093962647</v>
      </c>
      <c r="I41" s="187">
        <v>138838.16754895868</v>
      </c>
      <c r="J41" s="187">
        <v>145056.24351881046</v>
      </c>
      <c r="K41" s="187">
        <v>151553.09545236087</v>
      </c>
    </row>
    <row r="42" spans="1:11" s="184" customFormat="1" ht="12.75">
      <c r="A42" s="127"/>
      <c r="D42" s="187"/>
      <c r="E42" s="187"/>
      <c r="F42" s="187"/>
      <c r="G42" s="187"/>
      <c r="H42" s="187"/>
      <c r="I42" s="187"/>
      <c r="J42" s="187"/>
      <c r="K42" s="187"/>
    </row>
    <row r="43" spans="1:11" s="184" customFormat="1" ht="12.75">
      <c r="A43" s="127"/>
      <c r="D43" s="187"/>
      <c r="E43" s="187"/>
      <c r="F43" s="187"/>
      <c r="G43" s="187"/>
      <c r="H43" s="187"/>
      <c r="I43" s="187"/>
      <c r="J43" s="187"/>
      <c r="K43" s="187"/>
    </row>
    <row r="44" spans="1:11" s="184" customFormat="1" ht="12.75">
      <c r="A44" s="127"/>
      <c r="D44" s="187"/>
      <c r="E44" s="187"/>
      <c r="F44" s="187"/>
      <c r="G44" s="187"/>
      <c r="H44" s="187"/>
      <c r="I44" s="187"/>
      <c r="J44" s="187"/>
      <c r="K44" s="187"/>
    </row>
    <row r="45" spans="1:11" s="184" customFormat="1" ht="12.75">
      <c r="A45" s="127"/>
      <c r="D45" s="187"/>
      <c r="E45" s="187"/>
      <c r="F45" s="187"/>
      <c r="G45" s="187"/>
      <c r="H45" s="187"/>
      <c r="I45" s="187"/>
      <c r="J45" s="187"/>
      <c r="K45" s="187"/>
    </row>
  </sheetData>
  <phoneticPr fontId="0" type="noConversion"/>
  <printOptions horizontalCentered="1"/>
  <pageMargins left="0.25" right="0.25" top="1" bottom="1" header="0.5" footer="0.5"/>
  <pageSetup paperSize="9" fitToWidth="2" fitToHeight="3" orientation="landscape" r:id="rId1"/>
  <headerFooter alignWithMargins="0">
    <oddHeader>&amp;C&amp;"Calibri"&amp;10&amp;K737373Serco Business&amp;1#_x000D_&amp;"Calibri"&amp;11&amp;K000000&amp;"Calibri"&amp;11&amp;K000000&amp;"Arial,Bold"RESTRICTED - CONTRACTS</oddHeader>
    <oddFooter>&amp;L&amp;8PTC/CB/00642&amp;C&amp;8 2-(31)-&amp;P
&amp;"Arial,Bold"&amp;10RESTRICTED CONTRACTS&amp;R&amp;8Pricing</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7"/>
  <dimension ref="A1:BC107"/>
  <sheetViews>
    <sheetView topLeftCell="B40" zoomScale="75" zoomScaleNormal="75" workbookViewId="0">
      <pane ySplit="1095" topLeftCell="A70" activePane="bottomLeft"/>
      <selection activeCell="D75" sqref="D75"/>
      <selection pane="bottomLeft" activeCell="K44" sqref="K44"/>
    </sheetView>
  </sheetViews>
  <sheetFormatPr defaultColWidth="9.140625" defaultRowHeight="12"/>
  <cols>
    <col min="1" max="1" width="8.7109375" style="13" customWidth="1"/>
    <col min="2" max="2" width="2.7109375" style="54" customWidth="1"/>
    <col min="3" max="3" width="25.7109375" style="54" customWidth="1"/>
    <col min="4" max="4" width="14.5703125" style="85" customWidth="1" collapsed="1"/>
    <col min="5" max="6" width="14.5703125" style="54" customWidth="1" collapsed="1"/>
    <col min="7" max="8" width="14.5703125" style="54" customWidth="1"/>
    <col min="9" max="11" width="14.5703125" style="54" customWidth="1" collapsed="1"/>
    <col min="12" max="12" width="9.140625" style="54" collapsed="1"/>
    <col min="13" max="13" width="15.42578125" style="54" bestFit="1" customWidth="1"/>
    <col min="14" max="14" width="9.140625" style="54" collapsed="1"/>
    <col min="15" max="15" width="9.42578125" style="54" bestFit="1" customWidth="1"/>
    <col min="16" max="16" width="12.5703125" style="54" bestFit="1" customWidth="1" collapsed="1"/>
    <col min="17" max="18" width="9.140625" style="54"/>
    <col min="19" max="19" width="9.140625" style="54" collapsed="1"/>
    <col min="20" max="20" width="9.140625" style="54"/>
    <col min="21" max="21" width="9.140625" style="54" collapsed="1"/>
    <col min="22" max="23" width="9.140625" style="54"/>
    <col min="24" max="24" width="9.140625" style="54" collapsed="1"/>
    <col min="25" max="25" width="9.140625" style="54"/>
    <col min="26" max="26" width="9.140625" style="54" collapsed="1"/>
    <col min="27" max="28" width="9.140625" style="54"/>
    <col min="29" max="29" width="9.140625" style="54" collapsed="1"/>
    <col min="30" max="30" width="9.140625" style="54"/>
    <col min="31" max="31" width="9.140625" style="54" collapsed="1"/>
    <col min="32" max="33" width="9.140625" style="54"/>
    <col min="34" max="34" width="9.140625" style="54" collapsed="1"/>
    <col min="35" max="35" width="9.140625" style="54"/>
    <col min="36" max="36" width="9.140625" style="54" collapsed="1"/>
    <col min="37" max="38" width="9.140625" style="54"/>
    <col min="39" max="39" width="9.140625" style="54" collapsed="1"/>
    <col min="40" max="40" width="9.140625" style="54"/>
    <col min="41" max="41" width="9.140625" style="54" collapsed="1"/>
    <col min="42" max="43" width="9.140625" style="54"/>
    <col min="44" max="44" width="9.140625" style="54" collapsed="1"/>
    <col min="45" max="45" width="9.140625" style="54"/>
    <col min="46" max="46" width="9.140625" style="54" collapsed="1"/>
    <col min="47" max="48" width="9.140625" style="54"/>
    <col min="49" max="49" width="9.140625" style="54" collapsed="1"/>
    <col min="50" max="50" width="9.140625" style="54"/>
    <col min="51" max="51" width="9.140625" style="54" collapsed="1"/>
    <col min="52" max="54" width="9.140625" style="54"/>
    <col min="55" max="55" width="9.140625" style="54" collapsed="1"/>
    <col min="56" max="16384" width="9.140625" style="54"/>
  </cols>
  <sheetData>
    <row r="1" spans="1:13" ht="24">
      <c r="C1" s="21" t="s">
        <v>1820</v>
      </c>
      <c r="D1" s="340" t="s">
        <v>189</v>
      </c>
      <c r="E1" s="340" t="s">
        <v>190</v>
      </c>
      <c r="F1" s="340" t="s">
        <v>191</v>
      </c>
      <c r="G1" s="340" t="s">
        <v>192</v>
      </c>
      <c r="H1" s="340" t="s">
        <v>193</v>
      </c>
      <c r="I1" s="340" t="s">
        <v>194</v>
      </c>
      <c r="J1" s="340" t="s">
        <v>251</v>
      </c>
      <c r="K1" s="340" t="s">
        <v>252</v>
      </c>
    </row>
    <row r="2" spans="1:13" ht="24">
      <c r="A2" s="18" t="s">
        <v>1877</v>
      </c>
      <c r="B2" s="49"/>
      <c r="C2" s="49" t="s">
        <v>490</v>
      </c>
      <c r="D2" s="19" t="s">
        <v>1878</v>
      </c>
      <c r="E2" s="19" t="s">
        <v>1878</v>
      </c>
      <c r="F2" s="19" t="s">
        <v>1878</v>
      </c>
      <c r="G2" s="19" t="s">
        <v>1878</v>
      </c>
      <c r="H2" s="19" t="s">
        <v>1878</v>
      </c>
      <c r="I2" s="19" t="s">
        <v>1878</v>
      </c>
      <c r="J2" s="19" t="s">
        <v>1878</v>
      </c>
      <c r="K2" s="19" t="s">
        <v>1878</v>
      </c>
      <c r="M2" s="54" t="s">
        <v>1879</v>
      </c>
    </row>
    <row r="3" spans="1:13">
      <c r="A3" s="39"/>
      <c r="B3" s="339"/>
      <c r="C3" s="339"/>
      <c r="D3" s="45"/>
      <c r="E3" s="45"/>
      <c r="F3" s="45"/>
      <c r="G3" s="45"/>
      <c r="H3" s="45"/>
      <c r="I3" s="45"/>
      <c r="J3" s="45"/>
      <c r="K3" s="45"/>
    </row>
    <row r="4" spans="1:13">
      <c r="A4" s="39"/>
      <c r="B4" s="339"/>
      <c r="C4" s="339"/>
      <c r="D4" s="45"/>
      <c r="E4" s="45"/>
      <c r="F4" s="45"/>
      <c r="G4" s="45"/>
      <c r="H4" s="45"/>
      <c r="I4" s="45"/>
      <c r="J4" s="45"/>
      <c r="K4" s="45"/>
    </row>
    <row r="5" spans="1:13">
      <c r="A5" s="287" t="s">
        <v>1880</v>
      </c>
      <c r="C5" s="1" t="s">
        <v>1881</v>
      </c>
      <c r="D5" s="312">
        <v>0</v>
      </c>
      <c r="E5" s="312">
        <v>0</v>
      </c>
      <c r="F5" s="312">
        <v>0</v>
      </c>
      <c r="G5" s="312">
        <v>0</v>
      </c>
      <c r="H5" s="312">
        <v>0</v>
      </c>
      <c r="I5" s="312">
        <v>0</v>
      </c>
      <c r="J5" s="312">
        <v>0</v>
      </c>
      <c r="K5" s="312">
        <v>0</v>
      </c>
      <c r="M5" s="289">
        <v>0</v>
      </c>
    </row>
    <row r="6" spans="1:13" s="294" customFormat="1" ht="24">
      <c r="A6" s="293" t="s">
        <v>1882</v>
      </c>
      <c r="C6" s="295" t="s">
        <v>1883</v>
      </c>
      <c r="D6" s="313">
        <f>D54</f>
        <v>0</v>
      </c>
      <c r="E6" s="313">
        <f>E54</f>
        <v>14657.87</v>
      </c>
      <c r="F6" s="313">
        <f t="shared" ref="F6:K6" si="0">F54</f>
        <v>14992.21</v>
      </c>
      <c r="G6" s="313">
        <f t="shared" si="0"/>
        <v>15365.56</v>
      </c>
      <c r="H6" s="313">
        <f t="shared" si="0"/>
        <v>15751.23</v>
      </c>
      <c r="I6" s="313">
        <f t="shared" si="0"/>
        <v>12735.87</v>
      </c>
      <c r="J6" s="313">
        <f t="shared" si="0"/>
        <v>13276.8</v>
      </c>
      <c r="K6" s="313">
        <f t="shared" si="0"/>
        <v>13840.93</v>
      </c>
      <c r="M6" s="296"/>
    </row>
    <row r="7" spans="1:13">
      <c r="A7" s="287" t="s">
        <v>1884</v>
      </c>
      <c r="C7" s="1" t="s">
        <v>1885</v>
      </c>
      <c r="D7" s="312">
        <v>702.48</v>
      </c>
      <c r="E7" s="312">
        <v>2902.63</v>
      </c>
      <c r="F7" s="312">
        <v>2998.42</v>
      </c>
      <c r="G7" s="312">
        <v>3097.36</v>
      </c>
      <c r="H7" s="312">
        <v>3199.58</v>
      </c>
      <c r="I7" s="312">
        <v>3305.16</v>
      </c>
      <c r="J7" s="312">
        <v>3414.23</v>
      </c>
      <c r="K7" s="312">
        <v>3526.9</v>
      </c>
      <c r="M7" s="289">
        <v>3.3000000000000002E-2</v>
      </c>
    </row>
    <row r="8" spans="1:13">
      <c r="A8" s="287" t="s">
        <v>1886</v>
      </c>
      <c r="C8" s="1" t="s">
        <v>1887</v>
      </c>
      <c r="D8" s="312"/>
      <c r="E8" s="312"/>
      <c r="F8" s="312"/>
      <c r="G8" s="312">
        <f>G78</f>
        <v>52829.07</v>
      </c>
      <c r="H8" s="312">
        <f>H78</f>
        <v>54524.88</v>
      </c>
      <c r="I8" s="312">
        <f>I78</f>
        <v>56275.13</v>
      </c>
      <c r="J8" s="312">
        <f>J78</f>
        <v>58081.56</v>
      </c>
      <c r="K8" s="312">
        <f>K78</f>
        <v>59945.98</v>
      </c>
      <c r="M8" s="289"/>
    </row>
    <row r="9" spans="1:13" ht="24">
      <c r="A9" s="287" t="s">
        <v>1888</v>
      </c>
      <c r="C9" s="1" t="s">
        <v>1889</v>
      </c>
      <c r="D9" s="312">
        <v>3070.87</v>
      </c>
      <c r="E9" s="312">
        <f>12628.22+E55</f>
        <v>14440.199999999999</v>
      </c>
      <c r="F9" s="312">
        <f>12812.22+F55</f>
        <v>14682.68</v>
      </c>
      <c r="G9" s="312">
        <f>13242.73+G55+G79</f>
        <v>39056.909999999996</v>
      </c>
      <c r="H9" s="312">
        <f>13910.76+H55+H79</f>
        <v>40558.75</v>
      </c>
      <c r="I9" s="312">
        <f>14147.79+I55+I79</f>
        <v>41666.57</v>
      </c>
      <c r="J9" s="312">
        <f>14623.33+J55+J79</f>
        <v>43051.880000000005</v>
      </c>
      <c r="K9" s="312">
        <f>15114.91+K55+K79</f>
        <v>44483.61</v>
      </c>
      <c r="M9" s="289">
        <v>3.3500000000000002E-2</v>
      </c>
    </row>
    <row r="10" spans="1:13">
      <c r="A10" s="287" t="s">
        <v>1890</v>
      </c>
      <c r="C10" s="1" t="s">
        <v>1891</v>
      </c>
      <c r="D10" s="312"/>
      <c r="E10" s="312"/>
      <c r="F10" s="312"/>
      <c r="G10" s="312">
        <f>G80</f>
        <v>10112.52</v>
      </c>
      <c r="H10" s="312">
        <f>H80</f>
        <v>10437.129999999999</v>
      </c>
      <c r="I10" s="312">
        <f>I80</f>
        <v>10772.16</v>
      </c>
      <c r="J10" s="312">
        <f>J80</f>
        <v>11117.95</v>
      </c>
      <c r="K10" s="312">
        <f>K80</f>
        <v>11474.83</v>
      </c>
      <c r="M10" s="289"/>
    </row>
    <row r="11" spans="1:13">
      <c r="A11" s="287" t="s">
        <v>1892</v>
      </c>
      <c r="C11" s="1" t="s">
        <v>1893</v>
      </c>
      <c r="D11" s="312">
        <v>2371.12</v>
      </c>
      <c r="E11" s="312">
        <v>9642.64</v>
      </c>
      <c r="F11" s="312">
        <v>9434.77</v>
      </c>
      <c r="G11" s="312">
        <f>9739.51+G81</f>
        <v>19044.919999999998</v>
      </c>
      <c r="H11" s="312">
        <f>10534.55+H81</f>
        <v>20138.669999999998</v>
      </c>
      <c r="I11" s="312">
        <f>10379.12+I81</f>
        <v>20291.53</v>
      </c>
      <c r="J11" s="312">
        <f>10714.67+J81</f>
        <v>20945.27</v>
      </c>
      <c r="K11" s="312">
        <f>11061.18+K81</f>
        <v>21620.18</v>
      </c>
      <c r="M11" s="289">
        <v>3.2000000000000001E-2</v>
      </c>
    </row>
    <row r="12" spans="1:13" ht="24">
      <c r="A12" s="287" t="s">
        <v>1894</v>
      </c>
      <c r="C12" s="1" t="s">
        <v>1895</v>
      </c>
      <c r="D12" s="312"/>
      <c r="E12" s="312"/>
      <c r="F12" s="312"/>
      <c r="G12" s="312">
        <f>G82</f>
        <v>1908.35</v>
      </c>
      <c r="H12" s="312">
        <f>H82</f>
        <v>1969.61</v>
      </c>
      <c r="I12" s="312">
        <f>I82</f>
        <v>2032.84</v>
      </c>
      <c r="J12" s="312">
        <f>J82</f>
        <v>2098.09</v>
      </c>
      <c r="K12" s="312">
        <f>K82</f>
        <v>2165.44</v>
      </c>
      <c r="M12" s="289"/>
    </row>
    <row r="13" spans="1:13" ht="36">
      <c r="A13" s="287" t="s">
        <v>1896</v>
      </c>
      <c r="C13" s="1" t="s">
        <v>1897</v>
      </c>
      <c r="D13" s="312">
        <v>33736.160000000003</v>
      </c>
      <c r="E13" s="312">
        <f>168368.33+E56</f>
        <v>175316.47999999998</v>
      </c>
      <c r="F13" s="312">
        <f>176775.42+F56</f>
        <v>183945.07</v>
      </c>
      <c r="G13" s="312">
        <f>182642.13+G56+G83+G89</f>
        <v>206367.52000000002</v>
      </c>
      <c r="H13" s="312">
        <f>191338.87+H56+H83+H89</f>
        <v>215852.5</v>
      </c>
      <c r="I13" s="312">
        <f>194967.78+I56+I83+I89</f>
        <v>220334.66999999998</v>
      </c>
      <c r="J13" s="312">
        <f>201440+J56+J83+J89</f>
        <v>227730.01</v>
      </c>
      <c r="K13" s="312">
        <f>208127.72+K56+K83+K89</f>
        <v>235375.26000000004</v>
      </c>
      <c r="M13" s="289">
        <v>3.3099999999999997E-2</v>
      </c>
    </row>
    <row r="14" spans="1:13" s="294" customFormat="1" ht="24">
      <c r="A14" s="293" t="s">
        <v>1898</v>
      </c>
      <c r="C14" s="295" t="s">
        <v>1899</v>
      </c>
      <c r="D14" s="314">
        <f>D57</f>
        <v>0</v>
      </c>
      <c r="E14" s="314">
        <f t="shared" ref="E14:K14" si="1">E57</f>
        <v>46141.1</v>
      </c>
      <c r="F14" s="314">
        <f t="shared" si="1"/>
        <v>47629.97</v>
      </c>
      <c r="G14" s="314">
        <f t="shared" si="1"/>
        <v>49286.07</v>
      </c>
      <c r="H14" s="314">
        <f t="shared" si="1"/>
        <v>50999.85</v>
      </c>
      <c r="I14" s="314">
        <f t="shared" si="1"/>
        <v>53028.34</v>
      </c>
      <c r="J14" s="314">
        <f t="shared" si="1"/>
        <v>55402.76</v>
      </c>
      <c r="K14" s="314">
        <f t="shared" si="1"/>
        <v>57883.62</v>
      </c>
    </row>
    <row r="15" spans="1:13" ht="24">
      <c r="A15" s="287" t="s">
        <v>1900</v>
      </c>
      <c r="C15" s="1" t="s">
        <v>1901</v>
      </c>
      <c r="D15" s="312">
        <v>27865.62</v>
      </c>
      <c r="E15" s="312">
        <f>114650.58+E47+E51+E58+E68+E71</f>
        <v>206313.69</v>
      </c>
      <c r="F15" s="312">
        <f>116690.7+F47+F51+F58+F68+F71+F77</f>
        <v>350311.32</v>
      </c>
      <c r="G15" s="312">
        <f>120551.02+G47+G51+G58+G68+G71+G77+G90</f>
        <v>380000.8</v>
      </c>
      <c r="H15" s="312">
        <f>126164.15+H47+H51+H58+H68+H71+H77+H90</f>
        <v>396177.20999999996</v>
      </c>
      <c r="I15" s="312">
        <f>128660.02+I47+I51+I58+I68+I71+I77+I90</f>
        <v>407931.00999999995</v>
      </c>
      <c r="J15" s="312">
        <f>132917.39+J47+J51+J58+J68+J71+J77+J90</f>
        <v>422044.41000000003</v>
      </c>
      <c r="K15" s="312">
        <f>137316.02+K47+K51+K58+K68+K71+K77+K90</f>
        <v>436652.92999999993</v>
      </c>
      <c r="M15" s="289">
        <v>3.3000000000000002E-2</v>
      </c>
    </row>
    <row r="16" spans="1:13" ht="24">
      <c r="A16" s="287" t="s">
        <v>1902</v>
      </c>
      <c r="C16" s="1" t="s">
        <v>1903</v>
      </c>
      <c r="D16" s="312">
        <v>25671.16</v>
      </c>
      <c r="E16" s="312">
        <f>127579.13+E48+E52+E59</f>
        <v>231399.43000000002</v>
      </c>
      <c r="F16" s="312">
        <f>129584.53+F48+F52+F59+F73</f>
        <v>320983.05</v>
      </c>
      <c r="G16" s="312">
        <f>133858.02+G48+G52+G59+G73</f>
        <v>357025.14</v>
      </c>
      <c r="H16" s="312">
        <f>140317.32+H48+H52+H59+H73</f>
        <v>370998.88</v>
      </c>
      <c r="I16" s="312">
        <f>142834.51+I48+I52+I59+I73</f>
        <v>381438.83000000007</v>
      </c>
      <c r="J16" s="312">
        <f>147547.11+J48+J52+J59+J73</f>
        <v>394508.76</v>
      </c>
      <c r="K16" s="312">
        <f>152415.97+K48+K52+K59+K73</f>
        <v>408031.29000000004</v>
      </c>
      <c r="M16" s="289">
        <v>3.3500000000000002E-2</v>
      </c>
    </row>
    <row r="17" spans="1:13" ht="24">
      <c r="A17" s="287" t="s">
        <v>1904</v>
      </c>
      <c r="C17" s="1" t="s">
        <v>1905</v>
      </c>
      <c r="D17" s="312">
        <f>6937.35+D53</f>
        <v>6937.35</v>
      </c>
      <c r="E17" s="312">
        <f>28456.89+E53+E60</f>
        <v>626991.1</v>
      </c>
      <c r="F17" s="312">
        <f>28867.4+F53+F60+F74</f>
        <v>679311.71000000008</v>
      </c>
      <c r="G17" s="312">
        <f>29735.83+G53+G60+G74+G88</f>
        <v>708576.82000000007</v>
      </c>
      <c r="H17" s="312">
        <f>31041.14+H53+H60+H74+H88</f>
        <v>730306.74</v>
      </c>
      <c r="I17" s="312">
        <f>31552.13+I53+I60+I74+I88</f>
        <v>758394.41</v>
      </c>
      <c r="J17" s="312">
        <f>32501.6+J53+J60+J74+J88</f>
        <v>788011.37</v>
      </c>
      <c r="K17" s="312">
        <f>33479.75+K53+K60+K74+K88</f>
        <v>818791.08</v>
      </c>
      <c r="M17" s="289">
        <v>0.03</v>
      </c>
    </row>
    <row r="18" spans="1:13" ht="24">
      <c r="A18" s="287">
        <v>32.19</v>
      </c>
      <c r="C18" s="1" t="s">
        <v>1906</v>
      </c>
      <c r="D18" s="312">
        <v>16871.91</v>
      </c>
      <c r="E18" s="312">
        <f>81967.71+E61+E69+E75</f>
        <v>138428.06</v>
      </c>
      <c r="F18" s="312">
        <f>93735.96+F61+F69+F75+F76+F84</f>
        <v>187707.50999999998</v>
      </c>
      <c r="G18" s="312">
        <f>97016.72+G61+G69+G75+G76+G84</f>
        <v>200578.78000000003</v>
      </c>
      <c r="H18" s="312">
        <f>100412.3+H61+H69+H75+H76+H84</f>
        <v>206583.21</v>
      </c>
      <c r="I18" s="312">
        <f>103926.73+I61+I69+I75+I76+I84</f>
        <v>212772.64</v>
      </c>
      <c r="J18" s="312">
        <f>107564.17+J61+J69+J75+J76+J84</f>
        <v>219151.99000000002</v>
      </c>
      <c r="K18" s="312">
        <f>111328.92+K61+K69+K75+K76+K84</f>
        <v>225727.55000000002</v>
      </c>
      <c r="M18" s="289"/>
    </row>
    <row r="19" spans="1:13" ht="24">
      <c r="A19" s="287"/>
      <c r="C19" s="1" t="s">
        <v>1907</v>
      </c>
      <c r="D19" s="312">
        <f>D70</f>
        <v>0</v>
      </c>
      <c r="E19" s="312">
        <f t="shared" ref="E19:K19" si="2">E70</f>
        <v>11816</v>
      </c>
      <c r="F19" s="312">
        <f t="shared" si="2"/>
        <v>22668.15</v>
      </c>
      <c r="G19" s="312">
        <f t="shared" si="2"/>
        <v>23146.2</v>
      </c>
      <c r="H19" s="312">
        <f t="shared" si="2"/>
        <v>24188.93</v>
      </c>
      <c r="I19" s="312">
        <f t="shared" si="2"/>
        <v>24987.17</v>
      </c>
      <c r="J19" s="312">
        <f t="shared" si="2"/>
        <v>25811.74</v>
      </c>
      <c r="K19" s="312">
        <f t="shared" si="2"/>
        <v>26663.53</v>
      </c>
      <c r="M19" s="289"/>
    </row>
    <row r="20" spans="1:13">
      <c r="A20" s="288">
        <v>32.21</v>
      </c>
      <c r="C20" s="1" t="s">
        <v>1908</v>
      </c>
      <c r="D20" s="312">
        <v>0</v>
      </c>
      <c r="E20" s="312">
        <v>0</v>
      </c>
      <c r="F20" s="312">
        <v>0</v>
      </c>
      <c r="G20" s="312">
        <v>0</v>
      </c>
      <c r="H20" s="312">
        <v>0</v>
      </c>
      <c r="I20" s="312">
        <v>0</v>
      </c>
      <c r="J20" s="312">
        <v>0</v>
      </c>
      <c r="K20" s="312">
        <v>0</v>
      </c>
      <c r="M20" s="289"/>
    </row>
    <row r="21" spans="1:13" ht="24">
      <c r="A21" s="287">
        <v>32.22</v>
      </c>
      <c r="C21" s="1" t="s">
        <v>1909</v>
      </c>
      <c r="D21" s="312">
        <v>1467.18</v>
      </c>
      <c r="E21" s="312">
        <f>6162.14+E62</f>
        <v>9684.34</v>
      </c>
      <c r="F21" s="312">
        <f>6470.24+F62</f>
        <v>10168.549999999999</v>
      </c>
      <c r="G21" s="312">
        <f>6793.75+G62</f>
        <v>10676.98</v>
      </c>
      <c r="H21" s="312">
        <f>7133.44+H62</f>
        <v>11210.83</v>
      </c>
      <c r="I21" s="312">
        <f>7490.11+I62</f>
        <v>11771.369999999999</v>
      </c>
      <c r="J21" s="312">
        <f>7864.62+J62</f>
        <v>12359.939999999999</v>
      </c>
      <c r="K21" s="312">
        <f>8257.85+K62</f>
        <v>12977.94</v>
      </c>
      <c r="M21" s="289"/>
    </row>
    <row r="22" spans="1:13">
      <c r="A22" s="288">
        <v>32.229999999999997</v>
      </c>
      <c r="C22" s="1" t="s">
        <v>1910</v>
      </c>
      <c r="D22" s="312">
        <v>390</v>
      </c>
      <c r="E22" s="312">
        <f>1622.4+E63</f>
        <v>4135.68</v>
      </c>
      <c r="F22" s="312">
        <f>1687.3+F63+F85</f>
        <v>5428.5599999999995</v>
      </c>
      <c r="G22" s="312">
        <f>1755.79+G63+G85</f>
        <v>6069.93</v>
      </c>
      <c r="H22" s="312">
        <f>1824.98+H63+H85</f>
        <v>6354.82</v>
      </c>
      <c r="I22" s="312">
        <f>1897.98+I63+I85</f>
        <v>6654.31</v>
      </c>
      <c r="J22" s="312">
        <f>1973.9+J63+J85</f>
        <v>6968.05</v>
      </c>
      <c r="K22" s="312">
        <f>2052.85+K63+K85</f>
        <v>7296.71</v>
      </c>
      <c r="M22" s="289"/>
    </row>
    <row r="23" spans="1:13">
      <c r="A23" s="287">
        <v>32.24</v>
      </c>
      <c r="C23" s="1" t="s">
        <v>1911</v>
      </c>
      <c r="D23" s="312">
        <v>1198.55</v>
      </c>
      <c r="E23" s="312">
        <f>4985.97+E64</f>
        <v>5189.37</v>
      </c>
      <c r="F23" s="312">
        <f>5185.41+F64+F86</f>
        <v>6998.98</v>
      </c>
      <c r="G23" s="312">
        <f>5392.82+G64+G86</f>
        <v>12273.07</v>
      </c>
      <c r="H23" s="312">
        <f>5608.54+H64+H86</f>
        <v>12766.24</v>
      </c>
      <c r="I23" s="312">
        <f>5832.88+I64+I86</f>
        <v>13279.25</v>
      </c>
      <c r="J23" s="312">
        <f>6066.19+J64+J86</f>
        <v>13812.880000000001</v>
      </c>
      <c r="K23" s="312">
        <f>6308.84+K64+K86</f>
        <v>14368</v>
      </c>
      <c r="M23" s="289"/>
    </row>
    <row r="24" spans="1:13" ht="24">
      <c r="A24" s="288">
        <v>32.25</v>
      </c>
      <c r="C24" s="1" t="s">
        <v>1912</v>
      </c>
      <c r="D24" s="312">
        <v>2294.94</v>
      </c>
      <c r="E24" s="312">
        <f>9546.95+E49+E50+E65+E67+E87</f>
        <v>25915.730000000003</v>
      </c>
      <c r="F24" s="312">
        <f>9928.83+F49+F50+F65+F67+F87</f>
        <v>35941.17</v>
      </c>
      <c r="G24" s="312">
        <f>10325.98+G49+G50+G65+G67+G87</f>
        <v>39849.99</v>
      </c>
      <c r="H24" s="312">
        <f>10739.02+H49+H50+H65+H67+H87</f>
        <v>41650.75</v>
      </c>
      <c r="I24" s="312">
        <f>11168.58+I49+I50+I65+I67+I87</f>
        <v>43534.75</v>
      </c>
      <c r="J24" s="312">
        <f>11615.32+J49+J50+J65+J67+J87</f>
        <v>45505.9</v>
      </c>
      <c r="K24" s="312">
        <f>12079.94+K49+K50+K65+K67+K87</f>
        <v>47568</v>
      </c>
      <c r="M24" s="289"/>
    </row>
    <row r="25" spans="1:13">
      <c r="A25" s="288" t="s">
        <v>1913</v>
      </c>
      <c r="C25" s="1" t="s">
        <v>1914</v>
      </c>
      <c r="D25" s="312">
        <v>13588.82</v>
      </c>
      <c r="E25" s="312">
        <v>57247.44</v>
      </c>
      <c r="F25" s="312">
        <v>57827.67</v>
      </c>
      <c r="G25" s="312">
        <v>58302.77</v>
      </c>
      <c r="H25" s="312">
        <v>59517.56</v>
      </c>
      <c r="I25" s="312">
        <v>59306.25</v>
      </c>
      <c r="J25" s="312">
        <v>59835.97</v>
      </c>
      <c r="K25" s="312">
        <v>60385.27</v>
      </c>
      <c r="M25" s="289"/>
    </row>
    <row r="26" spans="1:13">
      <c r="A26" s="288">
        <v>32.32</v>
      </c>
      <c r="C26" s="54" t="s">
        <v>1915</v>
      </c>
      <c r="D26" s="315">
        <f>D66</f>
        <v>0</v>
      </c>
      <c r="E26" s="315">
        <f>E66</f>
        <v>125000</v>
      </c>
      <c r="F26" s="315">
        <f t="shared" ref="F26:K26" si="3">F66</f>
        <v>186051</v>
      </c>
      <c r="G26" s="315">
        <f t="shared" si="3"/>
        <v>61995</v>
      </c>
      <c r="H26" s="315">
        <f t="shared" si="3"/>
        <v>63979</v>
      </c>
      <c r="I26" s="315">
        <f t="shared" si="3"/>
        <v>66026</v>
      </c>
      <c r="J26" s="315">
        <f t="shared" si="3"/>
        <v>0</v>
      </c>
      <c r="K26" s="315">
        <f t="shared" si="3"/>
        <v>0</v>
      </c>
    </row>
    <row r="27" spans="1:13">
      <c r="A27" s="288">
        <v>32.33</v>
      </c>
      <c r="C27" s="1" t="s">
        <v>1916</v>
      </c>
      <c r="D27" s="312">
        <f>D72</f>
        <v>0</v>
      </c>
      <c r="E27" s="312">
        <f t="shared" ref="E27:K27" si="4">E72</f>
        <v>0</v>
      </c>
      <c r="F27" s="312">
        <f t="shared" si="4"/>
        <v>26436</v>
      </c>
      <c r="G27" s="312">
        <f t="shared" si="4"/>
        <v>36428.81</v>
      </c>
      <c r="H27" s="312">
        <f t="shared" si="4"/>
        <v>37649.17</v>
      </c>
      <c r="I27" s="312">
        <f t="shared" si="4"/>
        <v>38910.42</v>
      </c>
      <c r="J27" s="312">
        <f t="shared" si="4"/>
        <v>40213.910000000003</v>
      </c>
      <c r="K27" s="312">
        <f t="shared" si="4"/>
        <v>41561.08</v>
      </c>
      <c r="M27" s="289"/>
    </row>
    <row r="28" spans="1:13">
      <c r="A28" s="339"/>
      <c r="B28" s="339"/>
      <c r="C28" s="290" t="s">
        <v>1917</v>
      </c>
      <c r="D28" s="316">
        <f t="shared" ref="D28:K28" si="5">SUM(D5:D27)</f>
        <v>136166.16</v>
      </c>
      <c r="E28" s="316">
        <f t="shared" si="5"/>
        <v>1705221.7600000002</v>
      </c>
      <c r="F28" s="316">
        <f t="shared" si="5"/>
        <v>2163516.79</v>
      </c>
      <c r="G28" s="316">
        <f t="shared" si="5"/>
        <v>2291992.5700000003</v>
      </c>
      <c r="H28" s="316">
        <f t="shared" si="5"/>
        <v>2374815.5400000005</v>
      </c>
      <c r="I28" s="316">
        <f t="shared" si="5"/>
        <v>2445448.6800000002</v>
      </c>
      <c r="J28" s="316">
        <f t="shared" si="5"/>
        <v>2463343.4700000007</v>
      </c>
      <c r="K28" s="316">
        <f t="shared" si="5"/>
        <v>2550340.1299999994</v>
      </c>
    </row>
    <row r="31" spans="1:13">
      <c r="A31" s="39"/>
      <c r="B31" s="339"/>
      <c r="C31" s="339"/>
      <c r="D31" s="45"/>
      <c r="E31" s="45"/>
      <c r="F31" s="45"/>
      <c r="G31" s="45"/>
      <c r="H31" s="45"/>
      <c r="I31" s="45"/>
      <c r="J31" s="45"/>
      <c r="K31" s="45"/>
    </row>
    <row r="32" spans="1:13">
      <c r="A32" s="39"/>
      <c r="B32" s="339"/>
      <c r="C32" s="339"/>
      <c r="D32" s="45"/>
      <c r="E32" s="45"/>
      <c r="F32" s="45"/>
      <c r="G32" s="45"/>
      <c r="H32" s="45"/>
      <c r="I32" s="45"/>
      <c r="J32" s="45"/>
      <c r="K32" s="45"/>
    </row>
    <row r="33" spans="1:13">
      <c r="A33" s="39"/>
      <c r="B33" s="339"/>
      <c r="C33" s="339"/>
      <c r="D33" s="45"/>
      <c r="E33" s="45"/>
      <c r="F33" s="45"/>
      <c r="G33" s="45"/>
      <c r="H33" s="45"/>
      <c r="I33" s="45"/>
      <c r="J33" s="45"/>
      <c r="K33" s="45"/>
    </row>
    <row r="34" spans="1:13">
      <c r="A34" s="39"/>
      <c r="B34" s="339"/>
      <c r="C34" s="339"/>
      <c r="D34" s="45"/>
      <c r="E34" s="45"/>
      <c r="F34" s="45"/>
      <c r="G34" s="45"/>
      <c r="H34" s="45"/>
      <c r="I34" s="45"/>
      <c r="J34" s="45"/>
      <c r="K34" s="45"/>
    </row>
    <row r="35" spans="1:13">
      <c r="A35" s="39"/>
      <c r="B35" s="339"/>
      <c r="C35" s="339"/>
      <c r="D35" s="45"/>
      <c r="E35" s="45"/>
      <c r="F35" s="45"/>
      <c r="G35" s="45"/>
      <c r="H35" s="45"/>
      <c r="I35" s="45"/>
      <c r="J35" s="45"/>
      <c r="K35" s="45"/>
    </row>
    <row r="36" spans="1:13">
      <c r="A36" s="39"/>
      <c r="B36" s="339"/>
      <c r="C36" s="339"/>
      <c r="D36" s="45"/>
      <c r="E36" s="45"/>
      <c r="F36" s="45"/>
      <c r="G36" s="45"/>
      <c r="H36" s="45"/>
      <c r="I36" s="45"/>
      <c r="J36" s="45"/>
      <c r="K36" s="45"/>
    </row>
    <row r="37" spans="1:13">
      <c r="A37" s="39"/>
      <c r="B37" s="339"/>
      <c r="C37" s="339"/>
      <c r="D37" s="45"/>
      <c r="E37" s="45"/>
      <c r="F37" s="45"/>
      <c r="G37" s="45"/>
      <c r="H37" s="45"/>
      <c r="I37" s="45"/>
      <c r="J37" s="45"/>
      <c r="K37" s="45"/>
    </row>
    <row r="38" spans="1:13">
      <c r="A38" s="39"/>
      <c r="B38" s="339"/>
      <c r="C38" s="339"/>
      <c r="D38" s="45"/>
      <c r="E38" s="45"/>
      <c r="F38" s="45"/>
      <c r="G38" s="45"/>
      <c r="H38" s="45"/>
      <c r="I38" s="45"/>
      <c r="J38" s="45"/>
      <c r="K38" s="45"/>
    </row>
    <row r="39" spans="1:13">
      <c r="B39" s="13"/>
      <c r="C39" s="21"/>
    </row>
    <row r="40" spans="1:13">
      <c r="A40" s="17" t="s">
        <v>1918</v>
      </c>
      <c r="B40" s="17"/>
      <c r="C40" s="52" t="s">
        <v>256</v>
      </c>
    </row>
    <row r="41" spans="1:13">
      <c r="A41" s="28"/>
      <c r="B41" s="96"/>
      <c r="C41" s="96"/>
      <c r="D41" s="99">
        <f t="shared" ref="D41:K41" si="6">SUM(D39:D40)</f>
        <v>0</v>
      </c>
      <c r="E41" s="99">
        <f t="shared" si="6"/>
        <v>0</v>
      </c>
      <c r="F41" s="99">
        <f t="shared" si="6"/>
        <v>0</v>
      </c>
      <c r="G41" s="99">
        <f t="shared" si="6"/>
        <v>0</v>
      </c>
      <c r="H41" s="99">
        <f t="shared" si="6"/>
        <v>0</v>
      </c>
      <c r="I41" s="99">
        <f t="shared" si="6"/>
        <v>0</v>
      </c>
      <c r="J41" s="99">
        <f t="shared" si="6"/>
        <v>0</v>
      </c>
      <c r="K41" s="99">
        <f t="shared" si="6"/>
        <v>0</v>
      </c>
    </row>
    <row r="42" spans="1:13" s="182" customFormat="1" ht="12.75">
      <c r="A42" s="77"/>
      <c r="D42" s="188" t="s">
        <v>385</v>
      </c>
      <c r="E42" s="188"/>
      <c r="F42" s="188" t="s">
        <v>385</v>
      </c>
      <c r="G42" s="188"/>
      <c r="H42" s="188"/>
      <c r="I42" s="188"/>
      <c r="J42" s="188"/>
      <c r="K42" s="188"/>
    </row>
    <row r="43" spans="1:13" s="184" customFormat="1" ht="25.5">
      <c r="A43" s="127"/>
      <c r="D43" s="185" t="s">
        <v>189</v>
      </c>
      <c r="E43" s="189" t="s">
        <v>190</v>
      </c>
      <c r="F43" s="190" t="s">
        <v>191</v>
      </c>
      <c r="G43" s="186" t="s">
        <v>192</v>
      </c>
      <c r="H43" s="186" t="s">
        <v>193</v>
      </c>
      <c r="I43" s="186" t="s">
        <v>194</v>
      </c>
      <c r="J43" s="186" t="s">
        <v>251</v>
      </c>
      <c r="K43" s="186" t="s">
        <v>252</v>
      </c>
    </row>
    <row r="44" spans="1:13" s="184" customFormat="1" ht="12.75">
      <c r="A44" s="127"/>
      <c r="C44" s="184" t="s">
        <v>386</v>
      </c>
      <c r="D44" s="187">
        <f t="shared" ref="D44:K44" si="7">SUM(D45:D96)</f>
        <v>136166.16</v>
      </c>
      <c r="E44" s="187">
        <f t="shared" si="7"/>
        <v>1705221.7600000002</v>
      </c>
      <c r="F44" s="187">
        <f t="shared" si="7"/>
        <v>2163516.79</v>
      </c>
      <c r="G44" s="187">
        <f t="shared" si="7"/>
        <v>2291991.5699999994</v>
      </c>
      <c r="H44" s="187">
        <f t="shared" si="7"/>
        <v>2374815.54</v>
      </c>
      <c r="I44" s="187">
        <f t="shared" si="7"/>
        <v>2445448.6800000002</v>
      </c>
      <c r="J44" s="187">
        <f t="shared" si="7"/>
        <v>2463343.4700000002</v>
      </c>
      <c r="K44" s="187">
        <f t="shared" si="7"/>
        <v>2550340.1300000004</v>
      </c>
      <c r="M44" s="292">
        <f>SUM(D44:L44)</f>
        <v>16130844.100000001</v>
      </c>
    </row>
    <row r="45" spans="1:13" s="184" customFormat="1" ht="12.75">
      <c r="A45" s="127"/>
      <c r="C45" s="184" t="s">
        <v>1919</v>
      </c>
      <c r="D45" s="187">
        <v>136166.16</v>
      </c>
      <c r="E45" s="187">
        <v>587252.89</v>
      </c>
      <c r="F45" s="187">
        <v>606623.91</v>
      </c>
      <c r="G45" s="187">
        <v>625647.03</v>
      </c>
      <c r="H45" s="187">
        <v>653459.1</v>
      </c>
      <c r="I45" s="187">
        <v>665662.51</v>
      </c>
      <c r="J45" s="187">
        <v>686700.39</v>
      </c>
      <c r="K45" s="187">
        <v>708456.71</v>
      </c>
      <c r="M45" s="292">
        <f t="shared" ref="M45:M67" si="8">SUM(D45:L45)</f>
        <v>4669968.6999999993</v>
      </c>
    </row>
    <row r="46" spans="1:13" s="184" customFormat="1" ht="12.75">
      <c r="A46" s="127"/>
      <c r="C46" s="184" t="s">
        <v>1920</v>
      </c>
      <c r="D46" s="187">
        <v>0</v>
      </c>
      <c r="E46" s="187">
        <v>38508.14</v>
      </c>
      <c r="F46" s="187">
        <v>45374.96</v>
      </c>
      <c r="G46" s="187">
        <v>46806.400000000001</v>
      </c>
      <c r="H46" s="187">
        <v>48283.11</v>
      </c>
      <c r="I46" s="187">
        <v>49806.53</v>
      </c>
      <c r="J46" s="187">
        <v>51378.11</v>
      </c>
      <c r="K46" s="187">
        <v>52999.41</v>
      </c>
      <c r="M46" s="292">
        <f t="shared" si="8"/>
        <v>333156.66000000003</v>
      </c>
    </row>
    <row r="47" spans="1:13" s="184" customFormat="1" ht="12.75">
      <c r="A47" s="127"/>
      <c r="C47" s="184" t="s">
        <v>1921</v>
      </c>
      <c r="D47" s="187">
        <v>0</v>
      </c>
      <c r="E47" s="187">
        <v>18823.21</v>
      </c>
      <c r="F47" s="187">
        <v>30639.61</v>
      </c>
      <c r="G47" s="187">
        <v>31650.720000000001</v>
      </c>
      <c r="H47" s="187">
        <v>32695.19</v>
      </c>
      <c r="I47" s="187">
        <v>33774.129999999997</v>
      </c>
      <c r="J47" s="187">
        <v>34888.68</v>
      </c>
      <c r="K47" s="187">
        <v>36040.01</v>
      </c>
      <c r="M47" s="292">
        <f t="shared" si="8"/>
        <v>218511.55000000002</v>
      </c>
    </row>
    <row r="48" spans="1:13" s="184" customFormat="1" ht="12.75">
      <c r="A48" s="127"/>
      <c r="C48" s="184" t="s">
        <v>1922</v>
      </c>
      <c r="D48" s="187">
        <v>0</v>
      </c>
      <c r="E48" s="187">
        <v>64761.279999999999</v>
      </c>
      <c r="F48" s="187">
        <v>80316.929999999993</v>
      </c>
      <c r="G48" s="187">
        <v>83007.55</v>
      </c>
      <c r="H48" s="187">
        <v>85788.3</v>
      </c>
      <c r="I48" s="187">
        <v>88662.21</v>
      </c>
      <c r="J48" s="187">
        <v>91632.4</v>
      </c>
      <c r="K48" s="187">
        <v>94702.080000000002</v>
      </c>
      <c r="M48" s="292">
        <f t="shared" si="8"/>
        <v>588870.75</v>
      </c>
    </row>
    <row r="49" spans="1:20" s="184" customFormat="1" ht="12.75">
      <c r="A49" s="127"/>
      <c r="C49" s="184" t="s">
        <v>1923</v>
      </c>
      <c r="D49" s="187">
        <v>0</v>
      </c>
      <c r="E49" s="187">
        <v>1010.64</v>
      </c>
      <c r="F49" s="187">
        <v>1061.18</v>
      </c>
      <c r="G49" s="187">
        <v>1114.24</v>
      </c>
      <c r="H49" s="187">
        <v>1169.95</v>
      </c>
      <c r="I49" s="187">
        <v>1228.44</v>
      </c>
      <c r="J49" s="187">
        <v>1289.8699999999999</v>
      </c>
      <c r="K49" s="187">
        <v>1354.36</v>
      </c>
      <c r="M49" s="292">
        <f t="shared" si="8"/>
        <v>8228.68</v>
      </c>
    </row>
    <row r="50" spans="1:20" ht="12.75">
      <c r="C50" s="184" t="s">
        <v>1924</v>
      </c>
      <c r="D50" s="187">
        <v>0</v>
      </c>
      <c r="E50" s="187">
        <v>4395.74</v>
      </c>
      <c r="F50" s="187">
        <v>5538.63</v>
      </c>
      <c r="G50" s="187">
        <v>5815.56</v>
      </c>
      <c r="H50" s="187">
        <v>6106.34</v>
      </c>
      <c r="I50" s="187">
        <v>6411.65</v>
      </c>
      <c r="J50" s="187">
        <v>6732.23</v>
      </c>
      <c r="K50" s="187">
        <v>7068.84</v>
      </c>
      <c r="M50" s="292">
        <f t="shared" si="8"/>
        <v>42068.989999999991</v>
      </c>
    </row>
    <row r="51" spans="1:20" ht="12.75">
      <c r="C51" s="184" t="s">
        <v>1925</v>
      </c>
      <c r="D51" s="187">
        <v>0</v>
      </c>
      <c r="E51" s="187">
        <v>2859</v>
      </c>
      <c r="F51" s="187">
        <v>4426.16</v>
      </c>
      <c r="G51" s="187">
        <v>4568.24</v>
      </c>
      <c r="H51" s="187">
        <v>4714.88</v>
      </c>
      <c r="I51" s="187">
        <v>4866.22</v>
      </c>
      <c r="J51" s="187">
        <v>5022.43</v>
      </c>
      <c r="K51" s="187">
        <v>5183.6499999999996</v>
      </c>
      <c r="M51" s="292">
        <f t="shared" si="8"/>
        <v>31640.58</v>
      </c>
    </row>
    <row r="52" spans="1:20" ht="12.75">
      <c r="C52" s="184" t="s">
        <v>1926</v>
      </c>
      <c r="D52" s="187">
        <v>0</v>
      </c>
      <c r="E52" s="187">
        <v>19330.04</v>
      </c>
      <c r="F52" s="187">
        <v>35821.89</v>
      </c>
      <c r="G52" s="187">
        <v>37021.919999999998</v>
      </c>
      <c r="H52" s="187">
        <v>38262.160000000003</v>
      </c>
      <c r="I52" s="187">
        <v>39543.94</v>
      </c>
      <c r="J52" s="187">
        <v>40868.660000000003</v>
      </c>
      <c r="K52" s="187">
        <v>42237.760000000002</v>
      </c>
      <c r="M52" s="292">
        <f t="shared" si="8"/>
        <v>253086.37000000002</v>
      </c>
    </row>
    <row r="53" spans="1:20" ht="12.75">
      <c r="C53" s="184" t="s">
        <v>1927</v>
      </c>
      <c r="D53" s="187">
        <v>0</v>
      </c>
      <c r="E53" s="187">
        <v>2853.96</v>
      </c>
      <c r="F53" s="187">
        <v>19162.900000000001</v>
      </c>
      <c r="G53" s="187">
        <v>19795.28</v>
      </c>
      <c r="H53" s="187">
        <v>20448.52</v>
      </c>
      <c r="I53" s="187">
        <v>21123.32</v>
      </c>
      <c r="J53" s="187">
        <v>21820.39</v>
      </c>
      <c r="K53" s="187">
        <v>22540.46</v>
      </c>
      <c r="M53" s="292">
        <f t="shared" si="8"/>
        <v>127744.83000000002</v>
      </c>
    </row>
    <row r="54" spans="1:20" ht="12.75">
      <c r="C54" s="184" t="s">
        <v>1928</v>
      </c>
      <c r="D54" s="187">
        <v>0</v>
      </c>
      <c r="E54" s="187">
        <v>14657.87</v>
      </c>
      <c r="F54" s="187">
        <v>14992.21</v>
      </c>
      <c r="G54" s="187">
        <v>15365.56</v>
      </c>
      <c r="H54" s="187">
        <v>15751.23</v>
      </c>
      <c r="I54" s="187">
        <v>12735.87</v>
      </c>
      <c r="J54" s="187">
        <v>13276.8</v>
      </c>
      <c r="K54" s="187">
        <v>13840.93</v>
      </c>
      <c r="M54" s="292">
        <f t="shared" si="8"/>
        <v>100620.47</v>
      </c>
    </row>
    <row r="55" spans="1:20" ht="12.75">
      <c r="C55" s="184" t="s">
        <v>1929</v>
      </c>
      <c r="D55" s="187">
        <v>0</v>
      </c>
      <c r="E55" s="187">
        <v>1811.98</v>
      </c>
      <c r="F55" s="187">
        <v>1870.46</v>
      </c>
      <c r="G55" s="187">
        <v>1935.51</v>
      </c>
      <c r="H55" s="187">
        <v>2002.82</v>
      </c>
      <c r="I55" s="187">
        <v>2082.5</v>
      </c>
      <c r="J55" s="187">
        <v>2175.7600000000002</v>
      </c>
      <c r="K55" s="187">
        <v>2273.1999999999998</v>
      </c>
      <c r="M55" s="292">
        <f t="shared" si="8"/>
        <v>14152.23</v>
      </c>
    </row>
    <row r="56" spans="1:20" ht="12.75">
      <c r="C56" s="184" t="s">
        <v>1930</v>
      </c>
      <c r="D56" s="187">
        <v>0</v>
      </c>
      <c r="E56" s="187">
        <v>6948.15</v>
      </c>
      <c r="F56" s="187">
        <v>7169.65</v>
      </c>
      <c r="G56" s="187">
        <v>7415.82</v>
      </c>
      <c r="H56" s="187">
        <v>7670.47</v>
      </c>
      <c r="I56" s="187">
        <v>7972.66</v>
      </c>
      <c r="J56" s="187">
        <v>8326.66</v>
      </c>
      <c r="K56" s="187">
        <v>8696.42</v>
      </c>
      <c r="M56" s="292">
        <f t="shared" si="8"/>
        <v>54199.83</v>
      </c>
    </row>
    <row r="57" spans="1:20" ht="12.75">
      <c r="C57" s="184" t="s">
        <v>1931</v>
      </c>
      <c r="D57" s="187">
        <v>0</v>
      </c>
      <c r="E57" s="187">
        <v>46141.1</v>
      </c>
      <c r="F57" s="187">
        <v>47629.97</v>
      </c>
      <c r="G57" s="187">
        <v>49286.07</v>
      </c>
      <c r="H57" s="187">
        <v>50999.85</v>
      </c>
      <c r="I57" s="187">
        <v>53028.34</v>
      </c>
      <c r="J57" s="187">
        <v>55402.76</v>
      </c>
      <c r="K57" s="187">
        <v>57883.62</v>
      </c>
      <c r="M57" s="292">
        <f t="shared" si="8"/>
        <v>360371.71</v>
      </c>
    </row>
    <row r="58" spans="1:20" ht="12.75">
      <c r="C58" s="184" t="s">
        <v>1932</v>
      </c>
      <c r="D58" s="187">
        <v>0</v>
      </c>
      <c r="E58" s="187">
        <v>48571.68</v>
      </c>
      <c r="F58" s="187">
        <v>50114.05</v>
      </c>
      <c r="G58" s="187">
        <v>51831.01</v>
      </c>
      <c r="H58" s="187">
        <v>53607.14</v>
      </c>
      <c r="I58" s="187">
        <v>55712.52</v>
      </c>
      <c r="J58" s="187">
        <v>58179.51</v>
      </c>
      <c r="K58" s="187">
        <v>60756.11</v>
      </c>
      <c r="M58" s="292">
        <f t="shared" si="8"/>
        <v>378772.01999999996</v>
      </c>
    </row>
    <row r="59" spans="1:20" ht="12.75">
      <c r="C59" s="184" t="s">
        <v>1933</v>
      </c>
      <c r="D59" s="187">
        <v>0</v>
      </c>
      <c r="E59" s="187">
        <v>19728.98</v>
      </c>
      <c r="F59" s="187">
        <v>28983.74</v>
      </c>
      <c r="G59" s="187">
        <v>29991.69</v>
      </c>
      <c r="H59" s="187">
        <v>31034.75</v>
      </c>
      <c r="I59" s="187">
        <v>32269.34</v>
      </c>
      <c r="J59" s="187">
        <v>33714.44</v>
      </c>
      <c r="K59" s="187">
        <v>35224.339999999997</v>
      </c>
      <c r="M59" s="292">
        <f t="shared" si="8"/>
        <v>210947.28</v>
      </c>
    </row>
    <row r="60" spans="1:20" ht="12.75">
      <c r="C60" s="184" t="s">
        <v>1934</v>
      </c>
      <c r="D60" s="187">
        <v>0</v>
      </c>
      <c r="E60" s="187">
        <v>595680.25</v>
      </c>
      <c r="F60" s="187">
        <v>613550.66</v>
      </c>
      <c r="G60" s="187">
        <v>631957.18000000005</v>
      </c>
      <c r="H60" s="187">
        <v>650915.89</v>
      </c>
      <c r="I60" s="187">
        <v>676952.53</v>
      </c>
      <c r="J60" s="187">
        <v>704030.63</v>
      </c>
      <c r="K60" s="187">
        <v>732191.85</v>
      </c>
      <c r="M60" s="292">
        <f t="shared" si="8"/>
        <v>4605278.99</v>
      </c>
    </row>
    <row r="61" spans="1:20" ht="12.75">
      <c r="C61" s="184" t="s">
        <v>1935</v>
      </c>
      <c r="D61" s="187">
        <v>0</v>
      </c>
      <c r="E61" s="187">
        <v>37309.74</v>
      </c>
      <c r="F61" s="187">
        <v>38262.07</v>
      </c>
      <c r="G61" s="187">
        <v>39238.54</v>
      </c>
      <c r="H61" s="187">
        <v>40239.54</v>
      </c>
      <c r="I61" s="187">
        <v>41266.01</v>
      </c>
      <c r="J61" s="187">
        <v>42318.42</v>
      </c>
      <c r="K61" s="187">
        <v>43397.49</v>
      </c>
      <c r="M61" s="292">
        <f t="shared" si="8"/>
        <v>282031.81</v>
      </c>
    </row>
    <row r="62" spans="1:20" ht="12.75">
      <c r="C62" s="184" t="s">
        <v>1936</v>
      </c>
      <c r="D62" s="187">
        <v>0</v>
      </c>
      <c r="E62" s="187">
        <v>3522.2</v>
      </c>
      <c r="F62" s="187">
        <v>3698.31</v>
      </c>
      <c r="G62" s="187">
        <v>3883.23</v>
      </c>
      <c r="H62" s="187">
        <v>4077.39</v>
      </c>
      <c r="I62" s="187">
        <v>4281.26</v>
      </c>
      <c r="J62" s="187">
        <v>4495.32</v>
      </c>
      <c r="K62" s="187">
        <v>4720.09</v>
      </c>
      <c r="M62" s="292">
        <f t="shared" si="8"/>
        <v>28677.8</v>
      </c>
    </row>
    <row r="63" spans="1:20" ht="12.75">
      <c r="C63" s="184" t="s">
        <v>1937</v>
      </c>
      <c r="D63" s="187">
        <v>0</v>
      </c>
      <c r="E63" s="187">
        <v>2513.2800000000002</v>
      </c>
      <c r="F63" s="187">
        <v>2638.94</v>
      </c>
      <c r="G63" s="187">
        <v>2770.89</v>
      </c>
      <c r="H63" s="187">
        <v>2909.43</v>
      </c>
      <c r="I63" s="187">
        <v>3054.9</v>
      </c>
      <c r="J63" s="187">
        <v>3207.65</v>
      </c>
      <c r="K63" s="187">
        <v>3368.03</v>
      </c>
      <c r="M63" s="292">
        <f t="shared" si="8"/>
        <v>20463.12</v>
      </c>
      <c r="N63" s="308"/>
      <c r="O63" s="308"/>
      <c r="P63" s="308"/>
      <c r="Q63" s="308"/>
      <c r="R63" s="308"/>
      <c r="S63" s="308"/>
      <c r="T63" s="308"/>
    </row>
    <row r="64" spans="1:20" ht="12.75">
      <c r="C64" s="184" t="s">
        <v>1938</v>
      </c>
      <c r="D64" s="187">
        <v>0</v>
      </c>
      <c r="E64" s="187">
        <v>203.4</v>
      </c>
      <c r="F64" s="187">
        <v>213.57</v>
      </c>
      <c r="G64" s="187">
        <v>224.25</v>
      </c>
      <c r="H64" s="187">
        <v>235.46</v>
      </c>
      <c r="I64" s="187">
        <v>247.24</v>
      </c>
      <c r="J64" s="187">
        <v>259.60000000000002</v>
      </c>
      <c r="K64" s="187">
        <v>272.58</v>
      </c>
      <c r="M64" s="292">
        <f t="shared" si="8"/>
        <v>1656.1</v>
      </c>
    </row>
    <row r="65" spans="3:16" ht="12.75">
      <c r="C65" s="184" t="s">
        <v>1939</v>
      </c>
      <c r="D65" s="187">
        <v>0</v>
      </c>
      <c r="E65" s="187">
        <v>9260</v>
      </c>
      <c r="F65" s="187">
        <v>9723</v>
      </c>
      <c r="G65" s="187">
        <v>10209.15</v>
      </c>
      <c r="H65" s="187">
        <v>10719.6</v>
      </c>
      <c r="I65" s="187">
        <v>11255.58</v>
      </c>
      <c r="J65" s="187">
        <v>11818.36</v>
      </c>
      <c r="K65" s="187">
        <v>12409.28</v>
      </c>
      <c r="M65" s="292">
        <f t="shared" si="8"/>
        <v>75394.97</v>
      </c>
    </row>
    <row r="66" spans="3:16" ht="12.75">
      <c r="C66" s="184" t="s">
        <v>1940</v>
      </c>
      <c r="D66" s="187">
        <v>0</v>
      </c>
      <c r="E66" s="187">
        <v>125000</v>
      </c>
      <c r="F66" s="187">
        <v>186051</v>
      </c>
      <c r="G66" s="187">
        <v>61995</v>
      </c>
      <c r="H66" s="187">
        <v>63979</v>
      </c>
      <c r="I66" s="187">
        <v>66026</v>
      </c>
      <c r="J66" s="187">
        <v>0</v>
      </c>
      <c r="K66" s="187">
        <v>0</v>
      </c>
      <c r="M66" s="292">
        <f t="shared" si="8"/>
        <v>503051</v>
      </c>
    </row>
    <row r="67" spans="3:16" ht="12.75">
      <c r="C67" s="184" t="s">
        <v>1941</v>
      </c>
      <c r="D67" s="187">
        <v>0</v>
      </c>
      <c r="E67" s="187">
        <v>590</v>
      </c>
      <c r="F67" s="187">
        <v>590</v>
      </c>
      <c r="G67" s="187">
        <v>590</v>
      </c>
      <c r="H67" s="187">
        <v>590</v>
      </c>
      <c r="I67" s="187">
        <v>590</v>
      </c>
      <c r="J67" s="187">
        <v>590</v>
      </c>
      <c r="K67" s="187">
        <v>590</v>
      </c>
      <c r="M67" s="292">
        <f t="shared" si="8"/>
        <v>4130</v>
      </c>
      <c r="P67" s="311"/>
    </row>
    <row r="68" spans="3:16" ht="12.75">
      <c r="C68" s="184" t="s">
        <v>1942</v>
      </c>
      <c r="D68" s="187">
        <v>0</v>
      </c>
      <c r="E68" s="187">
        <v>12043.86</v>
      </c>
      <c r="F68" s="187">
        <v>37323.96</v>
      </c>
      <c r="G68" s="187">
        <v>38555.65</v>
      </c>
      <c r="H68" s="187">
        <v>39827.99</v>
      </c>
      <c r="I68" s="187">
        <v>41142.31</v>
      </c>
      <c r="J68" s="187">
        <v>42500</v>
      </c>
      <c r="K68" s="187">
        <v>43902.51</v>
      </c>
      <c r="M68" s="292"/>
      <c r="P68" s="311"/>
    </row>
    <row r="69" spans="3:16" ht="12.75">
      <c r="C69" s="184" t="s">
        <v>1943</v>
      </c>
      <c r="D69" s="187">
        <v>0</v>
      </c>
      <c r="E69" s="187">
        <v>14016.77</v>
      </c>
      <c r="F69" s="187">
        <v>25553.06</v>
      </c>
      <c r="G69" s="187">
        <v>26191.88</v>
      </c>
      <c r="H69" s="187">
        <v>26846.68</v>
      </c>
      <c r="I69" s="187">
        <v>27517.84</v>
      </c>
      <c r="J69" s="187">
        <v>28205.79</v>
      </c>
      <c r="K69" s="187">
        <v>28910.94</v>
      </c>
      <c r="M69" s="292">
        <f t="shared" ref="M69:M96" si="9">SUM(D69:K69)</f>
        <v>177242.96000000002</v>
      </c>
      <c r="N69" s="54" t="s">
        <v>1944</v>
      </c>
      <c r="P69" s="311"/>
    </row>
    <row r="70" spans="3:16" ht="12.75">
      <c r="C70" s="184" t="s">
        <v>1945</v>
      </c>
      <c r="D70" s="187">
        <v>0</v>
      </c>
      <c r="E70" s="187">
        <v>11816</v>
      </c>
      <c r="F70" s="187">
        <v>22668.15</v>
      </c>
      <c r="G70" s="187">
        <v>23146.2</v>
      </c>
      <c r="H70" s="187">
        <v>24188.93</v>
      </c>
      <c r="I70" s="187">
        <v>24987.17</v>
      </c>
      <c r="J70" s="187">
        <v>25811.74</v>
      </c>
      <c r="K70" s="187">
        <v>26663.53</v>
      </c>
      <c r="M70" s="292">
        <f t="shared" si="9"/>
        <v>159281.72</v>
      </c>
      <c r="N70" s="54" t="s">
        <v>1946</v>
      </c>
      <c r="P70" s="311"/>
    </row>
    <row r="71" spans="3:16" ht="12.75">
      <c r="C71" s="184" t="s">
        <v>1947</v>
      </c>
      <c r="D71" s="187">
        <v>0</v>
      </c>
      <c r="E71" s="187">
        <v>9365.36</v>
      </c>
      <c r="F71" s="187">
        <v>45733.61</v>
      </c>
      <c r="G71" s="187">
        <v>47242.82</v>
      </c>
      <c r="H71" s="187">
        <v>48801.84</v>
      </c>
      <c r="I71" s="187">
        <v>50412.29</v>
      </c>
      <c r="J71" s="187">
        <v>52075.9</v>
      </c>
      <c r="K71" s="187">
        <v>53794.41</v>
      </c>
      <c r="M71" s="292">
        <f t="shared" si="9"/>
        <v>307426.23</v>
      </c>
      <c r="N71" s="54" t="s">
        <v>1948</v>
      </c>
      <c r="P71" s="311"/>
    </row>
    <row r="72" spans="3:16" ht="12.75">
      <c r="C72" s="184" t="s">
        <v>1949</v>
      </c>
      <c r="D72" s="187">
        <v>0</v>
      </c>
      <c r="E72" s="187">
        <v>0</v>
      </c>
      <c r="F72" s="187">
        <v>26436</v>
      </c>
      <c r="G72" s="187">
        <v>36428.81</v>
      </c>
      <c r="H72" s="187">
        <v>37649.17</v>
      </c>
      <c r="I72" s="187">
        <v>38910.42</v>
      </c>
      <c r="J72" s="187">
        <v>40213.910000000003</v>
      </c>
      <c r="K72" s="187">
        <v>41561.08</v>
      </c>
      <c r="M72" s="292">
        <f t="shared" si="9"/>
        <v>221199.39</v>
      </c>
      <c r="N72" s="54" t="s">
        <v>1950</v>
      </c>
      <c r="P72" s="311"/>
    </row>
    <row r="73" spans="3:16" ht="12.75">
      <c r="C73" s="184" t="s">
        <v>1951</v>
      </c>
      <c r="D73" s="187">
        <v>0</v>
      </c>
      <c r="E73" s="187">
        <v>0</v>
      </c>
      <c r="F73" s="187">
        <v>46275.96</v>
      </c>
      <c r="G73" s="187">
        <v>73145.960000000006</v>
      </c>
      <c r="H73" s="187">
        <v>75596.350000000006</v>
      </c>
      <c r="I73" s="187">
        <v>78128.83</v>
      </c>
      <c r="J73" s="187">
        <v>80746.149999999994</v>
      </c>
      <c r="K73" s="187">
        <v>83451.14</v>
      </c>
      <c r="M73" s="292">
        <f t="shared" si="9"/>
        <v>437344.39</v>
      </c>
      <c r="P73" s="311"/>
    </row>
    <row r="74" spans="3:16" ht="12.75">
      <c r="C74" s="184" t="s">
        <v>1952</v>
      </c>
      <c r="D74" s="187">
        <v>0</v>
      </c>
      <c r="E74" s="187">
        <v>0</v>
      </c>
      <c r="F74" s="187">
        <v>17730.75</v>
      </c>
      <c r="G74" s="187">
        <v>24350.23</v>
      </c>
      <c r="H74" s="187">
        <v>25080.74</v>
      </c>
      <c r="I74" s="187">
        <v>25833.16</v>
      </c>
      <c r="J74" s="187">
        <v>26608.15</v>
      </c>
      <c r="K74" s="187">
        <v>27406.400000000001</v>
      </c>
      <c r="M74" s="292">
        <f t="shared" si="9"/>
        <v>147009.43</v>
      </c>
      <c r="P74" s="311"/>
    </row>
    <row r="75" spans="3:16" ht="12.75">
      <c r="C75" s="184" t="s">
        <v>1953</v>
      </c>
      <c r="D75" s="187">
        <v>0</v>
      </c>
      <c r="E75" s="187">
        <v>5133.84</v>
      </c>
      <c r="F75" s="187">
        <v>9020.89</v>
      </c>
      <c r="G75" s="187">
        <v>9246.41</v>
      </c>
      <c r="H75" s="187">
        <v>9477.57</v>
      </c>
      <c r="I75" s="187">
        <v>9714.51</v>
      </c>
      <c r="J75" s="187">
        <v>9957.3799999999992</v>
      </c>
      <c r="K75" s="187">
        <v>10206.31</v>
      </c>
      <c r="M75" s="292">
        <f t="shared" si="9"/>
        <v>62756.909999999996</v>
      </c>
      <c r="N75" s="54" t="s">
        <v>1954</v>
      </c>
      <c r="P75" s="311"/>
    </row>
    <row r="76" spans="3:16" ht="12.75">
      <c r="C76" s="184" t="s">
        <v>1955</v>
      </c>
      <c r="D76" s="187">
        <v>0</v>
      </c>
      <c r="E76" s="187">
        <v>0</v>
      </c>
      <c r="F76" s="187">
        <v>136.81</v>
      </c>
      <c r="G76" s="187">
        <v>186.97</v>
      </c>
      <c r="H76" s="187">
        <v>191.41</v>
      </c>
      <c r="I76" s="187">
        <v>196.44</v>
      </c>
      <c r="J76" s="187">
        <v>201.35</v>
      </c>
      <c r="K76" s="187">
        <v>206.38</v>
      </c>
      <c r="M76" s="292">
        <f t="shared" si="9"/>
        <v>1119.3599999999999</v>
      </c>
      <c r="N76" s="54" t="s">
        <v>1956</v>
      </c>
      <c r="P76" s="311"/>
    </row>
    <row r="77" spans="3:16" ht="12.75">
      <c r="C77" s="184" t="s">
        <v>1957</v>
      </c>
      <c r="D77" s="187">
        <v>0</v>
      </c>
      <c r="E77" s="187">
        <v>0</v>
      </c>
      <c r="F77" s="187">
        <v>65383.23</v>
      </c>
      <c r="G77" s="187">
        <v>80011.02</v>
      </c>
      <c r="H77" s="187">
        <v>82651.38</v>
      </c>
      <c r="I77" s="187">
        <v>85378.87</v>
      </c>
      <c r="J77" s="187">
        <v>88196.38</v>
      </c>
      <c r="K77" s="187">
        <v>91106.86</v>
      </c>
      <c r="M77" s="292">
        <f t="shared" si="9"/>
        <v>492727.74</v>
      </c>
      <c r="N77" s="54" t="s">
        <v>1958</v>
      </c>
      <c r="P77" s="311"/>
    </row>
    <row r="78" spans="3:16" ht="12.75">
      <c r="C78" s="184" t="s">
        <v>1959</v>
      </c>
      <c r="D78" s="187">
        <v>0</v>
      </c>
      <c r="E78" s="187">
        <v>0</v>
      </c>
      <c r="F78" s="187">
        <v>0</v>
      </c>
      <c r="G78" s="187">
        <v>52829.07</v>
      </c>
      <c r="H78" s="187">
        <v>54524.88</v>
      </c>
      <c r="I78" s="187">
        <v>56275.13</v>
      </c>
      <c r="J78" s="187">
        <v>58081.56</v>
      </c>
      <c r="K78" s="187">
        <v>59945.98</v>
      </c>
      <c r="M78" s="292">
        <f t="shared" si="9"/>
        <v>281656.62</v>
      </c>
      <c r="N78" s="54" t="s">
        <v>1960</v>
      </c>
      <c r="P78" s="311"/>
    </row>
    <row r="79" spans="3:16" ht="12.75">
      <c r="C79" s="184" t="s">
        <v>1961</v>
      </c>
      <c r="D79" s="187">
        <v>0</v>
      </c>
      <c r="E79" s="187">
        <v>0</v>
      </c>
      <c r="F79" s="187">
        <v>0</v>
      </c>
      <c r="G79" s="187">
        <v>23878.67</v>
      </c>
      <c r="H79" s="187">
        <v>24645.17</v>
      </c>
      <c r="I79" s="187">
        <v>25436.28</v>
      </c>
      <c r="J79" s="187">
        <v>26252.79</v>
      </c>
      <c r="K79" s="187">
        <v>27095.5</v>
      </c>
      <c r="M79" s="292">
        <f t="shared" si="9"/>
        <v>127308.41</v>
      </c>
      <c r="N79" s="54" t="s">
        <v>1960</v>
      </c>
      <c r="P79" s="311"/>
    </row>
    <row r="80" spans="3:16" ht="12.75">
      <c r="C80" s="184" t="s">
        <v>1962</v>
      </c>
      <c r="D80" s="187">
        <v>0</v>
      </c>
      <c r="E80" s="187">
        <v>0</v>
      </c>
      <c r="F80" s="187">
        <v>0</v>
      </c>
      <c r="G80" s="187">
        <v>10112.52</v>
      </c>
      <c r="H80" s="187">
        <v>10437.129999999999</v>
      </c>
      <c r="I80" s="187">
        <v>10772.16</v>
      </c>
      <c r="J80" s="187">
        <v>11117.95</v>
      </c>
      <c r="K80" s="187">
        <v>11474.83</v>
      </c>
      <c r="M80" s="292">
        <f t="shared" si="9"/>
        <v>53914.590000000004</v>
      </c>
      <c r="N80" s="54" t="s">
        <v>1960</v>
      </c>
      <c r="P80" s="311"/>
    </row>
    <row r="81" spans="3:16" ht="12.75">
      <c r="C81" s="184" t="s">
        <v>1963</v>
      </c>
      <c r="D81" s="187">
        <v>0</v>
      </c>
      <c r="E81" s="187">
        <v>0</v>
      </c>
      <c r="F81" s="187">
        <v>0</v>
      </c>
      <c r="G81" s="187">
        <v>9305.41</v>
      </c>
      <c r="H81" s="187">
        <v>9604.1200000000008</v>
      </c>
      <c r="I81" s="187">
        <v>9912.41</v>
      </c>
      <c r="J81" s="187">
        <v>10230.6</v>
      </c>
      <c r="K81" s="187">
        <v>10559</v>
      </c>
      <c r="M81" s="292">
        <f t="shared" si="9"/>
        <v>49611.54</v>
      </c>
      <c r="N81" s="54" t="s">
        <v>1960</v>
      </c>
      <c r="P81" s="311"/>
    </row>
    <row r="82" spans="3:16" ht="12.75">
      <c r="C82" s="184" t="s">
        <v>1964</v>
      </c>
      <c r="D82" s="187">
        <v>0</v>
      </c>
      <c r="E82" s="187">
        <v>0</v>
      </c>
      <c r="F82" s="187">
        <v>0</v>
      </c>
      <c r="G82" s="187">
        <v>1908.35</v>
      </c>
      <c r="H82" s="187">
        <v>1969.61</v>
      </c>
      <c r="I82" s="187">
        <v>2032.84</v>
      </c>
      <c r="J82" s="187">
        <v>2098.09</v>
      </c>
      <c r="K82" s="187">
        <v>2165.44</v>
      </c>
      <c r="M82" s="292">
        <f t="shared" si="9"/>
        <v>10174.33</v>
      </c>
      <c r="N82" s="54" t="s">
        <v>1960</v>
      </c>
      <c r="P82" s="311"/>
    </row>
    <row r="83" spans="3:16" ht="12.75">
      <c r="C83" s="184" t="s">
        <v>1965</v>
      </c>
      <c r="D83" s="187">
        <v>0</v>
      </c>
      <c r="E83" s="187">
        <v>0</v>
      </c>
      <c r="F83" s="187">
        <v>0</v>
      </c>
      <c r="G83" s="187">
        <v>12843.45</v>
      </c>
      <c r="H83" s="187">
        <v>13255.73</v>
      </c>
      <c r="I83" s="187">
        <v>13681.24</v>
      </c>
      <c r="J83" s="187">
        <v>14120.4</v>
      </c>
      <c r="K83" s="187">
        <v>14573.67</v>
      </c>
      <c r="M83" s="292">
        <f t="shared" si="9"/>
        <v>68474.490000000005</v>
      </c>
      <c r="N83" s="54" t="s">
        <v>1960</v>
      </c>
      <c r="P83" s="311"/>
    </row>
    <row r="84" spans="3:16" ht="12.75">
      <c r="C84" s="184" t="s">
        <v>1966</v>
      </c>
      <c r="D84" s="187">
        <v>0</v>
      </c>
      <c r="E84" s="187">
        <v>0</v>
      </c>
      <c r="F84" s="187">
        <v>20998.720000000001</v>
      </c>
      <c r="G84" s="187">
        <v>28698.26</v>
      </c>
      <c r="H84" s="187">
        <v>29415.71</v>
      </c>
      <c r="I84" s="187">
        <v>30151.11</v>
      </c>
      <c r="J84" s="187">
        <v>30904.880000000001</v>
      </c>
      <c r="K84" s="187">
        <v>31677.51</v>
      </c>
      <c r="M84" s="292">
        <f t="shared" si="9"/>
        <v>171846.19</v>
      </c>
      <c r="N84" s="54" t="s">
        <v>1967</v>
      </c>
      <c r="P84" s="311"/>
    </row>
    <row r="85" spans="3:16" ht="12.75">
      <c r="C85" s="184" t="s">
        <v>1968</v>
      </c>
      <c r="D85" s="187">
        <v>0</v>
      </c>
      <c r="E85" s="187">
        <v>0</v>
      </c>
      <c r="F85" s="187">
        <v>1102.32</v>
      </c>
      <c r="G85" s="187">
        <v>1543.25</v>
      </c>
      <c r="H85" s="187">
        <v>1620.41</v>
      </c>
      <c r="I85" s="187">
        <v>1701.43</v>
      </c>
      <c r="J85" s="187">
        <v>1786.5</v>
      </c>
      <c r="K85" s="187">
        <v>1875.83</v>
      </c>
      <c r="M85" s="292">
        <f t="shared" si="9"/>
        <v>9629.74</v>
      </c>
      <c r="N85" s="54" t="s">
        <v>1967</v>
      </c>
      <c r="P85" s="311"/>
    </row>
    <row r="86" spans="3:16" ht="12.75">
      <c r="C86" s="184" t="s">
        <v>1969</v>
      </c>
      <c r="D86" s="187">
        <v>0</v>
      </c>
      <c r="E86" s="187">
        <v>0</v>
      </c>
      <c r="F86" s="187">
        <v>1600</v>
      </c>
      <c r="G86" s="187">
        <v>6656</v>
      </c>
      <c r="H86" s="187">
        <v>6922.24</v>
      </c>
      <c r="I86" s="187">
        <v>7199.13</v>
      </c>
      <c r="J86" s="187">
        <v>7487.09</v>
      </c>
      <c r="K86" s="187">
        <v>7786.58</v>
      </c>
      <c r="M86" s="292">
        <f t="shared" si="9"/>
        <v>37651.040000000001</v>
      </c>
      <c r="N86" s="54" t="s">
        <v>1967</v>
      </c>
      <c r="P86" s="311"/>
    </row>
    <row r="87" spans="3:16" ht="12.75">
      <c r="C87" s="184" t="s">
        <v>1970</v>
      </c>
      <c r="D87" s="187">
        <v>0</v>
      </c>
      <c r="E87" s="187">
        <v>1112.4000000000001</v>
      </c>
      <c r="F87" s="187">
        <v>9099.5300000000007</v>
      </c>
      <c r="G87" s="187">
        <v>11795.06</v>
      </c>
      <c r="H87" s="187">
        <v>12325.84</v>
      </c>
      <c r="I87" s="187">
        <v>12880.5</v>
      </c>
      <c r="J87" s="187">
        <v>13460.12</v>
      </c>
      <c r="K87" s="187">
        <v>14065.58</v>
      </c>
      <c r="M87" s="292">
        <f t="shared" si="9"/>
        <v>74739.03</v>
      </c>
      <c r="N87" s="54" t="s">
        <v>1967</v>
      </c>
      <c r="P87" s="311"/>
    </row>
    <row r="88" spans="3:16" ht="12.75">
      <c r="C88" s="184" t="s">
        <v>1971</v>
      </c>
      <c r="D88" s="187">
        <v>0</v>
      </c>
      <c r="E88" s="187">
        <v>0</v>
      </c>
      <c r="F88" s="187">
        <v>0</v>
      </c>
      <c r="G88" s="187">
        <v>2738.3</v>
      </c>
      <c r="H88" s="187">
        <v>2820.45</v>
      </c>
      <c r="I88" s="187">
        <v>2933.27</v>
      </c>
      <c r="J88" s="187">
        <v>3050.6</v>
      </c>
      <c r="K88" s="187">
        <v>3172.62</v>
      </c>
      <c r="M88" s="292">
        <f t="shared" si="9"/>
        <v>14715.240000000002</v>
      </c>
      <c r="N88" s="54" t="s">
        <v>1972</v>
      </c>
      <c r="P88" s="311"/>
    </row>
    <row r="89" spans="3:16" ht="12.75">
      <c r="C89" s="184" t="s">
        <v>1973</v>
      </c>
      <c r="D89" s="187">
        <v>0</v>
      </c>
      <c r="E89" s="187">
        <v>0</v>
      </c>
      <c r="F89" s="187">
        <v>0</v>
      </c>
      <c r="G89" s="187">
        <v>3466.12</v>
      </c>
      <c r="H89" s="187">
        <v>3587.43</v>
      </c>
      <c r="I89" s="187">
        <v>3712.99</v>
      </c>
      <c r="J89" s="187">
        <v>3842.95</v>
      </c>
      <c r="K89" s="187">
        <v>3977.45</v>
      </c>
      <c r="M89" s="292">
        <f t="shared" si="9"/>
        <v>18586.939999999999</v>
      </c>
      <c r="N89" s="54" t="s">
        <v>1811</v>
      </c>
      <c r="P89" s="311"/>
    </row>
    <row r="90" spans="3:16" ht="12.75">
      <c r="C90" s="184" t="s">
        <v>1974</v>
      </c>
      <c r="D90" s="187">
        <v>0</v>
      </c>
      <c r="E90" s="187">
        <v>0</v>
      </c>
      <c r="F90" s="187">
        <v>0</v>
      </c>
      <c r="G90" s="187">
        <v>5590.32</v>
      </c>
      <c r="H90" s="187">
        <v>7714.64</v>
      </c>
      <c r="I90" s="187">
        <v>7984.65</v>
      </c>
      <c r="J90" s="187">
        <v>8264.1200000000008</v>
      </c>
      <c r="K90" s="187">
        <v>8553.36</v>
      </c>
      <c r="M90" s="292">
        <f t="shared" si="9"/>
        <v>38107.090000000004</v>
      </c>
      <c r="N90" s="54" t="s">
        <v>1811</v>
      </c>
      <c r="P90" s="311"/>
    </row>
    <row r="91" spans="3:16" ht="12.75">
      <c r="C91" s="184"/>
      <c r="D91" s="187">
        <v>0</v>
      </c>
      <c r="E91" s="187">
        <v>0</v>
      </c>
      <c r="F91" s="187">
        <v>0</v>
      </c>
      <c r="G91" s="187">
        <v>0</v>
      </c>
      <c r="H91" s="187">
        <v>0</v>
      </c>
      <c r="I91" s="187">
        <v>0</v>
      </c>
      <c r="J91" s="187">
        <v>0</v>
      </c>
      <c r="K91" s="187">
        <v>0</v>
      </c>
      <c r="M91" s="292"/>
      <c r="P91" s="311"/>
    </row>
    <row r="92" spans="3:16" ht="12.75">
      <c r="C92" s="184"/>
      <c r="D92" s="187">
        <v>0</v>
      </c>
      <c r="E92" s="187">
        <v>0</v>
      </c>
      <c r="F92" s="187">
        <v>0</v>
      </c>
      <c r="G92" s="187">
        <v>0</v>
      </c>
      <c r="H92" s="187">
        <v>0</v>
      </c>
      <c r="I92" s="187">
        <v>0</v>
      </c>
      <c r="J92" s="187">
        <v>0</v>
      </c>
      <c r="K92" s="187">
        <v>0</v>
      </c>
      <c r="M92" s="292"/>
      <c r="P92" s="311"/>
    </row>
    <row r="93" spans="3:16" ht="12.75">
      <c r="C93" s="184"/>
      <c r="D93" s="187">
        <v>0</v>
      </c>
      <c r="E93" s="187">
        <v>0</v>
      </c>
      <c r="F93" s="187">
        <v>0</v>
      </c>
      <c r="G93" s="187">
        <v>0</v>
      </c>
      <c r="H93" s="187">
        <v>0</v>
      </c>
      <c r="I93" s="187">
        <v>0</v>
      </c>
      <c r="J93" s="187">
        <v>0</v>
      </c>
      <c r="K93" s="187">
        <v>0</v>
      </c>
      <c r="M93" s="292"/>
      <c r="P93" s="311"/>
    </row>
    <row r="94" spans="3:16" ht="12.75">
      <c r="C94" s="184"/>
      <c r="D94" s="187">
        <v>0</v>
      </c>
      <c r="E94" s="187">
        <v>0</v>
      </c>
      <c r="F94" s="187">
        <v>0</v>
      </c>
      <c r="G94" s="187">
        <v>0</v>
      </c>
      <c r="H94" s="187">
        <v>0</v>
      </c>
      <c r="I94" s="187">
        <v>0</v>
      </c>
      <c r="J94" s="187">
        <v>0</v>
      </c>
      <c r="K94" s="187">
        <v>0</v>
      </c>
      <c r="M94" s="292"/>
      <c r="P94" s="311"/>
    </row>
    <row r="95" spans="3:16" ht="12.75">
      <c r="C95" s="184"/>
      <c r="D95" s="187">
        <v>0</v>
      </c>
      <c r="E95" s="187">
        <v>0</v>
      </c>
      <c r="F95" s="187">
        <v>0</v>
      </c>
      <c r="G95" s="187">
        <v>0</v>
      </c>
      <c r="H95" s="187">
        <v>0</v>
      </c>
      <c r="I95" s="187">
        <v>0</v>
      </c>
      <c r="J95" s="187">
        <v>0</v>
      </c>
      <c r="K95" s="187">
        <v>0</v>
      </c>
      <c r="M95" s="292"/>
      <c r="P95" s="311"/>
    </row>
    <row r="96" spans="3:16" ht="12.75">
      <c r="C96" s="184"/>
      <c r="D96" s="187">
        <v>0</v>
      </c>
      <c r="E96" s="187">
        <v>0</v>
      </c>
      <c r="F96" s="187">
        <v>0</v>
      </c>
      <c r="G96" s="187">
        <v>0</v>
      </c>
      <c r="H96" s="187">
        <v>0</v>
      </c>
      <c r="I96" s="187">
        <v>0</v>
      </c>
      <c r="J96" s="187">
        <v>0</v>
      </c>
      <c r="K96" s="187">
        <v>0</v>
      </c>
      <c r="M96" s="292">
        <f t="shared" si="9"/>
        <v>0</v>
      </c>
      <c r="P96" s="311"/>
    </row>
    <row r="97" spans="3:16" ht="12.75">
      <c r="P97" s="311"/>
    </row>
    <row r="98" spans="3:16" ht="12.75">
      <c r="C98" s="291" t="s">
        <v>1975</v>
      </c>
      <c r="P98" s="311"/>
    </row>
    <row r="99" spans="3:16">
      <c r="P99" s="86"/>
    </row>
    <row r="100" spans="3:16">
      <c r="C100" s="546" t="s">
        <v>1976</v>
      </c>
      <c r="D100" s="46">
        <v>33736.160000000003</v>
      </c>
      <c r="E100" s="46">
        <v>151930.56</v>
      </c>
      <c r="F100" s="46">
        <v>154132.94</v>
      </c>
      <c r="G100" s="46">
        <v>159250.18</v>
      </c>
      <c r="H100" s="46">
        <v>167172.65</v>
      </c>
      <c r="I100" s="46">
        <v>170001.65</v>
      </c>
      <c r="J100" s="46">
        <v>175647.5</v>
      </c>
      <c r="K100" s="46">
        <v>181481.49</v>
      </c>
    </row>
    <row r="101" spans="3:16">
      <c r="C101" s="546"/>
      <c r="D101" s="85">
        <v>0</v>
      </c>
      <c r="E101" s="54">
        <v>16437.77</v>
      </c>
      <c r="F101" s="54">
        <v>22642.48</v>
      </c>
      <c r="G101" s="54">
        <v>23391.95</v>
      </c>
      <c r="H101" s="54">
        <v>24166.22</v>
      </c>
      <c r="I101" s="54">
        <v>24966.13</v>
      </c>
      <c r="J101" s="54">
        <v>25792.5</v>
      </c>
      <c r="K101" s="54">
        <v>26646.23</v>
      </c>
    </row>
    <row r="102" spans="3:16">
      <c r="C102" s="546"/>
      <c r="D102" s="85">
        <f t="shared" ref="D102:K102" si="10">SUM(D100:D101)</f>
        <v>33736.160000000003</v>
      </c>
      <c r="E102" s="86">
        <f t="shared" si="10"/>
        <v>168368.33</v>
      </c>
      <c r="F102" s="86">
        <f t="shared" si="10"/>
        <v>176775.42</v>
      </c>
      <c r="G102" s="86">
        <f t="shared" si="10"/>
        <v>182642.13</v>
      </c>
      <c r="H102" s="86">
        <f t="shared" si="10"/>
        <v>191338.87</v>
      </c>
      <c r="I102" s="86">
        <f t="shared" si="10"/>
        <v>194967.78</v>
      </c>
      <c r="J102" s="86">
        <f t="shared" si="10"/>
        <v>201440</v>
      </c>
      <c r="K102" s="86">
        <f t="shared" si="10"/>
        <v>208127.72</v>
      </c>
    </row>
    <row r="103" spans="3:16">
      <c r="C103" s="288"/>
    </row>
    <row r="104" spans="3:16">
      <c r="C104" s="288"/>
    </row>
    <row r="105" spans="3:16">
      <c r="C105" s="546" t="s">
        <v>1977</v>
      </c>
      <c r="D105" s="46">
        <v>25671.16</v>
      </c>
      <c r="E105" s="46">
        <v>105508.76</v>
      </c>
      <c r="F105" s="46">
        <v>106852.05</v>
      </c>
      <c r="G105" s="46">
        <v>110443.57</v>
      </c>
      <c r="H105" s="46">
        <v>116200.43</v>
      </c>
      <c r="I105" s="46">
        <v>117994.11</v>
      </c>
      <c r="J105" s="46">
        <v>121961.5</v>
      </c>
      <c r="K105" s="46">
        <v>126062.79</v>
      </c>
    </row>
    <row r="106" spans="3:16">
      <c r="C106" s="546"/>
      <c r="E106" s="54">
        <v>22070.37</v>
      </c>
      <c r="F106" s="54">
        <v>22732.48</v>
      </c>
      <c r="G106" s="54">
        <v>23414.45</v>
      </c>
      <c r="H106" s="54">
        <v>24116.89</v>
      </c>
      <c r="I106" s="54">
        <v>24840.400000000001</v>
      </c>
      <c r="J106" s="54">
        <v>25585.61</v>
      </c>
      <c r="K106" s="54">
        <v>26353.18</v>
      </c>
    </row>
    <row r="107" spans="3:16">
      <c r="C107" s="546"/>
      <c r="E107" s="86">
        <f t="shared" ref="E107:K107" si="11">SUM(E105:E106)</f>
        <v>127579.12999999999</v>
      </c>
      <c r="F107" s="86">
        <f t="shared" si="11"/>
        <v>129584.53</v>
      </c>
      <c r="G107" s="86">
        <f t="shared" si="11"/>
        <v>133858.02000000002</v>
      </c>
      <c r="H107" s="86">
        <f t="shared" si="11"/>
        <v>140317.32</v>
      </c>
      <c r="I107" s="86">
        <f t="shared" si="11"/>
        <v>142834.51</v>
      </c>
      <c r="J107" s="86">
        <f t="shared" si="11"/>
        <v>147547.10999999999</v>
      </c>
      <c r="K107" s="86">
        <f t="shared" si="11"/>
        <v>152415.97</v>
      </c>
    </row>
  </sheetData>
  <mergeCells count="2">
    <mergeCell ref="C100:C102"/>
    <mergeCell ref="C105:C107"/>
  </mergeCells>
  <phoneticPr fontId="0" type="noConversion"/>
  <printOptions horizontalCentered="1"/>
  <pageMargins left="0.23622047244094491" right="0.23622047244094491" top="0.98425196850393704" bottom="0.98425196850393704" header="0.51181102362204722" footer="0.51181102362204722"/>
  <pageSetup paperSize="9" fitToWidth="2" fitToHeight="3" orientation="landscape" r:id="rId1"/>
  <headerFooter alignWithMargins="0">
    <oddHeader>&amp;C&amp;"Calibri"&amp;10&amp;K737373Serco Business&amp;1#_x000D_&amp;"Calibri"&amp;11&amp;K000000&amp;"Calibri"&amp;11&amp;K000000&amp;"Arial,Bold"RESTRICTED - CONTRACTS</oddHeader>
    <oddFooter>&amp;L&amp;8PTC/CB/00642&amp;C&amp;8 2-(32)-&amp;P
&amp;"Arial,Bold"&amp;10RESTRICTED CONTRACTS&amp;R&amp;8Pricing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H38"/>
  <sheetViews>
    <sheetView showGridLines="0" zoomScaleNormal="100" zoomScaleSheetLayoutView="100" zoomScalePageLayoutView="85" workbookViewId="0">
      <selection activeCell="J20" sqref="J20:J21"/>
    </sheetView>
  </sheetViews>
  <sheetFormatPr defaultColWidth="20.7109375" defaultRowHeight="12.75"/>
  <cols>
    <col min="1" max="1" width="2.28515625" style="333" customWidth="1"/>
    <col min="2" max="2" width="43.140625" style="333" customWidth="1"/>
    <col min="3" max="3" width="15.42578125" style="333" customWidth="1"/>
    <col min="4" max="4" width="16.7109375" style="333" customWidth="1"/>
    <col min="5" max="5" width="15.140625" style="333" bestFit="1" customWidth="1"/>
    <col min="6" max="6" width="15.85546875" style="333" customWidth="1"/>
    <col min="7" max="7" width="15.42578125" style="333" customWidth="1"/>
    <col min="8" max="8" width="15.5703125" style="333" customWidth="1"/>
    <col min="9" max="9" width="7.140625" style="333" customWidth="1"/>
    <col min="10" max="16384" width="20.7109375" style="333"/>
  </cols>
  <sheetData>
    <row r="2" spans="2:8" s="331" customFormat="1" ht="15">
      <c r="B2" s="500" t="s">
        <v>81</v>
      </c>
      <c r="C2" s="501"/>
      <c r="D2" s="501"/>
      <c r="E2" s="501"/>
      <c r="F2" s="501"/>
      <c r="G2" s="501"/>
      <c r="H2" s="502"/>
    </row>
    <row r="3" spans="2:8" s="331" customFormat="1" ht="15">
      <c r="B3" s="503" t="s">
        <v>19</v>
      </c>
      <c r="C3" s="504"/>
      <c r="D3" s="504"/>
      <c r="E3" s="504"/>
      <c r="F3" s="504"/>
      <c r="G3" s="504"/>
      <c r="H3" s="505"/>
    </row>
    <row r="4" spans="2:8" s="331" customFormat="1" ht="15">
      <c r="B4" s="503"/>
      <c r="C4" s="504"/>
      <c r="D4" s="504"/>
      <c r="E4" s="504"/>
      <c r="F4" s="504"/>
      <c r="G4" s="504"/>
      <c r="H4" s="505"/>
    </row>
    <row r="5" spans="2:8" s="331" customFormat="1" ht="15">
      <c r="B5" s="506" t="s">
        <v>82</v>
      </c>
      <c r="C5" s="507"/>
      <c r="D5" s="507"/>
      <c r="E5" s="507"/>
      <c r="F5" s="507"/>
      <c r="G5" s="507"/>
      <c r="H5" s="508"/>
    </row>
    <row r="6" spans="2:8" s="331" customFormat="1" ht="15">
      <c r="B6" s="335"/>
      <c r="C6" s="344"/>
      <c r="D6" s="344"/>
      <c r="E6" s="344"/>
      <c r="F6" s="344"/>
      <c r="G6" s="344"/>
      <c r="H6" s="336"/>
    </row>
    <row r="7" spans="2:8" s="331" customFormat="1" ht="15">
      <c r="B7" s="509" t="s">
        <v>83</v>
      </c>
      <c r="C7" s="510"/>
      <c r="D7" s="510"/>
      <c r="E7" s="510"/>
      <c r="F7" s="510"/>
      <c r="G7" s="510"/>
      <c r="H7" s="511"/>
    </row>
    <row r="8" spans="2:8" s="331" customFormat="1" ht="15">
      <c r="B8" s="406"/>
      <c r="C8" s="407"/>
      <c r="D8" s="407"/>
      <c r="E8" s="407"/>
      <c r="F8" s="407"/>
      <c r="G8" s="407"/>
      <c r="H8" s="408"/>
    </row>
    <row r="9" spans="2:8" s="331" customFormat="1" ht="15">
      <c r="B9" s="509" t="s">
        <v>84</v>
      </c>
      <c r="C9" s="510"/>
      <c r="D9" s="510"/>
      <c r="E9" s="510"/>
      <c r="F9" s="510"/>
      <c r="G9" s="510"/>
      <c r="H9" s="511"/>
    </row>
    <row r="10" spans="2:8">
      <c r="B10" s="381"/>
      <c r="C10" s="382"/>
      <c r="D10" s="382"/>
      <c r="E10" s="382"/>
      <c r="F10" s="382"/>
      <c r="G10" s="382"/>
      <c r="H10" s="383"/>
    </row>
    <row r="11" spans="2:8" ht="15">
      <c r="B11" s="360"/>
      <c r="C11" s="499" t="s">
        <v>85</v>
      </c>
      <c r="D11" s="499"/>
      <c r="E11" s="499"/>
      <c r="F11" s="499" t="s">
        <v>86</v>
      </c>
      <c r="G11" s="499"/>
      <c r="H11" s="499"/>
    </row>
    <row r="12" spans="2:8" ht="15">
      <c r="B12" s="373" t="s">
        <v>87</v>
      </c>
      <c r="C12" s="373" t="s">
        <v>88</v>
      </c>
      <c r="D12" s="373" t="s">
        <v>89</v>
      </c>
      <c r="E12" s="373" t="s">
        <v>90</v>
      </c>
      <c r="F12" s="373" t="s">
        <v>91</v>
      </c>
      <c r="G12" s="373" t="s">
        <v>92</v>
      </c>
      <c r="H12" s="373" t="s">
        <v>93</v>
      </c>
    </row>
    <row r="13" spans="2:8" ht="14.25">
      <c r="B13" s="419" t="s">
        <v>94</v>
      </c>
      <c r="C13" s="456" t="s">
        <v>47</v>
      </c>
      <c r="D13" s="456" t="s">
        <v>47</v>
      </c>
      <c r="E13" s="456" t="s">
        <v>47</v>
      </c>
      <c r="F13" s="456" t="s">
        <v>47</v>
      </c>
      <c r="G13" s="456" t="s">
        <v>47</v>
      </c>
      <c r="H13" s="456" t="s">
        <v>47</v>
      </c>
    </row>
    <row r="14" spans="2:8" ht="14.25">
      <c r="B14" s="419" t="s">
        <v>95</v>
      </c>
      <c r="C14" s="456" t="s">
        <v>47</v>
      </c>
      <c r="D14" s="456" t="s">
        <v>47</v>
      </c>
      <c r="E14" s="456" t="s">
        <v>47</v>
      </c>
      <c r="F14" s="456" t="s">
        <v>47</v>
      </c>
      <c r="G14" s="456" t="s">
        <v>47</v>
      </c>
      <c r="H14" s="456" t="s">
        <v>47</v>
      </c>
    </row>
    <row r="15" spans="2:8" ht="14.25">
      <c r="B15" s="419" t="s">
        <v>96</v>
      </c>
      <c r="C15" s="456" t="s">
        <v>47</v>
      </c>
      <c r="D15" s="456" t="s">
        <v>47</v>
      </c>
      <c r="E15" s="456" t="s">
        <v>47</v>
      </c>
      <c r="F15" s="456" t="s">
        <v>47</v>
      </c>
      <c r="G15" s="456" t="s">
        <v>47</v>
      </c>
      <c r="H15" s="456" t="s">
        <v>47</v>
      </c>
    </row>
    <row r="16" spans="2:8" ht="14.25">
      <c r="B16" s="419" t="s">
        <v>97</v>
      </c>
      <c r="C16" s="456" t="s">
        <v>47</v>
      </c>
      <c r="D16" s="456" t="s">
        <v>47</v>
      </c>
      <c r="E16" s="456" t="s">
        <v>47</v>
      </c>
      <c r="F16" s="456" t="s">
        <v>47</v>
      </c>
      <c r="G16" s="456" t="s">
        <v>47</v>
      </c>
      <c r="H16" s="456" t="s">
        <v>47</v>
      </c>
    </row>
    <row r="17" spans="2:8" ht="14.25">
      <c r="B17" s="419" t="s">
        <v>98</v>
      </c>
      <c r="C17" s="456" t="s">
        <v>47</v>
      </c>
      <c r="D17" s="456" t="s">
        <v>47</v>
      </c>
      <c r="E17" s="456" t="s">
        <v>47</v>
      </c>
      <c r="F17" s="456" t="s">
        <v>47</v>
      </c>
      <c r="G17" s="456" t="s">
        <v>47</v>
      </c>
      <c r="H17" s="456" t="s">
        <v>47</v>
      </c>
    </row>
    <row r="18" spans="2:8" ht="14.25">
      <c r="B18" s="419" t="s">
        <v>99</v>
      </c>
      <c r="C18" s="456" t="s">
        <v>47</v>
      </c>
      <c r="D18" s="456" t="s">
        <v>47</v>
      </c>
      <c r="E18" s="456" t="s">
        <v>47</v>
      </c>
      <c r="F18" s="456" t="s">
        <v>47</v>
      </c>
      <c r="G18" s="456" t="s">
        <v>47</v>
      </c>
      <c r="H18" s="456" t="s">
        <v>47</v>
      </c>
    </row>
    <row r="19" spans="2:8" ht="14.25">
      <c r="B19" s="419" t="s">
        <v>100</v>
      </c>
      <c r="C19" s="456" t="s">
        <v>47</v>
      </c>
      <c r="D19" s="456" t="s">
        <v>47</v>
      </c>
      <c r="E19" s="456" t="s">
        <v>47</v>
      </c>
      <c r="F19" s="456" t="s">
        <v>47</v>
      </c>
      <c r="G19" s="456" t="s">
        <v>47</v>
      </c>
      <c r="H19" s="456" t="s">
        <v>47</v>
      </c>
    </row>
    <row r="20" spans="2:8" ht="14.25">
      <c r="B20" s="419" t="s">
        <v>101</v>
      </c>
      <c r="C20" s="456" t="s">
        <v>47</v>
      </c>
      <c r="D20" s="456" t="s">
        <v>47</v>
      </c>
      <c r="E20" s="456" t="s">
        <v>47</v>
      </c>
      <c r="F20" s="456" t="s">
        <v>47</v>
      </c>
      <c r="G20" s="456" t="s">
        <v>47</v>
      </c>
      <c r="H20" s="456" t="s">
        <v>47</v>
      </c>
    </row>
    <row r="21" spans="2:8" ht="14.25">
      <c r="B21" s="419" t="s">
        <v>102</v>
      </c>
      <c r="C21" s="456" t="s">
        <v>47</v>
      </c>
      <c r="D21" s="456" t="s">
        <v>47</v>
      </c>
      <c r="E21" s="456" t="s">
        <v>47</v>
      </c>
      <c r="F21" s="456" t="s">
        <v>47</v>
      </c>
      <c r="G21" s="456" t="s">
        <v>47</v>
      </c>
      <c r="H21" s="456" t="s">
        <v>47</v>
      </c>
    </row>
    <row r="22" spans="2:8" ht="14.25">
      <c r="B22" s="419" t="s">
        <v>103</v>
      </c>
      <c r="C22" s="456" t="s">
        <v>47</v>
      </c>
      <c r="D22" s="456" t="s">
        <v>47</v>
      </c>
      <c r="E22" s="456" t="s">
        <v>47</v>
      </c>
      <c r="F22" s="456" t="s">
        <v>47</v>
      </c>
      <c r="G22" s="456" t="s">
        <v>47</v>
      </c>
      <c r="H22" s="456" t="s">
        <v>47</v>
      </c>
    </row>
    <row r="23" spans="2:8" ht="14.25">
      <c r="B23" s="419" t="s">
        <v>104</v>
      </c>
      <c r="C23" s="456" t="s">
        <v>47</v>
      </c>
      <c r="D23" s="456" t="s">
        <v>47</v>
      </c>
      <c r="E23" s="456" t="s">
        <v>47</v>
      </c>
      <c r="F23" s="456" t="s">
        <v>47</v>
      </c>
      <c r="G23" s="456" t="s">
        <v>47</v>
      </c>
      <c r="H23" s="456" t="s">
        <v>47</v>
      </c>
    </row>
    <row r="24" spans="2:8" ht="14.25">
      <c r="B24" s="419" t="s">
        <v>105</v>
      </c>
      <c r="C24" s="456" t="s">
        <v>47</v>
      </c>
      <c r="D24" s="456" t="s">
        <v>47</v>
      </c>
      <c r="E24" s="456" t="s">
        <v>47</v>
      </c>
      <c r="F24" s="456" t="s">
        <v>47</v>
      </c>
      <c r="G24" s="456" t="s">
        <v>47</v>
      </c>
      <c r="H24" s="456" t="s">
        <v>47</v>
      </c>
    </row>
    <row r="25" spans="2:8" ht="14.25">
      <c r="B25" s="419" t="s">
        <v>106</v>
      </c>
      <c r="C25" s="456" t="s">
        <v>47</v>
      </c>
      <c r="D25" s="456" t="s">
        <v>47</v>
      </c>
      <c r="E25" s="456" t="s">
        <v>47</v>
      </c>
      <c r="F25" s="456" t="s">
        <v>47</v>
      </c>
      <c r="G25" s="456" t="s">
        <v>47</v>
      </c>
      <c r="H25" s="456" t="s">
        <v>47</v>
      </c>
    </row>
    <row r="26" spans="2:8" ht="14.25">
      <c r="B26" s="419" t="s">
        <v>107</v>
      </c>
      <c r="C26" s="456" t="s">
        <v>47</v>
      </c>
      <c r="D26" s="456" t="s">
        <v>47</v>
      </c>
      <c r="E26" s="456" t="s">
        <v>47</v>
      </c>
      <c r="F26" s="456" t="s">
        <v>47</v>
      </c>
      <c r="G26" s="456" t="s">
        <v>47</v>
      </c>
      <c r="H26" s="456" t="s">
        <v>47</v>
      </c>
    </row>
    <row r="27" spans="2:8" ht="14.25">
      <c r="B27" s="419" t="s">
        <v>108</v>
      </c>
      <c r="C27" s="456" t="s">
        <v>47</v>
      </c>
      <c r="D27" s="456" t="s">
        <v>47</v>
      </c>
      <c r="E27" s="456" t="s">
        <v>47</v>
      </c>
      <c r="F27" s="456" t="s">
        <v>47</v>
      </c>
      <c r="G27" s="456" t="s">
        <v>47</v>
      </c>
      <c r="H27" s="456" t="s">
        <v>47</v>
      </c>
    </row>
    <row r="28" spans="2:8" ht="14.25">
      <c r="B28" s="419" t="s">
        <v>109</v>
      </c>
      <c r="C28" s="456" t="s">
        <v>47</v>
      </c>
      <c r="D28" s="456" t="s">
        <v>47</v>
      </c>
      <c r="E28" s="456" t="s">
        <v>47</v>
      </c>
      <c r="F28" s="456" t="s">
        <v>47</v>
      </c>
      <c r="G28" s="456" t="s">
        <v>47</v>
      </c>
      <c r="H28" s="456" t="s">
        <v>47</v>
      </c>
    </row>
    <row r="29" spans="2:8" ht="14.25">
      <c r="B29" s="419" t="s">
        <v>110</v>
      </c>
      <c r="C29" s="456" t="s">
        <v>47</v>
      </c>
      <c r="D29" s="456" t="s">
        <v>47</v>
      </c>
      <c r="E29" s="456" t="s">
        <v>47</v>
      </c>
      <c r="F29" s="456" t="s">
        <v>47</v>
      </c>
      <c r="G29" s="456" t="s">
        <v>47</v>
      </c>
      <c r="H29" s="456" t="s">
        <v>47</v>
      </c>
    </row>
    <row r="30" spans="2:8" ht="14.25">
      <c r="B30" s="419" t="s">
        <v>111</v>
      </c>
      <c r="C30" s="456" t="s">
        <v>47</v>
      </c>
      <c r="D30" s="456" t="s">
        <v>47</v>
      </c>
      <c r="E30" s="456" t="s">
        <v>47</v>
      </c>
      <c r="F30" s="456" t="s">
        <v>47</v>
      </c>
      <c r="G30" s="456" t="s">
        <v>47</v>
      </c>
      <c r="H30" s="456" t="s">
        <v>47</v>
      </c>
    </row>
    <row r="31" spans="2:8" ht="14.25">
      <c r="B31" s="419" t="s">
        <v>112</v>
      </c>
      <c r="C31" s="456" t="s">
        <v>47</v>
      </c>
      <c r="D31" s="456" t="s">
        <v>47</v>
      </c>
      <c r="E31" s="456" t="s">
        <v>47</v>
      </c>
      <c r="F31" s="456" t="s">
        <v>47</v>
      </c>
      <c r="G31" s="456" t="s">
        <v>47</v>
      </c>
      <c r="H31" s="456" t="s">
        <v>47</v>
      </c>
    </row>
    <row r="32" spans="2:8" ht="14.25">
      <c r="B32" s="419" t="s">
        <v>113</v>
      </c>
      <c r="C32" s="456" t="s">
        <v>47</v>
      </c>
      <c r="D32" s="456" t="s">
        <v>47</v>
      </c>
      <c r="E32" s="456" t="s">
        <v>47</v>
      </c>
      <c r="F32" s="456" t="s">
        <v>47</v>
      </c>
      <c r="G32" s="456" t="s">
        <v>47</v>
      </c>
      <c r="H32" s="456" t="s">
        <v>47</v>
      </c>
    </row>
    <row r="33" spans="2:8" ht="14.25">
      <c r="B33" s="419"/>
      <c r="C33" s="420"/>
      <c r="D33" s="420"/>
      <c r="E33" s="420"/>
      <c r="F33" s="420"/>
      <c r="G33" s="420"/>
      <c r="H33" s="420"/>
    </row>
    <row r="34" spans="2:8" ht="14.25">
      <c r="B34" s="419"/>
      <c r="C34" s="420"/>
      <c r="D34" s="420"/>
      <c r="E34" s="420"/>
      <c r="F34" s="420"/>
      <c r="G34" s="420"/>
      <c r="H34" s="420"/>
    </row>
    <row r="35" spans="2:8" ht="14.25">
      <c r="B35" s="419"/>
      <c r="C35" s="420"/>
      <c r="D35" s="420"/>
      <c r="E35" s="420"/>
      <c r="F35" s="420"/>
      <c r="G35" s="420"/>
      <c r="H35" s="420"/>
    </row>
    <row r="36" spans="2:8" ht="14.25">
      <c r="B36" s="421"/>
      <c r="C36" s="420"/>
      <c r="D36" s="420"/>
      <c r="E36" s="420"/>
      <c r="F36" s="420"/>
      <c r="G36" s="420"/>
      <c r="H36" s="420"/>
    </row>
    <row r="37" spans="2:8" ht="14.25">
      <c r="B37" s="421"/>
      <c r="C37" s="420"/>
      <c r="D37" s="420"/>
      <c r="E37" s="420"/>
      <c r="F37" s="420"/>
      <c r="G37" s="420"/>
      <c r="H37" s="420"/>
    </row>
    <row r="38" spans="2:8" ht="14.25">
      <c r="B38" s="421"/>
      <c r="C38" s="420"/>
      <c r="D38" s="420"/>
      <c r="E38" s="420"/>
      <c r="F38" s="420"/>
      <c r="G38" s="420"/>
      <c r="H38" s="420"/>
    </row>
  </sheetData>
  <sheetProtection algorithmName="SHA-512" hashValue="gdUAbqOhkiCaKwU6CGCNekD9o7vGDE9ga+7ZMScaOSwDLD+VwGqeU+vlu6GaRM8ooBiM48rzlwRUE4KlpZa5Rw==" saltValue="qo0kMzGRw92F5RSO9rCOqA==" spinCount="100000" sheet="1" objects="1" scenarios="1"/>
  <dataConsolidate/>
  <mergeCells count="8">
    <mergeCell ref="C11:E11"/>
    <mergeCell ref="F11:H11"/>
    <mergeCell ref="B2:H2"/>
    <mergeCell ref="B3:H3"/>
    <mergeCell ref="B4:H4"/>
    <mergeCell ref="B5:H5"/>
    <mergeCell ref="B7:H7"/>
    <mergeCell ref="B9:H9"/>
  </mergeCells>
  <printOptions horizontalCentered="1"/>
  <pageMargins left="0.7" right="0.7" top="0.75" bottom="0.75" header="0.3" footer="0.3"/>
  <pageSetup paperSize="9" scale="81" firstPageNumber="5" fitToHeight="0" orientation="landscape" r:id="rId1"/>
  <headerFooter alignWithMargins="0">
    <oddHeader xml:space="preserve">&amp;C&amp;"Calibri"&amp;10&amp;K737373Serco Business&amp;1#_x000D_&amp;"Calibri"&amp;11&amp;K000000&amp;"Calibri"&amp;11&amp;K000000ACT/03098 - &amp;KFF0000AL24 </oddHeader>
    <oddFooter>&amp;C1-3&amp;R&amp;8&amp;KFF0000Amendment  No 21 - April 18</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H38"/>
  <sheetViews>
    <sheetView showGridLines="0" zoomScaleNormal="100" zoomScaleSheetLayoutView="100" zoomScalePageLayoutView="85" workbookViewId="0">
      <selection activeCell="C13" sqref="C13:H32"/>
    </sheetView>
  </sheetViews>
  <sheetFormatPr defaultColWidth="20.7109375" defaultRowHeight="12.75"/>
  <cols>
    <col min="1" max="1" width="2.28515625" style="333" customWidth="1"/>
    <col min="2" max="2" width="43.140625" style="333" customWidth="1"/>
    <col min="3" max="3" width="15.42578125" style="333" customWidth="1"/>
    <col min="4" max="4" width="16.7109375" style="333" customWidth="1"/>
    <col min="5" max="5" width="15.140625" style="333" bestFit="1" customWidth="1"/>
    <col min="6" max="6" width="15.85546875" style="333" customWidth="1"/>
    <col min="7" max="7" width="15.42578125" style="333" customWidth="1"/>
    <col min="8" max="8" width="15.5703125" style="333" customWidth="1"/>
    <col min="9" max="9" width="7.140625" style="333" customWidth="1"/>
    <col min="10" max="16384" width="20.7109375" style="333"/>
  </cols>
  <sheetData>
    <row r="1" spans="2:8" ht="13.5" thickBot="1"/>
    <row r="2" spans="2:8" s="331" customFormat="1" ht="15">
      <c r="B2" s="514" t="s">
        <v>81</v>
      </c>
      <c r="C2" s="515"/>
      <c r="D2" s="515"/>
      <c r="E2" s="515"/>
      <c r="F2" s="515"/>
      <c r="G2" s="515"/>
      <c r="H2" s="516"/>
    </row>
    <row r="3" spans="2:8" s="331" customFormat="1" ht="15">
      <c r="B3" s="517" t="s">
        <v>19</v>
      </c>
      <c r="C3" s="504"/>
      <c r="D3" s="504"/>
      <c r="E3" s="504"/>
      <c r="F3" s="504"/>
      <c r="G3" s="504"/>
      <c r="H3" s="518"/>
    </row>
    <row r="4" spans="2:8" s="331" customFormat="1" ht="15.75" thickBot="1">
      <c r="B4" s="473"/>
      <c r="C4" s="474"/>
      <c r="D4" s="474"/>
      <c r="E4" s="474"/>
      <c r="F4" s="474"/>
      <c r="G4" s="474"/>
      <c r="H4" s="475"/>
    </row>
    <row r="5" spans="2:8" s="331" customFormat="1" ht="15">
      <c r="B5" s="519" t="s">
        <v>82</v>
      </c>
      <c r="C5" s="520"/>
      <c r="D5" s="520"/>
      <c r="E5" s="520"/>
      <c r="F5" s="520"/>
      <c r="G5" s="520"/>
      <c r="H5" s="521"/>
    </row>
    <row r="6" spans="2:8" s="331" customFormat="1" ht="15">
      <c r="B6" s="362"/>
      <c r="C6" s="344"/>
      <c r="D6" s="344"/>
      <c r="E6" s="344"/>
      <c r="F6" s="344"/>
      <c r="G6" s="344"/>
      <c r="H6" s="363"/>
    </row>
    <row r="7" spans="2:8" s="331" customFormat="1" ht="15">
      <c r="B7" s="522" t="s">
        <v>83</v>
      </c>
      <c r="C7" s="510"/>
      <c r="D7" s="510"/>
      <c r="E7" s="510"/>
      <c r="F7" s="510"/>
      <c r="G7" s="510"/>
      <c r="H7" s="523"/>
    </row>
    <row r="8" spans="2:8" s="331" customFormat="1" ht="15">
      <c r="B8" s="409"/>
      <c r="C8" s="407"/>
      <c r="D8" s="407"/>
      <c r="E8" s="407"/>
      <c r="F8" s="407"/>
      <c r="G8" s="407"/>
      <c r="H8" s="410"/>
    </row>
    <row r="9" spans="2:8" s="331" customFormat="1" ht="15">
      <c r="B9" s="522" t="s">
        <v>114</v>
      </c>
      <c r="C9" s="510"/>
      <c r="D9" s="510"/>
      <c r="E9" s="510"/>
      <c r="F9" s="510"/>
      <c r="G9" s="510"/>
      <c r="H9" s="523"/>
    </row>
    <row r="10" spans="2:8">
      <c r="B10" s="387"/>
      <c r="C10" s="382"/>
      <c r="D10" s="382"/>
      <c r="E10" s="382"/>
      <c r="F10" s="382"/>
      <c r="G10" s="382"/>
      <c r="H10" s="388"/>
    </row>
    <row r="11" spans="2:8" ht="13.9" customHeight="1">
      <c r="B11" s="378"/>
      <c r="C11" s="512" t="s">
        <v>85</v>
      </c>
      <c r="D11" s="512"/>
      <c r="E11" s="512"/>
      <c r="F11" s="512" t="s">
        <v>86</v>
      </c>
      <c r="G11" s="512"/>
      <c r="H11" s="513"/>
    </row>
    <row r="12" spans="2:8" ht="15">
      <c r="B12" s="379" t="s">
        <v>87</v>
      </c>
      <c r="C12" s="373" t="s">
        <v>88</v>
      </c>
      <c r="D12" s="373" t="s">
        <v>89</v>
      </c>
      <c r="E12" s="373" t="s">
        <v>90</v>
      </c>
      <c r="F12" s="373" t="s">
        <v>91</v>
      </c>
      <c r="G12" s="373" t="s">
        <v>92</v>
      </c>
      <c r="H12" s="380" t="s">
        <v>93</v>
      </c>
    </row>
    <row r="13" spans="2:8" ht="14.25">
      <c r="B13" s="422" t="s">
        <v>94</v>
      </c>
      <c r="C13" s="456" t="s">
        <v>47</v>
      </c>
      <c r="D13" s="456" t="s">
        <v>47</v>
      </c>
      <c r="E13" s="456" t="s">
        <v>47</v>
      </c>
      <c r="F13" s="456" t="s">
        <v>47</v>
      </c>
      <c r="G13" s="456" t="s">
        <v>47</v>
      </c>
      <c r="H13" s="466" t="s">
        <v>47</v>
      </c>
    </row>
    <row r="14" spans="2:8" ht="14.25">
      <c r="B14" s="422" t="s">
        <v>95</v>
      </c>
      <c r="C14" s="456" t="s">
        <v>47</v>
      </c>
      <c r="D14" s="456" t="s">
        <v>47</v>
      </c>
      <c r="E14" s="456" t="s">
        <v>47</v>
      </c>
      <c r="F14" s="456" t="s">
        <v>47</v>
      </c>
      <c r="G14" s="456" t="s">
        <v>47</v>
      </c>
      <c r="H14" s="466" t="s">
        <v>47</v>
      </c>
    </row>
    <row r="15" spans="2:8" ht="14.25">
      <c r="B15" s="422" t="s">
        <v>96</v>
      </c>
      <c r="C15" s="456" t="s">
        <v>47</v>
      </c>
      <c r="D15" s="456" t="s">
        <v>47</v>
      </c>
      <c r="E15" s="456" t="s">
        <v>47</v>
      </c>
      <c r="F15" s="456" t="s">
        <v>47</v>
      </c>
      <c r="G15" s="456" t="s">
        <v>47</v>
      </c>
      <c r="H15" s="466" t="s">
        <v>47</v>
      </c>
    </row>
    <row r="16" spans="2:8" ht="14.25">
      <c r="B16" s="422" t="s">
        <v>97</v>
      </c>
      <c r="C16" s="456" t="s">
        <v>47</v>
      </c>
      <c r="D16" s="456" t="s">
        <v>47</v>
      </c>
      <c r="E16" s="456" t="s">
        <v>47</v>
      </c>
      <c r="F16" s="456" t="s">
        <v>47</v>
      </c>
      <c r="G16" s="456" t="s">
        <v>47</v>
      </c>
      <c r="H16" s="466" t="s">
        <v>47</v>
      </c>
    </row>
    <row r="17" spans="2:8" ht="14.25">
      <c r="B17" s="422" t="s">
        <v>98</v>
      </c>
      <c r="C17" s="456" t="s">
        <v>47</v>
      </c>
      <c r="D17" s="456" t="s">
        <v>47</v>
      </c>
      <c r="E17" s="456" t="s">
        <v>47</v>
      </c>
      <c r="F17" s="456" t="s">
        <v>47</v>
      </c>
      <c r="G17" s="456" t="s">
        <v>47</v>
      </c>
      <c r="H17" s="466" t="s">
        <v>47</v>
      </c>
    </row>
    <row r="18" spans="2:8" ht="14.25">
      <c r="B18" s="422" t="s">
        <v>99</v>
      </c>
      <c r="C18" s="456" t="s">
        <v>47</v>
      </c>
      <c r="D18" s="456" t="s">
        <v>47</v>
      </c>
      <c r="E18" s="456" t="s">
        <v>47</v>
      </c>
      <c r="F18" s="456" t="s">
        <v>47</v>
      </c>
      <c r="G18" s="456" t="s">
        <v>47</v>
      </c>
      <c r="H18" s="466" t="s">
        <v>47</v>
      </c>
    </row>
    <row r="19" spans="2:8" ht="14.25">
      <c r="B19" s="422" t="s">
        <v>100</v>
      </c>
      <c r="C19" s="456" t="s">
        <v>47</v>
      </c>
      <c r="D19" s="456" t="s">
        <v>47</v>
      </c>
      <c r="E19" s="456" t="s">
        <v>47</v>
      </c>
      <c r="F19" s="456" t="s">
        <v>47</v>
      </c>
      <c r="G19" s="456" t="s">
        <v>47</v>
      </c>
      <c r="H19" s="466" t="s">
        <v>47</v>
      </c>
    </row>
    <row r="20" spans="2:8" ht="14.25">
      <c r="B20" s="422" t="s">
        <v>101</v>
      </c>
      <c r="C20" s="456" t="s">
        <v>47</v>
      </c>
      <c r="D20" s="456" t="s">
        <v>47</v>
      </c>
      <c r="E20" s="456" t="s">
        <v>47</v>
      </c>
      <c r="F20" s="456" t="s">
        <v>47</v>
      </c>
      <c r="G20" s="456" t="s">
        <v>47</v>
      </c>
      <c r="H20" s="466" t="s">
        <v>47</v>
      </c>
    </row>
    <row r="21" spans="2:8" ht="14.25">
      <c r="B21" s="422" t="s">
        <v>102</v>
      </c>
      <c r="C21" s="456" t="s">
        <v>47</v>
      </c>
      <c r="D21" s="456" t="s">
        <v>47</v>
      </c>
      <c r="E21" s="456" t="s">
        <v>47</v>
      </c>
      <c r="F21" s="456" t="s">
        <v>47</v>
      </c>
      <c r="G21" s="456" t="s">
        <v>47</v>
      </c>
      <c r="H21" s="466" t="s">
        <v>47</v>
      </c>
    </row>
    <row r="22" spans="2:8" ht="14.25">
      <c r="B22" s="422" t="s">
        <v>103</v>
      </c>
      <c r="C22" s="456" t="s">
        <v>47</v>
      </c>
      <c r="D22" s="456" t="s">
        <v>47</v>
      </c>
      <c r="E22" s="456" t="s">
        <v>47</v>
      </c>
      <c r="F22" s="456" t="s">
        <v>47</v>
      </c>
      <c r="G22" s="456" t="s">
        <v>47</v>
      </c>
      <c r="H22" s="466" t="s">
        <v>47</v>
      </c>
    </row>
    <row r="23" spans="2:8" ht="14.25">
      <c r="B23" s="422" t="s">
        <v>104</v>
      </c>
      <c r="C23" s="456" t="s">
        <v>47</v>
      </c>
      <c r="D23" s="456" t="s">
        <v>47</v>
      </c>
      <c r="E23" s="456" t="s">
        <v>47</v>
      </c>
      <c r="F23" s="456" t="s">
        <v>47</v>
      </c>
      <c r="G23" s="456" t="s">
        <v>47</v>
      </c>
      <c r="H23" s="466" t="s">
        <v>47</v>
      </c>
    </row>
    <row r="24" spans="2:8" ht="14.25">
      <c r="B24" s="422" t="s">
        <v>105</v>
      </c>
      <c r="C24" s="456" t="s">
        <v>47</v>
      </c>
      <c r="D24" s="456" t="s">
        <v>47</v>
      </c>
      <c r="E24" s="456" t="s">
        <v>47</v>
      </c>
      <c r="F24" s="456" t="s">
        <v>47</v>
      </c>
      <c r="G24" s="456" t="s">
        <v>47</v>
      </c>
      <c r="H24" s="466" t="s">
        <v>47</v>
      </c>
    </row>
    <row r="25" spans="2:8" ht="14.25">
      <c r="B25" s="422" t="s">
        <v>106</v>
      </c>
      <c r="C25" s="456" t="s">
        <v>47</v>
      </c>
      <c r="D25" s="456" t="s">
        <v>47</v>
      </c>
      <c r="E25" s="456" t="s">
        <v>47</v>
      </c>
      <c r="F25" s="456" t="s">
        <v>47</v>
      </c>
      <c r="G25" s="456" t="s">
        <v>47</v>
      </c>
      <c r="H25" s="466" t="s">
        <v>47</v>
      </c>
    </row>
    <row r="26" spans="2:8" ht="14.25">
      <c r="B26" s="422" t="s">
        <v>107</v>
      </c>
      <c r="C26" s="456" t="s">
        <v>47</v>
      </c>
      <c r="D26" s="456" t="s">
        <v>47</v>
      </c>
      <c r="E26" s="456" t="s">
        <v>47</v>
      </c>
      <c r="F26" s="456" t="s">
        <v>47</v>
      </c>
      <c r="G26" s="456" t="s">
        <v>47</v>
      </c>
      <c r="H26" s="466" t="s">
        <v>47</v>
      </c>
    </row>
    <row r="27" spans="2:8" ht="14.25">
      <c r="B27" s="422" t="s">
        <v>108</v>
      </c>
      <c r="C27" s="456" t="s">
        <v>47</v>
      </c>
      <c r="D27" s="456" t="s">
        <v>47</v>
      </c>
      <c r="E27" s="456" t="s">
        <v>47</v>
      </c>
      <c r="F27" s="456" t="s">
        <v>47</v>
      </c>
      <c r="G27" s="456" t="s">
        <v>47</v>
      </c>
      <c r="H27" s="466" t="s">
        <v>47</v>
      </c>
    </row>
    <row r="28" spans="2:8" ht="14.25">
      <c r="B28" s="422" t="s">
        <v>109</v>
      </c>
      <c r="C28" s="456" t="s">
        <v>47</v>
      </c>
      <c r="D28" s="456" t="s">
        <v>47</v>
      </c>
      <c r="E28" s="456" t="s">
        <v>47</v>
      </c>
      <c r="F28" s="456" t="s">
        <v>47</v>
      </c>
      <c r="G28" s="456" t="s">
        <v>47</v>
      </c>
      <c r="H28" s="466" t="s">
        <v>47</v>
      </c>
    </row>
    <row r="29" spans="2:8" ht="14.25">
      <c r="B29" s="422" t="s">
        <v>110</v>
      </c>
      <c r="C29" s="456" t="s">
        <v>47</v>
      </c>
      <c r="D29" s="456" t="s">
        <v>47</v>
      </c>
      <c r="E29" s="456" t="s">
        <v>47</v>
      </c>
      <c r="F29" s="456" t="s">
        <v>47</v>
      </c>
      <c r="G29" s="456" t="s">
        <v>47</v>
      </c>
      <c r="H29" s="466" t="s">
        <v>47</v>
      </c>
    </row>
    <row r="30" spans="2:8" ht="14.25">
      <c r="B30" s="422" t="s">
        <v>111</v>
      </c>
      <c r="C30" s="456" t="s">
        <v>47</v>
      </c>
      <c r="D30" s="456" t="s">
        <v>47</v>
      </c>
      <c r="E30" s="456" t="s">
        <v>47</v>
      </c>
      <c r="F30" s="456" t="s">
        <v>47</v>
      </c>
      <c r="G30" s="456" t="s">
        <v>47</v>
      </c>
      <c r="H30" s="466" t="s">
        <v>47</v>
      </c>
    </row>
    <row r="31" spans="2:8" ht="14.25">
      <c r="B31" s="422" t="s">
        <v>112</v>
      </c>
      <c r="C31" s="456" t="s">
        <v>47</v>
      </c>
      <c r="D31" s="456" t="s">
        <v>47</v>
      </c>
      <c r="E31" s="456" t="s">
        <v>47</v>
      </c>
      <c r="F31" s="456" t="s">
        <v>47</v>
      </c>
      <c r="G31" s="456" t="s">
        <v>47</v>
      </c>
      <c r="H31" s="466" t="s">
        <v>47</v>
      </c>
    </row>
    <row r="32" spans="2:8" ht="14.25">
      <c r="B32" s="422" t="s">
        <v>113</v>
      </c>
      <c r="C32" s="456" t="s">
        <v>47</v>
      </c>
      <c r="D32" s="456" t="s">
        <v>47</v>
      </c>
      <c r="E32" s="456" t="s">
        <v>47</v>
      </c>
      <c r="F32" s="456" t="s">
        <v>47</v>
      </c>
      <c r="G32" s="456" t="s">
        <v>47</v>
      </c>
      <c r="H32" s="466" t="s">
        <v>47</v>
      </c>
    </row>
    <row r="33" spans="2:8" ht="14.25">
      <c r="B33" s="422"/>
      <c r="C33" s="420"/>
      <c r="D33" s="420"/>
      <c r="E33" s="420"/>
      <c r="F33" s="420"/>
      <c r="G33" s="420"/>
      <c r="H33" s="423"/>
    </row>
    <row r="34" spans="2:8" ht="14.25">
      <c r="B34" s="422"/>
      <c r="C34" s="420"/>
      <c r="D34" s="420"/>
      <c r="E34" s="420"/>
      <c r="F34" s="420"/>
      <c r="G34" s="420"/>
      <c r="H34" s="423"/>
    </row>
    <row r="35" spans="2:8" ht="14.25">
      <c r="B35" s="422"/>
      <c r="C35" s="420"/>
      <c r="D35" s="420"/>
      <c r="E35" s="420"/>
      <c r="F35" s="420"/>
      <c r="G35" s="420"/>
      <c r="H35" s="423"/>
    </row>
    <row r="36" spans="2:8" ht="14.25">
      <c r="B36" s="424"/>
      <c r="C36" s="420"/>
      <c r="D36" s="420"/>
      <c r="E36" s="420"/>
      <c r="F36" s="420"/>
      <c r="G36" s="420"/>
      <c r="H36" s="423"/>
    </row>
    <row r="37" spans="2:8" ht="14.25">
      <c r="B37" s="424"/>
      <c r="C37" s="420"/>
      <c r="D37" s="420"/>
      <c r="E37" s="420"/>
      <c r="F37" s="420"/>
      <c r="G37" s="420"/>
      <c r="H37" s="423"/>
    </row>
    <row r="38" spans="2:8" ht="15" thickBot="1">
      <c r="B38" s="425"/>
      <c r="C38" s="426"/>
      <c r="D38" s="426"/>
      <c r="E38" s="426"/>
      <c r="F38" s="426"/>
      <c r="G38" s="426"/>
      <c r="H38" s="427"/>
    </row>
  </sheetData>
  <sheetProtection algorithmName="SHA-512" hashValue="3JHI1jtspvAIiIKaPu0WKhIn7blfzChCnmuNjxkYgalNvgmjewxiNf8+GCM/9qtQI+QHQF3wHIbxP1BEw1Fk6w==" saltValue="6fWK0sPqACaEI/1R35Wy6A==" spinCount="100000" sheet="1" objects="1" scenarios="1"/>
  <dataConsolidate/>
  <mergeCells count="8">
    <mergeCell ref="C11:E11"/>
    <mergeCell ref="F11:H11"/>
    <mergeCell ref="B2:H2"/>
    <mergeCell ref="B3:H3"/>
    <mergeCell ref="B4:H4"/>
    <mergeCell ref="B5:H5"/>
    <mergeCell ref="B7:H7"/>
    <mergeCell ref="B9:H9"/>
  </mergeCells>
  <printOptions horizontalCentered="1"/>
  <pageMargins left="0.7" right="0.7" top="0.75" bottom="0.75" header="0.3" footer="0.3"/>
  <pageSetup paperSize="9" scale="81" firstPageNumber="5" fitToHeight="0" orientation="landscape" r:id="rId1"/>
  <headerFooter alignWithMargins="0">
    <oddHeader>&amp;C&amp;"Calibri"&amp;10&amp;K737373Serco Business&amp;1#_x000D_&amp;"Calibri"&amp;11&amp;K000000&amp;"Calibri"&amp;11&amp;K000000ACT/03098 - &amp;KFF0000AL24</oddHeader>
    <oddFooter>&amp;C1-3&amp;R&amp;8&amp;KFF0000Amendment  No 21 - April 18</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B15B6-E2BF-4483-8FF3-CA8C6C4DC18A}">
  <sheetPr codeName="Sheet6"/>
  <dimension ref="B1:H38"/>
  <sheetViews>
    <sheetView showGridLines="0" zoomScaleNormal="100" zoomScaleSheetLayoutView="100" zoomScalePageLayoutView="85" workbookViewId="0">
      <selection activeCell="F19" sqref="F19"/>
    </sheetView>
  </sheetViews>
  <sheetFormatPr defaultColWidth="20.7109375" defaultRowHeight="12.75"/>
  <cols>
    <col min="1" max="1" width="2.28515625" style="333" customWidth="1"/>
    <col min="2" max="2" width="43.140625" style="333" customWidth="1"/>
    <col min="3" max="3" width="15.42578125" style="333" customWidth="1"/>
    <col min="4" max="4" width="16.7109375" style="333" customWidth="1"/>
    <col min="5" max="5" width="15.140625" style="333" bestFit="1" customWidth="1"/>
    <col min="6" max="6" width="15.85546875" style="333" customWidth="1"/>
    <col min="7" max="7" width="15.42578125" style="333" customWidth="1"/>
    <col min="8" max="8" width="15.5703125" style="333" customWidth="1"/>
    <col min="9" max="9" width="7.140625" style="333" customWidth="1"/>
    <col min="10" max="16384" width="20.7109375" style="333"/>
  </cols>
  <sheetData>
    <row r="1" spans="2:8" ht="13.5" thickBot="1"/>
    <row r="2" spans="2:8" s="331" customFormat="1" ht="15">
      <c r="B2" s="514" t="s">
        <v>81</v>
      </c>
      <c r="C2" s="515"/>
      <c r="D2" s="515"/>
      <c r="E2" s="515"/>
      <c r="F2" s="515"/>
      <c r="G2" s="515"/>
      <c r="H2" s="516"/>
    </row>
    <row r="3" spans="2:8" s="331" customFormat="1" ht="15">
      <c r="B3" s="517" t="s">
        <v>19</v>
      </c>
      <c r="C3" s="504"/>
      <c r="D3" s="504"/>
      <c r="E3" s="504"/>
      <c r="F3" s="504"/>
      <c r="G3" s="504"/>
      <c r="H3" s="518"/>
    </row>
    <row r="4" spans="2:8" s="331" customFormat="1" ht="15.75" thickBot="1">
      <c r="B4" s="473"/>
      <c r="C4" s="474"/>
      <c r="D4" s="474"/>
      <c r="E4" s="474"/>
      <c r="F4" s="474"/>
      <c r="G4" s="474"/>
      <c r="H4" s="475"/>
    </row>
    <row r="5" spans="2:8" s="331" customFormat="1" ht="15">
      <c r="B5" s="519" t="s">
        <v>82</v>
      </c>
      <c r="C5" s="520"/>
      <c r="D5" s="520"/>
      <c r="E5" s="520"/>
      <c r="F5" s="520"/>
      <c r="G5" s="520"/>
      <c r="H5" s="521"/>
    </row>
    <row r="6" spans="2:8" s="331" customFormat="1" ht="15">
      <c r="B6" s="362"/>
      <c r="C6" s="344"/>
      <c r="D6" s="344"/>
      <c r="E6" s="344"/>
      <c r="F6" s="344"/>
      <c r="G6" s="344"/>
      <c r="H6" s="363"/>
    </row>
    <row r="7" spans="2:8" s="331" customFormat="1" ht="15">
      <c r="B7" s="522" t="s">
        <v>83</v>
      </c>
      <c r="C7" s="510"/>
      <c r="D7" s="510"/>
      <c r="E7" s="510"/>
      <c r="F7" s="510"/>
      <c r="G7" s="510"/>
      <c r="H7" s="523"/>
    </row>
    <row r="8" spans="2:8" s="331" customFormat="1" ht="15">
      <c r="B8" s="374"/>
      <c r="C8" s="359"/>
      <c r="D8" s="359"/>
      <c r="E8" s="359"/>
      <c r="F8" s="359"/>
      <c r="G8" s="359"/>
      <c r="H8" s="375"/>
    </row>
    <row r="9" spans="2:8" s="331" customFormat="1" ht="15">
      <c r="B9" s="522" t="s">
        <v>115</v>
      </c>
      <c r="C9" s="510"/>
      <c r="D9" s="510"/>
      <c r="E9" s="510"/>
      <c r="F9" s="510"/>
      <c r="G9" s="510"/>
      <c r="H9" s="523"/>
    </row>
    <row r="10" spans="2:8">
      <c r="B10" s="376"/>
      <c r="C10" s="334"/>
      <c r="D10" s="334"/>
      <c r="E10" s="334"/>
      <c r="F10" s="334"/>
      <c r="G10" s="334"/>
      <c r="H10" s="377"/>
    </row>
    <row r="11" spans="2:8" ht="13.9" customHeight="1">
      <c r="B11" s="378"/>
      <c r="C11" s="512" t="s">
        <v>85</v>
      </c>
      <c r="D11" s="512"/>
      <c r="E11" s="512"/>
      <c r="F11" s="512" t="s">
        <v>86</v>
      </c>
      <c r="G11" s="512"/>
      <c r="H11" s="513"/>
    </row>
    <row r="12" spans="2:8" ht="15">
      <c r="B12" s="379" t="s">
        <v>87</v>
      </c>
      <c r="C12" s="373" t="s">
        <v>88</v>
      </c>
      <c r="D12" s="373" t="s">
        <v>89</v>
      </c>
      <c r="E12" s="373" t="s">
        <v>90</v>
      </c>
      <c r="F12" s="373" t="s">
        <v>91</v>
      </c>
      <c r="G12" s="373" t="s">
        <v>92</v>
      </c>
      <c r="H12" s="380" t="s">
        <v>93</v>
      </c>
    </row>
    <row r="13" spans="2:8" ht="14.25">
      <c r="B13" s="428" t="s">
        <v>94</v>
      </c>
      <c r="C13" s="456" t="s">
        <v>47</v>
      </c>
      <c r="D13" s="456" t="s">
        <v>47</v>
      </c>
      <c r="E13" s="456" t="s">
        <v>47</v>
      </c>
      <c r="F13" s="456" t="s">
        <v>47</v>
      </c>
      <c r="G13" s="456" t="s">
        <v>47</v>
      </c>
      <c r="H13" s="466" t="s">
        <v>47</v>
      </c>
    </row>
    <row r="14" spans="2:8" ht="14.25">
      <c r="B14" s="428" t="s">
        <v>95</v>
      </c>
      <c r="C14" s="456" t="s">
        <v>47</v>
      </c>
      <c r="D14" s="456" t="s">
        <v>47</v>
      </c>
      <c r="E14" s="456" t="s">
        <v>47</v>
      </c>
      <c r="F14" s="456" t="s">
        <v>47</v>
      </c>
      <c r="G14" s="456" t="s">
        <v>47</v>
      </c>
      <c r="H14" s="466" t="s">
        <v>47</v>
      </c>
    </row>
    <row r="15" spans="2:8" ht="14.25">
      <c r="B15" s="428" t="s">
        <v>96</v>
      </c>
      <c r="C15" s="456" t="s">
        <v>47</v>
      </c>
      <c r="D15" s="456" t="s">
        <v>47</v>
      </c>
      <c r="E15" s="456" t="s">
        <v>47</v>
      </c>
      <c r="F15" s="456" t="s">
        <v>47</v>
      </c>
      <c r="G15" s="456" t="s">
        <v>47</v>
      </c>
      <c r="H15" s="466" t="s">
        <v>47</v>
      </c>
    </row>
    <row r="16" spans="2:8" ht="14.25">
      <c r="B16" s="428" t="s">
        <v>97</v>
      </c>
      <c r="C16" s="456" t="s">
        <v>47</v>
      </c>
      <c r="D16" s="456" t="s">
        <v>47</v>
      </c>
      <c r="E16" s="456" t="s">
        <v>47</v>
      </c>
      <c r="F16" s="456" t="s">
        <v>47</v>
      </c>
      <c r="G16" s="456" t="s">
        <v>47</v>
      </c>
      <c r="H16" s="466" t="s">
        <v>47</v>
      </c>
    </row>
    <row r="17" spans="2:8" ht="14.25">
      <c r="B17" s="428" t="s">
        <v>98</v>
      </c>
      <c r="C17" s="456" t="s">
        <v>47</v>
      </c>
      <c r="D17" s="456" t="s">
        <v>47</v>
      </c>
      <c r="E17" s="456" t="s">
        <v>47</v>
      </c>
      <c r="F17" s="456" t="s">
        <v>47</v>
      </c>
      <c r="G17" s="456" t="s">
        <v>47</v>
      </c>
      <c r="H17" s="466" t="s">
        <v>47</v>
      </c>
    </row>
    <row r="18" spans="2:8" ht="14.25">
      <c r="B18" s="428" t="s">
        <v>99</v>
      </c>
      <c r="C18" s="456" t="s">
        <v>47</v>
      </c>
      <c r="D18" s="456" t="s">
        <v>47</v>
      </c>
      <c r="E18" s="456" t="s">
        <v>47</v>
      </c>
      <c r="F18" s="456" t="s">
        <v>47</v>
      </c>
      <c r="G18" s="456" t="s">
        <v>47</v>
      </c>
      <c r="H18" s="466" t="s">
        <v>47</v>
      </c>
    </row>
    <row r="19" spans="2:8" ht="14.25">
      <c r="B19" s="428" t="s">
        <v>100</v>
      </c>
      <c r="C19" s="456" t="s">
        <v>47</v>
      </c>
      <c r="D19" s="456" t="s">
        <v>47</v>
      </c>
      <c r="E19" s="456" t="s">
        <v>47</v>
      </c>
      <c r="F19" s="456" t="s">
        <v>47</v>
      </c>
      <c r="G19" s="456" t="s">
        <v>47</v>
      </c>
      <c r="H19" s="466" t="s">
        <v>47</v>
      </c>
    </row>
    <row r="20" spans="2:8" ht="14.25">
      <c r="B20" s="428" t="s">
        <v>101</v>
      </c>
      <c r="C20" s="456" t="s">
        <v>47</v>
      </c>
      <c r="D20" s="456" t="s">
        <v>47</v>
      </c>
      <c r="E20" s="456" t="s">
        <v>47</v>
      </c>
      <c r="F20" s="456" t="s">
        <v>47</v>
      </c>
      <c r="G20" s="456" t="s">
        <v>47</v>
      </c>
      <c r="H20" s="466" t="s">
        <v>47</v>
      </c>
    </row>
    <row r="21" spans="2:8" ht="14.25">
      <c r="B21" s="428" t="s">
        <v>102</v>
      </c>
      <c r="C21" s="456" t="s">
        <v>47</v>
      </c>
      <c r="D21" s="456" t="s">
        <v>47</v>
      </c>
      <c r="E21" s="456" t="s">
        <v>47</v>
      </c>
      <c r="F21" s="456" t="s">
        <v>47</v>
      </c>
      <c r="G21" s="456" t="s">
        <v>47</v>
      </c>
      <c r="H21" s="466" t="s">
        <v>47</v>
      </c>
    </row>
    <row r="22" spans="2:8" ht="14.25">
      <c r="B22" s="428" t="s">
        <v>103</v>
      </c>
      <c r="C22" s="456" t="s">
        <v>47</v>
      </c>
      <c r="D22" s="456" t="s">
        <v>47</v>
      </c>
      <c r="E22" s="456" t="s">
        <v>47</v>
      </c>
      <c r="F22" s="456" t="s">
        <v>47</v>
      </c>
      <c r="G22" s="456" t="s">
        <v>47</v>
      </c>
      <c r="H22" s="466" t="s">
        <v>47</v>
      </c>
    </row>
    <row r="23" spans="2:8" ht="14.25">
      <c r="B23" s="428" t="s">
        <v>104</v>
      </c>
      <c r="C23" s="456" t="s">
        <v>47</v>
      </c>
      <c r="D23" s="456" t="s">
        <v>47</v>
      </c>
      <c r="E23" s="456" t="s">
        <v>47</v>
      </c>
      <c r="F23" s="456" t="s">
        <v>47</v>
      </c>
      <c r="G23" s="456" t="s">
        <v>47</v>
      </c>
      <c r="H23" s="466" t="s">
        <v>47</v>
      </c>
    </row>
    <row r="24" spans="2:8" ht="14.25">
      <c r="B24" s="428" t="s">
        <v>105</v>
      </c>
      <c r="C24" s="456" t="s">
        <v>47</v>
      </c>
      <c r="D24" s="456" t="s">
        <v>47</v>
      </c>
      <c r="E24" s="456" t="s">
        <v>47</v>
      </c>
      <c r="F24" s="456" t="s">
        <v>47</v>
      </c>
      <c r="G24" s="456" t="s">
        <v>47</v>
      </c>
      <c r="H24" s="466" t="s">
        <v>47</v>
      </c>
    </row>
    <row r="25" spans="2:8" ht="14.25">
      <c r="B25" s="428" t="s">
        <v>106</v>
      </c>
      <c r="C25" s="456" t="s">
        <v>47</v>
      </c>
      <c r="D25" s="456" t="s">
        <v>47</v>
      </c>
      <c r="E25" s="456" t="s">
        <v>47</v>
      </c>
      <c r="F25" s="456" t="s">
        <v>47</v>
      </c>
      <c r="G25" s="456" t="s">
        <v>47</v>
      </c>
      <c r="H25" s="466" t="s">
        <v>47</v>
      </c>
    </row>
    <row r="26" spans="2:8" ht="14.25">
      <c r="B26" s="428" t="s">
        <v>107</v>
      </c>
      <c r="C26" s="456" t="s">
        <v>47</v>
      </c>
      <c r="D26" s="456" t="s">
        <v>47</v>
      </c>
      <c r="E26" s="456" t="s">
        <v>47</v>
      </c>
      <c r="F26" s="456" t="s">
        <v>47</v>
      </c>
      <c r="G26" s="456" t="s">
        <v>47</v>
      </c>
      <c r="H26" s="466" t="s">
        <v>47</v>
      </c>
    </row>
    <row r="27" spans="2:8" ht="14.25">
      <c r="B27" s="428" t="s">
        <v>108</v>
      </c>
      <c r="C27" s="456" t="s">
        <v>47</v>
      </c>
      <c r="D27" s="456" t="s">
        <v>47</v>
      </c>
      <c r="E27" s="456" t="s">
        <v>47</v>
      </c>
      <c r="F27" s="456" t="s">
        <v>47</v>
      </c>
      <c r="G27" s="456" t="s">
        <v>47</v>
      </c>
      <c r="H27" s="466" t="s">
        <v>47</v>
      </c>
    </row>
    <row r="28" spans="2:8" ht="14.25">
      <c r="B28" s="428" t="s">
        <v>109</v>
      </c>
      <c r="C28" s="456" t="s">
        <v>47</v>
      </c>
      <c r="D28" s="456" t="s">
        <v>47</v>
      </c>
      <c r="E28" s="456" t="s">
        <v>47</v>
      </c>
      <c r="F28" s="456" t="s">
        <v>47</v>
      </c>
      <c r="G28" s="456" t="s">
        <v>47</v>
      </c>
      <c r="H28" s="466" t="s">
        <v>47</v>
      </c>
    </row>
    <row r="29" spans="2:8" ht="14.25">
      <c r="B29" s="428" t="s">
        <v>110</v>
      </c>
      <c r="C29" s="456" t="s">
        <v>47</v>
      </c>
      <c r="D29" s="456" t="s">
        <v>47</v>
      </c>
      <c r="E29" s="456" t="s">
        <v>47</v>
      </c>
      <c r="F29" s="456" t="s">
        <v>47</v>
      </c>
      <c r="G29" s="456" t="s">
        <v>47</v>
      </c>
      <c r="H29" s="466" t="s">
        <v>47</v>
      </c>
    </row>
    <row r="30" spans="2:8" ht="14.25">
      <c r="B30" s="428" t="s">
        <v>111</v>
      </c>
      <c r="C30" s="456" t="s">
        <v>47</v>
      </c>
      <c r="D30" s="456" t="s">
        <v>47</v>
      </c>
      <c r="E30" s="456" t="s">
        <v>47</v>
      </c>
      <c r="F30" s="456" t="s">
        <v>47</v>
      </c>
      <c r="G30" s="456" t="s">
        <v>47</v>
      </c>
      <c r="H30" s="466" t="s">
        <v>47</v>
      </c>
    </row>
    <row r="31" spans="2:8" ht="14.25">
      <c r="B31" s="428" t="s">
        <v>112</v>
      </c>
      <c r="C31" s="456" t="s">
        <v>47</v>
      </c>
      <c r="D31" s="456" t="s">
        <v>47</v>
      </c>
      <c r="E31" s="456" t="s">
        <v>47</v>
      </c>
      <c r="F31" s="456" t="s">
        <v>47</v>
      </c>
      <c r="G31" s="456" t="s">
        <v>47</v>
      </c>
      <c r="H31" s="466" t="s">
        <v>47</v>
      </c>
    </row>
    <row r="32" spans="2:8" ht="14.25">
      <c r="B32" s="428" t="s">
        <v>113</v>
      </c>
      <c r="C32" s="456" t="s">
        <v>47</v>
      </c>
      <c r="D32" s="456" t="s">
        <v>47</v>
      </c>
      <c r="E32" s="456" t="s">
        <v>47</v>
      </c>
      <c r="F32" s="456" t="s">
        <v>47</v>
      </c>
      <c r="G32" s="456" t="s">
        <v>47</v>
      </c>
      <c r="H32" s="466" t="s">
        <v>47</v>
      </c>
    </row>
    <row r="33" spans="2:8" ht="14.25">
      <c r="B33" s="428"/>
      <c r="C33" s="429"/>
      <c r="D33" s="429"/>
      <c r="E33" s="429"/>
      <c r="F33" s="429"/>
      <c r="G33" s="429"/>
      <c r="H33" s="430"/>
    </row>
    <row r="34" spans="2:8" ht="14.25">
      <c r="B34" s="428"/>
      <c r="C34" s="429"/>
      <c r="D34" s="429"/>
      <c r="E34" s="429"/>
      <c r="F34" s="429"/>
      <c r="G34" s="429"/>
      <c r="H34" s="430"/>
    </row>
    <row r="35" spans="2:8" ht="14.25">
      <c r="B35" s="428"/>
      <c r="C35" s="429"/>
      <c r="D35" s="429"/>
      <c r="E35" s="429"/>
      <c r="F35" s="429"/>
      <c r="G35" s="429"/>
      <c r="H35" s="430"/>
    </row>
    <row r="36" spans="2:8" ht="14.25">
      <c r="B36" s="431"/>
      <c r="C36" s="429"/>
      <c r="D36" s="429"/>
      <c r="E36" s="429"/>
      <c r="F36" s="429"/>
      <c r="G36" s="429"/>
      <c r="H36" s="430"/>
    </row>
    <row r="37" spans="2:8" ht="14.25">
      <c r="B37" s="431"/>
      <c r="C37" s="429"/>
      <c r="D37" s="429"/>
      <c r="E37" s="429"/>
      <c r="F37" s="429"/>
      <c r="G37" s="429"/>
      <c r="H37" s="430"/>
    </row>
    <row r="38" spans="2:8" ht="15" thickBot="1">
      <c r="B38" s="432"/>
      <c r="C38" s="433"/>
      <c r="D38" s="433"/>
      <c r="E38" s="433"/>
      <c r="F38" s="433"/>
      <c r="G38" s="433"/>
      <c r="H38" s="434"/>
    </row>
  </sheetData>
  <sheetProtection algorithmName="SHA-512" hashValue="n6Y2YwJ0rifD2LSidak1HFkdf5HAbaLrs6gtp38riCBfGrJhmoNd1LJEP9WFPQA4i8OpnN0IOKKHdV8Ast9wXg==" saltValue="M5X7D7qcZXdbvUb2bDCWFQ==" spinCount="100000" sheet="1" objects="1" scenarios="1"/>
  <dataConsolidate/>
  <mergeCells count="8">
    <mergeCell ref="C11:E11"/>
    <mergeCell ref="F11:H11"/>
    <mergeCell ref="B2:H2"/>
    <mergeCell ref="B3:H3"/>
    <mergeCell ref="B4:H4"/>
    <mergeCell ref="B5:H5"/>
    <mergeCell ref="B7:H7"/>
    <mergeCell ref="B9:H9"/>
  </mergeCells>
  <printOptions horizontalCentered="1"/>
  <pageMargins left="0.7" right="0.7" top="0.75" bottom="0.75" header="0.3" footer="0.3"/>
  <pageSetup paperSize="9" scale="81" firstPageNumber="5" fitToHeight="0" orientation="landscape" r:id="rId1"/>
  <headerFooter alignWithMargins="0">
    <oddHeader>&amp;C&amp;"Calibri"&amp;10&amp;K737373Serco Business&amp;1#_x000D_&amp;"Calibri"&amp;11&amp;K000000&amp;"Calibri"&amp;11&amp;K000000ACT/03098 - &amp;KFF0000AL24</oddHeader>
    <oddFooter>&amp;C1-3&amp;R&amp;8&amp;KFF0000Amendment  No 21 - April 18</oddFoot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BBA7-CBF0-465F-8F4B-2B9B3CB18956}">
  <sheetPr codeName="Sheet7"/>
  <dimension ref="B3:N33"/>
  <sheetViews>
    <sheetView workbookViewId="0">
      <selection activeCell="G25" sqref="G25"/>
    </sheetView>
  </sheetViews>
  <sheetFormatPr defaultColWidth="9.140625" defaultRowHeight="14.25"/>
  <cols>
    <col min="1" max="1" width="9.140625" style="436"/>
    <col min="2" max="2" width="55.5703125" style="436" bestFit="1" customWidth="1"/>
    <col min="3" max="5" width="10.140625" style="436" bestFit="1" customWidth="1"/>
    <col min="6" max="16384" width="9.140625" style="436"/>
  </cols>
  <sheetData>
    <row r="3" spans="2:5" ht="15">
      <c r="B3" s="438" t="s">
        <v>116</v>
      </c>
      <c r="C3" s="435"/>
      <c r="D3" s="435"/>
      <c r="E3" s="435"/>
    </row>
    <row r="4" spans="2:5" ht="15">
      <c r="B4" s="435"/>
      <c r="C4" s="437" t="s">
        <v>117</v>
      </c>
      <c r="D4" s="437" t="s">
        <v>118</v>
      </c>
      <c r="E4" s="437" t="s">
        <v>119</v>
      </c>
    </row>
    <row r="5" spans="2:5" ht="15">
      <c r="B5" s="439"/>
      <c r="C5" s="440" t="s">
        <v>120</v>
      </c>
      <c r="D5" s="440" t="s">
        <v>120</v>
      </c>
      <c r="E5" s="440" t="s">
        <v>120</v>
      </c>
    </row>
    <row r="6" spans="2:5" ht="15">
      <c r="B6" s="441" t="s">
        <v>121</v>
      </c>
      <c r="C6" s="524"/>
      <c r="D6" s="525"/>
      <c r="E6" s="526"/>
    </row>
    <row r="7" spans="2:5">
      <c r="B7" s="442" t="s">
        <v>122</v>
      </c>
      <c r="C7" s="467" t="s">
        <v>47</v>
      </c>
      <c r="D7" s="467" t="s">
        <v>47</v>
      </c>
      <c r="E7" s="467" t="s">
        <v>47</v>
      </c>
    </row>
    <row r="8" spans="2:5">
      <c r="B8" s="442" t="s">
        <v>123</v>
      </c>
      <c r="C8" s="467" t="s">
        <v>47</v>
      </c>
      <c r="D8" s="467" t="s">
        <v>47</v>
      </c>
      <c r="E8" s="467" t="s">
        <v>47</v>
      </c>
    </row>
    <row r="9" spans="2:5" ht="15">
      <c r="B9" s="441" t="s">
        <v>124</v>
      </c>
      <c r="C9" s="527"/>
      <c r="D9" s="528"/>
      <c r="E9" s="529"/>
    </row>
    <row r="10" spans="2:5">
      <c r="B10" s="442" t="s">
        <v>125</v>
      </c>
      <c r="C10" s="467" t="s">
        <v>47</v>
      </c>
      <c r="D10" s="467" t="s">
        <v>47</v>
      </c>
      <c r="E10" s="467" t="s">
        <v>47</v>
      </c>
    </row>
    <row r="11" spans="2:5">
      <c r="B11" s="442" t="s">
        <v>126</v>
      </c>
      <c r="C11" s="467" t="s">
        <v>47</v>
      </c>
      <c r="D11" s="467" t="s">
        <v>47</v>
      </c>
      <c r="E11" s="467" t="s">
        <v>47</v>
      </c>
    </row>
    <row r="12" spans="2:5">
      <c r="B12" s="442" t="s">
        <v>127</v>
      </c>
      <c r="C12" s="467" t="s">
        <v>47</v>
      </c>
      <c r="D12" s="467" t="s">
        <v>47</v>
      </c>
      <c r="E12" s="467" t="s">
        <v>47</v>
      </c>
    </row>
    <row r="13" spans="2:5">
      <c r="B13" s="442" t="s">
        <v>128</v>
      </c>
      <c r="C13" s="467" t="s">
        <v>47</v>
      </c>
      <c r="D13" s="467" t="s">
        <v>47</v>
      </c>
      <c r="E13" s="467" t="s">
        <v>47</v>
      </c>
    </row>
    <row r="14" spans="2:5">
      <c r="B14" s="442" t="s">
        <v>129</v>
      </c>
      <c r="C14" s="467" t="s">
        <v>47</v>
      </c>
      <c r="D14" s="467" t="s">
        <v>47</v>
      </c>
      <c r="E14" s="467" t="s">
        <v>47</v>
      </c>
    </row>
    <row r="15" spans="2:5">
      <c r="B15" s="442" t="s">
        <v>130</v>
      </c>
      <c r="C15" s="467" t="s">
        <v>47</v>
      </c>
      <c r="D15" s="467" t="s">
        <v>47</v>
      </c>
      <c r="E15" s="467" t="s">
        <v>47</v>
      </c>
    </row>
    <row r="16" spans="2:5">
      <c r="B16" s="442" t="s">
        <v>131</v>
      </c>
      <c r="C16" s="467" t="s">
        <v>47</v>
      </c>
      <c r="D16" s="467" t="s">
        <v>47</v>
      </c>
      <c r="E16" s="467" t="s">
        <v>47</v>
      </c>
    </row>
    <row r="17" spans="2:14">
      <c r="B17" s="442" t="s">
        <v>132</v>
      </c>
      <c r="C17" s="467" t="s">
        <v>47</v>
      </c>
      <c r="D17" s="467" t="s">
        <v>47</v>
      </c>
      <c r="E17" s="467" t="s">
        <v>47</v>
      </c>
    </row>
    <row r="18" spans="2:14">
      <c r="B18" s="442" t="s">
        <v>133</v>
      </c>
      <c r="C18" s="467" t="s">
        <v>47</v>
      </c>
      <c r="D18" s="467" t="s">
        <v>47</v>
      </c>
      <c r="E18" s="467" t="s">
        <v>47</v>
      </c>
    </row>
    <row r="21" spans="2:14" ht="15">
      <c r="B21" s="438" t="s">
        <v>134</v>
      </c>
      <c r="C21" s="435"/>
      <c r="D21" s="435"/>
      <c r="E21" s="435"/>
      <c r="F21" s="435"/>
      <c r="G21" s="435"/>
      <c r="H21" s="435"/>
      <c r="I21" s="435"/>
      <c r="J21" s="435"/>
      <c r="K21" s="435"/>
      <c r="L21" s="435"/>
      <c r="M21" s="435"/>
      <c r="N21" s="435"/>
    </row>
    <row r="22" spans="2:14" ht="15">
      <c r="B22" s="435"/>
      <c r="C22" s="437" t="s">
        <v>117</v>
      </c>
      <c r="D22" s="437" t="s">
        <v>118</v>
      </c>
      <c r="E22" s="437" t="s">
        <v>119</v>
      </c>
    </row>
    <row r="23" spans="2:14" ht="15">
      <c r="B23" s="439"/>
      <c r="C23" s="440" t="s">
        <v>120</v>
      </c>
      <c r="D23" s="440" t="s">
        <v>120</v>
      </c>
      <c r="E23" s="440" t="s">
        <v>120</v>
      </c>
    </row>
    <row r="24" spans="2:14">
      <c r="B24" s="442" t="s">
        <v>135</v>
      </c>
      <c r="C24" s="467" t="s">
        <v>47</v>
      </c>
      <c r="D24" s="467" t="s">
        <v>47</v>
      </c>
      <c r="E24" s="467" t="s">
        <v>47</v>
      </c>
    </row>
    <row r="25" spans="2:14">
      <c r="B25" s="442" t="s">
        <v>136</v>
      </c>
      <c r="C25" s="467" t="s">
        <v>47</v>
      </c>
      <c r="D25" s="467" t="s">
        <v>47</v>
      </c>
      <c r="E25" s="467" t="s">
        <v>47</v>
      </c>
    </row>
    <row r="26" spans="2:14">
      <c r="B26" s="442" t="s">
        <v>137</v>
      </c>
      <c r="C26" s="467" t="s">
        <v>47</v>
      </c>
      <c r="D26" s="467" t="s">
        <v>47</v>
      </c>
      <c r="E26" s="467" t="s">
        <v>47</v>
      </c>
    </row>
    <row r="27" spans="2:14">
      <c r="B27" s="442" t="s">
        <v>138</v>
      </c>
      <c r="C27" s="467" t="s">
        <v>47</v>
      </c>
      <c r="D27" s="467" t="s">
        <v>47</v>
      </c>
      <c r="E27" s="467" t="s">
        <v>47</v>
      </c>
    </row>
    <row r="28" spans="2:14">
      <c r="B28" s="442" t="s">
        <v>139</v>
      </c>
      <c r="C28" s="467" t="s">
        <v>47</v>
      </c>
      <c r="D28" s="467" t="s">
        <v>47</v>
      </c>
      <c r="E28" s="467" t="s">
        <v>47</v>
      </c>
    </row>
    <row r="29" spans="2:14">
      <c r="B29" s="442" t="s">
        <v>140</v>
      </c>
      <c r="C29" s="467" t="s">
        <v>47</v>
      </c>
      <c r="D29" s="467" t="s">
        <v>47</v>
      </c>
      <c r="E29" s="467" t="s">
        <v>47</v>
      </c>
    </row>
    <row r="30" spans="2:14">
      <c r="B30" s="442" t="s">
        <v>141</v>
      </c>
      <c r="C30" s="467" t="s">
        <v>47</v>
      </c>
      <c r="D30" s="467" t="s">
        <v>47</v>
      </c>
      <c r="E30" s="467" t="s">
        <v>47</v>
      </c>
    </row>
    <row r="31" spans="2:14">
      <c r="B31" s="442" t="s">
        <v>142</v>
      </c>
      <c r="C31" s="467" t="s">
        <v>47</v>
      </c>
      <c r="D31" s="467" t="s">
        <v>47</v>
      </c>
      <c r="E31" s="467" t="s">
        <v>47</v>
      </c>
    </row>
    <row r="32" spans="2:14">
      <c r="B32" s="442" t="s">
        <v>143</v>
      </c>
      <c r="C32" s="467" t="s">
        <v>47</v>
      </c>
      <c r="D32" s="467" t="s">
        <v>47</v>
      </c>
      <c r="E32" s="467" t="s">
        <v>47</v>
      </c>
    </row>
    <row r="33" spans="2:5">
      <c r="B33" s="442" t="s">
        <v>144</v>
      </c>
      <c r="C33" s="467" t="s">
        <v>47</v>
      </c>
      <c r="D33" s="467" t="s">
        <v>47</v>
      </c>
      <c r="E33" s="467" t="s">
        <v>47</v>
      </c>
    </row>
  </sheetData>
  <sheetProtection algorithmName="SHA-512" hashValue="xqTWW2urlCWKAofhr/mH8qGIZzEtK94Ngjt0XdqDso5SYsJWWplJ8wahLpm0GPacgCFwxsrtDv7p5Mudh48Oxg==" saltValue="nvWcQJmz53HV8q14MzQ50Q==" spinCount="100000" sheet="1" objects="1" scenarios="1"/>
  <mergeCells count="2">
    <mergeCell ref="C6:E6"/>
    <mergeCell ref="C9:E9"/>
  </mergeCells>
  <pageMargins left="0.7" right="0.7" top="0.75" bottom="0.75" header="0.3" footer="0.3"/>
  <pageSetup paperSize="9" orientation="portrait" r:id="rId1"/>
  <headerFooter>
    <oddHeader>&amp;C&amp;"Calibri"&amp;10&amp;K737373Serco Business&amp;1#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1:C21"/>
  <sheetViews>
    <sheetView zoomScale="75" zoomScaleNormal="50" workbookViewId="0">
      <selection activeCell="A9" sqref="A9"/>
    </sheetView>
  </sheetViews>
  <sheetFormatPr defaultColWidth="20.7109375" defaultRowHeight="12"/>
  <cols>
    <col min="1" max="1" width="2.7109375" customWidth="1"/>
    <col min="2" max="2" width="29.28515625" customWidth="1"/>
    <col min="3" max="3" width="52.5703125" customWidth="1"/>
    <col min="4" max="4" width="2.7109375" customWidth="1"/>
  </cols>
  <sheetData>
    <row r="1" spans="2:3" ht="20.25">
      <c r="B1" s="531" t="s">
        <v>145</v>
      </c>
      <c r="C1" s="531"/>
    </row>
    <row r="2" spans="2:3" ht="20.100000000000001" customHeight="1">
      <c r="B2" s="338"/>
      <c r="C2" s="338"/>
    </row>
    <row r="3" spans="2:3" ht="20.100000000000001" customHeight="1">
      <c r="B3" s="338"/>
      <c r="C3" s="338"/>
    </row>
    <row r="4" spans="2:3" ht="20.100000000000001" customHeight="1">
      <c r="B4" s="530" t="s">
        <v>146</v>
      </c>
      <c r="C4" s="530"/>
    </row>
    <row r="5" spans="2:3" ht="20.100000000000001" customHeight="1">
      <c r="B5" s="530" t="s">
        <v>2</v>
      </c>
      <c r="C5" s="530"/>
    </row>
    <row r="6" spans="2:3" ht="20.100000000000001" customHeight="1">
      <c r="B6" s="530" t="s">
        <v>147</v>
      </c>
      <c r="C6" s="530"/>
    </row>
    <row r="7" spans="2:3" ht="20.100000000000001" customHeight="1">
      <c r="B7" s="530" t="s">
        <v>148</v>
      </c>
      <c r="C7" s="530"/>
    </row>
    <row r="8" spans="2:3" ht="20.100000000000001" customHeight="1">
      <c r="B8" s="530" t="s">
        <v>5</v>
      </c>
      <c r="C8" s="530"/>
    </row>
    <row r="9" spans="2:3" ht="20.100000000000001" customHeight="1">
      <c r="B9" s="337"/>
      <c r="C9" s="337"/>
    </row>
    <row r="10" spans="2:3" ht="20.100000000000001" customHeight="1">
      <c r="B10" s="337"/>
      <c r="C10" s="337"/>
    </row>
    <row r="11" spans="2:3" ht="20.100000000000001" customHeight="1">
      <c r="B11" s="337"/>
      <c r="C11" s="337"/>
    </row>
    <row r="12" spans="2:3" ht="20.100000000000001" customHeight="1">
      <c r="B12" s="530" t="s">
        <v>149</v>
      </c>
      <c r="C12" s="530"/>
    </row>
    <row r="13" spans="2:3" ht="20.100000000000001" customHeight="1">
      <c r="B13" s="337"/>
      <c r="C13" s="337"/>
    </row>
    <row r="14" spans="2:3" ht="24.95" customHeight="1">
      <c r="B14" s="5" t="s">
        <v>150</v>
      </c>
      <c r="C14" s="4" t="s">
        <v>151</v>
      </c>
    </row>
    <row r="15" spans="2:3" ht="24.95" customHeight="1">
      <c r="B15" s="5" t="s">
        <v>152</v>
      </c>
      <c r="C15" s="4" t="s">
        <v>153</v>
      </c>
    </row>
    <row r="16" spans="2:3" ht="24.95" customHeight="1">
      <c r="B16" s="5" t="s">
        <v>154</v>
      </c>
      <c r="C16" s="4" t="s">
        <v>155</v>
      </c>
    </row>
    <row r="17" spans="2:3" ht="24.95" customHeight="1">
      <c r="B17" s="5" t="s">
        <v>156</v>
      </c>
      <c r="C17" s="4" t="s">
        <v>157</v>
      </c>
    </row>
    <row r="18" spans="2:3" ht="24.95" customHeight="1">
      <c r="B18" s="5" t="s">
        <v>158</v>
      </c>
      <c r="C18" s="4" t="s">
        <v>159</v>
      </c>
    </row>
    <row r="19" spans="2:3" ht="24.95" customHeight="1">
      <c r="B19" s="5" t="s">
        <v>160</v>
      </c>
      <c r="C19" s="4" t="s">
        <v>161</v>
      </c>
    </row>
    <row r="20" spans="2:3" ht="24.95" customHeight="1">
      <c r="B20" s="5" t="s">
        <v>162</v>
      </c>
      <c r="C20" s="4" t="s">
        <v>163</v>
      </c>
    </row>
    <row r="21" spans="2:3">
      <c r="B21" s="6"/>
    </row>
  </sheetData>
  <dataConsolidate/>
  <mergeCells count="7">
    <mergeCell ref="B12:C12"/>
    <mergeCell ref="B7:C7"/>
    <mergeCell ref="B8:C8"/>
    <mergeCell ref="B1:C1"/>
    <mergeCell ref="B4:C4"/>
    <mergeCell ref="B5:C5"/>
    <mergeCell ref="B6:C6"/>
  </mergeCells>
  <phoneticPr fontId="0" type="noConversion"/>
  <printOptions horizontalCentered="1"/>
  <pageMargins left="0.75" right="0.75" top="1" bottom="1" header="0.5" footer="0.5"/>
  <pageSetup paperSize="9" firstPageNumber="5" fitToHeight="0" orientation="landscape" horizontalDpi="300" verticalDpi="300" r:id="rId1"/>
  <headerFooter alignWithMargins="0">
    <oddHeader>&amp;C&amp;"Calibri"&amp;10&amp;K737373Serco Business&amp;1#_x000D_&amp;"Calibri"&amp;11&amp;K000000&amp;"Calibri"&amp;11&amp;K000000&amp;"Arial,Bold"&amp;10COMMERCIAL</oddHeader>
    <oddFooter>&amp;L&amp;8Intro&amp;C&amp;10 4
&amp;"Arial,Bold"COMMERCIAL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F31"/>
  <sheetViews>
    <sheetView zoomScale="75" zoomScaleNormal="50" workbookViewId="0">
      <selection activeCell="H8" sqref="H8"/>
    </sheetView>
  </sheetViews>
  <sheetFormatPr defaultColWidth="15.7109375" defaultRowHeight="12"/>
  <cols>
    <col min="1" max="1" width="2.7109375" customWidth="1"/>
    <col min="2" max="2" width="19" customWidth="1"/>
    <col min="3" max="3" width="30.7109375" customWidth="1"/>
    <col min="4" max="4" width="35.140625" customWidth="1"/>
    <col min="5" max="5" width="22.85546875" customWidth="1"/>
    <col min="6" max="6" width="29.5703125" customWidth="1"/>
    <col min="7" max="7" width="2.7109375" customWidth="1"/>
  </cols>
  <sheetData>
    <row r="1" spans="2:6" ht="20.25">
      <c r="B1" s="531" t="s">
        <v>145</v>
      </c>
      <c r="C1" s="531"/>
      <c r="D1" s="531"/>
      <c r="E1" s="531"/>
      <c r="F1" s="531"/>
    </row>
    <row r="2" spans="2:6" ht="20.25">
      <c r="B2" s="7"/>
      <c r="C2" s="7"/>
      <c r="D2" s="3"/>
      <c r="E2" s="3"/>
      <c r="F2" s="3"/>
    </row>
    <row r="3" spans="2:6" ht="18">
      <c r="B3" s="530" t="s">
        <v>146</v>
      </c>
      <c r="C3" s="530"/>
      <c r="D3" s="530"/>
      <c r="E3" s="530"/>
      <c r="F3" s="530"/>
    </row>
    <row r="4" spans="2:6" ht="18">
      <c r="B4" s="530" t="s">
        <v>5</v>
      </c>
      <c r="C4" s="530"/>
      <c r="D4" s="530"/>
      <c r="E4" s="530"/>
      <c r="F4" s="530"/>
    </row>
    <row r="5" spans="2:6">
      <c r="B5" s="3"/>
      <c r="C5" s="3"/>
      <c r="D5" s="3"/>
      <c r="E5" s="3"/>
      <c r="F5" s="3"/>
    </row>
    <row r="6" spans="2:6">
      <c r="B6" s="8" t="s">
        <v>164</v>
      </c>
      <c r="C6" s="3"/>
      <c r="D6" s="3"/>
      <c r="E6" s="3"/>
      <c r="F6" s="3"/>
    </row>
    <row r="7" spans="2:6">
      <c r="B7" s="3"/>
      <c r="C7" s="3"/>
      <c r="D7" s="3"/>
      <c r="E7" s="3"/>
      <c r="F7" s="3"/>
    </row>
    <row r="8" spans="2:6">
      <c r="B8" s="3" t="s">
        <v>165</v>
      </c>
      <c r="C8" s="3"/>
      <c r="D8" s="3"/>
      <c r="E8" s="3"/>
      <c r="F8" s="3"/>
    </row>
    <row r="9" spans="2:6">
      <c r="B9" s="3"/>
      <c r="C9" s="3"/>
      <c r="D9" s="3"/>
      <c r="E9" s="3"/>
      <c r="F9" s="3"/>
    </row>
    <row r="10" spans="2:6">
      <c r="B10" s="9" t="s">
        <v>166</v>
      </c>
      <c r="C10" s="9" t="s">
        <v>167</v>
      </c>
      <c r="D10" s="9" t="s">
        <v>168</v>
      </c>
      <c r="E10" s="9" t="s">
        <v>169</v>
      </c>
      <c r="F10" s="9" t="s">
        <v>170</v>
      </c>
    </row>
    <row r="11" spans="2:6" ht="15" customHeight="1">
      <c r="B11" s="10"/>
      <c r="C11" s="10"/>
      <c r="D11" s="10"/>
      <c r="E11" s="10"/>
      <c r="F11" s="10"/>
    </row>
    <row r="12" spans="2:6" ht="15" customHeight="1">
      <c r="B12" s="10"/>
      <c r="C12" s="10"/>
      <c r="D12" s="10"/>
      <c r="E12" s="10"/>
      <c r="F12" s="10"/>
    </row>
    <row r="13" spans="2:6" ht="15" customHeight="1">
      <c r="B13" s="10"/>
      <c r="C13" s="10"/>
      <c r="D13" s="10"/>
      <c r="E13" s="10"/>
      <c r="F13" s="10"/>
    </row>
    <row r="14" spans="2:6" ht="15" customHeight="1">
      <c r="B14" s="10"/>
      <c r="C14" s="10"/>
      <c r="D14" s="10"/>
      <c r="E14" s="10"/>
      <c r="F14" s="10"/>
    </row>
    <row r="15" spans="2:6" ht="15" customHeight="1">
      <c r="B15" s="10"/>
      <c r="C15" s="10"/>
      <c r="D15" s="10"/>
      <c r="E15" s="10"/>
      <c r="F15" s="10"/>
    </row>
    <row r="16" spans="2:6" ht="15" customHeight="1">
      <c r="B16" s="10"/>
      <c r="C16" s="10"/>
      <c r="D16" s="10"/>
      <c r="E16" s="10"/>
      <c r="F16" s="10"/>
    </row>
    <row r="17" spans="2:6" ht="15" customHeight="1">
      <c r="B17" s="10"/>
      <c r="C17" s="10"/>
      <c r="D17" s="10"/>
      <c r="E17" s="10"/>
      <c r="F17" s="10"/>
    </row>
    <row r="18" spans="2:6" ht="15" customHeight="1">
      <c r="B18" s="10"/>
      <c r="C18" s="10"/>
      <c r="D18" s="10"/>
      <c r="E18" s="10"/>
      <c r="F18" s="10"/>
    </row>
    <row r="19" spans="2:6" ht="15" customHeight="1">
      <c r="B19" s="10"/>
      <c r="C19" s="10"/>
      <c r="D19" s="10"/>
      <c r="E19" s="10"/>
      <c r="F19" s="10"/>
    </row>
    <row r="20" spans="2:6" ht="15" customHeight="1">
      <c r="B20" s="10"/>
      <c r="C20" s="10"/>
      <c r="D20" s="10"/>
      <c r="E20" s="10"/>
      <c r="F20" s="10"/>
    </row>
    <row r="21" spans="2:6" ht="15" customHeight="1">
      <c r="B21" s="10"/>
      <c r="C21" s="10"/>
      <c r="D21" s="10"/>
      <c r="E21" s="10"/>
      <c r="F21" s="10"/>
    </row>
    <row r="22" spans="2:6" ht="15" customHeight="1">
      <c r="B22" s="10"/>
      <c r="C22" s="10"/>
      <c r="D22" s="10"/>
      <c r="E22" s="10"/>
      <c r="F22" s="10"/>
    </row>
    <row r="23" spans="2:6" ht="15" customHeight="1">
      <c r="B23" s="10"/>
      <c r="C23" s="10"/>
      <c r="D23" s="10"/>
      <c r="E23" s="10"/>
      <c r="F23" s="10"/>
    </row>
    <row r="24" spans="2:6" ht="15" customHeight="1">
      <c r="B24" s="10"/>
      <c r="C24" s="10"/>
      <c r="D24" s="10"/>
      <c r="E24" s="10"/>
      <c r="F24" s="10"/>
    </row>
    <row r="25" spans="2:6" ht="15" customHeight="1">
      <c r="B25" s="10"/>
      <c r="C25" s="10"/>
      <c r="D25" s="10"/>
      <c r="E25" s="10"/>
      <c r="F25" s="10"/>
    </row>
    <row r="26" spans="2:6" ht="15" customHeight="1">
      <c r="B26" s="10"/>
      <c r="C26" s="10"/>
      <c r="D26" s="10"/>
      <c r="E26" s="10"/>
      <c r="F26" s="10"/>
    </row>
    <row r="27" spans="2:6" ht="15" customHeight="1">
      <c r="B27" s="10"/>
      <c r="C27" s="10"/>
      <c r="D27" s="10"/>
      <c r="E27" s="10"/>
      <c r="F27" s="10"/>
    </row>
    <row r="28" spans="2:6" ht="15" customHeight="1">
      <c r="B28" s="10"/>
      <c r="C28" s="10"/>
      <c r="D28" s="10"/>
      <c r="E28" s="10"/>
      <c r="F28" s="10"/>
    </row>
    <row r="29" spans="2:6" ht="15" customHeight="1">
      <c r="B29" s="10"/>
      <c r="C29" s="10"/>
      <c r="D29" s="10"/>
      <c r="E29" s="10"/>
      <c r="F29" s="10"/>
    </row>
    <row r="30" spans="2:6" ht="15" customHeight="1">
      <c r="B30" s="10"/>
      <c r="C30" s="10"/>
      <c r="D30" s="10"/>
      <c r="E30" s="10"/>
      <c r="F30" s="10"/>
    </row>
    <row r="31" spans="2:6">
      <c r="B31" s="3"/>
      <c r="C31" s="3"/>
      <c r="D31" s="3"/>
      <c r="E31" s="3"/>
      <c r="F31" s="3"/>
    </row>
  </sheetData>
  <dataConsolidate/>
  <mergeCells count="3">
    <mergeCell ref="B4:F4"/>
    <mergeCell ref="B1:F1"/>
    <mergeCell ref="B3:F3"/>
  </mergeCells>
  <phoneticPr fontId="0" type="noConversion"/>
  <printOptions horizontalCentered="1"/>
  <pageMargins left="0.75" right="0.75" top="1" bottom="1" header="0.5" footer="0.5"/>
  <pageSetup paperSize="9" firstPageNumber="5" fitToHeight="0" orientation="landscape" horizontalDpi="300" verticalDpi="300" r:id="rId1"/>
  <headerFooter alignWithMargins="0">
    <oddHeader>&amp;C&amp;"Calibri"&amp;10&amp;K737373Serco Business&amp;1#_x000D_&amp;"Calibri"&amp;11&amp;K000000&amp;"Calibri"&amp;11&amp;K000000&amp;"Arial,Bold"&amp;10COMMERCIAL</oddHeader>
    <oddFooter>&amp;L&amp;8Intro&amp;C&amp;10 5c
&amp;"Arial,Bold"COMMERCIAL&amp;R&amp;8Amendment No 58/Dec 07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ocumentVersion xmlns="04738c6d-ecc8-46f1-821f-82e308eab3d9" xsi:nil="true"/>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03_04 Provide Commercial Activities</TermName>
          <TermId xmlns="http://schemas.microsoft.com/office/infopath/2007/PartnerControls">ba8a9fa4-23a7-4d90-b9ae-12627a5eba3c</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74892954-1b5b-4963-ba60-2610e239dbcf</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DE&amp;S Commercial Commands and Centre</TermName>
          <TermId xmlns="http://schemas.microsoft.com/office/infopath/2007/PartnerControls">82844b05-ff12-4f64-9348-8841b64f1291</TermId>
        </TermInfo>
      </Terms>
    </m79e07ce3690491db9121a08429fad40>
    <TaxCatchAll xmlns="04738c6d-ecc8-46f1-821f-82e308eab3d9">
      <Value>13</Value>
      <Value>12</Value>
      <Value>15</Value>
      <Value>14</Value>
    </TaxCatchAll>
    <UKProtectiveMarking xmlns="04738c6d-ecc8-46f1-821f-82e308eab3d9">OFFICIAL-SENSITIVE COMMERCIAL</UKProtectiveMarking>
    <CategoryDescription xmlns="http://schemas.microsoft.com/sharepoint.v3" xsi:nil="true"/>
    <CreatedOriginated xmlns="04738c6d-ecc8-46f1-821f-82e308eab3d9">2014-10-30T00:00:00+00:00</CreatedOriginated>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6628c55f-21f9-4760-89a5-49bc7bc0738e</TermId>
        </TermInfo>
      </Terms>
    </i71a74d1f9984201b479cc08077b6323>
    <wic_System_Copyright xmlns="http://schemas.microsoft.com/sharepoint/v3/fields" xsi:nil="true"/>
    <_dlc_Exempt xmlns="http://schemas.microsoft.com/sharepoint/v3" xsi:nil="true"/>
  </documentManagement>
</p:properties>
</file>

<file path=customXml/item3.xml><?xml version="1.0" encoding="utf-8"?>
<LongProperties xmlns="http://schemas.microsoft.com/office/2006/metadata/longProperties">
  <LongProp xmlns="" name="TaxCatchAll"><![CDATA[13;#DE&S Commercial Commands and Centre|82844b05-ff12-4f64-9348-8841b64f1291;#12;#Procurement|74892954-1b5b-4963-ba60-2610e239dbcf;#11;#Procurement|6628c55f-21f9-4760-89a5-49bc7bc0738e;#7;#03_04 Provide Commercial Activities|ba8a9fa4-23a7-4d90-b9ae-12627a5eba3c]]></LongProp>
</LongProperties>
</file>

<file path=customXml/item4.xml><?xml version="1.0" encoding="utf-8"?>
<?mso-contentType ?>
<PolicyDirtyBag xmlns="microsoft.office.server.policy.changes">
  <Microsoft.Office.RecordsManagement.PolicyFeatures.PolicyAudit op="Change"/>
</PolicyDirtyBag>
</file>

<file path=customXml/item5.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5B4D2998A00DC64FB9A08CED7968AA71" ma:contentTypeVersion="10" ma:contentTypeDescription="Designed to facilitate the storage of MOD Documents with a '.doc' or '.docx' extension" ma:contentTypeScope="" ma:versionID="c353053525324e062308af248fd544e1">
  <xsd:schema xmlns:xsd="http://www.w3.org/2001/XMLSchema" xmlns:xs="http://www.w3.org/2001/XMLSchema" xmlns:p="http://schemas.microsoft.com/office/2006/metadata/properties" xmlns:ns1="http://schemas.microsoft.com/sharepoint/v3" xmlns:ns2="04738c6d-ecc8-46f1-821f-82e308eab3d9" xmlns:ns3="http://schemas.microsoft.com/sharepoint.v3" xmlns:ns4="http://schemas.microsoft.com/sharepoint/v3/fields" xmlns:ns5="1c55b7b0-0ab1-431e-83f4-6f172d41043e" targetNamespace="http://schemas.microsoft.com/office/2006/metadata/properties" ma:root="true" ma:fieldsID="b4cc083abebc4edceec1e882f38d97cf" ns1:_="" ns2:_="" ns3:_="" ns4:_="" ns5:_="">
    <xsd:import namespace="http://schemas.microsoft.com/sharepoint/v3"/>
    <xsd:import namespace="04738c6d-ecc8-46f1-821f-82e308eab3d9"/>
    <xsd:import namespace="http://schemas.microsoft.com/sharepoint.v3"/>
    <xsd:import namespace="http://schemas.microsoft.com/sharepoint/v3/fields"/>
    <xsd:import namespace="1c55b7b0-0ab1-431e-83f4-6f172d41043e"/>
    <xsd:element name="properties">
      <xsd:complexType>
        <xsd:sequence>
          <xsd:element name="documentManagement">
            <xsd:complexType>
              <xsd:all>
                <xsd:element ref="ns2:UKProtectiveMarking"/>
                <xsd:element ref="ns3:CategoryDescription" minOccurs="0"/>
                <xsd:element ref="ns4:_Status" minOccurs="0"/>
                <xsd:element ref="ns2:DocumentVersion" minOccurs="0"/>
                <xsd:element ref="ns2:CreatedOriginated" minOccurs="0"/>
                <xsd:element ref="ns4:wic_System_Copyright" minOccurs="0"/>
                <xsd:element ref="ns2:TaxCatchAll" minOccurs="0"/>
                <xsd:element ref="ns2:TaxKeywordTaxHTField" minOccurs="0"/>
                <xsd:element ref="ns2:TaxCatchAllLabel" minOccurs="0"/>
                <xsd:element ref="ns1:_dlc_Exempt" minOccurs="0"/>
                <xsd:element ref="ns2:d67af1ddf1dc47979d20c0eae491b81b" minOccurs="0"/>
                <xsd:element ref="ns2:m79e07ce3690491db9121a08429fad40" minOccurs="0"/>
                <xsd:element ref="ns2:n1f450bd0d644ca798bdc94626fdef4f" minOccurs="0"/>
                <xsd:element ref="ns2:i71a74d1f9984201b479cc08077b6323" minOccurs="0"/>
                <xsd:element ref="ns5:MediaServiceMetadata" minOccurs="0"/>
                <xsd:element ref="ns5:MediaServiceFastMetadata"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7"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10"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CreatedOriginated" ma:index="11" nillable="true" ma:displayName="Created (Originated)" ma:default="[today]" ma:description="The date the document was originally created." ma:format="DateOnly" ma:internalName="CreatedOriginated">
      <xsd:simpleType>
        <xsd:restriction base="dms:DateTime"/>
      </xsd:simpleType>
    </xsd:element>
    <xsd:element name="TaxCatchAll" ma:index="15" nillable="true" ma:displayName="Taxonomy Catch All Column" ma:description="" ma:hidden="true" ma:list="{ffcc1d48-8333-4e76-a5b1-015c9f3424f2}" ma:internalName="TaxCatchAll" ma:showField="CatchAllData" ma:web="2d4a6cfa-ae7b-4bdc-92b6-1ece3f4a62c9">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20" nillable="true" ma:displayName="Taxonomy Catch All Column1" ma:description="" ma:hidden="true" ma:list="{ffcc1d48-8333-4e76-a5b1-015c9f3424f2}" ma:internalName="TaxCatchAllLabel" ma:readOnly="true" ma:showField="CatchAllDataLabel" ma:web="2d4a6cfa-ae7b-4bdc-92b6-1ece3f4a62c9">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22" ma:taxonomy="true" ma:internalName="d67af1ddf1dc47979d20c0eae491b81b" ma:taxonomyFieldName="fileplanid" ma:displayName="UK Defence File Plan" ma:default="3;#04 Deliver the Unit's objectives|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23" ma:taxonomy="true" ma:internalName="m79e07ce3690491db9121a08429fad40" ma:taxonomyFieldName="Business_x0020_Owner" ma:displayName="Business Owner" ma:default="2;#Air|bae4d02c-6a4f-4c05-88c9-3d9c33685563"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25" ma:taxonomy="true" ma:internalName="n1f450bd0d644ca798bdc94626fdef4f" ma:taxonomyFieldName="Subject_x0020_Keywords" ma:displayName="Subject Keywords" ma:default="1;#Information management|6a085f67-cdb7-474e-8082-e1093d41b8cb"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26" ma:taxonomy="true" ma:internalName="i71a74d1f9984201b479cc08077b6323" ma:taxonomyFieldName="Subject_x0020_Category" ma:displayName="Subject Category" ma:default="4;#Information management|07795f02-7987-43cd-b575-f41fc8ac97cd"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55b7b0-0ab1-431e-83f4-6f172d41043e"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7"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a9ff0b8c-5d72-4038-b2cd-f57bf310c636" ContentTypeId="0x010100D9D675D6CDED02438DC7CFF78D2F29E401" PreviousValue="false" LastSyncTimeStamp="2017-05-26T14:13:10.48Z"/>
</file>

<file path=customXml/item7.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8.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3164FE-466C-491E-ADF6-AABCEFC540F3}">
  <ds:schemaRefs>
    <ds:schemaRef ds:uri="http://schemas.microsoft.com/sharepoint/events"/>
  </ds:schemaRefs>
</ds:datastoreItem>
</file>

<file path=customXml/itemProps2.xml><?xml version="1.0" encoding="utf-8"?>
<ds:datastoreItem xmlns:ds="http://schemas.openxmlformats.org/officeDocument/2006/customXml" ds:itemID="{2FD7DC11-6EE4-40B0-AE89-AE2869368AA1}">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http://schemas.microsoft.com/sharepoint/v3/fields"/>
    <ds:schemaRef ds:uri="http://purl.org/dc/terms/"/>
    <ds:schemaRef ds:uri="1c55b7b0-0ab1-431e-83f4-6f172d41043e"/>
    <ds:schemaRef ds:uri="http://schemas.microsoft.com/sharepoint.v3"/>
    <ds:schemaRef ds:uri="http://schemas.microsoft.com/office/2006/documentManagement/types"/>
    <ds:schemaRef ds:uri="04738c6d-ecc8-46f1-821f-82e308eab3d9"/>
    <ds:schemaRef ds:uri="http://www.w3.org/XML/1998/namespace"/>
    <ds:schemaRef ds:uri="http://purl.org/dc/dcmitype/"/>
  </ds:schemaRefs>
</ds:datastoreItem>
</file>

<file path=customXml/itemProps3.xml><?xml version="1.0" encoding="utf-8"?>
<ds:datastoreItem xmlns:ds="http://schemas.openxmlformats.org/officeDocument/2006/customXml" ds:itemID="{5A54BBBC-2B41-4677-A49F-963490AEF228}">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2A05A6B9-F366-46C8-AD60-BC1F87F33BB2}">
  <ds:schemaRefs>
    <ds:schemaRef ds:uri="microsoft.office.server.policy.changes"/>
  </ds:schemaRefs>
</ds:datastoreItem>
</file>

<file path=customXml/itemProps5.xml><?xml version="1.0" encoding="utf-8"?>
<ds:datastoreItem xmlns:ds="http://schemas.openxmlformats.org/officeDocument/2006/customXml" ds:itemID="{9C0337C6-0151-4E3F-A918-C3D9B8E41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38c6d-ecc8-46f1-821f-82e308eab3d9"/>
    <ds:schemaRef ds:uri="http://schemas.microsoft.com/sharepoint.v3"/>
    <ds:schemaRef ds:uri="http://schemas.microsoft.com/sharepoint/v3/fields"/>
    <ds:schemaRef ds:uri="1c55b7b0-0ab1-431e-83f4-6f172d4104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26228ECD-2140-4DC0-B9EA-93F91C8B09E9}">
  <ds:schemaRefs>
    <ds:schemaRef ds:uri="Microsoft.SharePoint.Taxonomy.ContentTypeSync"/>
  </ds:schemaRefs>
</ds:datastoreItem>
</file>

<file path=customXml/itemProps7.xml><?xml version="1.0" encoding="utf-8"?>
<ds:datastoreItem xmlns:ds="http://schemas.openxmlformats.org/officeDocument/2006/customXml" ds:itemID="{2D4A8C06-ED4B-48C2-B2AB-E983B69245F5}">
  <ds:schemaRefs>
    <ds:schemaRef ds:uri="office.server.policy"/>
  </ds:schemaRefs>
</ds:datastoreItem>
</file>

<file path=customXml/itemProps8.xml><?xml version="1.0" encoding="utf-8"?>
<ds:datastoreItem xmlns:ds="http://schemas.openxmlformats.org/officeDocument/2006/customXml" ds:itemID="{E4A3646F-AB1D-4E3A-B186-1324305FE9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39</vt:i4>
      </vt:variant>
    </vt:vector>
  </HeadingPairs>
  <TitlesOfParts>
    <vt:vector size="76" baseType="lpstr">
      <vt:lpstr>Intro P1</vt:lpstr>
      <vt:lpstr>Pricing Summary </vt:lpstr>
      <vt:lpstr>Deliverables</vt:lpstr>
      <vt:lpstr>UT Rates-Yr1</vt:lpstr>
      <vt:lpstr>UT Rates-Yr2</vt:lpstr>
      <vt:lpstr>UT Rates-Yr3</vt:lpstr>
      <vt:lpstr>Other UT Rates</vt:lpstr>
      <vt:lpstr>P4</vt:lpstr>
      <vt:lpstr>P5</vt:lpstr>
      <vt:lpstr>Cover</vt:lpstr>
      <vt:lpstr>Annex A</vt:lpstr>
      <vt:lpstr>Annex B</vt:lpstr>
      <vt:lpstr>Working Pg1</vt:lpstr>
      <vt:lpstr>2</vt:lpstr>
      <vt:lpstr>3</vt:lpstr>
      <vt:lpstr>4</vt:lpstr>
      <vt:lpstr>5</vt:lpstr>
      <vt:lpstr>6</vt:lpstr>
      <vt:lpstr>7</vt:lpstr>
      <vt:lpstr>8</vt:lpstr>
      <vt:lpstr>9</vt:lpstr>
      <vt:lpstr>10</vt:lpstr>
      <vt:lpstr>11</vt:lpstr>
      <vt:lpstr>12</vt:lpstr>
      <vt:lpstr>13</vt:lpstr>
      <vt:lpstr>14</vt:lpstr>
      <vt:lpstr>15</vt:lpstr>
      <vt:lpstr>16</vt:lpstr>
      <vt:lpstr>19</vt:lpstr>
      <vt:lpstr>21</vt:lpstr>
      <vt:lpstr>22</vt:lpstr>
      <vt:lpstr>23</vt:lpstr>
      <vt:lpstr>24</vt:lpstr>
      <vt:lpstr>25</vt:lpstr>
      <vt:lpstr>30</vt:lpstr>
      <vt:lpstr>31</vt:lpstr>
      <vt:lpstr>32</vt:lpstr>
      <vt:lpstr>'7'!Print_Area</vt:lpstr>
      <vt:lpstr>'Annex A'!Print_Area</vt:lpstr>
      <vt:lpstr>'Annex B'!Print_Area</vt:lpstr>
      <vt:lpstr>Cover!Print_Area</vt:lpstr>
      <vt:lpstr>'Intro P1'!Print_Area</vt:lpstr>
      <vt:lpstr>'P4'!Print_Area</vt:lpstr>
      <vt:lpstr>'P5'!Print_Area</vt:lpstr>
      <vt:lpstr>'Pricing Summary '!Print_Area</vt:lpstr>
      <vt:lpstr>'UT Rates-Yr1'!Print_Area</vt:lpstr>
      <vt:lpstr>'UT Rates-Yr2'!Print_Area</vt:lpstr>
      <vt:lpstr>'UT Rates-Yr3'!Print_Area</vt:lpstr>
      <vt:lpstr>'Working Pg1'!Print_Area</vt:lpstr>
      <vt:lpstr>'10'!Print_Titles</vt:lpstr>
      <vt:lpstr>'11'!Print_Titles</vt:lpstr>
      <vt:lpstr>'12'!Print_Titles</vt:lpstr>
      <vt:lpstr>'13'!Print_Titles</vt:lpstr>
      <vt:lpstr>'14'!Print_Titles</vt:lpstr>
      <vt:lpstr>'15'!Print_Titles</vt:lpstr>
      <vt:lpstr>'16'!Print_Titles</vt:lpstr>
      <vt:lpstr>'19'!Print_Titles</vt:lpstr>
      <vt:lpstr>'2'!Print_Titles</vt:lpstr>
      <vt:lpstr>'21'!Print_Titles</vt:lpstr>
      <vt:lpstr>'22'!Print_Titles</vt:lpstr>
      <vt:lpstr>'23'!Print_Titles</vt:lpstr>
      <vt:lpstr>'24'!Print_Titles</vt:lpstr>
      <vt:lpstr>'25'!Print_Titles</vt:lpstr>
      <vt:lpstr>'3'!Print_Titles</vt:lpstr>
      <vt:lpstr>'30'!Print_Titles</vt:lpstr>
      <vt:lpstr>'31'!Print_Titles</vt:lpstr>
      <vt:lpstr>'32'!Print_Titles</vt:lpstr>
      <vt:lpstr>'4'!Print_Titles</vt:lpstr>
      <vt:lpstr>'5'!Print_Titles</vt:lpstr>
      <vt:lpstr>'6'!Print_Titles</vt:lpstr>
      <vt:lpstr>'7'!Print_Titles</vt:lpstr>
      <vt:lpstr>'8'!Print_Titles</vt:lpstr>
      <vt:lpstr>'9'!Print_Titles</vt:lpstr>
      <vt:lpstr>'Annex A'!Print_Titles</vt:lpstr>
      <vt:lpstr>'Annex B'!Print_Titles</vt:lpstr>
      <vt:lpstr>'Working Pg1'!Print_Titles</vt:lpstr>
    </vt:vector>
  </TitlesOfParts>
  <Manager/>
  <Company>MOD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 1 Glid Maintenance - AL19 Master</dc:title>
  <dc:subject>Master Contract</dc:subject>
  <dc:creator>contracts14</dc:creator>
  <cp:keywords/>
  <dc:description/>
  <cp:lastModifiedBy>Thomson, Ray C1 (Air-Comrcl Con PerfMgt LdMgr3)</cp:lastModifiedBy>
  <cp:revision/>
  <dcterms:created xsi:type="dcterms:W3CDTF">2001-06-26T11:18:15Z</dcterms:created>
  <dcterms:modified xsi:type="dcterms:W3CDTF">2022-05-06T14:47:44Z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KProtectiveMarking">
    <vt:lpwstr>OFFICIAL-SENSITIVE COMMERCIAL</vt:lpwstr>
  </property>
  <property fmtid="{D5CDD505-2E9C-101B-9397-08002B2CF9AE}" pid="3" name="EIRException">
    <vt:lpwstr/>
  </property>
  <property fmtid="{D5CDD505-2E9C-101B-9397-08002B2CF9AE}" pid="4" name="Description0">
    <vt:lpwstr/>
  </property>
  <property fmtid="{D5CDD505-2E9C-101B-9397-08002B2CF9AE}" pid="5" name="DPADisclosabilityIndicator">
    <vt:lpwstr/>
  </property>
  <property fmtid="{D5CDD505-2E9C-101B-9397-08002B2CF9AE}" pid="6" name="FOIReleasedOnRequest">
    <vt:lpwstr/>
  </property>
  <property fmtid="{D5CDD505-2E9C-101B-9397-08002B2CF9AE}" pid="7" name="PolicyIdentifier">
    <vt:lpwstr>UK</vt:lpwstr>
  </property>
  <property fmtid="{D5CDD505-2E9C-101B-9397-08002B2CF9AE}" pid="8" name="SecurityNonUKConstraints">
    <vt:lpwstr/>
  </property>
  <property fmtid="{D5CDD505-2E9C-101B-9397-08002B2CF9AE}" pid="9" name="ContentType">
    <vt:lpwstr>MOD Document</vt:lpwstr>
  </property>
  <property fmtid="{D5CDD505-2E9C-101B-9397-08002B2CF9AE}" pid="10" name="Subject CategoryOOB">
    <vt:lpwstr>PROCUREMENT</vt:lpwstr>
  </property>
  <property fmtid="{D5CDD505-2E9C-101B-9397-08002B2CF9AE}" pid="11" name="Subject KeywordsOOB">
    <vt:lpwstr>Procurement</vt:lpwstr>
  </property>
  <property fmtid="{D5CDD505-2E9C-101B-9397-08002B2CF9AE}" pid="12" name="Local KeywordsOOB">
    <vt:lpwstr/>
  </property>
  <property fmtid="{D5CDD505-2E9C-101B-9397-08002B2CF9AE}" pid="13" name="AuthorOriginator">
    <vt:lpwstr>Ralls, Phillip D</vt:lpwstr>
  </property>
  <property fmtid="{D5CDD505-2E9C-101B-9397-08002B2CF9AE}" pid="14" name="Copyright">
    <vt:lpwstr/>
  </property>
  <property fmtid="{D5CDD505-2E9C-101B-9397-08002B2CF9AE}" pid="15" name="FOIExemption">
    <vt:lpwstr>No</vt:lpwstr>
  </property>
  <property fmtid="{D5CDD505-2E9C-101B-9397-08002B2CF9AE}" pid="16" name="DocumentVersion">
    <vt:lpwstr/>
  </property>
  <property fmtid="{D5CDD505-2E9C-101B-9397-08002B2CF9AE}" pid="17" name="CreatedOriginated">
    <vt:lpwstr>2014-10-30T00:00:00Z</vt:lpwstr>
  </property>
  <property fmtid="{D5CDD505-2E9C-101B-9397-08002B2CF9AE}" pid="18" name="SecurityDescriptors">
    <vt:lpwstr>None</vt:lpwstr>
  </property>
  <property fmtid="{D5CDD505-2E9C-101B-9397-08002B2CF9AE}" pid="19" name="Status">
    <vt:lpwstr>Final</vt:lpwstr>
  </property>
  <property fmtid="{D5CDD505-2E9C-101B-9397-08002B2CF9AE}" pid="20" name="Purpose">
    <vt:lpwstr>Price</vt:lpwstr>
  </property>
  <property fmtid="{D5CDD505-2E9C-101B-9397-08002B2CF9AE}" pid="21" name="Business OwnerOOB">
    <vt:lpwstr>DE&amp;S Commercial Commands and Centre</vt:lpwstr>
  </property>
  <property fmtid="{D5CDD505-2E9C-101B-9397-08002B2CF9AE}" pid="22" name="DPAExemption">
    <vt:lpwstr/>
  </property>
  <property fmtid="{D5CDD505-2E9C-101B-9397-08002B2CF9AE}" pid="23" name="EIRDisclosabilityIndicator">
    <vt:lpwstr/>
  </property>
  <property fmtid="{D5CDD505-2E9C-101B-9397-08002B2CF9AE}" pid="24" name="fileplanIDOOB">
    <vt:lpwstr>03_04 Provide Commercial Activities</vt:lpwstr>
  </property>
  <property fmtid="{D5CDD505-2E9C-101B-9397-08002B2CF9AE}" pid="25" name="fileplanIDPTH">
    <vt:lpwstr>03_Support/03_04 Provide Commercial Activities</vt:lpwstr>
  </property>
  <property fmtid="{D5CDD505-2E9C-101B-9397-08002B2CF9AE}" pid="26" name="From">
    <vt:lpwstr/>
  </property>
  <property fmtid="{D5CDD505-2E9C-101B-9397-08002B2CF9AE}" pid="27" name="Cc">
    <vt:lpwstr/>
  </property>
  <property fmtid="{D5CDD505-2E9C-101B-9397-08002B2CF9AE}" pid="28" name="Sent">
    <vt:lpwstr/>
  </property>
  <property fmtid="{D5CDD505-2E9C-101B-9397-08002B2CF9AE}" pid="29" name="To">
    <vt:lpwstr/>
  </property>
  <property fmtid="{D5CDD505-2E9C-101B-9397-08002B2CF9AE}" pid="30" name="DateScanned">
    <vt:lpwstr/>
  </property>
  <property fmtid="{D5CDD505-2E9C-101B-9397-08002B2CF9AE}" pid="31" name="ScannerOperator">
    <vt:lpwstr/>
  </property>
  <property fmtid="{D5CDD505-2E9C-101B-9397-08002B2CF9AE}" pid="32" name="EIR Exception">
    <vt:lpwstr/>
  </property>
  <property fmtid="{D5CDD505-2E9C-101B-9397-08002B2CF9AE}" pid="33" name="MODSubject">
    <vt:lpwstr/>
  </property>
  <property fmtid="{D5CDD505-2E9C-101B-9397-08002B2CF9AE}" pid="34" name="MODImageCleaning">
    <vt:lpwstr/>
  </property>
  <property fmtid="{D5CDD505-2E9C-101B-9397-08002B2CF9AE}" pid="35" name="MODNumberOfPagesScanned">
    <vt:lpwstr/>
  </property>
  <property fmtid="{D5CDD505-2E9C-101B-9397-08002B2CF9AE}" pid="36" name="MODScanStandard">
    <vt:lpwstr/>
  </property>
  <property fmtid="{D5CDD505-2E9C-101B-9397-08002B2CF9AE}" pid="37" name="MODScanVerified">
    <vt:lpwstr>Pending</vt:lpwstr>
  </property>
  <property fmtid="{D5CDD505-2E9C-101B-9397-08002B2CF9AE}" pid="38" name="SubjectCategory">
    <vt:lpwstr/>
  </property>
  <property fmtid="{D5CDD505-2E9C-101B-9397-08002B2CF9AE}" pid="39" name="MeridioUrl">
    <vt:lpwstr/>
  </property>
  <property fmtid="{D5CDD505-2E9C-101B-9397-08002B2CF9AE}" pid="40" name="LocalKeywords">
    <vt:lpwstr/>
  </property>
  <property fmtid="{D5CDD505-2E9C-101B-9397-08002B2CF9AE}" pid="41" name="SubjectKeywords">
    <vt:lpwstr/>
  </property>
  <property fmtid="{D5CDD505-2E9C-101B-9397-08002B2CF9AE}" pid="42" name="Declared">
    <vt:lpwstr>0</vt:lpwstr>
  </property>
  <property fmtid="{D5CDD505-2E9C-101B-9397-08002B2CF9AE}" pid="43" name="BusinessOwner">
    <vt:lpwstr/>
  </property>
  <property fmtid="{D5CDD505-2E9C-101B-9397-08002B2CF9AE}" pid="44" name="RetentionCategory">
    <vt:lpwstr>None</vt:lpwstr>
  </property>
  <property fmtid="{D5CDD505-2E9C-101B-9397-08002B2CF9AE}" pid="45" name="MeridioEDCData">
    <vt:lpwstr/>
  </property>
  <property fmtid="{D5CDD505-2E9C-101B-9397-08002B2CF9AE}" pid="46" name="fileplanID">
    <vt:lpwstr>12;#03_04 Provide Commercial Activities|ba8a9fa4-23a7-4d90-b9ae-12627a5eba3c</vt:lpwstr>
  </property>
  <property fmtid="{D5CDD505-2E9C-101B-9397-08002B2CF9AE}" pid="47" name="DocId">
    <vt:lpwstr/>
  </property>
  <property fmtid="{D5CDD505-2E9C-101B-9397-08002B2CF9AE}" pid="48" name="MeridioEDCStatus">
    <vt:lpwstr/>
  </property>
  <property fmtid="{D5CDD505-2E9C-101B-9397-08002B2CF9AE}" pid="49" name="FOIPublicationDate">
    <vt:lpwstr/>
  </property>
  <property fmtid="{D5CDD505-2E9C-101B-9397-08002B2CF9AE}" pid="50" name="Subject Category">
    <vt:lpwstr>14;#Procurement|6628c55f-21f9-4760-89a5-49bc7bc0738e</vt:lpwstr>
  </property>
  <property fmtid="{D5CDD505-2E9C-101B-9397-08002B2CF9AE}" pid="51" name="TaxKeywordTaxHTField">
    <vt:lpwstr/>
  </property>
  <property fmtid="{D5CDD505-2E9C-101B-9397-08002B2CF9AE}" pid="52" name="TaxKeyword">
    <vt:lpwstr/>
  </property>
  <property fmtid="{D5CDD505-2E9C-101B-9397-08002B2CF9AE}" pid="53" name="Business Owner">
    <vt:lpwstr>13;#DE&amp;S Commercial Commands and Centre|82844b05-ff12-4f64-9348-8841b64f1291</vt:lpwstr>
  </property>
  <property fmtid="{D5CDD505-2E9C-101B-9397-08002B2CF9AE}" pid="54" name="TaxCatchAll">
    <vt:lpwstr>13;#DE&amp;S Commercial Commands and Centre|82844b05-ff12-4f64-9348-8841b64f1291;#12;#Procurement|74892954-1b5b-4963-ba60-2610e239dbcf;#11;#Procurement|6628c55f-21f9-4760-89a5-49bc7bc0738e;#7;#03_04 Provide Commercial Activities|ba8a9fa4-23a7-4d90-b9ae-12627a</vt:lpwstr>
  </property>
  <property fmtid="{D5CDD505-2E9C-101B-9397-08002B2CF9AE}" pid="55" name="Subject Keywords">
    <vt:lpwstr>15;#Procurement|74892954-1b5b-4963-ba60-2610e239dbcf</vt:lpwstr>
  </property>
  <property fmtid="{D5CDD505-2E9C-101B-9397-08002B2CF9AE}" pid="56" name="_dlc_ExpireDate">
    <vt:lpwstr/>
  </property>
  <property fmtid="{D5CDD505-2E9C-101B-9397-08002B2CF9AE}" pid="57" name="display_urn:schemas-microsoft-com:office:office#Editor">
    <vt:lpwstr>Stone, Marion Miss (DES Ships Comrcl-WSpt-MSDF2)</vt:lpwstr>
  </property>
  <property fmtid="{D5CDD505-2E9C-101B-9397-08002B2CF9AE}" pid="58" name="Order">
    <vt:lpwstr>14600.0000000000</vt:lpwstr>
  </property>
  <property fmtid="{D5CDD505-2E9C-101B-9397-08002B2CF9AE}" pid="59" name="xd_ProgID">
    <vt:lpwstr/>
  </property>
  <property fmtid="{D5CDD505-2E9C-101B-9397-08002B2CF9AE}" pid="60" name="CategoryDescription">
    <vt:lpwstr/>
  </property>
  <property fmtid="{D5CDD505-2E9C-101B-9397-08002B2CF9AE}" pid="61" name="SharedWithUsers">
    <vt:lpwstr/>
  </property>
  <property fmtid="{D5CDD505-2E9C-101B-9397-08002B2CF9AE}" pid="62" name="TemplateUrl">
    <vt:lpwstr/>
  </property>
  <property fmtid="{D5CDD505-2E9C-101B-9397-08002B2CF9AE}" pid="63" name="ComplianceAssetId">
    <vt:lpwstr/>
  </property>
  <property fmtid="{D5CDD505-2E9C-101B-9397-08002B2CF9AE}" pid="64" name="display_urn:schemas-microsoft-com:office:office#Author">
    <vt:lpwstr>Stone, Marion Miss (DES Ships Comrcl-WSpt-MSDF2)</vt:lpwstr>
  </property>
  <property fmtid="{D5CDD505-2E9C-101B-9397-08002B2CF9AE}" pid="65" name="ContentTypeId">
    <vt:lpwstr>0x010100D9D675D6CDED02438DC7CFF78D2F29E401005B4D2998A00DC64FB9A08CED7968AA71</vt:lpwstr>
  </property>
  <property fmtid="{D5CDD505-2E9C-101B-9397-08002B2CF9AE}" pid="66" name="wic_System_Copyright">
    <vt:lpwstr/>
  </property>
  <property fmtid="{D5CDD505-2E9C-101B-9397-08002B2CF9AE}" pid="67" name="_dlc_Exempt">
    <vt:lpwstr/>
  </property>
  <property fmtid="{D5CDD505-2E9C-101B-9397-08002B2CF9AE}" pid="68" name="m79e07ce3690491db9121a08429fad40">
    <vt:lpwstr>DE&amp;S Commercial Commands and Centre|82844b05-ff12-4f64-9348-8841b64f1291</vt:lpwstr>
  </property>
  <property fmtid="{D5CDD505-2E9C-101B-9397-08002B2CF9AE}" pid="69" name="n1f450bd0d644ca798bdc94626fdef4f">
    <vt:lpwstr>Procurement|74892954-1b5b-4963-ba60-2610e239dbcf</vt:lpwstr>
  </property>
  <property fmtid="{D5CDD505-2E9C-101B-9397-08002B2CF9AE}" pid="70" name="_dlc_ExpireDateSaved">
    <vt:lpwstr/>
  </property>
  <property fmtid="{D5CDD505-2E9C-101B-9397-08002B2CF9AE}" pid="71" name="xd_Signature">
    <vt:lpwstr/>
  </property>
  <property fmtid="{D5CDD505-2E9C-101B-9397-08002B2CF9AE}" pid="72" name="d67af1ddf1dc47979d20c0eae491b81b">
    <vt:lpwstr>03_04 Provide Commercial Activities|ba8a9fa4-23a7-4d90-b9ae-12627a5eba3c</vt:lpwstr>
  </property>
  <property fmtid="{D5CDD505-2E9C-101B-9397-08002B2CF9AE}" pid="73" name="i71a74d1f9984201b479cc08077b6323">
    <vt:lpwstr>Procurement|6628c55f-21f9-4760-89a5-49bc7bc0738e</vt:lpwstr>
  </property>
  <property fmtid="{D5CDD505-2E9C-101B-9397-08002B2CF9AE}" pid="74" name="ItemRetentionFormula">
    <vt:lpwstr/>
  </property>
  <property fmtid="{D5CDD505-2E9C-101B-9397-08002B2CF9AE}" pid="75" name="_dlc_policyId">
    <vt:lpwstr/>
  </property>
  <property fmtid="{D5CDD505-2E9C-101B-9397-08002B2CF9AE}" pid="76" name="_Status">
    <vt:lpwstr>Not Started</vt:lpwstr>
  </property>
  <property fmtid="{D5CDD505-2E9C-101B-9397-08002B2CF9AE}" pid="77" name="MSIP_Label_d6fb369a-307f-449b-a188-56348c6f1760_Enabled">
    <vt:lpwstr>true</vt:lpwstr>
  </property>
  <property fmtid="{D5CDD505-2E9C-101B-9397-08002B2CF9AE}" pid="78" name="MSIP_Label_d6fb369a-307f-449b-a188-56348c6f1760_SetDate">
    <vt:lpwstr>2022-02-27T11:10:09Z</vt:lpwstr>
  </property>
  <property fmtid="{D5CDD505-2E9C-101B-9397-08002B2CF9AE}" pid="79" name="MSIP_Label_d6fb369a-307f-449b-a188-56348c6f1760_Method">
    <vt:lpwstr>Privileged</vt:lpwstr>
  </property>
  <property fmtid="{D5CDD505-2E9C-101B-9397-08002B2CF9AE}" pid="80" name="MSIP_Label_d6fb369a-307f-449b-a188-56348c6f1760_Name">
    <vt:lpwstr>d6fb369a-307f-449b-a188-56348c6f1760</vt:lpwstr>
  </property>
  <property fmtid="{D5CDD505-2E9C-101B-9397-08002B2CF9AE}" pid="81" name="MSIP_Label_d6fb369a-307f-449b-a188-56348c6f1760_SiteId">
    <vt:lpwstr>f93616dd-45a6-40c8-9e29-adab2fb5f25c</vt:lpwstr>
  </property>
  <property fmtid="{D5CDD505-2E9C-101B-9397-08002B2CF9AE}" pid="82" name="MSIP_Label_d6fb369a-307f-449b-a188-56348c6f1760_ActionId">
    <vt:lpwstr>150ceaf8-9354-47f8-ad7d-7f64b920a94c</vt:lpwstr>
  </property>
  <property fmtid="{D5CDD505-2E9C-101B-9397-08002B2CF9AE}" pid="83" name="MSIP_Label_d6fb369a-307f-449b-a188-56348c6f1760_ContentBits">
    <vt:lpwstr>1</vt:lpwstr>
  </property>
</Properties>
</file>